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en\Documents\ECL\EPSA\Github\EN - Engine &amp; Powertrain\Cost\"/>
    </mc:Choice>
  </mc:AlternateContent>
  <xr:revisionPtr revIDLastSave="0" documentId="13_ncr:1_{8E6B0B06-9A5E-46E7-965E-0E206556F5D4}" xr6:coauthVersionLast="28" xr6:coauthVersionMax="28" xr10:uidLastSave="{00000000-0000-0000-0000-000000000000}"/>
  <bookViews>
    <workbookView xWindow="4740" yWindow="60" windowWidth="16380" windowHeight="8190" tabRatio="885" xr2:uid="{00000000-000D-0000-FFFF-FFFF00000000}"/>
  </bookViews>
  <sheets>
    <sheet name="Instructions" sheetId="7" r:id="rId1"/>
    <sheet name="BOM" sheetId="8" r:id="rId2"/>
    <sheet name="EN_A0900" sheetId="1" r:id="rId3"/>
    <sheet name="EN_0900_001" sheetId="2" r:id="rId4"/>
    <sheet name="EN_0900_002" sheetId="10" r:id="rId5"/>
    <sheet name="EN_0900_002 Drawing" sheetId="9" r:id="rId6"/>
    <sheet name="EN_0900_003" sheetId="13" r:id="rId7"/>
    <sheet name="EN_0900_003 Drawing" sheetId="22" r:id="rId8"/>
    <sheet name="EN_0900_004" sheetId="14" r:id="rId9"/>
    <sheet name="EN_0900_004 Drawing" sheetId="23" r:id="rId10"/>
    <sheet name="EN_0900_005" sheetId="15" r:id="rId11"/>
    <sheet name="EN_0900_005 Drawing" sheetId="24" r:id="rId12"/>
    <sheet name="EN_0900_006" sheetId="16" r:id="rId13"/>
    <sheet name="EN_0900_006 Drawing" sheetId="25" r:id="rId14"/>
    <sheet name="EN_0900_007" sheetId="17" r:id="rId15"/>
    <sheet name="EN_0900_007 Drawing" sheetId="26" r:id="rId16"/>
    <sheet name="EN_0900_008" sheetId="19" r:id="rId17"/>
    <sheet name="EN_0900_008 Drawing" sheetId="27" r:id="rId18"/>
    <sheet name="EN_0900_009" sheetId="20" r:id="rId19"/>
    <sheet name="EN_0900_009 Drawing" sheetId="28" r:id="rId20"/>
    <sheet name="EN_A1000" sheetId="29" r:id="rId21"/>
    <sheet name="EN_1000_001" sheetId="30" r:id="rId22"/>
    <sheet name="EN_1000_002" sheetId="32" r:id="rId23"/>
    <sheet name="EN_1000_003" sheetId="34" r:id="rId24"/>
    <sheet name="EN_1000_003 Drawing" sheetId="37" r:id="rId25"/>
    <sheet name="EN_1000_004" sheetId="33" r:id="rId26"/>
    <sheet name="EN_1000_004 Drawing" sheetId="38" r:id="rId27"/>
    <sheet name="EN_A1100" sheetId="40" r:id="rId28"/>
    <sheet name="EN_1100_001" sheetId="41" r:id="rId29"/>
    <sheet name="EN_1100_002" sheetId="42" r:id="rId30"/>
    <sheet name="EN_1100_003" sheetId="43" r:id="rId31"/>
    <sheet name="EN_1100_003 Drawing" sheetId="45" r:id="rId32"/>
    <sheet name="EN_1100_004" sheetId="44" r:id="rId33"/>
    <sheet name="EN_1100_004 Drawing" sheetId="46" r:id="rId34"/>
    <sheet name="EN_1100_005" sheetId="48" r:id="rId35"/>
    <sheet name="EN_1100_005 Drawing" sheetId="49" r:id="rId36"/>
    <sheet name="EN_1100_006" sheetId="50" r:id="rId37"/>
    <sheet name="EN_1100_006 Drawing" sheetId="51" r:id="rId38"/>
  </sheets>
  <externalReferences>
    <externalReference r:id="rId39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'EN_0900_002 Drawing'!$B$1</definedName>
    <definedName name="dede">#REF!</definedName>
    <definedName name="dEL_01001">'EN_0900_002 Drawing'!$B$1</definedName>
    <definedName name="dqwdqd">#REF!</definedName>
    <definedName name="eded">#REF!</definedName>
    <definedName name="EN_0900_001">EN_0900_001!$B$6</definedName>
    <definedName name="EN_0900_001_f">EN_0900_001!$J$40</definedName>
    <definedName name="EN_0900_001_m">EN_0900_001!$N$16</definedName>
    <definedName name="EN_0900_001_p">EN_0900_001!$I$33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EN_0900_006!$N$12</definedName>
    <definedName name="EN_0900_006_p">EN_0900_006!$I$17</definedName>
    <definedName name="EN_0900_006_q">EN_0900_006!$N$3</definedName>
    <definedName name="EN_0900_007">EN_0900_007!$B$6</definedName>
    <definedName name="EN_0900_007_m">EN_0900_007!$N$12</definedName>
    <definedName name="EN_0900_007_p">EN_0900_007!$I$17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1000_001">EN_1000_001!$B$6</definedName>
    <definedName name="EN_1000_001_m">EN_1000_001!$N$13</definedName>
    <definedName name="EN_1000_001_p">EN_1000_001!$I$22</definedName>
    <definedName name="EN_1000_001_q">EN_1000_001!$N$3</definedName>
    <definedName name="EN_1000_002">EN_1000_002!$B$6</definedName>
    <definedName name="EN_1000_002_m">EN_1000_002!$N$12</definedName>
    <definedName name="EN_1000_002_p">EN_1000_002!$I$23</definedName>
    <definedName name="EN_1000_002_q">EN_1000_002!$N$3</definedName>
    <definedName name="EN_1000_003">EN_1000_003!$B$6</definedName>
    <definedName name="EN_1000_003_m">EN_1000_003!$N$12</definedName>
    <definedName name="EN_1000_003_p">EN_1000_003!$I$21</definedName>
    <definedName name="EN_1000_003_q">EN_1000_003!$N$3</definedName>
    <definedName name="EN_1000_004">EN_1000_004!$B$6</definedName>
    <definedName name="EN_1000_004_m">EN_1000_004!$N$12</definedName>
    <definedName name="EN_1000_004_p">EN_1000_004!$I$21</definedName>
    <definedName name="EN_1000_004_q">EN_1000_004!$N$3</definedName>
    <definedName name="EN_1100_001">EN_1100_001!$B$6</definedName>
    <definedName name="EN_1100_001_m">EN_1100_001!$N$12</definedName>
    <definedName name="EN_1100_001_p">EN_1100_001!$I$21</definedName>
    <definedName name="EN_1100_001_q">EN_1100_001!$N$3</definedName>
    <definedName name="EN_1100_002">EN_1100_002!$B$6</definedName>
    <definedName name="EN_1100_002_m">EN_1100_002!$N$12</definedName>
    <definedName name="EN_1100_002_p">EN_1100_002!$I$19</definedName>
    <definedName name="EN_1100_002_q">EN_1100_002!$N$3</definedName>
    <definedName name="EN_1100_003">EN_1100_003!$B$6</definedName>
    <definedName name="EN_1100_003_m">EN_1100_003!$N$12</definedName>
    <definedName name="EN_1100_003_p">EN_1100_003!$I$18</definedName>
    <definedName name="EN_1100_003_q">EN_1100_003!$N$3</definedName>
    <definedName name="EN_1100_004">EN_1100_004!$B$6</definedName>
    <definedName name="EN_1100_004_m">EN_1100_004!$N$12</definedName>
    <definedName name="EN_1100_004_p">EN_1100_004!$I$18</definedName>
    <definedName name="EN_1100_004_q">EN_1100_004!$N$3</definedName>
    <definedName name="EN_1100_005">EN_1100_005!$B$6</definedName>
    <definedName name="EN_1100_005_m">EN_1100_005!$N$12</definedName>
    <definedName name="EN_1100_005_p">EN_1100_005!$I$17</definedName>
    <definedName name="EN_1100_005_q">EN_1100_005!$N$3</definedName>
    <definedName name="EN_1100_006">EN_1100_006!$B$6</definedName>
    <definedName name="EN_1100_006_m">EN_1100_006!$N$12</definedName>
    <definedName name="EN_1100_006_p">EN_1100_006!$I$17</definedName>
    <definedName name="EN_1100_006_q">EN_1100_006!$N$3</definedName>
    <definedName name="EN_A0900">EN_A0900!$B$5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N_A1000_f">EN_A1000!$J$42</definedName>
    <definedName name="EN_A1000_m">EN_A1000!$N$19</definedName>
    <definedName name="EN_A1000_p">EN_A1000!$I$34</definedName>
    <definedName name="EN_A1000_pa">EN_A1000!$E$14</definedName>
    <definedName name="EN_A1100">EN_A1100!$B$5</definedName>
    <definedName name="EN_A1100_f">EN_A1100!$J$56</definedName>
    <definedName name="EN_A1100_m">EN_A1100!$N$21</definedName>
    <definedName name="EN_A1100_p">EN_A1100!$I$42</definedName>
    <definedName name="EN_A1100_pa">EN_A1100!$E$16</definedName>
    <definedName name="EN_A1100_q">EN_A1100!$N$3</definedName>
    <definedName name="EN_A1100_t">EN_A1100!$I$60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F25" i="40" l="1"/>
  <c r="E16" i="40"/>
  <c r="C15" i="40"/>
  <c r="F16" i="50"/>
  <c r="J11" i="50"/>
  <c r="I16" i="50"/>
  <c r="I17" i="50" s="1"/>
  <c r="I15" i="50"/>
  <c r="K11" i="50"/>
  <c r="E11" i="50" s="1"/>
  <c r="N2" i="48"/>
  <c r="C14" i="40" s="1"/>
  <c r="F16" i="48"/>
  <c r="J11" i="48"/>
  <c r="I16" i="48"/>
  <c r="I15" i="48"/>
  <c r="K11" i="48"/>
  <c r="E11" i="48"/>
  <c r="N5" i="48"/>
  <c r="D15" i="40"/>
  <c r="N2" i="44"/>
  <c r="C13" i="40" s="1"/>
  <c r="F16" i="44"/>
  <c r="I16" i="44" s="1"/>
  <c r="I17" i="44"/>
  <c r="I15" i="44"/>
  <c r="E15" i="40" l="1"/>
  <c r="N11" i="50"/>
  <c r="N12" i="50" s="1"/>
  <c r="N2" i="50" s="1"/>
  <c r="N5" i="50" s="1"/>
  <c r="I17" i="48"/>
  <c r="N11" i="48"/>
  <c r="N12" i="48" s="1"/>
  <c r="K11" i="44" l="1"/>
  <c r="J11" i="44"/>
  <c r="E11" i="44"/>
  <c r="I17" i="43"/>
  <c r="I16" i="43"/>
  <c r="I15" i="43"/>
  <c r="I18" i="43" s="1"/>
  <c r="J11" i="43"/>
  <c r="N11" i="43" s="1"/>
  <c r="N12" i="43" s="1"/>
  <c r="E11" i="43"/>
  <c r="C11" i="40"/>
  <c r="I19" i="42"/>
  <c r="N2" i="42"/>
  <c r="F16" i="42"/>
  <c r="F18" i="41"/>
  <c r="I18" i="41" s="1"/>
  <c r="I18" i="42"/>
  <c r="I17" i="42"/>
  <c r="I16" i="42"/>
  <c r="I15" i="42"/>
  <c r="F16" i="41"/>
  <c r="I16" i="41" s="1"/>
  <c r="J11" i="42"/>
  <c r="N11" i="42" s="1"/>
  <c r="I17" i="41"/>
  <c r="I20" i="41"/>
  <c r="I19" i="41"/>
  <c r="I15" i="41"/>
  <c r="J11" i="41"/>
  <c r="E11" i="41" s="1"/>
  <c r="I59" i="40"/>
  <c r="I60" i="40" s="1"/>
  <c r="N11" i="44" l="1"/>
  <c r="N2" i="43"/>
  <c r="N5" i="44"/>
  <c r="N12" i="44"/>
  <c r="I18" i="44"/>
  <c r="E11" i="42"/>
  <c r="N12" i="42"/>
  <c r="N11" i="41"/>
  <c r="N12" i="41" s="1"/>
  <c r="I21" i="41"/>
  <c r="D51" i="40"/>
  <c r="J51" i="40" s="1"/>
  <c r="D52" i="40"/>
  <c r="J52" i="40" s="1"/>
  <c r="D49" i="40"/>
  <c r="J49" i="40" s="1"/>
  <c r="D46" i="40"/>
  <c r="J46" i="40" s="1"/>
  <c r="J55" i="40"/>
  <c r="D54" i="40"/>
  <c r="J54" i="40" s="1"/>
  <c r="J53" i="40"/>
  <c r="J50" i="40"/>
  <c r="D48" i="40"/>
  <c r="J48" i="40" s="1"/>
  <c r="J47" i="40"/>
  <c r="D45" i="40"/>
  <c r="J45" i="40" s="1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E20" i="40"/>
  <c r="N20" i="40" s="1"/>
  <c r="N25" i="1"/>
  <c r="N24" i="1"/>
  <c r="E24" i="1"/>
  <c r="N19" i="40"/>
  <c r="D14" i="40"/>
  <c r="D13" i="40"/>
  <c r="D12" i="40"/>
  <c r="D11" i="40"/>
  <c r="D10" i="40"/>
  <c r="E14" i="40" l="1"/>
  <c r="N5" i="43"/>
  <c r="C12" i="40"/>
  <c r="E12" i="40" s="1"/>
  <c r="N5" i="42"/>
  <c r="N2" i="41"/>
  <c r="I42" i="40"/>
  <c r="N2" i="40" s="1"/>
  <c r="J56" i="40"/>
  <c r="E11" i="40"/>
  <c r="E13" i="40"/>
  <c r="N5" i="41" l="1"/>
  <c r="C10" i="40"/>
  <c r="E10" i="40" l="1"/>
  <c r="E14" i="29"/>
  <c r="N2" i="29"/>
  <c r="N2" i="33"/>
  <c r="C13" i="29" s="1"/>
  <c r="N2" i="34"/>
  <c r="C12" i="29" s="1"/>
  <c r="N2" i="32"/>
  <c r="C11" i="29" s="1"/>
  <c r="N21" i="40" l="1"/>
  <c r="F20" i="33"/>
  <c r="F18" i="33"/>
  <c r="F16" i="33"/>
  <c r="F20" i="34"/>
  <c r="F18" i="34"/>
  <c r="F16" i="34"/>
  <c r="N5" i="40" l="1"/>
  <c r="I18" i="33"/>
  <c r="I20" i="33"/>
  <c r="I19" i="33"/>
  <c r="I17" i="33"/>
  <c r="I18" i="34"/>
  <c r="I19" i="34"/>
  <c r="I15" i="33"/>
  <c r="J11" i="33"/>
  <c r="N11" i="33" s="1"/>
  <c r="N12" i="33" s="1"/>
  <c r="N5" i="33"/>
  <c r="I20" i="34"/>
  <c r="I17" i="34"/>
  <c r="I15" i="34"/>
  <c r="J11" i="34"/>
  <c r="N11" i="34" s="1"/>
  <c r="N12" i="34" s="1"/>
  <c r="I22" i="32"/>
  <c r="I21" i="32"/>
  <c r="D13" i="29"/>
  <c r="D12" i="29"/>
  <c r="D11" i="29"/>
  <c r="I20" i="32"/>
  <c r="I19" i="32"/>
  <c r="I18" i="32"/>
  <c r="I17" i="32"/>
  <c r="I16" i="32"/>
  <c r="I15" i="32"/>
  <c r="J11" i="32"/>
  <c r="N11" i="32" s="1"/>
  <c r="N12" i="32" s="1"/>
  <c r="I20" i="30"/>
  <c r="I21" i="30"/>
  <c r="I22" i="30" s="1"/>
  <c r="I17" i="30"/>
  <c r="I18" i="30"/>
  <c r="I19" i="30"/>
  <c r="I16" i="34" l="1"/>
  <c r="I21" i="34" s="1"/>
  <c r="E11" i="33"/>
  <c r="I16" i="33"/>
  <c r="N5" i="34"/>
  <c r="N5" i="32"/>
  <c r="E11" i="34"/>
  <c r="I23" i="32"/>
  <c r="E11" i="32"/>
  <c r="I21" i="33" l="1"/>
  <c r="J42" i="29" l="1"/>
  <c r="N19" i="29"/>
  <c r="E13" i="29"/>
  <c r="D10" i="29"/>
  <c r="I16" i="30"/>
  <c r="J11" i="30"/>
  <c r="N11" i="30" s="1"/>
  <c r="E11" i="30"/>
  <c r="J41" i="29"/>
  <c r="D40" i="29"/>
  <c r="J40" i="29" s="1"/>
  <c r="E39" i="29"/>
  <c r="D39" i="29" s="1"/>
  <c r="J39" i="29" s="1"/>
  <c r="E38" i="29"/>
  <c r="D38" i="29" s="1"/>
  <c r="J38" i="29" s="1"/>
  <c r="D37" i="29"/>
  <c r="J37" i="29" s="1"/>
  <c r="I33" i="29"/>
  <c r="I32" i="29"/>
  <c r="I31" i="29"/>
  <c r="I30" i="29"/>
  <c r="I29" i="29"/>
  <c r="I28" i="29"/>
  <c r="I27" i="29"/>
  <c r="I26" i="29"/>
  <c r="I25" i="29"/>
  <c r="I24" i="29"/>
  <c r="I23" i="29"/>
  <c r="I22" i="29"/>
  <c r="N18" i="29"/>
  <c r="N17" i="29"/>
  <c r="N5" i="29"/>
  <c r="E12" i="29" l="1"/>
  <c r="E11" i="29"/>
  <c r="N13" i="30"/>
  <c r="N2" i="30" s="1"/>
  <c r="I34" i="29"/>
  <c r="N5" i="30" l="1"/>
  <c r="C10" i="29"/>
  <c r="E10" i="29" s="1"/>
  <c r="D18" i="1"/>
  <c r="D17" i="1"/>
  <c r="D16" i="1"/>
  <c r="D15" i="1"/>
  <c r="D14" i="1"/>
  <c r="D13" i="1"/>
  <c r="D12" i="1"/>
  <c r="D11" i="1"/>
  <c r="D10" i="1"/>
  <c r="C18" i="1"/>
  <c r="C17" i="1"/>
  <c r="C14" i="1"/>
  <c r="C13" i="1"/>
  <c r="C12" i="1"/>
  <c r="C11" i="1"/>
  <c r="J11" i="20"/>
  <c r="I17" i="20" l="1"/>
  <c r="H16" i="20"/>
  <c r="I16" i="20" s="1"/>
  <c r="K11" i="20"/>
  <c r="E11" i="20"/>
  <c r="H16" i="19"/>
  <c r="J11" i="19"/>
  <c r="E11" i="19" s="1"/>
  <c r="I17" i="19"/>
  <c r="I16" i="19"/>
  <c r="K11" i="19"/>
  <c r="J11" i="17"/>
  <c r="I16" i="17"/>
  <c r="H15" i="17"/>
  <c r="I15" i="17" s="1"/>
  <c r="K11" i="17"/>
  <c r="E11" i="17" s="1"/>
  <c r="I16" i="16"/>
  <c r="H15" i="16"/>
  <c r="I15" i="16" s="1"/>
  <c r="J11" i="16"/>
  <c r="K11" i="16"/>
  <c r="N11" i="16" s="1"/>
  <c r="N12" i="16" s="1"/>
  <c r="N2" i="15"/>
  <c r="N2" i="14"/>
  <c r="N2" i="13"/>
  <c r="N5" i="13" s="1"/>
  <c r="N2" i="2"/>
  <c r="J11" i="15"/>
  <c r="E11" i="15" s="1"/>
  <c r="K11" i="15"/>
  <c r="I17" i="15"/>
  <c r="I16" i="15"/>
  <c r="N11" i="15"/>
  <c r="N13" i="15" s="1"/>
  <c r="N5" i="15"/>
  <c r="I17" i="14"/>
  <c r="I18" i="14" s="1"/>
  <c r="I16" i="14"/>
  <c r="J11" i="14"/>
  <c r="P7" i="14"/>
  <c r="K11" i="14"/>
  <c r="N11" i="14"/>
  <c r="N13" i="14" s="1"/>
  <c r="E11" i="14"/>
  <c r="N5" i="14"/>
  <c r="J11" i="13"/>
  <c r="I17" i="13"/>
  <c r="I16" i="13"/>
  <c r="I18" i="13" s="1"/>
  <c r="N2" i="10"/>
  <c r="N5" i="10" s="1"/>
  <c r="I17" i="10"/>
  <c r="I16" i="10"/>
  <c r="J11" i="10"/>
  <c r="D22" i="1"/>
  <c r="N22" i="1" s="1"/>
  <c r="D55" i="1"/>
  <c r="J55" i="1" s="1"/>
  <c r="D54" i="1"/>
  <c r="J54" i="1" s="1"/>
  <c r="D53" i="1"/>
  <c r="J53" i="1" s="1"/>
  <c r="D52" i="1"/>
  <c r="J52" i="1" s="1"/>
  <c r="J51" i="1"/>
  <c r="D50" i="1"/>
  <c r="J50" i="1" s="1"/>
  <c r="D49" i="1"/>
  <c r="J49" i="1" s="1"/>
  <c r="D48" i="1"/>
  <c r="J48" i="1" s="1"/>
  <c r="D47" i="1"/>
  <c r="J47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E17" i="1"/>
  <c r="E14" i="1"/>
  <c r="J39" i="2"/>
  <c r="D38" i="2"/>
  <c r="J38" i="2" s="1"/>
  <c r="J37" i="2"/>
  <c r="D36" i="2"/>
  <c r="J36" i="2" s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J11" i="2"/>
  <c r="N11" i="2" s="1"/>
  <c r="N14" i="2"/>
  <c r="J13" i="2"/>
  <c r="N13" i="2" s="1"/>
  <c r="J12" i="2"/>
  <c r="N12" i="2" s="1"/>
  <c r="E11" i="2"/>
  <c r="D23" i="1"/>
  <c r="N23" i="1" s="1"/>
  <c r="N26" i="1"/>
  <c r="E11" i="16" l="1"/>
  <c r="I44" i="1"/>
  <c r="I18" i="20"/>
  <c r="N11" i="20"/>
  <c r="N13" i="20" s="1"/>
  <c r="I18" i="19"/>
  <c r="N11" i="19"/>
  <c r="N13" i="19" s="1"/>
  <c r="I17" i="17"/>
  <c r="N11" i="17"/>
  <c r="N12" i="17" s="1"/>
  <c r="N2" i="17" s="1"/>
  <c r="I17" i="16"/>
  <c r="N2" i="16" s="1"/>
  <c r="I18" i="15"/>
  <c r="E11" i="13"/>
  <c r="N11" i="13" s="1"/>
  <c r="N13" i="13" s="1"/>
  <c r="E13" i="1"/>
  <c r="E11" i="1"/>
  <c r="E12" i="1"/>
  <c r="C10" i="1"/>
  <c r="E10" i="1" s="1"/>
  <c r="E18" i="1"/>
  <c r="I18" i="10"/>
  <c r="E11" i="10"/>
  <c r="N11" i="10" s="1"/>
  <c r="N13" i="10" s="1"/>
  <c r="I33" i="2"/>
  <c r="E13" i="2"/>
  <c r="E12" i="2"/>
  <c r="N5" i="17" l="1"/>
  <c r="C16" i="1"/>
  <c r="E16" i="1" s="1"/>
  <c r="N5" i="16"/>
  <c r="C15" i="1"/>
  <c r="E15" i="1" s="1"/>
  <c r="N2" i="20"/>
  <c r="N5" i="20" s="1"/>
  <c r="N2" i="19"/>
  <c r="N5" i="19" s="1"/>
  <c r="E19" i="1" l="1"/>
  <c r="C7" i="8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F8" i="8"/>
  <c r="F7" i="8"/>
  <c r="I8" i="8"/>
  <c r="B18" i="8" l="1"/>
  <c r="E8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N16" i="2"/>
  <c r="I59" i="1"/>
  <c r="J40" i="2" l="1"/>
  <c r="L8" i="8" s="1"/>
  <c r="J8" i="8"/>
  <c r="J56" i="1"/>
  <c r="L7" i="8" s="1"/>
  <c r="K7" i="8"/>
  <c r="I60" i="1"/>
  <c r="M7" i="8" s="1"/>
  <c r="M18" i="8" s="1"/>
  <c r="K8" i="8"/>
  <c r="N27" i="1"/>
  <c r="J7" i="8" l="1"/>
  <c r="H7" i="8" s="1"/>
  <c r="N2" i="1"/>
  <c r="L18" i="8"/>
  <c r="N5" i="2"/>
  <c r="K18" i="8"/>
  <c r="N7" i="8"/>
  <c r="H8" i="8"/>
  <c r="N8" i="8" s="1"/>
  <c r="J18" i="8"/>
  <c r="O1" i="8"/>
  <c r="N18" i="8" l="1"/>
  <c r="N5" i="1" l="1"/>
</calcChain>
</file>

<file path=xl/sharedStrings.xml><?xml version="1.0" encoding="utf-8"?>
<sst xmlns="http://schemas.openxmlformats.org/spreadsheetml/2006/main" count="1906" uniqueCount="376">
  <si>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</si>
  <si>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</si>
  <si>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</si>
  <si>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</si>
  <si>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</si>
  <si>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</si>
  <si>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</si>
  <si>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</si>
  <si>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</si>
  <si>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</si>
  <si>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</si>
  <si>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</si>
  <si>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</si>
  <si>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</si>
  <si>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</si>
  <si>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</si>
  <si>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</si>
  <si>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</si>
  <si>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</si>
  <si>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</si>
  <si>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</si>
  <si>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</si>
  <si>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</si>
  <si>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</si>
  <si>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</si>
  <si>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</si>
  <si>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</si>
  <si>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</si>
  <si>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</si>
  <si>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</si>
  <si>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</si>
  <si>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</si>
  <si>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</si>
  <si>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</si>
  <si>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</si>
  <si>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</si>
  <si>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</si>
  <si>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</si>
  <si>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</si>
  <si>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</si>
  <si>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</si>
  <si>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</si>
  <si>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</si>
  <si>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</si>
  <si>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</si>
  <si>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</si>
  <si>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</si>
  <si>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</si>
  <si>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</si>
  <si>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</si>
  <si>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</si>
  <si>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</si>
  <si>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</si>
  <si>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</si>
  <si>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</si>
  <si>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</si>
  <si>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</si>
  <si>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</si>
  <si>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</si>
  <si>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</si>
  <si>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</si>
  <si>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</si>
  <si>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</si>
  <si>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</si>
  <si>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</si>
  <si>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</si>
  <si>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</si>
  <si>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</si>
  <si>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</si>
  <si>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</si>
  <si>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</si>
  <si>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</si>
  <si>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</si>
  <si>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</si>
  <si>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</si>
  <si>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</si>
  <si>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</si>
  <si>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</si>
  <si>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</si>
  <si>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</si>
  <si>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</si>
  <si>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</si>
  <si>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</si>
  <si>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</si>
  <si>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</si>
  <si>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</si>
  <si>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</si>
  <si>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</si>
  <si>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</si>
  <si>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</si>
  <si>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</si>
  <si>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</si>
  <si>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</si>
  <si>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</si>
  <si>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</si>
  <si>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</si>
  <si>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</si>
  <si>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</si>
  <si>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</si>
  <si>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</si>
  <si>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</si>
  <si>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</si>
  <si>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</si>
  <si>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</si>
  <si>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</si>
  <si>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</si>
  <si>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</si>
  <si>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</si>
  <si>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</si>
  <si>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</si>
  <si>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</si>
  <si>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</si>
  <si>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</si>
  <si>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</si>
  <si>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</si>
  <si>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</si>
  <si>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</si>
  <si>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</si>
  <si>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</si>
  <si>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</si>
  <si>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</si>
  <si>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</si>
  <si>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</si>
  <si>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</si>
  <si>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</si>
  <si>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</si>
  <si>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</si>
  <si>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</si>
  <si>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</si>
  <si>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</si>
  <si>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</si>
  <si>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</si>
  <si>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</si>
  <si>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Consulter le tutoriel disponible sur GitHub, dans Vulcanix-v1.0/Cost Report, pour plus d'informations sur cette étape.</t>
  </si>
  <si>
    <t>Engine &amp; Drivetrain</t>
  </si>
  <si>
    <t>Differential</t>
  </si>
  <si>
    <t>Differential housing and mounting assembly</t>
  </si>
  <si>
    <t>Housing</t>
  </si>
  <si>
    <t>Right Eccentric</t>
  </si>
  <si>
    <t>Left Eccentric</t>
  </si>
  <si>
    <t>Differential Assembly</t>
  </si>
  <si>
    <t>Right differential bearing</t>
  </si>
  <si>
    <t>Left differential bearing</t>
  </si>
  <si>
    <t>Paint</t>
  </si>
  <si>
    <t>Paint the tabs</t>
  </si>
  <si>
    <t>m^2</t>
  </si>
  <si>
    <t>Fluid, Oil</t>
  </si>
  <si>
    <t>Differential oil</t>
  </si>
  <si>
    <t>litre</t>
  </si>
  <si>
    <t>Differential Internals, Limited Slip, Salisbury or Powerflow or Clutch Style</t>
  </si>
  <si>
    <t>Bearing, Ball, Deep groove</t>
  </si>
  <si>
    <t>Paint the brackets</t>
  </si>
  <si>
    <t>Left Jacking Bar bracket</t>
  </si>
  <si>
    <t>Bought, cost as made</t>
  </si>
  <si>
    <t>Aluminium, Premium</t>
  </si>
  <si>
    <t>kg</t>
  </si>
  <si>
    <t>Round 102mm diam.</t>
  </si>
  <si>
    <t>Seal, O-Ring, Elastomer</t>
  </si>
  <si>
    <t>EN_0900_001</t>
  </si>
  <si>
    <t>EN_A0900</t>
  </si>
  <si>
    <t>Setup and removal</t>
  </si>
  <si>
    <t>Machining</t>
  </si>
  <si>
    <t>cm^3</t>
  </si>
  <si>
    <t>Material-Aluminium</t>
  </si>
  <si>
    <t>Tapping holes</t>
  </si>
  <si>
    <t>Tapping lateral holes</t>
  </si>
  <si>
    <t>hole</t>
  </si>
  <si>
    <t>Tapping central holes</t>
  </si>
  <si>
    <t>Drilled holes &lt; 25.4 mm dia.</t>
  </si>
  <si>
    <t>Hole for the diff. Housing</t>
  </si>
  <si>
    <t>Broach, External</t>
  </si>
  <si>
    <t>Broach the housing cover</t>
  </si>
  <si>
    <t>Hole for the diff. Cover</t>
  </si>
  <si>
    <t>Assemble, 1 kg, Line-on-Line</t>
  </si>
  <si>
    <t>Assemble the three parts</t>
  </si>
  <si>
    <t>Ratchet &lt;= 6.35 mm</t>
  </si>
  <si>
    <t>Ratchet &lt;= 25.4 mm</t>
  </si>
  <si>
    <t>Bolt the drain</t>
  </si>
  <si>
    <t>Bolt, Grade 12.9</t>
  </si>
  <si>
    <t>Assembly of the three parts</t>
  </si>
  <si>
    <t>Washer, Grade 12.9</t>
  </si>
  <si>
    <t>Bolt, Grade 10.9 (SAE 8)</t>
  </si>
  <si>
    <t>Washer, Crush</t>
  </si>
  <si>
    <t>Weld</t>
  </si>
  <si>
    <t>Weld tabs to frame</t>
  </si>
  <si>
    <t>Aerosol apply</t>
  </si>
  <si>
    <t>Assemble, 3 kg, Interference</t>
  </si>
  <si>
    <t>Assemble the housing</t>
  </si>
  <si>
    <t>Assemble, 1 kg, Interference</t>
  </si>
  <si>
    <t>Assemble the right bearing and eccentric</t>
  </si>
  <si>
    <t>Assemble the left bearing and eccentric</t>
  </si>
  <si>
    <t>Assemble the bearing carriers and the bearings</t>
  </si>
  <si>
    <t>Ratchet &lt;= 6,35mm</t>
  </si>
  <si>
    <t>Bolt the bearing carriers to eccentric</t>
  </si>
  <si>
    <t>Reaction Tool &lt;=6,35mm</t>
  </si>
  <si>
    <t>Assemble, 3kg, Line-on-Line</t>
  </si>
  <si>
    <t>Put the bearing carriers and tabs in place</t>
  </si>
  <si>
    <t>Assemble, 1kg, Loose</t>
  </si>
  <si>
    <t>Put two washers on bolt</t>
  </si>
  <si>
    <t>Ratchet &lt;=25,4mm</t>
  </si>
  <si>
    <t>Bolt the left bearing carrier to tabs</t>
  </si>
  <si>
    <t>Reaction Tool &lt;=25,4mm</t>
  </si>
  <si>
    <t>Bolt the right bearing carrier to tabs</t>
  </si>
  <si>
    <t>Bolt, Grade 8,8 (SAE 5)</t>
  </si>
  <si>
    <t>Assemble left bearing carrier and tabs</t>
  </si>
  <si>
    <t>Nut, Grade 8,8 (SAE 5)</t>
  </si>
  <si>
    <t>Blocking left bearing carrier and left eccentric</t>
  </si>
  <si>
    <t>Washer, Grade 8,8 (SAE 5)</t>
  </si>
  <si>
    <t>Blocking eccentric</t>
  </si>
  <si>
    <t>Assemble right bearing carrier and tabs</t>
  </si>
  <si>
    <t>Blocking right bearing carrier and right eccentric</t>
  </si>
  <si>
    <t>EN_0900_002</t>
  </si>
  <si>
    <t>Left Eccentric Carrier</t>
  </si>
  <si>
    <t>Right Eccentric Carrier</t>
  </si>
  <si>
    <t>Upper Eccentric Carrier bracket</t>
  </si>
  <si>
    <t>Lower Eccentric Carrier bracket</t>
  </si>
  <si>
    <t>Plastic, Polyoxymethylene (POM)</t>
  </si>
  <si>
    <t>175mm diam</t>
  </si>
  <si>
    <t>Setup for machining</t>
  </si>
  <si>
    <t>Holes</t>
  </si>
  <si>
    <t>Material - Plastic</t>
  </si>
  <si>
    <t>EN_0900_003</t>
  </si>
  <si>
    <t>165mm diam</t>
  </si>
  <si>
    <t>EN_0900_004</t>
  </si>
  <si>
    <t>Left Eccentric carrier</t>
  </si>
  <si>
    <t>Material for the left bearing carrier</t>
  </si>
  <si>
    <t>Rectangular area 374x130 mm</t>
  </si>
  <si>
    <t>Setup and removal of the machining of the right bearing carrier</t>
  </si>
  <si>
    <t>Shaping of the differential bearing carrier</t>
  </si>
  <si>
    <t>Material - Aluminium</t>
  </si>
  <si>
    <t>Right Eccentric carrier</t>
  </si>
  <si>
    <t>EN_0900_005</t>
  </si>
  <si>
    <t>Rectangular area 374x120 mm</t>
  </si>
  <si>
    <t>EN_0900_006</t>
  </si>
  <si>
    <t>Steel, Mild</t>
  </si>
  <si>
    <t>Material for the bracket</t>
  </si>
  <si>
    <t>Rectangular area 46x34 mm</t>
  </si>
  <si>
    <t>8 parts cut from a single machine setup</t>
  </si>
  <si>
    <t>Material, Steel</t>
  </si>
  <si>
    <t>Shaping of the brackets and holes</t>
  </si>
  <si>
    <t>EN_0900_007</t>
  </si>
  <si>
    <t>Rectangular area 46x29 mm</t>
  </si>
  <si>
    <t>EN_0900_008</t>
  </si>
  <si>
    <t>Rectangular area 60x47 mm</t>
  </si>
  <si>
    <t>2 parts cut from a single machine setup</t>
  </si>
  <si>
    <t>Right Jacking Bar bracket</t>
  </si>
  <si>
    <t>EN_0900_009</t>
  </si>
  <si>
    <t>Rectangular area 61x47 mm</t>
  </si>
  <si>
    <t>EN_A1000</t>
  </si>
  <si>
    <t>Driveshaft</t>
  </si>
  <si>
    <t>Inboard tripod housing</t>
  </si>
  <si>
    <t>Outboard tripod housing</t>
  </si>
  <si>
    <t>Right axle</t>
  </si>
  <si>
    <t>Left axle</t>
  </si>
  <si>
    <t>Constant Velocity Joint, Tripod</t>
  </si>
  <si>
    <t>Tripods</t>
  </si>
  <si>
    <t>Constant Velocity Joint, Boot</t>
  </si>
  <si>
    <t>Boots for driveshatfts</t>
  </si>
  <si>
    <t>Assemble a tripod housing and the differential</t>
  </si>
  <si>
    <t>Wrench &lt;= 25,4 mm</t>
  </si>
  <si>
    <t>Fasten the differential and the tripod housing</t>
  </si>
  <si>
    <t>Assemble a boot and an axle</t>
  </si>
  <si>
    <t>Assemble an axle and a snap ring</t>
  </si>
  <si>
    <t>Assemble a tripod and an axle</t>
  </si>
  <si>
    <t>Assemble, 3 kg, Loose</t>
  </si>
  <si>
    <t>Assemble an axle and a tripod housing</t>
  </si>
  <si>
    <t>Assemble a boot and a tripod housing</t>
  </si>
  <si>
    <t>Assemble a tripod housing and a hub</t>
  </si>
  <si>
    <t>Ratchet &lt;= 25,4 mm</t>
  </si>
  <si>
    <t>Bolt tripod housing to hub</t>
  </si>
  <si>
    <t>Assemble a hose clamp and a tripod housing</t>
  </si>
  <si>
    <t>Assemble a hose clamp and an axle</t>
  </si>
  <si>
    <t>Retaining Ring, External</t>
  </si>
  <si>
    <t>Snap ring for retaining the tripods</t>
  </si>
  <si>
    <t>Hose Clamp, Worm Drive</t>
  </si>
  <si>
    <t>Fasten the boot</t>
  </si>
  <si>
    <t>Assemble the tripod housing to the differential</t>
  </si>
  <si>
    <t>Nut, Grade 8.8 (SAE 5)</t>
  </si>
  <si>
    <t>Fasten the tripod housing and the hub</t>
  </si>
  <si>
    <t>EN_1000_001</t>
  </si>
  <si>
    <t>Steel, Alloy</t>
  </si>
  <si>
    <t>Material for the housing</t>
  </si>
  <si>
    <t>Round 65.5 mm diam.</t>
  </si>
  <si>
    <t>Setup and removal of the machining of the tripod housing</t>
  </si>
  <si>
    <t>Material-Steel</t>
  </si>
  <si>
    <t>Machining Setup, Change</t>
  </si>
  <si>
    <t>Broach of the tripod housing</t>
  </si>
  <si>
    <t>Machining the ext shape of the tripod housing (turning)</t>
  </si>
  <si>
    <t>Material - Steel</t>
  </si>
  <si>
    <t>Machining the int shape of the tripod housing (milling)</t>
  </si>
  <si>
    <t>Changing of the machining of the tripod housing</t>
  </si>
  <si>
    <t>Changing of the broach of the tripod housing</t>
  </si>
  <si>
    <t>EN_1000_002</t>
  </si>
  <si>
    <t>EN_1000_003</t>
  </si>
  <si>
    <t>Left Axle</t>
  </si>
  <si>
    <t>Right Axle</t>
  </si>
  <si>
    <t>EN_1000_004</t>
  </si>
  <si>
    <t>Setup and removal of the threading of the tripod housing</t>
  </si>
  <si>
    <t>Threading, External (machining)</t>
  </si>
  <si>
    <t>Threading of the tripod housing</t>
  </si>
  <si>
    <t>Round 22,1 mm diam.</t>
  </si>
  <si>
    <t>Material for driveshaft</t>
  </si>
  <si>
    <t>Setup and removal of the machining of the axle</t>
  </si>
  <si>
    <t>Setup and removal of the broach of the axle</t>
  </si>
  <si>
    <t>Broach of the axle</t>
  </si>
  <si>
    <t>Cut of the edge of the axle</t>
  </si>
  <si>
    <t>Shaping of the int of the axle</t>
  </si>
  <si>
    <t>Drawing of the cut</t>
  </si>
  <si>
    <t>EN_A1100</t>
  </si>
  <si>
    <t>Front sprocket</t>
  </si>
  <si>
    <t>rear sprocket</t>
  </si>
  <si>
    <t>Rear sprocket adaptor</t>
  </si>
  <si>
    <t>Chain shield</t>
  </si>
  <si>
    <t>Chain</t>
  </si>
  <si>
    <t>Chain shield and Bracket painting</t>
  </si>
  <si>
    <t>Weld tab to frame</t>
  </si>
  <si>
    <t>Tabs and shield painting</t>
  </si>
  <si>
    <t>Put the rear sprocket adapter on the differential</t>
  </si>
  <si>
    <t>Put the retaining ring in the groove</t>
  </si>
  <si>
    <t>Assemble, 1 kg, Loose</t>
  </si>
  <si>
    <t>Place bolts and washers</t>
  </si>
  <si>
    <t>Bolt rear sprocket to adapter</t>
  </si>
  <si>
    <t>Reaction Tool &lt;= 25.4 mm</t>
  </si>
  <si>
    <t>Put the front sprocket in place</t>
  </si>
  <si>
    <t>Bolt front sprocket to engine</t>
  </si>
  <si>
    <t>Put chain in place</t>
  </si>
  <si>
    <t>Adjustment - Misc.</t>
  </si>
  <si>
    <t>Chain tension</t>
  </si>
  <si>
    <t>Bolt upper chain shield to tab</t>
  </si>
  <si>
    <t>Bolt lower chain shield to tab</t>
  </si>
  <si>
    <t>Put the centering pin in the rear sprocket adaptor holes</t>
  </si>
  <si>
    <t>Assemble the rear sprocket with the adapter</t>
  </si>
  <si>
    <t>Assemble the chain shield with the tab</t>
  </si>
  <si>
    <t>Assemble the front sprocket with the engine</t>
  </si>
  <si>
    <t>Retaining ring, External</t>
  </si>
  <si>
    <t>Hold the rear sprocket in place on the differential</t>
  </si>
  <si>
    <t>Chain Set</t>
  </si>
  <si>
    <t>EN_1100_001</t>
  </si>
  <si>
    <t>Material for front sprocket</t>
  </si>
  <si>
    <t>Round 81mm diam.</t>
  </si>
  <si>
    <t>Setup and removal of the machining of the sprocket</t>
  </si>
  <si>
    <t>Shaping of the sprocket</t>
  </si>
  <si>
    <t>Material-steel</t>
  </si>
  <si>
    <t>Gear Shaping (hobbing)</t>
  </si>
  <si>
    <t>Setup and removal of the broach of the sprocket</t>
  </si>
  <si>
    <t>Broach, Internal</t>
  </si>
  <si>
    <t>Broach of the sprocket</t>
  </si>
  <si>
    <t>Shaping of the sprocket (turning)</t>
  </si>
  <si>
    <t>Setup and removal of the hobbing of the sprocket</t>
  </si>
  <si>
    <t>Hobbing of the sprocket</t>
  </si>
  <si>
    <t>EN_1100_002</t>
  </si>
  <si>
    <t>Rear sprocket</t>
  </si>
  <si>
    <t>Material for the rear sprocket</t>
  </si>
  <si>
    <t>Round 210mm diam.</t>
  </si>
  <si>
    <t>Setup and removal for laser cut of the sprocket</t>
  </si>
  <si>
    <t>Laser cut</t>
  </si>
  <si>
    <t>EN_1100_003</t>
  </si>
  <si>
    <t>Material for the adapter</t>
  </si>
  <si>
    <t>Round 190mm diam.</t>
  </si>
  <si>
    <t>Setup and removal of the machining of the adapter</t>
  </si>
  <si>
    <t>Shaping of the adapter</t>
  </si>
  <si>
    <t>Broach of the adapter</t>
  </si>
  <si>
    <t>EN_1100_004</t>
  </si>
  <si>
    <t>Material for the upper chain shield</t>
  </si>
  <si>
    <t>Rectangular area 101 x 930 mm</t>
  </si>
  <si>
    <t>Setup and removal of the machining of the shield</t>
  </si>
  <si>
    <t>Shaping of the chain shield</t>
  </si>
  <si>
    <t>Sheet metal bends</t>
  </si>
  <si>
    <t>Bend to shape</t>
  </si>
  <si>
    <t>bend</t>
  </si>
  <si>
    <t>Upper chainshield bracket</t>
  </si>
  <si>
    <t>EN_1100_005</t>
  </si>
  <si>
    <t>Rectangular area 30,6x25 mm</t>
  </si>
  <si>
    <t>EN_1100_006</t>
  </si>
  <si>
    <t>Rectangular area 32,3x23 mm</t>
  </si>
  <si>
    <t>Lower chainshield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</si>
</sst>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_-* #,##0.000\ _€_-;\-* #,##0.000\ _€_-;_-* &quot;-&quot;???\ _€_-;_-@_-"/>
    <numFmt numFmtId="175" formatCode="0.0000E+00"/>
    <numFmt numFmtId="176" formatCode="&quot;$&quot;#,##0.00"/>
    <numFmt numFmtId="177" formatCode="0.0"/>
    <numFmt numFmtId="178" formatCode="0.00000E+00"/>
    <numFmt numFmtId="179" formatCode="_-* #,##0.000_-;\-* #,##0.000_-;_-* &quot;-&quot;??_-;_-@_-"/>
    <numFmt numFmtId="183" formatCode="_-* #,##0.000\ _€_-;\-* #,##0.000\ _€_-;_-* &quot;-&quot;??\ _€_-;_-@_-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6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26" fillId="0" borderId="0"/>
    <xf numFmtId="0" fontId="5" fillId="0" borderId="0"/>
    <xf numFmtId="168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1">
      <alignment vertical="center" wrapText="1"/>
    </xf>
  </cellStyleXfs>
  <cellXfs count="378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69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0" fillId="0" borderId="0" xfId="0" applyFo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3" fillId="0" borderId="4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69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19" fillId="0" borderId="0" xfId="0" applyFont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0" fontId="4" fillId="0" borderId="16" xfId="7" applyNumberFormat="1" applyFont="1" applyBorder="1" applyAlignment="1" applyProtection="1"/>
    <xf numFmtId="170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0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8" borderId="3" xfId="1" applyFont="1" applyFill="1" applyBorder="1" applyAlignment="1" applyProtection="1">
      <alignment horizontal="center"/>
      <protection locked="0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4" fillId="0" borderId="3" xfId="0" applyFont="1" applyFill="1" applyBorder="1"/>
    <xf numFmtId="168" fontId="24" fillId="0" borderId="3" xfId="3" applyFont="1" applyFill="1" applyBorder="1"/>
    <xf numFmtId="0" fontId="24" fillId="0" borderId="3" xfId="0" applyNumberFormat="1" applyFont="1" applyFill="1" applyBorder="1"/>
    <xf numFmtId="170" fontId="24" fillId="0" borderId="3" xfId="3" applyNumberFormat="1" applyFont="1" applyFill="1" applyBorder="1"/>
    <xf numFmtId="0" fontId="3" fillId="9" borderId="29" xfId="0" applyFont="1" applyFill="1" applyBorder="1"/>
    <xf numFmtId="169" fontId="24" fillId="0" borderId="3" xfId="9" applyFont="1" applyFill="1" applyBorder="1"/>
    <xf numFmtId="11" fontId="24" fillId="0" borderId="3" xfId="0" applyNumberFormat="1" applyFont="1" applyFill="1" applyBorder="1"/>
    <xf numFmtId="172" fontId="24" fillId="0" borderId="3" xfId="9" applyNumberFormat="1" applyFont="1" applyFill="1" applyBorder="1"/>
    <xf numFmtId="0" fontId="24" fillId="0" borderId="3" xfId="9" applyNumberFormat="1" applyFont="1" applyFill="1" applyBorder="1"/>
    <xf numFmtId="168" fontId="24" fillId="0" borderId="3" xfId="3" applyNumberFormat="1" applyFont="1" applyFill="1" applyBorder="1"/>
    <xf numFmtId="2" fontId="24" fillId="0" borderId="3" xfId="3" applyNumberFormat="1" applyFont="1" applyFill="1" applyBorder="1"/>
    <xf numFmtId="11" fontId="24" fillId="0" borderId="3" xfId="9" applyNumberFormat="1" applyFont="1" applyFill="1" applyBorder="1"/>
    <xf numFmtId="0" fontId="24" fillId="0" borderId="3" xfId="0" applyFont="1" applyFill="1" applyBorder="1" applyAlignment="1" applyProtection="1">
      <alignment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4" fillId="0" borderId="21" xfId="0" applyFont="1" applyBorder="1" applyAlignment="1"/>
    <xf numFmtId="0" fontId="4" fillId="0" borderId="0" xfId="0" applyFont="1" applyBorder="1" applyAlignment="1" applyProtection="1"/>
    <xf numFmtId="0" fontId="4" fillId="0" borderId="0" xfId="0" applyFont="1" applyBorder="1" applyAlignment="1"/>
    <xf numFmtId="165" fontId="4" fillId="0" borderId="0" xfId="7" applyNumberFormat="1" applyFont="1" applyBorder="1" applyAlignment="1" applyProtection="1"/>
    <xf numFmtId="164" fontId="4" fillId="0" borderId="0" xfId="7" applyNumberFormat="1" applyFont="1" applyBorder="1" applyAlignment="1" applyProtection="1"/>
    <xf numFmtId="11" fontId="4" fillId="0" borderId="0" xfId="0" applyNumberFormat="1" applyFont="1" applyBorder="1" applyAlignment="1"/>
    <xf numFmtId="171" fontId="4" fillId="0" borderId="0" xfId="7" applyNumberFormat="1" applyFont="1" applyBorder="1" applyAlignment="1" applyProtection="1"/>
    <xf numFmtId="167" fontId="4" fillId="0" borderId="0" xfId="7" applyNumberFormat="1" applyFont="1" applyBorder="1" applyAlignment="1" applyProtection="1"/>
    <xf numFmtId="3" fontId="0" fillId="0" borderId="0" xfId="0" applyNumberFormat="1" applyBorder="1" applyAlignment="1"/>
    <xf numFmtId="165" fontId="4" fillId="0" borderId="5" xfId="7" applyNumberFormat="1" applyFont="1" applyBorder="1" applyAlignment="1" applyProtection="1"/>
    <xf numFmtId="0" fontId="25" fillId="0" borderId="5" xfId="0" applyFont="1" applyBorder="1"/>
    <xf numFmtId="0" fontId="25" fillId="0" borderId="30" xfId="0" applyFont="1" applyBorder="1"/>
    <xf numFmtId="168" fontId="25" fillId="0" borderId="30" xfId="0" applyNumberFormat="1" applyFont="1" applyBorder="1"/>
    <xf numFmtId="171" fontId="25" fillId="0" borderId="30" xfId="0" applyNumberFormat="1" applyFont="1" applyBorder="1"/>
    <xf numFmtId="169" fontId="25" fillId="0" borderId="30" xfId="0" applyNumberFormat="1" applyFont="1" applyBorder="1"/>
    <xf numFmtId="11" fontId="25" fillId="0" borderId="30" xfId="0" applyNumberFormat="1" applyFont="1" applyBorder="1"/>
    <xf numFmtId="173" fontId="25" fillId="0" borderId="30" xfId="0" applyNumberFormat="1" applyFont="1" applyBorder="1"/>
    <xf numFmtId="0" fontId="25" fillId="0" borderId="30" xfId="0" applyNumberFormat="1" applyFont="1" applyBorder="1"/>
    <xf numFmtId="2" fontId="25" fillId="0" borderId="30" xfId="0" applyNumberFormat="1" applyFont="1" applyBorder="1"/>
    <xf numFmtId="172" fontId="25" fillId="0" borderId="30" xfId="0" applyNumberFormat="1" applyFont="1" applyBorder="1"/>
    <xf numFmtId="0" fontId="25" fillId="0" borderId="3" xfId="0" applyFont="1" applyBorder="1"/>
    <xf numFmtId="170" fontId="25" fillId="0" borderId="30" xfId="0" applyNumberFormat="1" applyFont="1" applyBorder="1"/>
    <xf numFmtId="0" fontId="15" fillId="0" borderId="3" xfId="10" applyFont="1" applyFill="1" applyBorder="1" applyAlignment="1">
      <alignment wrapText="1"/>
    </xf>
    <xf numFmtId="170" fontId="25" fillId="0" borderId="3" xfId="3" applyNumberFormat="1" applyFont="1" applyBorder="1"/>
    <xf numFmtId="39" fontId="25" fillId="0" borderId="3" xfId="0" applyNumberFormat="1" applyFont="1" applyBorder="1"/>
    <xf numFmtId="37" fontId="25" fillId="0" borderId="3" xfId="0" applyNumberFormat="1" applyFont="1" applyBorder="1"/>
    <xf numFmtId="170" fontId="25" fillId="0" borderId="3" xfId="0" applyNumberFormat="1" applyFont="1" applyBorder="1"/>
    <xf numFmtId="0" fontId="27" fillId="0" borderId="0" xfId="0" applyFont="1" applyFill="1" applyBorder="1"/>
    <xf numFmtId="170" fontId="24" fillId="0" borderId="3" xfId="0" applyNumberFormat="1" applyFont="1" applyFill="1" applyBorder="1"/>
    <xf numFmtId="39" fontId="24" fillId="0" borderId="3" xfId="3" applyNumberFormat="1" applyFont="1" applyFill="1" applyBorder="1"/>
    <xf numFmtId="37" fontId="24" fillId="0" borderId="3" xfId="3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9" borderId="34" xfId="0" applyFont="1" applyFill="1" applyBorder="1"/>
    <xf numFmtId="0" fontId="0" fillId="0" borderId="35" xfId="0" applyBorder="1"/>
    <xf numFmtId="0" fontId="0" fillId="0" borderId="36" xfId="0" applyBorder="1"/>
    <xf numFmtId="0" fontId="24" fillId="0" borderId="37" xfId="0" applyFont="1" applyFill="1" applyBorder="1"/>
    <xf numFmtId="0" fontId="4" fillId="0" borderId="35" xfId="7" applyNumberFormat="1" applyFont="1" applyBorder="1" applyAlignment="1"/>
    <xf numFmtId="0" fontId="0" fillId="0" borderId="35" xfId="0" applyBorder="1" applyAlignment="1"/>
    <xf numFmtId="0" fontId="3" fillId="0" borderId="36" xfId="0" applyFont="1" applyBorder="1"/>
    <xf numFmtId="0" fontId="0" fillId="0" borderId="35" xfId="0" applyBorder="1" applyAlignment="1">
      <alignment wrapText="1"/>
    </xf>
    <xf numFmtId="0" fontId="0" fillId="0" borderId="35" xfId="0" applyFont="1" applyBorder="1"/>
    <xf numFmtId="0" fontId="4" fillId="0" borderId="34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5" fillId="0" borderId="0" xfId="0" applyFont="1" applyBorder="1" applyAlignment="1">
      <alignment horizontal="left"/>
    </xf>
    <xf numFmtId="37" fontId="24" fillId="0" borderId="3" xfId="0" applyNumberFormat="1" applyFont="1" applyFill="1" applyBorder="1"/>
    <xf numFmtId="11" fontId="0" fillId="0" borderId="0" xfId="0" applyNumberFormat="1" applyBorder="1"/>
    <xf numFmtId="175" fontId="0" fillId="0" borderId="0" xfId="0" applyNumberFormat="1" applyBorder="1"/>
    <xf numFmtId="0" fontId="3" fillId="10" borderId="34" xfId="0" applyFont="1" applyFill="1" applyBorder="1"/>
    <xf numFmtId="0" fontId="25" fillId="0" borderId="0" xfId="0" applyFont="1" applyBorder="1"/>
    <xf numFmtId="0" fontId="3" fillId="10" borderId="41" xfId="0" applyFont="1" applyFill="1" applyBorder="1"/>
    <xf numFmtId="0" fontId="3" fillId="10" borderId="42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10" borderId="46" xfId="0" applyFont="1" applyFill="1" applyBorder="1"/>
    <xf numFmtId="0" fontId="25" fillId="0" borderId="45" xfId="0" applyFont="1" applyBorder="1"/>
    <xf numFmtId="0" fontId="24" fillId="0" borderId="46" xfId="0" applyFont="1" applyFill="1" applyBorder="1" applyAlignment="1" applyProtection="1">
      <alignment wrapText="1"/>
    </xf>
    <xf numFmtId="0" fontId="25" fillId="0" borderId="46" xfId="0" applyFont="1" applyBorder="1"/>
    <xf numFmtId="0" fontId="4" fillId="0" borderId="36" xfId="0" applyFont="1" applyBorder="1" applyAlignment="1"/>
    <xf numFmtId="2" fontId="4" fillId="0" borderId="46" xfId="7" applyNumberFormat="1" applyFont="1" applyBorder="1" applyAlignment="1" applyProtection="1"/>
    <xf numFmtId="0" fontId="3" fillId="10" borderId="46" xfId="0" applyFont="1" applyFill="1" applyBorder="1" applyAlignment="1">
      <alignment horizontal="right"/>
    </xf>
    <xf numFmtId="0" fontId="25" fillId="0" borderId="42" xfId="0" applyFont="1" applyBorder="1"/>
    <xf numFmtId="0" fontId="24" fillId="0" borderId="46" xfId="10" applyFont="1" applyFill="1" applyBorder="1" applyAlignment="1">
      <alignment wrapText="1"/>
    </xf>
    <xf numFmtId="0" fontId="24" fillId="0" borderId="46" xfId="11" applyNumberFormat="1" applyFont="1" applyFill="1" applyBorder="1"/>
    <xf numFmtId="170" fontId="24" fillId="0" borderId="46" xfId="12" applyNumberFormat="1" applyFont="1" applyFill="1" applyBorder="1" applyAlignment="1">
      <alignment horizontal="left"/>
    </xf>
    <xf numFmtId="0" fontId="24" fillId="0" borderId="46" xfId="11" applyFont="1" applyFill="1" applyBorder="1"/>
    <xf numFmtId="0" fontId="24" fillId="0" borderId="46" xfId="11" applyFont="1" applyFill="1" applyBorder="1" applyAlignment="1">
      <alignment horizontal="center" wrapText="1"/>
    </xf>
    <xf numFmtId="170" fontId="24" fillId="0" borderId="46" xfId="7" applyNumberFormat="1" applyFont="1" applyBorder="1" applyAlignment="1" applyProtection="1"/>
    <xf numFmtId="0" fontId="15" fillId="0" borderId="46" xfId="10" applyFont="1" applyFill="1" applyBorder="1" applyAlignment="1">
      <alignment wrapText="1"/>
    </xf>
    <xf numFmtId="170" fontId="24" fillId="0" borderId="46" xfId="13" applyNumberFormat="1" applyFont="1" applyFill="1" applyBorder="1" applyAlignment="1">
      <alignment horizontal="left" wrapText="1"/>
    </xf>
    <xf numFmtId="0" fontId="24" fillId="0" borderId="46" xfId="11" applyFont="1" applyFill="1" applyBorder="1" applyAlignment="1">
      <alignment horizontal="left" wrapText="1" indent="1"/>
    </xf>
    <xf numFmtId="2" fontId="24" fillId="0" borderId="46" xfId="11" applyNumberFormat="1" applyFont="1" applyFill="1" applyBorder="1"/>
    <xf numFmtId="0" fontId="5" fillId="0" borderId="46" xfId="11" applyBorder="1"/>
    <xf numFmtId="0" fontId="24" fillId="0" borderId="42" xfId="11" applyFont="1" applyFill="1" applyBorder="1"/>
    <xf numFmtId="0" fontId="24" fillId="0" borderId="46" xfId="11" applyFont="1" applyFill="1" applyBorder="1" applyAlignment="1" applyProtection="1">
      <alignment wrapText="1"/>
    </xf>
    <xf numFmtId="0" fontId="24" fillId="0" borderId="46" xfId="11" applyFont="1" applyFill="1" applyBorder="1" applyAlignment="1">
      <alignment horizontal="left" wrapText="1"/>
    </xf>
    <xf numFmtId="168" fontId="24" fillId="0" borderId="46" xfId="3" applyFont="1" applyFill="1" applyBorder="1"/>
    <xf numFmtId="171" fontId="24" fillId="0" borderId="46" xfId="11" applyNumberFormat="1" applyFont="1" applyFill="1" applyBorder="1"/>
    <xf numFmtId="169" fontId="24" fillId="0" borderId="46" xfId="9" applyFont="1" applyFill="1" applyBorder="1"/>
    <xf numFmtId="11" fontId="24" fillId="0" borderId="46" xfId="11" applyNumberFormat="1" applyFont="1" applyFill="1" applyBorder="1" applyAlignment="1">
      <alignment horizontal="left" wrapText="1"/>
    </xf>
    <xf numFmtId="11" fontId="24" fillId="0" borderId="46" xfId="14" applyNumberFormat="1" applyFont="1" applyFill="1" applyBorder="1"/>
    <xf numFmtId="173" fontId="24" fillId="0" borderId="46" xfId="9" applyNumberFormat="1" applyFont="1" applyFill="1" applyBorder="1"/>
    <xf numFmtId="0" fontId="24" fillId="0" borderId="46" xfId="9" applyNumberFormat="1" applyFont="1" applyFill="1" applyBorder="1"/>
    <xf numFmtId="165" fontId="24" fillId="0" borderId="46" xfId="7" applyNumberFormat="1" applyFont="1" applyBorder="1" applyAlignment="1" applyProtection="1"/>
    <xf numFmtId="0" fontId="24" fillId="0" borderId="46" xfId="11" applyNumberFormat="1" applyFont="1" applyFill="1" applyBorder="1" applyAlignment="1">
      <alignment horizontal="left" wrapText="1"/>
    </xf>
    <xf numFmtId="0" fontId="24" fillId="0" borderId="46" xfId="11" applyFont="1" applyBorder="1"/>
    <xf numFmtId="174" fontId="0" fillId="0" borderId="0" xfId="0" applyNumberFormat="1" applyBorder="1"/>
    <xf numFmtId="0" fontId="24" fillId="0" borderId="46" xfId="0" applyFont="1" applyFill="1" applyBorder="1" applyAlignment="1" applyProtection="1">
      <alignment vertical="center" wrapText="1"/>
    </xf>
    <xf numFmtId="0" fontId="24" fillId="0" borderId="47" xfId="10" applyFont="1" applyFill="1" applyBorder="1" applyAlignment="1">
      <alignment wrapText="1"/>
    </xf>
    <xf numFmtId="168" fontId="24" fillId="0" borderId="46" xfId="12" applyFont="1" applyFill="1" applyBorder="1"/>
    <xf numFmtId="0" fontId="18" fillId="10" borderId="16" xfId="8" applyFill="1" applyBorder="1"/>
    <xf numFmtId="0" fontId="18" fillId="0" borderId="0" xfId="8" quotePrefix="1" applyFill="1"/>
    <xf numFmtId="0" fontId="18" fillId="0" borderId="3" xfId="8" applyBorder="1"/>
    <xf numFmtId="0" fontId="18" fillId="0" borderId="0" xfId="8" applyBorder="1"/>
    <xf numFmtId="0" fontId="0" fillId="0" borderId="0" xfId="0" applyFill="1"/>
    <xf numFmtId="0" fontId="3" fillId="9" borderId="48" xfId="0" applyFont="1" applyFill="1" applyBorder="1"/>
    <xf numFmtId="0" fontId="3" fillId="9" borderId="49" xfId="0" applyFont="1" applyFill="1" applyBorder="1"/>
    <xf numFmtId="168" fontId="24" fillId="0" borderId="50" xfId="12" applyFont="1" applyFill="1" applyBorder="1"/>
    <xf numFmtId="0" fontId="24" fillId="0" borderId="51" xfId="0" applyFont="1" applyFill="1" applyBorder="1"/>
    <xf numFmtId="0" fontId="24" fillId="0" borderId="52" xfId="0" applyNumberFormat="1" applyFont="1" applyFill="1" applyBorder="1"/>
    <xf numFmtId="170" fontId="24" fillId="0" borderId="52" xfId="12" applyNumberFormat="1" applyFont="1" applyFill="1" applyBorder="1"/>
    <xf numFmtId="0" fontId="24" fillId="0" borderId="53" xfId="0" applyFont="1" applyFill="1" applyBorder="1"/>
    <xf numFmtId="0" fontId="24" fillId="0" borderId="52" xfId="0" applyFont="1" applyFill="1" applyBorder="1"/>
    <xf numFmtId="168" fontId="24" fillId="0" borderId="52" xfId="12" applyFont="1" applyFill="1" applyBorder="1"/>
    <xf numFmtId="169" fontId="24" fillId="0" borderId="52" xfId="9" applyFont="1" applyFill="1" applyBorder="1"/>
    <xf numFmtId="11" fontId="24" fillId="0" borderId="52" xfId="0" applyNumberFormat="1" applyFont="1" applyFill="1" applyBorder="1"/>
    <xf numFmtId="172" fontId="24" fillId="0" borderId="52" xfId="9" applyNumberFormat="1" applyFont="1" applyFill="1" applyBorder="1"/>
    <xf numFmtId="168" fontId="24" fillId="0" borderId="52" xfId="12" applyNumberFormat="1" applyFont="1" applyFill="1" applyBorder="1"/>
    <xf numFmtId="170" fontId="24" fillId="0" borderId="52" xfId="0" applyNumberFormat="1" applyFont="1" applyFill="1" applyBorder="1"/>
    <xf numFmtId="39" fontId="24" fillId="0" borderId="52" xfId="12" applyNumberFormat="1" applyFont="1" applyFill="1" applyBorder="1"/>
    <xf numFmtId="37" fontId="24" fillId="0" borderId="52" xfId="12" applyNumberFormat="1" applyFont="1" applyFill="1" applyBorder="1"/>
    <xf numFmtId="0" fontId="24" fillId="0" borderId="52" xfId="0" applyFont="1" applyFill="1" applyBorder="1" applyAlignment="1" applyProtection="1">
      <alignment vertical="center" wrapText="1"/>
    </xf>
    <xf numFmtId="176" fontId="5" fillId="0" borderId="52" xfId="15" applyBorder="1">
      <alignment vertical="center" wrapText="1"/>
    </xf>
    <xf numFmtId="0" fontId="3" fillId="9" borderId="52" xfId="0" applyFont="1" applyFill="1" applyBorder="1"/>
    <xf numFmtId="0" fontId="24" fillId="0" borderId="52" xfId="11" applyFont="1" applyBorder="1" applyAlignment="1">
      <alignment wrapText="1"/>
    </xf>
    <xf numFmtId="0" fontId="24" fillId="0" borderId="52" xfId="10" applyFont="1" applyFill="1" applyBorder="1" applyAlignment="1">
      <alignment wrapText="1"/>
    </xf>
    <xf numFmtId="0" fontId="24" fillId="0" borderId="52" xfId="11" applyNumberFormat="1" applyFont="1" applyFill="1" applyBorder="1" applyAlignment="1">
      <alignment horizontal="left" wrapText="1"/>
    </xf>
    <xf numFmtId="168" fontId="24" fillId="0" borderId="52" xfId="3" applyFont="1" applyFill="1" applyBorder="1" applyAlignment="1">
      <alignment wrapText="1"/>
    </xf>
    <xf numFmtId="165" fontId="24" fillId="0" borderId="52" xfId="7" applyNumberFormat="1" applyFont="1" applyBorder="1" applyAlignment="1" applyProtection="1"/>
    <xf numFmtId="2" fontId="24" fillId="0" borderId="52" xfId="11" applyNumberFormat="1" applyFont="1" applyFill="1" applyBorder="1"/>
    <xf numFmtId="0" fontId="0" fillId="0" borderId="0" xfId="0" applyFill="1" applyBorder="1"/>
    <xf numFmtId="0" fontId="3" fillId="10" borderId="53" xfId="0" applyFont="1" applyFill="1" applyBorder="1"/>
    <xf numFmtId="0" fontId="18" fillId="0" borderId="0" xfId="8" applyFill="1" applyBorder="1"/>
    <xf numFmtId="0" fontId="3" fillId="10" borderId="52" xfId="0" applyFont="1" applyFill="1" applyBorder="1"/>
    <xf numFmtId="2" fontId="4" fillId="0" borderId="52" xfId="7" applyNumberFormat="1" applyFont="1" applyBorder="1" applyAlignment="1" applyProtection="1"/>
    <xf numFmtId="0" fontId="3" fillId="10" borderId="52" xfId="0" applyFont="1" applyFill="1" applyBorder="1" applyAlignment="1">
      <alignment horizontal="right"/>
    </xf>
    <xf numFmtId="0" fontId="24" fillId="0" borderId="53" xfId="11" applyFont="1" applyBorder="1" applyAlignment="1">
      <alignment wrapText="1"/>
    </xf>
    <xf numFmtId="0" fontId="24" fillId="0" borderId="53" xfId="11" applyFont="1" applyFill="1" applyBorder="1"/>
    <xf numFmtId="0" fontId="18" fillId="0" borderId="52" xfId="8" applyFill="1" applyBorder="1"/>
    <xf numFmtId="174" fontId="0" fillId="0" borderId="0" xfId="0" applyNumberFormat="1"/>
    <xf numFmtId="11" fontId="0" fillId="0" borderId="0" xfId="0" applyNumberFormat="1"/>
    <xf numFmtId="0" fontId="15" fillId="0" borderId="47" xfId="10" applyFont="1" applyFill="1" applyBorder="1" applyAlignment="1">
      <alignment wrapText="1"/>
    </xf>
    <xf numFmtId="175" fontId="0" fillId="0" borderId="0" xfId="0" applyNumberFormat="1"/>
    <xf numFmtId="0" fontId="15" fillId="0" borderId="0" xfId="10" applyFont="1" applyFill="1" applyBorder="1" applyAlignment="1">
      <alignment wrapText="1"/>
    </xf>
    <xf numFmtId="0" fontId="0" fillId="0" borderId="47" xfId="0" applyBorder="1"/>
    <xf numFmtId="0" fontId="24" fillId="0" borderId="0" xfId="11" applyNumberFormat="1" applyFont="1" applyFill="1" applyBorder="1" applyAlignment="1">
      <alignment horizontal="left" wrapText="1"/>
    </xf>
    <xf numFmtId="0" fontId="24" fillId="0" borderId="55" xfId="11" applyFont="1" applyFill="1" applyBorder="1"/>
    <xf numFmtId="0" fontId="24" fillId="0" borderId="8" xfId="11" applyNumberFormat="1" applyFont="1" applyFill="1" applyBorder="1" applyAlignment="1">
      <alignment horizontal="left" wrapText="1"/>
    </xf>
    <xf numFmtId="0" fontId="15" fillId="0" borderId="56" xfId="10" applyFont="1" applyFill="1" applyBorder="1" applyAlignment="1">
      <alignment wrapText="1"/>
    </xf>
    <xf numFmtId="0" fontId="0" fillId="0" borderId="56" xfId="0" applyBorder="1"/>
    <xf numFmtId="165" fontId="24" fillId="0" borderId="57" xfId="7" applyNumberFormat="1" applyFont="1" applyBorder="1" applyAlignment="1" applyProtection="1"/>
    <xf numFmtId="0" fontId="24" fillId="0" borderId="54" xfId="11" applyFont="1" applyFill="1" applyBorder="1"/>
    <xf numFmtId="0" fontId="24" fillId="0" borderId="54" xfId="11" applyNumberFormat="1" applyFont="1" applyFill="1" applyBorder="1" applyAlignment="1">
      <alignment horizontal="left" wrapText="1"/>
    </xf>
    <xf numFmtId="0" fontId="15" fillId="0" borderId="54" xfId="10" applyFont="1" applyFill="1" applyBorder="1" applyAlignment="1">
      <alignment wrapText="1"/>
    </xf>
    <xf numFmtId="0" fontId="0" fillId="0" borderId="54" xfId="0" applyBorder="1"/>
    <xf numFmtId="165" fontId="24" fillId="0" borderId="54" xfId="7" applyNumberFormat="1" applyFont="1" applyBorder="1" applyAlignment="1" applyProtection="1"/>
    <xf numFmtId="2" fontId="24" fillId="0" borderId="57" xfId="11" applyNumberFormat="1" applyFont="1" applyFill="1" applyBorder="1"/>
    <xf numFmtId="2" fontId="24" fillId="0" borderId="54" xfId="11" applyNumberFormat="1" applyFont="1" applyFill="1" applyBorder="1"/>
    <xf numFmtId="165" fontId="3" fillId="10" borderId="54" xfId="0" applyNumberFormat="1" applyFont="1" applyFill="1" applyBorder="1"/>
    <xf numFmtId="0" fontId="24" fillId="0" borderId="54" xfId="11" applyFont="1" applyFill="1" applyBorder="1" applyAlignment="1">
      <alignment wrapText="1"/>
    </xf>
    <xf numFmtId="170" fontId="24" fillId="0" borderId="54" xfId="13" applyNumberFormat="1" applyFont="1" applyFill="1" applyBorder="1" applyAlignment="1">
      <alignment horizontal="center" wrapText="1"/>
    </xf>
    <xf numFmtId="0" fontId="24" fillId="0" borderId="54" xfId="11" applyFont="1" applyFill="1" applyBorder="1" applyAlignment="1">
      <alignment horizontal="left" wrapText="1" indent="1"/>
    </xf>
    <xf numFmtId="0" fontId="24" fillId="0" borderId="54" xfId="11" applyFont="1" applyFill="1" applyBorder="1" applyAlignment="1">
      <alignment horizontal="right" wrapText="1" indent="1"/>
    </xf>
    <xf numFmtId="0" fontId="24" fillId="0" borderId="54" xfId="11" applyFont="1" applyFill="1" applyBorder="1" applyAlignment="1">
      <alignment horizontal="center" wrapText="1"/>
    </xf>
    <xf numFmtId="0" fontId="18" fillId="0" borderId="0" xfId="8" applyFill="1"/>
    <xf numFmtId="178" fontId="0" fillId="0" borderId="0" xfId="0" applyNumberFormat="1" applyBorder="1"/>
    <xf numFmtId="177" fontId="24" fillId="0" borderId="54" xfId="11" applyNumberFormat="1" applyFont="1" applyFill="1" applyBorder="1" applyAlignment="1">
      <alignment horizontal="right" wrapText="1" indent="1"/>
    </xf>
    <xf numFmtId="177" fontId="24" fillId="0" borderId="54" xfId="11" applyNumberFormat="1" applyFont="1" applyFill="1" applyBorder="1" applyAlignment="1">
      <alignment wrapText="1"/>
    </xf>
    <xf numFmtId="0" fontId="3" fillId="10" borderId="58" xfId="0" applyFont="1" applyFill="1" applyBorder="1"/>
    <xf numFmtId="0" fontId="3" fillId="10" borderId="54" xfId="0" applyFont="1" applyFill="1" applyBorder="1"/>
    <xf numFmtId="0" fontId="24" fillId="0" borderId="54" xfId="0" applyFont="1" applyFill="1" applyBorder="1" applyAlignment="1" applyProtection="1">
      <alignment vertical="center" wrapText="1"/>
    </xf>
    <xf numFmtId="0" fontId="3" fillId="10" borderId="54" xfId="0" applyFont="1" applyFill="1" applyBorder="1" applyAlignment="1">
      <alignment horizontal="right"/>
    </xf>
    <xf numFmtId="0" fontId="24" fillId="0" borderId="58" xfId="11" applyFont="1" applyFill="1" applyBorder="1" applyAlignment="1">
      <alignment wrapText="1"/>
    </xf>
    <xf numFmtId="0" fontId="24" fillId="0" borderId="54" xfId="0" applyFont="1" applyFill="1" applyBorder="1"/>
    <xf numFmtId="168" fontId="24" fillId="0" borderId="54" xfId="12" applyFont="1" applyFill="1" applyBorder="1"/>
    <xf numFmtId="0" fontId="24" fillId="0" borderId="54" xfId="11" applyNumberFormat="1" applyFont="1" applyFill="1" applyBorder="1" applyAlignment="1">
      <alignment horizontal="right" wrapText="1" indent="1"/>
    </xf>
    <xf numFmtId="0" fontId="5" fillId="0" borderId="54" xfId="11" applyBorder="1"/>
    <xf numFmtId="165" fontId="24" fillId="0" borderId="16" xfId="7" applyNumberFormat="1" applyFont="1" applyBorder="1" applyAlignment="1" applyProtection="1"/>
    <xf numFmtId="170" fontId="24" fillId="0" borderId="54" xfId="11" applyNumberFormat="1" applyFont="1" applyFill="1" applyBorder="1" applyAlignment="1">
      <alignment horizontal="center" wrapText="1"/>
    </xf>
    <xf numFmtId="39" fontId="24" fillId="0" borderId="54" xfId="13" applyNumberFormat="1" applyFont="1" applyFill="1" applyBorder="1" applyAlignment="1">
      <alignment horizontal="left" wrapText="1" indent="1"/>
    </xf>
    <xf numFmtId="0" fontId="24" fillId="0" borderId="54" xfId="11" applyNumberFormat="1" applyFont="1" applyFill="1" applyBorder="1" applyAlignment="1">
      <alignment horizontal="left" wrapText="1" indent="1"/>
    </xf>
    <xf numFmtId="37" fontId="24" fillId="0" borderId="54" xfId="13" applyNumberFormat="1" applyFont="1" applyFill="1" applyBorder="1" applyAlignment="1">
      <alignment horizontal="right" wrapText="1" indent="1"/>
    </xf>
    <xf numFmtId="165" fontId="24" fillId="0" borderId="29" xfId="7" applyNumberFormat="1" applyFont="1" applyBorder="1" applyAlignment="1" applyProtection="1"/>
    <xf numFmtId="165" fontId="24" fillId="0" borderId="26" xfId="7" applyNumberFormat="1" applyFont="1" applyBorder="1" applyAlignment="1" applyProtection="1"/>
    <xf numFmtId="0" fontId="3" fillId="9" borderId="59" xfId="0" applyFont="1" applyFill="1" applyBorder="1"/>
    <xf numFmtId="0" fontId="4" fillId="0" borderId="59" xfId="0" applyFont="1" applyBorder="1"/>
    <xf numFmtId="0" fontId="3" fillId="9" borderId="54" xfId="0" applyFont="1" applyFill="1" applyBorder="1"/>
    <xf numFmtId="165" fontId="4" fillId="0" borderId="54" xfId="7" applyNumberFormat="1" applyFont="1" applyBorder="1" applyAlignment="1" applyProtection="1"/>
    <xf numFmtId="0" fontId="24" fillId="0" borderId="60" xfId="0" applyFont="1" applyFill="1" applyBorder="1"/>
    <xf numFmtId="168" fontId="24" fillId="0" borderId="62" xfId="12" applyFont="1" applyFill="1" applyBorder="1"/>
    <xf numFmtId="0" fontId="24" fillId="0" borderId="61" xfId="0" applyNumberFormat="1" applyFont="1" applyFill="1" applyBorder="1"/>
    <xf numFmtId="170" fontId="24" fillId="0" borderId="61" xfId="12" applyNumberFormat="1" applyFont="1" applyFill="1" applyBorder="1"/>
    <xf numFmtId="0" fontId="24" fillId="0" borderId="63" xfId="0" applyFont="1" applyFill="1" applyBorder="1"/>
    <xf numFmtId="169" fontId="24" fillId="0" borderId="54" xfId="9" applyFont="1" applyFill="1" applyBorder="1"/>
    <xf numFmtId="11" fontId="24" fillId="0" borderId="54" xfId="0" applyNumberFormat="1" applyFont="1" applyFill="1" applyBorder="1"/>
    <xf numFmtId="172" fontId="24" fillId="0" borderId="54" xfId="9" applyNumberFormat="1" applyFont="1" applyFill="1" applyBorder="1"/>
    <xf numFmtId="168" fontId="24" fillId="0" borderId="54" xfId="12" applyNumberFormat="1" applyFont="1" applyFill="1" applyBorder="1"/>
    <xf numFmtId="0" fontId="24" fillId="0" borderId="63" xfId="11" applyFont="1" applyFill="1" applyBorder="1" applyAlignment="1">
      <alignment wrapText="1"/>
    </xf>
    <xf numFmtId="0" fontId="24" fillId="0" borderId="54" xfId="11" applyFont="1" applyFill="1" applyBorder="1" applyAlignment="1" applyProtection="1">
      <alignment horizontal="left" wrapText="1"/>
    </xf>
    <xf numFmtId="0" fontId="24" fillId="0" borderId="54" xfId="11" applyFont="1" applyFill="1" applyBorder="1" applyAlignment="1">
      <alignment horizontal="left" wrapText="1"/>
    </xf>
    <xf numFmtId="179" fontId="24" fillId="0" borderId="54" xfId="11" applyNumberFormat="1" applyFont="1" applyFill="1" applyBorder="1" applyAlignment="1"/>
    <xf numFmtId="0" fontId="24" fillId="0" borderId="54" xfId="11" applyFont="1" applyFill="1" applyBorder="1" applyAlignment="1"/>
    <xf numFmtId="169" fontId="24" fillId="0" borderId="54" xfId="9" applyFont="1" applyFill="1" applyBorder="1" applyAlignment="1"/>
    <xf numFmtId="11" fontId="24" fillId="0" borderId="54" xfId="11" applyNumberFormat="1" applyFont="1" applyFill="1" applyBorder="1" applyAlignment="1">
      <alignment horizontal="left" wrapText="1"/>
    </xf>
    <xf numFmtId="11" fontId="24" fillId="0" borderId="54" xfId="14" applyNumberFormat="1" applyFont="1" applyFill="1" applyBorder="1" applyAlignment="1">
      <alignment horizontal="right"/>
    </xf>
    <xf numFmtId="173" fontId="24" fillId="0" borderId="54" xfId="9" applyNumberFormat="1" applyFont="1" applyFill="1" applyBorder="1" applyAlignment="1">
      <alignment horizontal="right"/>
    </xf>
    <xf numFmtId="0" fontId="5" fillId="0" borderId="54" xfId="11" applyNumberFormat="1" applyBorder="1" applyAlignment="1">
      <alignment horizontal="right"/>
    </xf>
    <xf numFmtId="0" fontId="24" fillId="0" borderId="54" xfId="9" applyNumberFormat="1" applyFont="1" applyFill="1" applyBorder="1" applyAlignment="1">
      <alignment horizontal="right"/>
    </xf>
    <xf numFmtId="0" fontId="24" fillId="0" borderId="54" xfId="11" applyFont="1" applyBorder="1" applyAlignment="1">
      <alignment wrapText="1"/>
    </xf>
    <xf numFmtId="0" fontId="24" fillId="0" borderId="54" xfId="10" applyFont="1" applyFill="1" applyBorder="1" applyAlignment="1">
      <alignment wrapText="1"/>
    </xf>
    <xf numFmtId="0" fontId="24" fillId="0" borderId="54" xfId="11" applyFont="1" applyBorder="1"/>
    <xf numFmtId="0" fontId="24" fillId="0" borderId="64" xfId="10" applyFont="1" applyFill="1" applyBorder="1" applyAlignment="1">
      <alignment wrapText="1"/>
    </xf>
    <xf numFmtId="0" fontId="24" fillId="0" borderId="65" xfId="11" applyNumberFormat="1" applyFont="1" applyFill="1" applyBorder="1" applyAlignment="1">
      <alignment horizontal="left" wrapText="1"/>
    </xf>
    <xf numFmtId="170" fontId="24" fillId="0" borderId="65" xfId="13" applyNumberFormat="1" applyFont="1" applyFill="1" applyBorder="1" applyAlignment="1">
      <alignment horizontal="center" wrapText="1"/>
    </xf>
    <xf numFmtId="0" fontId="24" fillId="0" borderId="65" xfId="11" applyFont="1" applyFill="1" applyBorder="1" applyAlignment="1">
      <alignment horizontal="left" wrapText="1" indent="1"/>
    </xf>
    <xf numFmtId="2" fontId="24" fillId="0" borderId="65" xfId="11" applyNumberFormat="1" applyFont="1" applyFill="1" applyBorder="1"/>
    <xf numFmtId="0" fontId="24" fillId="0" borderId="65" xfId="10" applyFont="1" applyFill="1" applyBorder="1" applyAlignment="1">
      <alignment wrapText="1"/>
    </xf>
    <xf numFmtId="0" fontId="24" fillId="0" borderId="65" xfId="11" applyFont="1" applyBorder="1"/>
    <xf numFmtId="165" fontId="24" fillId="0" borderId="65" xfId="7" applyNumberFormat="1" applyFont="1" applyBorder="1" applyAlignment="1" applyProtection="1"/>
    <xf numFmtId="0" fontId="24" fillId="0" borderId="65" xfId="11" applyFont="1" applyFill="1" applyBorder="1" applyAlignment="1">
      <alignment wrapText="1"/>
    </xf>
    <xf numFmtId="0" fontId="18" fillId="0" borderId="61" xfId="8" applyFill="1" applyBorder="1"/>
    <xf numFmtId="0" fontId="24" fillId="0" borderId="65" xfId="11" applyFont="1" applyFill="1" applyBorder="1" applyAlignment="1" applyProtection="1">
      <alignment horizontal="left" wrapText="1"/>
    </xf>
    <xf numFmtId="0" fontId="24" fillId="0" borderId="65" xfId="11" applyFont="1" applyFill="1" applyBorder="1" applyAlignment="1">
      <alignment horizontal="left" wrapText="1"/>
    </xf>
    <xf numFmtId="179" fontId="24" fillId="0" borderId="65" xfId="11" applyNumberFormat="1" applyFont="1" applyFill="1" applyBorder="1" applyAlignment="1"/>
    <xf numFmtId="0" fontId="24" fillId="0" borderId="65" xfId="11" applyFont="1" applyFill="1" applyBorder="1" applyAlignment="1"/>
    <xf numFmtId="169" fontId="24" fillId="0" borderId="65" xfId="9" applyFont="1" applyFill="1" applyBorder="1" applyAlignment="1"/>
    <xf numFmtId="11" fontId="24" fillId="0" borderId="65" xfId="11" applyNumberFormat="1" applyFont="1" applyFill="1" applyBorder="1" applyAlignment="1">
      <alignment horizontal="left" wrapText="1"/>
    </xf>
    <xf numFmtId="11" fontId="24" fillId="0" borderId="65" xfId="14" applyNumberFormat="1" applyFont="1" applyFill="1" applyBorder="1" applyAlignment="1">
      <alignment horizontal="right" wrapText="1"/>
    </xf>
    <xf numFmtId="183" fontId="24" fillId="0" borderId="65" xfId="14" applyNumberFormat="1" applyFont="1" applyFill="1" applyBorder="1" applyAlignment="1">
      <alignment horizontal="right" wrapText="1"/>
    </xf>
    <xf numFmtId="0" fontId="24" fillId="0" borderId="65" xfId="14" applyNumberFormat="1" applyFont="1" applyFill="1" applyBorder="1" applyAlignment="1">
      <alignment horizontal="right" wrapText="1"/>
    </xf>
    <xf numFmtId="0" fontId="5" fillId="0" borderId="65" xfId="11" applyBorder="1" applyAlignment="1">
      <alignment horizontal="right"/>
    </xf>
    <xf numFmtId="170" fontId="24" fillId="0" borderId="50" xfId="13" applyNumberFormat="1" applyFont="1" applyFill="1" applyBorder="1" applyAlignment="1">
      <alignment horizontal="center" wrapText="1"/>
    </xf>
    <xf numFmtId="0" fontId="24" fillId="0" borderId="65" xfId="11" applyFont="1" applyFill="1" applyBorder="1" applyAlignment="1">
      <alignment horizontal="right" wrapText="1" indent="1"/>
    </xf>
    <xf numFmtId="0" fontId="24" fillId="0" borderId="65" xfId="11" applyFont="1" applyFill="1" applyBorder="1" applyAlignment="1">
      <alignment horizontal="center" wrapText="1"/>
    </xf>
    <xf numFmtId="0" fontId="24" fillId="0" borderId="65" xfId="11" applyFont="1" applyFill="1" applyBorder="1" applyAlignment="1">
      <alignment horizontal="right" wrapText="1"/>
    </xf>
    <xf numFmtId="177" fontId="24" fillId="0" borderId="65" xfId="11" applyNumberFormat="1" applyFont="1" applyFill="1" applyBorder="1" applyAlignment="1">
      <alignment horizontal="right" wrapText="1" indent="1"/>
    </xf>
    <xf numFmtId="0" fontId="3" fillId="10" borderId="63" xfId="0" applyFont="1" applyFill="1" applyBorder="1"/>
    <xf numFmtId="0" fontId="3" fillId="10" borderId="65" xfId="0" applyFont="1" applyFill="1" applyBorder="1"/>
    <xf numFmtId="0" fontId="3" fillId="10" borderId="65" xfId="0" applyFont="1" applyFill="1" applyBorder="1" applyAlignment="1">
      <alignment horizontal="right"/>
    </xf>
    <xf numFmtId="0" fontId="24" fillId="0" borderId="63" xfId="11" applyFont="1" applyBorder="1"/>
    <xf numFmtId="165" fontId="3" fillId="10" borderId="65" xfId="0" applyNumberFormat="1" applyFont="1" applyFill="1" applyBorder="1"/>
    <xf numFmtId="171" fontId="24" fillId="0" borderId="65" xfId="11" applyNumberFormat="1" applyFont="1" applyFill="1" applyBorder="1"/>
    <xf numFmtId="0" fontId="24" fillId="0" borderId="65" xfId="11" applyFont="1" applyFill="1" applyBorder="1"/>
    <xf numFmtId="169" fontId="24" fillId="0" borderId="65" xfId="9" applyFont="1" applyFill="1" applyBorder="1"/>
    <xf numFmtId="11" fontId="24" fillId="0" borderId="65" xfId="11" applyNumberFormat="1" applyFont="1" applyFill="1" applyBorder="1"/>
    <xf numFmtId="11" fontId="24" fillId="0" borderId="65" xfId="14" applyNumberFormat="1" applyFont="1" applyFill="1" applyBorder="1" applyAlignment="1">
      <alignment horizontal="right"/>
    </xf>
    <xf numFmtId="173" fontId="24" fillId="0" borderId="65" xfId="9" applyNumberFormat="1" applyFont="1" applyFill="1" applyBorder="1" applyAlignment="1">
      <alignment horizontal="right"/>
    </xf>
    <xf numFmtId="0" fontId="24" fillId="0" borderId="65" xfId="9" applyNumberFormat="1" applyFont="1" applyFill="1" applyBorder="1" applyAlignment="1">
      <alignment horizontal="right"/>
    </xf>
    <xf numFmtId="0" fontId="5" fillId="0" borderId="65" xfId="11" applyBorder="1"/>
    <xf numFmtId="0" fontId="24" fillId="0" borderId="65" xfId="11" applyNumberFormat="1" applyFont="1" applyFill="1" applyBorder="1" applyAlignment="1">
      <alignment wrapText="1"/>
    </xf>
    <xf numFmtId="179" fontId="24" fillId="0" borderId="65" xfId="11" applyNumberFormat="1" applyFont="1" applyFill="1" applyBorder="1"/>
    <xf numFmtId="11" fontId="24" fillId="0" borderId="65" xfId="11" applyNumberFormat="1" applyFont="1" applyFill="1" applyBorder="1" applyAlignment="1">
      <alignment wrapText="1"/>
    </xf>
    <xf numFmtId="11" fontId="24" fillId="0" borderId="65" xfId="9" applyNumberFormat="1" applyFont="1" applyFill="1" applyBorder="1"/>
    <xf numFmtId="173" fontId="24" fillId="0" borderId="65" xfId="9" applyNumberFormat="1" applyFont="1" applyFill="1" applyBorder="1"/>
    <xf numFmtId="0" fontId="24" fillId="0" borderId="65" xfId="9" applyNumberFormat="1" applyFont="1" applyFill="1" applyBorder="1"/>
    <xf numFmtId="1" fontId="24" fillId="0" borderId="65" xfId="9" applyNumberFormat="1" applyFont="1" applyFill="1" applyBorder="1"/>
  </cellXfs>
  <cellStyles count="16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illiers 2" xfId="9" xr:uid="{BCD80422-4E58-4C46-B7FA-7B089F38F7E1}"/>
    <cellStyle name="Milliers 3" xfId="14" xr:uid="{99EADCB2-1CC0-4C85-8772-9542F23A219F}"/>
    <cellStyle name="Monétaire 10" xfId="12" xr:uid="{091E9DD3-9967-4F5F-B96A-4CF785A594E7}"/>
    <cellStyle name="Monétaire 2" xfId="3" xr:uid="{00000000-0005-0000-0000-000004000000}"/>
    <cellStyle name="Monétaire 3" xfId="13" xr:uid="{005E21D1-743F-48E1-8D66-AB10F384CE90}"/>
    <cellStyle name="Normal" xfId="0" builtinId="0"/>
    <cellStyle name="Normal 2" xfId="1" xr:uid="{00000000-0005-0000-0000-000006000000}"/>
    <cellStyle name="Normal 3" xfId="6" xr:uid="{00000000-0005-0000-0000-000007000000}"/>
    <cellStyle name="Normal 4" xfId="11" xr:uid="{CFACC039-0295-4B44-8500-74B870326428}"/>
    <cellStyle name="Normal_Sheet1" xfId="10" xr:uid="{D20A7D3D-6890-435E-937C-A40A028BB702}"/>
    <cellStyle name="Style 1" xfId="15" xr:uid="{E77BDADC-038C-417D-84E2-5F0C1C7D05D1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412216</xdr:colOff>
      <xdr:row>19</xdr:row>
      <xdr:rowOff>174493</xdr:rowOff>
    </xdr:from>
    <xdr:to>
      <xdr:col>13</xdr:col>
      <xdr:colOff>394607</xdr:colOff>
      <xdr:row>30</xdr:row>
      <xdr:rowOff>51893</xdr:rowOff>
    </xdr:to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26CE718F-865D-443F-9717-D3C7B316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645" y="37939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393872</xdr:colOff>
      <xdr:row>14</xdr:row>
      <xdr:rowOff>9524</xdr:rowOff>
    </xdr:from>
    <xdr:to>
      <xdr:col>13</xdr:col>
      <xdr:colOff>170517</xdr:colOff>
      <xdr:row>24</xdr:row>
      <xdr:rowOff>180225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B9F1C7-A378-4716-9DDB-4B0B4ADA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4947" y="2867024"/>
          <a:ext cx="2824645" cy="22662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28575</xdr:rowOff>
    </xdr:from>
    <xdr:to>
      <xdr:col>16</xdr:col>
      <xdr:colOff>150886</xdr:colOff>
      <xdr:row>48</xdr:row>
      <xdr:rowOff>27503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6836FC-CD9E-43CA-B2B8-F9337243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13</xdr:row>
      <xdr:rowOff>66675</xdr:rowOff>
    </xdr:from>
    <xdr:to>
      <xdr:col>13</xdr:col>
      <xdr:colOff>75451</xdr:colOff>
      <xdr:row>23</xdr:row>
      <xdr:rowOff>94542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DDF04F-B410-4463-A054-47A66011C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2733675"/>
          <a:ext cx="2351926" cy="19328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142875</xdr:rowOff>
    </xdr:from>
    <xdr:to>
      <xdr:col>16</xdr:col>
      <xdr:colOff>293762</xdr:colOff>
      <xdr:row>46</xdr:row>
      <xdr:rowOff>141803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38CA7-6D69-4ACC-A010-D018B9429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419922</xdr:colOff>
      <xdr:row>13</xdr:row>
      <xdr:rowOff>152399</xdr:rowOff>
    </xdr:from>
    <xdr:to>
      <xdr:col>11</xdr:col>
      <xdr:colOff>732771</xdr:colOff>
      <xdr:row>23</xdr:row>
      <xdr:rowOff>151586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0A659E-5C3D-4AB5-AC1E-73ADF3B2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6072" y="2628899"/>
          <a:ext cx="1836849" cy="22851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693809</xdr:colOff>
      <xdr:row>46</xdr:row>
      <xdr:rowOff>189428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B1FB30-FAA5-46FF-BEC4-59C9430E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477148</xdr:colOff>
      <xdr:row>13</xdr:row>
      <xdr:rowOff>133349</xdr:rowOff>
    </xdr:from>
    <xdr:to>
      <xdr:col>11</xdr:col>
      <xdr:colOff>590549</xdr:colOff>
      <xdr:row>23</xdr:row>
      <xdr:rowOff>183624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2AD27-052D-4F7E-8C2F-7B70B3E5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8123" y="2609849"/>
          <a:ext cx="1637401" cy="2145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15</xdr:col>
      <xdr:colOff>693809</xdr:colOff>
      <xdr:row>47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007648-4F4A-469B-ACDB-5EC10AB6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458372</xdr:colOff>
      <xdr:row>14</xdr:row>
      <xdr:rowOff>0</xdr:rowOff>
    </xdr:from>
    <xdr:to>
      <xdr:col>14</xdr:col>
      <xdr:colOff>131763</xdr:colOff>
      <xdr:row>28</xdr:row>
      <xdr:rowOff>55790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E1E7AE-3F3C-465D-BFDA-0E7C034E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2460" y="2667000"/>
          <a:ext cx="3483391" cy="272279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591792</xdr:colOff>
      <xdr:row>13</xdr:row>
      <xdr:rowOff>180975</xdr:rowOff>
    </xdr:from>
    <xdr:to>
      <xdr:col>13</xdr:col>
      <xdr:colOff>589559</xdr:colOff>
      <xdr:row>27</xdr:row>
      <xdr:rowOff>46821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0DB1D4-A93F-47DC-B712-02714B82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8042" y="2657475"/>
          <a:ext cx="3121967" cy="2532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71467</xdr:colOff>
      <xdr:row>14</xdr:row>
      <xdr:rowOff>104775</xdr:rowOff>
    </xdr:from>
    <xdr:to>
      <xdr:col>13</xdr:col>
      <xdr:colOff>303654</xdr:colOff>
      <xdr:row>24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FA679-96BD-43D5-BF35-DF976C85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9842" y="2771775"/>
          <a:ext cx="2518187" cy="2057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584864</xdr:colOff>
      <xdr:row>12</xdr:row>
      <xdr:rowOff>142875</xdr:rowOff>
    </xdr:from>
    <xdr:to>
      <xdr:col>13</xdr:col>
      <xdr:colOff>579917</xdr:colOff>
      <xdr:row>23</xdr:row>
      <xdr:rowOff>18332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7E2411-C110-464B-8EC9-80A06A75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5314" y="2428875"/>
          <a:ext cx="3043053" cy="19709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12</xdr:col>
      <xdr:colOff>732190</xdr:colOff>
      <xdr:row>38</xdr:row>
      <xdr:rowOff>65803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56D1C9-02FC-480B-AA3F-3D20FD8E1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13</xdr:row>
      <xdr:rowOff>152400</xdr:rowOff>
    </xdr:from>
    <xdr:to>
      <xdr:col>14</xdr:col>
      <xdr:colOff>18476</xdr:colOff>
      <xdr:row>24</xdr:row>
      <xdr:rowOff>46926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B2ADF5-BFF8-4D8A-9C36-723CED20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6225" y="2628900"/>
          <a:ext cx="3342701" cy="199002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95250</xdr:rowOff>
    </xdr:from>
    <xdr:to>
      <xdr:col>13</xdr:col>
      <xdr:colOff>103539</xdr:colOff>
      <xdr:row>38</xdr:row>
      <xdr:rowOff>18178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690046-51DF-4C9D-9928-1667E8FC9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0"/>
          <a:ext cx="9885714" cy="697142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13</xdr:row>
      <xdr:rowOff>85725</xdr:rowOff>
    </xdr:from>
    <xdr:to>
      <xdr:col>13</xdr:col>
      <xdr:colOff>637056</xdr:colOff>
      <xdr:row>25</xdr:row>
      <xdr:rowOff>36826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C90C9D6-2C0E-478F-A60F-3474BC2E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01500" y="2562225"/>
          <a:ext cx="3027831" cy="223710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619125</xdr:colOff>
      <xdr:row>13</xdr:row>
      <xdr:rowOff>95251</xdr:rowOff>
    </xdr:from>
    <xdr:to>
      <xdr:col>13</xdr:col>
      <xdr:colOff>133350</xdr:colOff>
      <xdr:row>23</xdr:row>
      <xdr:rowOff>83825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2D80B67-9350-4FD7-BE53-DE528A756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39600" y="2571751"/>
          <a:ext cx="2562225" cy="189357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14</xdr:row>
      <xdr:rowOff>200025</xdr:rowOff>
    </xdr:from>
    <xdr:to>
      <xdr:col>13</xdr:col>
      <xdr:colOff>566112</xdr:colOff>
      <xdr:row>20</xdr:row>
      <xdr:rowOff>143578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7995EAB-5927-445F-BC73-E65440AF6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3057525"/>
          <a:ext cx="2690187" cy="242005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161925</xdr:rowOff>
    </xdr:from>
    <xdr:to>
      <xdr:col>13</xdr:col>
      <xdr:colOff>18288</xdr:colOff>
      <xdr:row>41</xdr:row>
      <xdr:rowOff>100965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123C8D-BEE0-4D6F-9AF2-F9308492D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352425"/>
          <a:ext cx="9905238" cy="755904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48527</xdr:colOff>
      <xdr:row>13</xdr:row>
      <xdr:rowOff>95250</xdr:rowOff>
    </xdr:from>
    <xdr:to>
      <xdr:col>12</xdr:col>
      <xdr:colOff>733425</xdr:colOff>
      <xdr:row>23</xdr:row>
      <xdr:rowOff>124466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BA12762-A01E-49F4-8E1B-C94C36A4E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8202" y="2571750"/>
          <a:ext cx="2208898" cy="193421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1</xdr:row>
      <xdr:rowOff>188868</xdr:rowOff>
    </xdr:from>
    <xdr:to>
      <xdr:col>13</xdr:col>
      <xdr:colOff>70593</xdr:colOff>
      <xdr:row>38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16A90E-E2BC-4E5A-BAD3-30C27354B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" y="379368"/>
          <a:ext cx="9871819" cy="69739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13</xdr:col>
      <xdr:colOff>55912</xdr:colOff>
      <xdr:row>38</xdr:row>
      <xdr:rowOff>170575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E5EB1-39DA-4C6D-ADD3-37054688B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4762" cy="7000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313765</xdr:colOff>
      <xdr:row>12</xdr:row>
      <xdr:rowOff>67235</xdr:rowOff>
    </xdr:from>
    <xdr:to>
      <xdr:col>11</xdr:col>
      <xdr:colOff>724729</xdr:colOff>
      <xdr:row>22</xdr:row>
      <xdr:rowOff>86374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23C89EA-04D7-4CA7-8404-D7AE65D6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2765" y="2353235"/>
          <a:ext cx="1934964" cy="192413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152400</xdr:rowOff>
    </xdr:from>
    <xdr:to>
      <xdr:col>13</xdr:col>
      <xdr:colOff>179739</xdr:colOff>
      <xdr:row>38</xdr:row>
      <xdr:rowOff>46757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BA7BDE-2D51-4B2C-BC3D-1382ABEB2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42900"/>
          <a:ext cx="9885714" cy="694285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238904</xdr:colOff>
      <xdr:row>12</xdr:row>
      <xdr:rowOff>47625</xdr:rowOff>
    </xdr:from>
    <xdr:to>
      <xdr:col>11</xdr:col>
      <xdr:colOff>447172</xdr:colOff>
      <xdr:row>22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C8B0E6E-0F25-4BB8-9BEA-A4A621DEE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54" y="2333625"/>
          <a:ext cx="1732268" cy="18669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152400</xdr:rowOff>
    </xdr:from>
    <xdr:to>
      <xdr:col>13</xdr:col>
      <xdr:colOff>390525</xdr:colOff>
      <xdr:row>39</xdr:row>
      <xdr:rowOff>94330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F1B870-522C-4DE6-91A3-B487A30FB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42900"/>
          <a:ext cx="10163175" cy="71809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58419</xdr:colOff>
      <xdr:row>14</xdr:row>
      <xdr:rowOff>104775</xdr:rowOff>
    </xdr:from>
    <xdr:to>
      <xdr:col>12</xdr:col>
      <xdr:colOff>590550</xdr:colOff>
      <xdr:row>24</xdr:row>
      <xdr:rowOff>64752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F1CCA-D0A1-4C0C-AF3C-C938BFEB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4319" y="2771775"/>
          <a:ext cx="2056131" cy="224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171450</xdr:rowOff>
    </xdr:from>
    <xdr:to>
      <xdr:col>13</xdr:col>
      <xdr:colOff>208317</xdr:colOff>
      <xdr:row>38</xdr:row>
      <xdr:rowOff>94378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C9B739-30D5-4C64-B1F1-7DB8C6C8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117426</xdr:rowOff>
    </xdr:from>
    <xdr:to>
      <xdr:col>11</xdr:col>
      <xdr:colOff>285750</xdr:colOff>
      <xdr:row>25</xdr:row>
      <xdr:rowOff>8710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F74699-F881-4FB4-B779-B78B9B95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403426"/>
          <a:ext cx="1495425" cy="2939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16</xdr:col>
      <xdr:colOff>65159</xdr:colOff>
      <xdr:row>46</xdr:row>
      <xdr:rowOff>37028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A16B71-D05A-4ABF-BE69-811FA2434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19787</xdr:rowOff>
    </xdr:from>
    <xdr:to>
      <xdr:col>11</xdr:col>
      <xdr:colOff>371475</xdr:colOff>
      <xdr:row>26</xdr:row>
      <xdr:rowOff>110835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A6A76C-D9AE-4B4E-8BDC-405BE2BA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2305787"/>
          <a:ext cx="1581150" cy="313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95250</xdr:rowOff>
    </xdr:from>
    <xdr:to>
      <xdr:col>16</xdr:col>
      <xdr:colOff>131837</xdr:colOff>
      <xdr:row>46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785991-D816-4A13-9208-5E67E33A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abSelected="1" topLeftCell="A54" workbookViewId="0">
      <selection activeCell="N66" sqref="N66"/>
    </sheetView>
  </sheetViews>
  <sheetFormatPr baseColWidth="10" defaultRowHeight="15" x14ac:dyDescent="0.25"/>
  <sheetData>
    <row r="1" spans="1:2" x14ac:dyDescent="0.25">
      <c r="A1" s="68" t="s">
        <v>120</v>
      </c>
    </row>
    <row r="3" spans="1:2" x14ac:dyDescent="0.25">
      <c r="A3" s="67" t="s">
        <v>65</v>
      </c>
      <c r="B3" s="65" t="s">
        <v>66</v>
      </c>
    </row>
    <row r="5" spans="1:2" x14ac:dyDescent="0.25">
      <c r="A5" t="s">
        <v>121</v>
      </c>
    </row>
    <row r="6" spans="1:2" x14ac:dyDescent="0.25">
      <c r="A6" t="s">
        <v>98</v>
      </c>
    </row>
    <row r="7" spans="1:2" x14ac:dyDescent="0.25">
      <c r="A7" t="s">
        <v>104</v>
      </c>
    </row>
    <row r="8" spans="1:2" x14ac:dyDescent="0.25">
      <c r="A8" t="s">
        <v>102</v>
      </c>
    </row>
    <row r="9" spans="1:2" x14ac:dyDescent="0.25">
      <c r="A9" t="s">
        <v>67</v>
      </c>
    </row>
    <row r="10" spans="1:2" x14ac:dyDescent="0.25">
      <c r="A10" s="65" t="s">
        <v>95</v>
      </c>
    </row>
    <row r="11" spans="1:2" x14ac:dyDescent="0.25">
      <c r="A11" t="s">
        <v>132</v>
      </c>
    </row>
    <row r="12" spans="1:2" x14ac:dyDescent="0.25">
      <c r="A12" t="s">
        <v>68</v>
      </c>
    </row>
    <row r="14" spans="1:2" x14ac:dyDescent="0.25">
      <c r="A14" t="s">
        <v>97</v>
      </c>
    </row>
    <row r="15" spans="1:2" x14ac:dyDescent="0.25">
      <c r="A15" t="s">
        <v>122</v>
      </c>
    </row>
    <row r="16" spans="1:2" x14ac:dyDescent="0.25">
      <c r="A16" t="s">
        <v>108</v>
      </c>
    </row>
    <row r="18" spans="1:3" x14ac:dyDescent="0.25">
      <c r="A18" s="67" t="s">
        <v>69</v>
      </c>
      <c r="B18" s="65" t="s">
        <v>100</v>
      </c>
      <c r="C18" s="65"/>
    </row>
    <row r="20" spans="1:3" x14ac:dyDescent="0.25">
      <c r="A20" t="s">
        <v>107</v>
      </c>
    </row>
    <row r="21" spans="1:3" x14ac:dyDescent="0.25">
      <c r="A21" t="s">
        <v>133</v>
      </c>
    </row>
    <row r="23" spans="1:3" x14ac:dyDescent="0.25">
      <c r="A23" s="67" t="s">
        <v>71</v>
      </c>
      <c r="B23" s="65" t="s">
        <v>72</v>
      </c>
    </row>
    <row r="25" spans="1:3" x14ac:dyDescent="0.25">
      <c r="A25" t="s">
        <v>123</v>
      </c>
    </row>
    <row r="26" spans="1:3" x14ac:dyDescent="0.25">
      <c r="A26" t="s">
        <v>78</v>
      </c>
    </row>
    <row r="27" spans="1:3" x14ac:dyDescent="0.25">
      <c r="A27" t="s">
        <v>73</v>
      </c>
    </row>
    <row r="28" spans="1:3" x14ac:dyDescent="0.25">
      <c r="A28" t="s">
        <v>105</v>
      </c>
    </row>
    <row r="29" spans="1:3" x14ac:dyDescent="0.25">
      <c r="A29" t="s">
        <v>103</v>
      </c>
    </row>
    <row r="30" spans="1:3" x14ac:dyDescent="0.25">
      <c r="A30" t="s">
        <v>74</v>
      </c>
    </row>
    <row r="31" spans="1:3" x14ac:dyDescent="0.25">
      <c r="A31" s="65" t="s">
        <v>95</v>
      </c>
    </row>
    <row r="32" spans="1:3" x14ac:dyDescent="0.25">
      <c r="A32" t="s">
        <v>124</v>
      </c>
    </row>
    <row r="33" spans="1:2" x14ac:dyDescent="0.25">
      <c r="A33" t="s">
        <v>125</v>
      </c>
    </row>
    <row r="35" spans="1:2" x14ac:dyDescent="0.25">
      <c r="A35" t="s">
        <v>106</v>
      </c>
    </row>
    <row r="36" spans="1:2" x14ac:dyDescent="0.25">
      <c r="A36" t="s">
        <v>126</v>
      </c>
    </row>
    <row r="37" spans="1:2" x14ac:dyDescent="0.25">
      <c r="A37" t="s">
        <v>109</v>
      </c>
    </row>
    <row r="39" spans="1:2" x14ac:dyDescent="0.25">
      <c r="A39" s="67" t="s">
        <v>75</v>
      </c>
      <c r="B39" s="65" t="s">
        <v>70</v>
      </c>
    </row>
    <row r="41" spans="1:2" x14ac:dyDescent="0.25">
      <c r="A41" t="s">
        <v>114</v>
      </c>
    </row>
    <row r="42" spans="1:2" x14ac:dyDescent="0.25">
      <c r="A42" t="s">
        <v>115</v>
      </c>
    </row>
    <row r="43" spans="1:2" x14ac:dyDescent="0.25">
      <c r="A43" t="s">
        <v>99</v>
      </c>
    </row>
    <row r="45" spans="1:2" x14ac:dyDescent="0.25">
      <c r="A45" s="67" t="s">
        <v>76</v>
      </c>
      <c r="B45" s="65" t="s">
        <v>92</v>
      </c>
    </row>
    <row r="47" spans="1:2" x14ac:dyDescent="0.25">
      <c r="A47" t="s">
        <v>127</v>
      </c>
    </row>
    <row r="48" spans="1:2" x14ac:dyDescent="0.25">
      <c r="A48" t="s">
        <v>93</v>
      </c>
    </row>
    <row r="49" spans="1:2" x14ac:dyDescent="0.25">
      <c r="A49" t="s">
        <v>94</v>
      </c>
    </row>
    <row r="50" spans="1:2" x14ac:dyDescent="0.25">
      <c r="A50" t="s">
        <v>128</v>
      </c>
    </row>
    <row r="51" spans="1:2" x14ac:dyDescent="0.25">
      <c r="A51" t="s">
        <v>116</v>
      </c>
    </row>
    <row r="52" spans="1:2" x14ac:dyDescent="0.25">
      <c r="A52" t="s">
        <v>129</v>
      </c>
    </row>
    <row r="53" spans="1:2" x14ac:dyDescent="0.25">
      <c r="A53" t="s">
        <v>131</v>
      </c>
    </row>
    <row r="55" spans="1:2" x14ac:dyDescent="0.25">
      <c r="A55" t="s">
        <v>110</v>
      </c>
    </row>
    <row r="57" spans="1:2" x14ac:dyDescent="0.25">
      <c r="A57" s="67" t="s">
        <v>80</v>
      </c>
      <c r="B57" s="65" t="s">
        <v>77</v>
      </c>
    </row>
    <row r="59" spans="1:2" x14ac:dyDescent="0.25">
      <c r="A59" t="s">
        <v>79</v>
      </c>
    </row>
    <row r="60" spans="1:2" x14ac:dyDescent="0.25">
      <c r="A60" t="s">
        <v>111</v>
      </c>
    </row>
    <row r="61" spans="1:2" x14ac:dyDescent="0.25">
      <c r="A61" t="s">
        <v>130</v>
      </c>
    </row>
    <row r="63" spans="1:2" x14ac:dyDescent="0.25">
      <c r="A63" s="67" t="s">
        <v>91</v>
      </c>
      <c r="B63" s="65" t="s">
        <v>81</v>
      </c>
    </row>
    <row r="65" spans="1:1" x14ac:dyDescent="0.25">
      <c r="A65" t="s">
        <v>82</v>
      </c>
    </row>
    <row r="66" spans="1:1" x14ac:dyDescent="0.25">
      <c r="A66" t="s">
        <v>84</v>
      </c>
    </row>
    <row r="67" spans="1:1" x14ac:dyDescent="0.25">
      <c r="A67" t="s">
        <v>83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112</v>
      </c>
    </row>
    <row r="72" spans="1:1" x14ac:dyDescent="0.25">
      <c r="A72" t="s">
        <v>113</v>
      </c>
    </row>
    <row r="74" spans="1:1" x14ac:dyDescent="0.25">
      <c r="A74" t="s">
        <v>117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112</v>
      </c>
    </row>
    <row r="78" spans="1:1" x14ac:dyDescent="0.25">
      <c r="A78" t="s">
        <v>113</v>
      </c>
    </row>
    <row r="80" spans="1:1" x14ac:dyDescent="0.25">
      <c r="A80" s="65" t="s">
        <v>96</v>
      </c>
    </row>
    <row r="82" spans="1:1" x14ac:dyDescent="0.25">
      <c r="A82" s="6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026-3302-4202-B427-41AC0D6EAB9C}">
  <sheetPr>
    <tabColor theme="6" tint="0.39997558519241921"/>
  </sheetPr>
  <dimension ref="A1"/>
  <sheetViews>
    <sheetView topLeftCell="A17" zoomScaleNormal="100" workbookViewId="0">
      <selection activeCell="N48" sqref="N48"/>
    </sheetView>
  </sheetViews>
  <sheetFormatPr baseColWidth="10" defaultRowHeight="15" x14ac:dyDescent="0.25"/>
  <sheetData>
    <row r="1" spans="1:1" x14ac:dyDescent="0.25">
      <c r="A1" s="223" t="s">
        <v>223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611C-5FF0-43D8-A173-C5E8D33A1FBB}">
  <sheetPr>
    <tabColor theme="6" tint="0.39997558519241921"/>
  </sheetPr>
  <dimension ref="A1:O28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EN_0900_005_m+EN_0900_005_p</f>
        <v>17.198412672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230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17.198412672</v>
      </c>
      <c r="O5" s="163"/>
    </row>
    <row r="6" spans="1:15" x14ac:dyDescent="0.25">
      <c r="A6" s="182" t="s">
        <v>7</v>
      </c>
      <c r="B6" s="175" t="s">
        <v>231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1.3388601600000001</v>
      </c>
      <c r="F11" s="197" t="s">
        <v>155</v>
      </c>
      <c r="G11" s="197"/>
      <c r="H11" s="210"/>
      <c r="I11" s="211" t="s">
        <v>232</v>
      </c>
      <c r="J11" s="212">
        <f>374*120/1000000</f>
        <v>4.4880000000000003E-2</v>
      </c>
      <c r="K11" s="213">
        <f>11/1000</f>
        <v>1.0999999999999999E-2</v>
      </c>
      <c r="L11" s="214">
        <v>2712</v>
      </c>
      <c r="M11" s="214">
        <v>1</v>
      </c>
      <c r="N11" s="215">
        <f>IF(J11="",D11*M11,D11*J11*K11*L11*M11)</f>
        <v>5.6232126720000002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5.6232126720000002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256.88</v>
      </c>
      <c r="G17" s="194" t="s">
        <v>229</v>
      </c>
      <c r="H17" s="204">
        <v>1</v>
      </c>
      <c r="I17" s="215">
        <f>IF(H17="",D17*F17,D17*F17*H17)</f>
        <v>10.2752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11.575200000000001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177"/>
      <c r="F22" s="218"/>
      <c r="G22" s="218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218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ht="15.75" thickBot="1" x14ac:dyDescent="0.3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4"/>
    </row>
  </sheetData>
  <hyperlinks>
    <hyperlink ref="D3" location="'EN_0900_005 Drawing'!A1" display="FileLink1" xr:uid="{61892D57-9684-4295-9529-3CA5DC00953C}"/>
    <hyperlink ref="B4" location="EN_A0900!A1" display="Differential" xr:uid="{C621E891-E732-4DF6-A9C8-22D55A42E267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2B02-713E-4B1A-90B4-9B3E5C72B5DC}">
  <sheetPr>
    <tabColor theme="6" tint="0.39997558519241921"/>
  </sheetPr>
  <dimension ref="A1"/>
  <sheetViews>
    <sheetView topLeftCell="A7" workbookViewId="0">
      <selection activeCell="A2" sqref="A2"/>
    </sheetView>
  </sheetViews>
  <sheetFormatPr baseColWidth="10" defaultRowHeight="15" x14ac:dyDescent="0.25"/>
  <sheetData>
    <row r="1" spans="1:1" x14ac:dyDescent="0.25">
      <c r="A1" s="66" t="s">
        <v>231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F031-A6B2-4C3F-B011-3A3FB7B7A2BE}">
  <sheetPr>
    <tabColor theme="6" tint="0.39997558519241921"/>
  </sheetPr>
  <dimension ref="A1:O26"/>
  <sheetViews>
    <sheetView topLeftCell="D1" workbookViewId="0">
      <selection activeCell="N12" sqref="N12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EN_0900_006_m+EN_0900_006_p</f>
        <v>0.83337245000000004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3.3334898000000002</v>
      </c>
      <c r="O5" s="163"/>
    </row>
    <row r="6" spans="1:15" x14ac:dyDescent="0.25">
      <c r="A6" s="182" t="s">
        <v>7</v>
      </c>
      <c r="B6" s="175" t="s">
        <v>233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3.6832200000000002E-2</v>
      </c>
      <c r="F11" s="139" t="s">
        <v>155</v>
      </c>
      <c r="G11" s="139"/>
      <c r="H11" s="142"/>
      <c r="I11" s="143" t="s">
        <v>236</v>
      </c>
      <c r="J11" s="143">
        <f>46*34/1000000</f>
        <v>1.5640000000000001E-3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8.287245E-2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2" t="s">
        <v>18</v>
      </c>
      <c r="N12" s="105">
        <f>SUM(N11:N11)</f>
        <v>8.287245E-2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182" t="s">
        <v>14</v>
      </c>
      <c r="B14" s="186" t="s">
        <v>31</v>
      </c>
      <c r="C14" s="186" t="s">
        <v>20</v>
      </c>
      <c r="D14" s="186" t="s">
        <v>21</v>
      </c>
      <c r="E14" s="186" t="s">
        <v>32</v>
      </c>
      <c r="F14" s="186" t="s">
        <v>17</v>
      </c>
      <c r="G14" s="186" t="s">
        <v>33</v>
      </c>
      <c r="H14" s="186" t="s">
        <v>34</v>
      </c>
      <c r="I14" s="186" t="s">
        <v>18</v>
      </c>
      <c r="J14" s="19"/>
      <c r="K14" s="19"/>
      <c r="L14" s="19"/>
      <c r="M14" s="19"/>
      <c r="N14" s="19"/>
      <c r="O14" s="163"/>
    </row>
    <row r="15" spans="1:15" ht="30" x14ac:dyDescent="0.25">
      <c r="A15" s="187">
        <v>10</v>
      </c>
      <c r="B15" s="220" t="s">
        <v>43</v>
      </c>
      <c r="C15" s="195" t="s">
        <v>218</v>
      </c>
      <c r="D15" s="221">
        <v>1.3</v>
      </c>
      <c r="E15" s="197" t="s">
        <v>32</v>
      </c>
      <c r="F15" s="197">
        <v>1</v>
      </c>
      <c r="G15" s="207" t="s">
        <v>237</v>
      </c>
      <c r="H15" s="195">
        <f>1/8</f>
        <v>0.125</v>
      </c>
      <c r="I15" s="140">
        <f>IF(H15="",D15*F15,D15*F15*H15)</f>
        <v>0.16250000000000001</v>
      </c>
      <c r="J15" s="47"/>
      <c r="K15" s="47"/>
      <c r="L15" s="47"/>
      <c r="M15" s="47"/>
      <c r="N15" s="47"/>
      <c r="O15" s="169"/>
    </row>
    <row r="16" spans="1:15" x14ac:dyDescent="0.25">
      <c r="A16" s="205">
        <v>20</v>
      </c>
      <c r="B16" s="195" t="s">
        <v>44</v>
      </c>
      <c r="C16" s="216" t="s">
        <v>239</v>
      </c>
      <c r="D16" s="221">
        <v>0.01</v>
      </c>
      <c r="E16" s="197" t="s">
        <v>45</v>
      </c>
      <c r="F16" s="197">
        <v>19.600000000000001</v>
      </c>
      <c r="G16" s="197" t="s">
        <v>238</v>
      </c>
      <c r="H16" s="197">
        <v>3</v>
      </c>
      <c r="I16" s="140">
        <f>IF(H16="",D16*F16,D16*F16*H16)</f>
        <v>0.58800000000000008</v>
      </c>
      <c r="J16" s="47"/>
      <c r="K16" s="47"/>
      <c r="L16" s="47"/>
      <c r="M16" s="47"/>
      <c r="N16" s="47"/>
      <c r="O16" s="169"/>
    </row>
    <row r="17" spans="1:15" x14ac:dyDescent="0.25">
      <c r="A17" s="168"/>
      <c r="B17" s="19"/>
      <c r="C17" s="19"/>
      <c r="D17" s="19"/>
      <c r="E17" s="19"/>
      <c r="F17" s="19"/>
      <c r="G17" s="19"/>
      <c r="H17" s="110" t="s">
        <v>18</v>
      </c>
      <c r="I17" s="105">
        <f>SUM(I15:I16)</f>
        <v>0.75050000000000006</v>
      </c>
      <c r="J17" s="19"/>
      <c r="K17" s="19"/>
      <c r="L17" s="19"/>
      <c r="M17" s="19"/>
      <c r="N17" s="19"/>
      <c r="O17" s="163"/>
    </row>
    <row r="18" spans="1:15" x14ac:dyDescent="0.25">
      <c r="A18" s="16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177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177"/>
      <c r="E21" s="177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6 Drawing'!A1" display="FileLink1" xr:uid="{731B3E14-BD29-4A7B-8AEC-C7E1C65CD6EF}"/>
    <hyperlink ref="B4" location="EN_A0900!A1" display="Differential" xr:uid="{C1C6B9F0-5163-4372-B430-5697255E03BF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2C23-2CF0-4D1F-B54A-55E717260FC6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233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C19-37A4-4EEE-84E9-C63D226B8D65}">
  <sheetPr>
    <tabColor theme="6" tint="0.39997558519241921"/>
  </sheetPr>
  <dimension ref="A1:O25"/>
  <sheetViews>
    <sheetView zoomScale="85" zoomScaleNormal="85" workbookViewId="0">
      <selection activeCell="O20" sqref="O20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EN_0900_007_m+EN_0900_007_p</f>
        <v>0.806785325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3.2271413</v>
      </c>
      <c r="O5" s="163"/>
    </row>
    <row r="6" spans="1:15" x14ac:dyDescent="0.25">
      <c r="A6" s="182" t="s">
        <v>7</v>
      </c>
      <c r="B6" s="175" t="s">
        <v>240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3.1415699999999998E-2</v>
      </c>
      <c r="F11" s="139" t="s">
        <v>155</v>
      </c>
      <c r="G11" s="139"/>
      <c r="H11" s="142"/>
      <c r="I11" s="143" t="s">
        <v>241</v>
      </c>
      <c r="J11" s="143">
        <f>46*29/1000000</f>
        <v>1.3339999999999999E-3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7.0685324999999993E-2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2" t="s">
        <v>18</v>
      </c>
      <c r="N12" s="105">
        <f>SUM(N11:N11)</f>
        <v>7.0685324999999993E-2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182" t="s">
        <v>14</v>
      </c>
      <c r="B14" s="186" t="s">
        <v>31</v>
      </c>
      <c r="C14" s="186" t="s">
        <v>20</v>
      </c>
      <c r="D14" s="186" t="s">
        <v>21</v>
      </c>
      <c r="E14" s="186" t="s">
        <v>32</v>
      </c>
      <c r="F14" s="186" t="s">
        <v>17</v>
      </c>
      <c r="G14" s="186" t="s">
        <v>33</v>
      </c>
      <c r="H14" s="186" t="s">
        <v>34</v>
      </c>
      <c r="I14" s="186" t="s">
        <v>18</v>
      </c>
      <c r="J14" s="19"/>
      <c r="K14" s="19"/>
      <c r="L14" s="19"/>
      <c r="M14" s="19"/>
      <c r="N14" s="19"/>
      <c r="O14" s="163"/>
    </row>
    <row r="15" spans="1:15" x14ac:dyDescent="0.25">
      <c r="A15" s="187">
        <v>10</v>
      </c>
      <c r="B15" s="220" t="s">
        <v>43</v>
      </c>
      <c r="C15" s="195" t="s">
        <v>218</v>
      </c>
      <c r="D15" s="221">
        <v>1.3</v>
      </c>
      <c r="E15" s="197" t="s">
        <v>32</v>
      </c>
      <c r="F15" s="197">
        <v>1</v>
      </c>
      <c r="G15" s="207" t="s">
        <v>237</v>
      </c>
      <c r="H15" s="195">
        <f>1/8</f>
        <v>0.125</v>
      </c>
      <c r="I15" s="140">
        <f>IF(H15="",D15*F15,D15*F15*H15)</f>
        <v>0.16250000000000001</v>
      </c>
      <c r="J15" s="47"/>
      <c r="K15" s="47"/>
      <c r="L15" s="47"/>
      <c r="M15" s="47"/>
      <c r="N15" s="47"/>
      <c r="O15" s="169"/>
    </row>
    <row r="16" spans="1:15" x14ac:dyDescent="0.25">
      <c r="A16" s="205">
        <v>20</v>
      </c>
      <c r="B16" s="195" t="s">
        <v>44</v>
      </c>
      <c r="C16" s="216" t="s">
        <v>239</v>
      </c>
      <c r="D16" s="221">
        <v>0.01</v>
      </c>
      <c r="E16" s="197" t="s">
        <v>45</v>
      </c>
      <c r="F16" s="197">
        <v>19.12</v>
      </c>
      <c r="G16" s="197" t="s">
        <v>238</v>
      </c>
      <c r="H16" s="197">
        <v>3</v>
      </c>
      <c r="I16" s="140">
        <f>IF(H16="",D16*F16,D16*F16*H16)</f>
        <v>0.5736</v>
      </c>
      <c r="J16" s="47"/>
      <c r="K16" s="47"/>
      <c r="L16" s="47"/>
      <c r="M16" s="47"/>
      <c r="N16" s="47"/>
      <c r="O16" s="169"/>
    </row>
    <row r="17" spans="1:15" x14ac:dyDescent="0.25">
      <c r="A17" s="168"/>
      <c r="B17" s="19"/>
      <c r="C17" s="19"/>
      <c r="D17" s="19"/>
      <c r="E17" s="19"/>
      <c r="F17" s="19"/>
      <c r="G17" s="19"/>
      <c r="H17" s="110" t="s">
        <v>18</v>
      </c>
      <c r="I17" s="105">
        <f>SUM(I15:I16)</f>
        <v>0.73609999999999998</v>
      </c>
      <c r="J17" s="19"/>
      <c r="K17" s="19"/>
      <c r="L17" s="19"/>
      <c r="M17" s="19"/>
      <c r="N17" s="19"/>
      <c r="O17" s="163"/>
    </row>
    <row r="18" spans="1:15" x14ac:dyDescent="0.25">
      <c r="A18" s="16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7 Drawing'!A1" display="FileLink1" xr:uid="{456BD7D5-0F5C-4D47-BE9E-315D5EC71C92}"/>
    <hyperlink ref="B4" location="EN_A0900!A1" display="Differential" xr:uid="{0B4776C4-222A-4C11-8FD8-6C52C73E682C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C624-E26D-4C77-98B2-9FCF568FF717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240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3668-160D-42F8-9C78-2918A90FDF49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EN_0900_008_m+EN_0900_008_p</f>
        <v>1.5521247499999999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152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1.5521247499999999</v>
      </c>
      <c r="O5" s="163"/>
    </row>
    <row r="6" spans="1:15" x14ac:dyDescent="0.25">
      <c r="A6" s="182" t="s">
        <v>7</v>
      </c>
      <c r="B6" s="175" t="s">
        <v>242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6.6410999999999998E-2</v>
      </c>
      <c r="F11" s="139" t="s">
        <v>155</v>
      </c>
      <c r="G11" s="139"/>
      <c r="H11" s="142"/>
      <c r="I11" s="143" t="s">
        <v>243</v>
      </c>
      <c r="J11" s="143">
        <f>60*47/1000000</f>
        <v>2.82E-3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0.14942475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0.14942475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25.09</v>
      </c>
      <c r="G17" s="197" t="s">
        <v>238</v>
      </c>
      <c r="H17" s="197">
        <v>3</v>
      </c>
      <c r="I17" s="140">
        <f>IF(H17="",D17*F17,D17*F17*H17)</f>
        <v>0.75270000000000004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1.4027000000000001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8 Drawing'!A1" display="FileLink1" xr:uid="{CF540C9A-7D70-4139-B381-37726EB07E31}"/>
    <hyperlink ref="B4" location="EN_A0900!A1" display="Differential" xr:uid="{8E555552-4149-49E4-B1BD-DF0DF724A9BC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C775-5DF4-43D4-A248-EF81D0028773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242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C40-352C-4863-A7D8-A4EE5DA4B3A3}">
  <sheetPr>
    <tabColor theme="6" tint="0.39997558519241921"/>
  </sheetPr>
  <dimension ref="A1:O25"/>
  <sheetViews>
    <sheetView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EN_0900_009_m+EN_0900_009_p</f>
        <v>1.5630151625000002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245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1.5630151625000002</v>
      </c>
      <c r="O5" s="163"/>
    </row>
    <row r="6" spans="1:15" x14ac:dyDescent="0.25">
      <c r="A6" s="182" t="s">
        <v>7</v>
      </c>
      <c r="B6" s="175" t="s">
        <v>246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6.7517850000000004E-2</v>
      </c>
      <c r="F11" s="139" t="s">
        <v>155</v>
      </c>
      <c r="G11" s="139"/>
      <c r="H11" s="142"/>
      <c r="I11" s="143" t="s">
        <v>247</v>
      </c>
      <c r="J11" s="143">
        <f>61*47/1000000</f>
        <v>2.8670000000000002E-3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0.15191516250000001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0.15191516250000001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25.37</v>
      </c>
      <c r="G17" s="197" t="s">
        <v>238</v>
      </c>
      <c r="H17" s="197">
        <v>3</v>
      </c>
      <c r="I17" s="140">
        <f>IF(H17="",D17*F17,D17*F17*H17)</f>
        <v>0.76110000000000011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1.4111000000000002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9 Drawing'!A1" display="FileLink1" xr:uid="{C0B6B514-8E88-4C67-A76D-070A1E227D85}"/>
    <hyperlink ref="B4" location="EN_A0900!A1" display="Differential" xr:uid="{137EB44C-786B-48DF-87C7-3D5DCA7C709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I21" sqref="I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1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1" t="s">
        <v>0</v>
      </c>
      <c r="B1" s="71" t="s">
        <v>42</v>
      </c>
      <c r="D1" s="32"/>
      <c r="M1" s="44" t="s">
        <v>46</v>
      </c>
      <c r="N1" s="33"/>
      <c r="O1" s="43" t="e">
        <f>#REF!</f>
        <v>#REF!</v>
      </c>
    </row>
    <row r="2" spans="1:15" s="15" customFormat="1" ht="15.75" thickBot="1" x14ac:dyDescent="0.3">
      <c r="A2" s="39" t="s">
        <v>47</v>
      </c>
      <c r="B2" s="70" t="s">
        <v>118</v>
      </c>
      <c r="C2" s="14"/>
      <c r="F2" s="27"/>
    </row>
    <row r="3" spans="1:15" s="15" customFormat="1" ht="16.5" thickTop="1" thickBot="1" x14ac:dyDescent="0.3">
      <c r="A3" s="40" t="s">
        <v>48</v>
      </c>
      <c r="B3" s="42">
        <v>2018</v>
      </c>
      <c r="C3" s="14"/>
      <c r="F3" s="27"/>
    </row>
    <row r="4" spans="1:15" s="15" customFormat="1" ht="16.5" thickTop="1" thickBot="1" x14ac:dyDescent="0.3">
      <c r="A4" s="38" t="s">
        <v>1</v>
      </c>
      <c r="B4" s="69">
        <v>81</v>
      </c>
      <c r="C4" s="14"/>
      <c r="D4" s="32" t="s">
        <v>49</v>
      </c>
      <c r="F4" s="27"/>
    </row>
    <row r="5" spans="1:15" s="25" customFormat="1" ht="15.75" thickTop="1" x14ac:dyDescent="0.25">
      <c r="A5" s="24"/>
      <c r="B5" s="28"/>
      <c r="C5" s="26"/>
      <c r="F5" s="29"/>
    </row>
    <row r="6" spans="1:15" s="23" customFormat="1" ht="49.5" customHeight="1" x14ac:dyDescent="0.25">
      <c r="A6" s="22" t="s">
        <v>50</v>
      </c>
      <c r="B6" s="35" t="s">
        <v>51</v>
      </c>
      <c r="C6" s="35" t="s">
        <v>52</v>
      </c>
      <c r="D6" s="35" t="s">
        <v>53</v>
      </c>
      <c r="E6" s="35" t="s">
        <v>54</v>
      </c>
      <c r="F6" s="35" t="s">
        <v>55</v>
      </c>
      <c r="G6" s="35" t="s">
        <v>56</v>
      </c>
      <c r="H6" s="37" t="s">
        <v>57</v>
      </c>
      <c r="I6" s="35" t="s">
        <v>17</v>
      </c>
      <c r="J6" s="35" t="s">
        <v>58</v>
      </c>
      <c r="K6" s="35" t="s">
        <v>59</v>
      </c>
      <c r="L6" s="35" t="s">
        <v>60</v>
      </c>
      <c r="M6" s="35" t="s">
        <v>61</v>
      </c>
      <c r="N6" s="36" t="s">
        <v>62</v>
      </c>
      <c r="O6" s="35" t="s">
        <v>63</v>
      </c>
    </row>
    <row r="7" spans="1:15" ht="15" x14ac:dyDescent="0.25">
      <c r="A7" s="74"/>
      <c r="B7" s="75" t="str">
        <f>EN_A0900!B3</f>
        <v>Engine &amp; Drivetrain</v>
      </c>
      <c r="C7" s="76" t="e">
        <f>EN_A0001</f>
        <v>#NAME?</v>
      </c>
      <c r="D7" s="76" t="s">
        <v>11</v>
      </c>
      <c r="E7" s="76"/>
      <c r="F7" s="77" t="str">
        <f>'[1]BR Assembly'!B4</f>
        <v>Nom de l'assemblage 1</v>
      </c>
      <c r="G7" s="76"/>
      <c r="H7" s="78" t="e">
        <f>SUM(J7:M7)</f>
        <v>#NAME?</v>
      </c>
      <c r="I7" s="79" t="e">
        <f>EN_A0001_q</f>
        <v>#NAME?</v>
      </c>
      <c r="J7" s="80" t="e">
        <f>EN_A0001_m</f>
        <v>#NAME?</v>
      </c>
      <c r="K7" s="80" t="e">
        <f>EN_A0001_p</f>
        <v>#NAME?</v>
      </c>
      <c r="L7" s="80" t="e">
        <f>EN_A0001_f</f>
        <v>#NAME?</v>
      </c>
      <c r="M7" s="80" t="e">
        <f>EN_A0001_t</f>
        <v>#NAME?</v>
      </c>
      <c r="N7" s="81" t="e">
        <f t="shared" ref="N7:N17" si="0">H7*I7</f>
        <v>#NAME?</v>
      </c>
      <c r="O7" s="82"/>
    </row>
    <row r="8" spans="1:15" ht="15" x14ac:dyDescent="0.25">
      <c r="A8" s="83"/>
      <c r="B8" s="84" t="str">
        <f>EN_A0900!$B$3</f>
        <v>Engine &amp; Drivetrain</v>
      </c>
      <c r="C8" s="85" t="e">
        <f>EN_01001</f>
        <v>#NAME?</v>
      </c>
      <c r="D8" s="86" t="s">
        <v>11</v>
      </c>
      <c r="E8" s="86" t="str">
        <f>F7</f>
        <v>Nom de l'assemblage 1</v>
      </c>
      <c r="F8" s="87" t="str">
        <f>EN_0900_001!B5</f>
        <v>Housing</v>
      </c>
      <c r="G8" s="86"/>
      <c r="H8" s="88" t="e">
        <f t="shared" ref="H8:H17" si="1">SUM(J8:M8)</f>
        <v>#NAME?</v>
      </c>
      <c r="I8" s="89" t="e">
        <f>EN_A0001_q*EN_01001_q</f>
        <v>#NAME?</v>
      </c>
      <c r="J8" s="90" t="e">
        <f>EN_01001_m</f>
        <v>#NAME?</v>
      </c>
      <c r="K8" s="90" t="e">
        <f>EN_01001_p</f>
        <v>#NAME?</v>
      </c>
      <c r="L8" s="90" t="e">
        <f>EN_01001_f</f>
        <v>#NAME?</v>
      </c>
      <c r="M8" s="90" t="e">
        <f>EN_01001_t</f>
        <v>#NAME?</v>
      </c>
      <c r="N8" s="91" t="e">
        <f t="shared" si="0"/>
        <v>#NAME?</v>
      </c>
      <c r="O8" s="92"/>
    </row>
    <row r="9" spans="1:15" ht="14.25" x14ac:dyDescent="0.2">
      <c r="A9" s="83"/>
      <c r="B9" s="84" t="str">
        <f>EN_A0900!$B$3</f>
        <v>Engine &amp; Drivetrain</v>
      </c>
      <c r="C9" s="86"/>
      <c r="D9" s="86" t="s">
        <v>11</v>
      </c>
      <c r="E9" s="86"/>
      <c r="F9" s="84"/>
      <c r="G9" s="86"/>
      <c r="H9" s="88">
        <f t="shared" si="1"/>
        <v>0</v>
      </c>
      <c r="I9" s="93"/>
      <c r="J9" s="90"/>
      <c r="K9" s="90"/>
      <c r="L9" s="90"/>
      <c r="M9" s="90"/>
      <c r="N9" s="91">
        <f t="shared" si="0"/>
        <v>0</v>
      </c>
      <c r="O9" s="92"/>
    </row>
    <row r="10" spans="1:15" ht="14.25" x14ac:dyDescent="0.2">
      <c r="A10" s="83"/>
      <c r="B10" s="84" t="str">
        <f>EN_A0900!$B$3</f>
        <v>Engine &amp; Drivetrain</v>
      </c>
      <c r="C10" s="86"/>
      <c r="D10" s="86" t="s">
        <v>11</v>
      </c>
      <c r="E10" s="86"/>
      <c r="F10" s="84"/>
      <c r="G10" s="86"/>
      <c r="H10" s="88">
        <f t="shared" si="1"/>
        <v>0</v>
      </c>
      <c r="I10" s="93"/>
      <c r="J10" s="90"/>
      <c r="K10" s="90"/>
      <c r="L10" s="90"/>
      <c r="M10" s="90"/>
      <c r="N10" s="91">
        <f t="shared" si="0"/>
        <v>0</v>
      </c>
      <c r="O10" s="92"/>
    </row>
    <row r="11" spans="1:15" ht="14.25" x14ac:dyDescent="0.2">
      <c r="A11" s="83"/>
      <c r="B11" s="84" t="str">
        <f>EN_A0900!$B$3</f>
        <v>Engine &amp; Drivetrain</v>
      </c>
      <c r="C11" s="86"/>
      <c r="D11" s="86" t="s">
        <v>11</v>
      </c>
      <c r="E11" s="86"/>
      <c r="F11" s="84"/>
      <c r="G11" s="86"/>
      <c r="H11" s="88">
        <f t="shared" si="1"/>
        <v>0</v>
      </c>
      <c r="I11" s="93"/>
      <c r="J11" s="90"/>
      <c r="K11" s="90"/>
      <c r="L11" s="90"/>
      <c r="M11" s="90"/>
      <c r="N11" s="91">
        <f t="shared" si="0"/>
        <v>0</v>
      </c>
      <c r="O11" s="92"/>
    </row>
    <row r="12" spans="1:15" ht="14.25" x14ac:dyDescent="0.2">
      <c r="A12" s="83"/>
      <c r="B12" s="84" t="str">
        <f>EN_A0900!$B$3</f>
        <v>Engine &amp; Drivetrain</v>
      </c>
      <c r="C12" s="86"/>
      <c r="D12" s="86" t="s">
        <v>11</v>
      </c>
      <c r="E12" s="86"/>
      <c r="F12" s="84"/>
      <c r="G12" s="86"/>
      <c r="H12" s="88">
        <f t="shared" si="1"/>
        <v>0</v>
      </c>
      <c r="I12" s="93"/>
      <c r="J12" s="90"/>
      <c r="K12" s="90"/>
      <c r="L12" s="90"/>
      <c r="M12" s="90"/>
      <c r="N12" s="91">
        <f t="shared" si="0"/>
        <v>0</v>
      </c>
      <c r="O12" s="92"/>
    </row>
    <row r="13" spans="1:15" ht="14.25" x14ac:dyDescent="0.2">
      <c r="A13" s="83"/>
      <c r="B13" s="84" t="str">
        <f>EN_A0900!$B$3</f>
        <v>Engine &amp; Drivetrain</v>
      </c>
      <c r="C13" s="86"/>
      <c r="D13" s="86" t="s">
        <v>11</v>
      </c>
      <c r="E13" s="86"/>
      <c r="F13" s="84"/>
      <c r="G13" s="86"/>
      <c r="H13" s="88">
        <f t="shared" si="1"/>
        <v>0</v>
      </c>
      <c r="I13" s="93"/>
      <c r="J13" s="90"/>
      <c r="K13" s="90"/>
      <c r="L13" s="90"/>
      <c r="M13" s="90"/>
      <c r="N13" s="91">
        <f t="shared" si="0"/>
        <v>0</v>
      </c>
      <c r="O13" s="92"/>
    </row>
    <row r="14" spans="1:15" ht="14.25" x14ac:dyDescent="0.2">
      <c r="A14" s="83"/>
      <c r="B14" s="84" t="str">
        <f>EN_A0900!$B$3</f>
        <v>Engine &amp; Drivetrain</v>
      </c>
      <c r="C14" s="86"/>
      <c r="D14" s="86" t="s">
        <v>11</v>
      </c>
      <c r="E14" s="86"/>
      <c r="F14" s="84"/>
      <c r="G14" s="86"/>
      <c r="H14" s="88">
        <f t="shared" si="1"/>
        <v>0</v>
      </c>
      <c r="I14" s="93"/>
      <c r="J14" s="90"/>
      <c r="K14" s="90"/>
      <c r="L14" s="90"/>
      <c r="M14" s="90"/>
      <c r="N14" s="91">
        <f t="shared" si="0"/>
        <v>0</v>
      </c>
      <c r="O14" s="92"/>
    </row>
    <row r="15" spans="1:15" ht="14.25" x14ac:dyDescent="0.2">
      <c r="A15" s="83"/>
      <c r="B15" s="84" t="str">
        <f>EN_A0900!$B$3</f>
        <v>Engine &amp; Drivetrain</v>
      </c>
      <c r="C15" s="86"/>
      <c r="D15" s="86" t="s">
        <v>11</v>
      </c>
      <c r="E15" s="86"/>
      <c r="F15" s="84"/>
      <c r="G15" s="94"/>
      <c r="H15" s="88">
        <f t="shared" si="1"/>
        <v>0</v>
      </c>
      <c r="I15" s="93"/>
      <c r="J15" s="90"/>
      <c r="K15" s="90"/>
      <c r="L15" s="90"/>
      <c r="M15" s="90"/>
      <c r="N15" s="91">
        <f t="shared" si="0"/>
        <v>0</v>
      </c>
      <c r="O15" s="92"/>
    </row>
    <row r="16" spans="1:15" ht="14.25" x14ac:dyDescent="0.2">
      <c r="A16" s="83"/>
      <c r="B16" s="84" t="str">
        <f>EN_A0900!$B$3</f>
        <v>Engine &amp; Drivetrain</v>
      </c>
      <c r="C16" s="86"/>
      <c r="D16" s="86" t="s">
        <v>11</v>
      </c>
      <c r="E16" s="86"/>
      <c r="F16" s="84"/>
      <c r="G16" s="86"/>
      <c r="H16" s="88">
        <f t="shared" si="1"/>
        <v>0</v>
      </c>
      <c r="I16" s="93"/>
      <c r="J16" s="90"/>
      <c r="K16" s="90"/>
      <c r="L16" s="90"/>
      <c r="M16" s="90"/>
      <c r="N16" s="91">
        <f t="shared" si="0"/>
        <v>0</v>
      </c>
      <c r="O16" s="92"/>
    </row>
    <row r="17" spans="1:15" ht="15" thickBot="1" x14ac:dyDescent="0.25">
      <c r="A17" s="83"/>
      <c r="B17" s="84" t="str">
        <f>EN_A0900!$B$3</f>
        <v>Engine &amp; Drivetrain</v>
      </c>
      <c r="C17" s="86"/>
      <c r="D17" s="86" t="s">
        <v>11</v>
      </c>
      <c r="E17" s="86"/>
      <c r="F17" s="84"/>
      <c r="G17" s="86"/>
      <c r="H17" s="88">
        <f t="shared" si="1"/>
        <v>0</v>
      </c>
      <c r="I17" s="93"/>
      <c r="J17" s="90"/>
      <c r="K17" s="90"/>
      <c r="L17" s="90"/>
      <c r="M17" s="90"/>
      <c r="N17" s="91">
        <f t="shared" si="0"/>
        <v>0</v>
      </c>
      <c r="O17" s="92"/>
    </row>
    <row r="18" spans="1:15" s="12" customFormat="1" ht="15.75" thickTop="1" thickBot="1" x14ac:dyDescent="0.25">
      <c r="A18" s="5"/>
      <c r="B18" s="30" t="str">
        <f>EN_A0900!B3</f>
        <v>Engine &amp; Drivetrain</v>
      </c>
      <c r="C18" s="1"/>
      <c r="D18" s="1"/>
      <c r="E18" s="1"/>
      <c r="F18" s="30" t="s">
        <v>64</v>
      </c>
      <c r="G18" s="1"/>
      <c r="H18" s="3"/>
      <c r="I18" s="4"/>
      <c r="J18" s="73" t="e">
        <f>SUMPRODUCT($I7:$I17,J7:J17)</f>
        <v>#NAME?</v>
      </c>
      <c r="K18" s="73" t="e">
        <f>SUMPRODUCT($I7:$I17,K7:K17)</f>
        <v>#NAME?</v>
      </c>
      <c r="L18" s="73" t="e">
        <f>SUMPRODUCT($I7:$I17,L7:L17)</f>
        <v>#NAME?</v>
      </c>
      <c r="M18" s="73" t="e">
        <f>SUMPRODUCT($I7:$I17,M7:M17)</f>
        <v>#NAME?</v>
      </c>
      <c r="N18" s="73" t="e">
        <f>SUM(N7:N17)</f>
        <v>#NAME?</v>
      </c>
      <c r="O18" s="2"/>
    </row>
    <row r="19" spans="1:15" ht="13.5" thickTop="1" x14ac:dyDescent="0.2">
      <c r="A19" s="11"/>
      <c r="B19" s="31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1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4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4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1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1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1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1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1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1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1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1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1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1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1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1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1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1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1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1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1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1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:M8 H9:H17 C7:C8 I7:M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844-52BF-4DAC-8E45-9D6F7FAE85A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246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EEE4-A982-4527-B4DE-123C5F0D382E}">
  <sheetPr>
    <tabColor theme="6" tint="-0.249977111117893"/>
  </sheetPr>
  <dimension ref="A1:O44"/>
  <sheetViews>
    <sheetView zoomScaleNormal="100" workbookViewId="0">
      <selection activeCell="B10" sqref="B10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EN_A1000_pa+EN_A1000_m+EN_A1000_p+EN_A1000_f</f>
        <v>534.45240754550855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248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534.45240754550855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249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227" t="s">
        <v>14</v>
      </c>
      <c r="B9" s="245" t="s">
        <v>15</v>
      </c>
      <c r="C9" s="228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230">
        <v>10</v>
      </c>
      <c r="B10" s="260" t="s">
        <v>250</v>
      </c>
      <c r="C10" s="229">
        <f>EN_1000_001!N$2</f>
        <v>66.549787154500507</v>
      </c>
      <c r="D10" s="231">
        <f>EN_1000_001_q</f>
        <v>2</v>
      </c>
      <c r="E10" s="232">
        <f>C10*D10</f>
        <v>133.09957430900101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63"/>
    </row>
    <row r="11" spans="1:15" x14ac:dyDescent="0.25">
      <c r="A11" s="230">
        <v>20</v>
      </c>
      <c r="B11" s="260" t="s">
        <v>251</v>
      </c>
      <c r="C11" s="229">
        <f>EN_1000_002!N$2</f>
        <v>72.275200595774251</v>
      </c>
      <c r="D11" s="231">
        <f>EN_1000_002_q</f>
        <v>2</v>
      </c>
      <c r="E11" s="232">
        <f>C11*D11</f>
        <v>144.5504011915485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63"/>
    </row>
    <row r="12" spans="1:15" x14ac:dyDescent="0.25">
      <c r="A12" s="230">
        <v>30</v>
      </c>
      <c r="B12" s="286" t="s">
        <v>253</v>
      </c>
      <c r="C12" s="229">
        <f>EN_1000_003!N$2</f>
        <v>16.43313830045987</v>
      </c>
      <c r="D12" s="231">
        <f>EN_1000_003_q</f>
        <v>1</v>
      </c>
      <c r="E12" s="232">
        <f>C12*D12</f>
        <v>16.43313830045987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67"/>
    </row>
    <row r="13" spans="1:15" x14ac:dyDescent="0.25">
      <c r="A13" s="230">
        <v>40</v>
      </c>
      <c r="B13" s="260" t="s">
        <v>252</v>
      </c>
      <c r="C13" s="229">
        <f>EN_1000_004!N$2</f>
        <v>17.337133082722115</v>
      </c>
      <c r="D13" s="231">
        <f>EN_1000_004_q</f>
        <v>1</v>
      </c>
      <c r="E13" s="232">
        <f>C13*D13</f>
        <v>17.337133082722115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63"/>
    </row>
    <row r="14" spans="1:15" x14ac:dyDescent="0.25">
      <c r="A14" s="164"/>
      <c r="B14" s="45"/>
      <c r="C14" s="45"/>
      <c r="D14" s="99" t="s">
        <v>18</v>
      </c>
      <c r="E14" s="100">
        <f>SUM(E10:E13)</f>
        <v>311.42024688373152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67"/>
    </row>
    <row r="16" spans="1:15" x14ac:dyDescent="0.25">
      <c r="A16" s="162" t="s">
        <v>14</v>
      </c>
      <c r="B16" s="95" t="s">
        <v>19</v>
      </c>
      <c r="C16" s="95" t="s">
        <v>20</v>
      </c>
      <c r="D16" s="95" t="s">
        <v>21</v>
      </c>
      <c r="E16" s="95" t="s">
        <v>22</v>
      </c>
      <c r="F16" s="95" t="s">
        <v>23</v>
      </c>
      <c r="G16" s="95" t="s">
        <v>24</v>
      </c>
      <c r="H16" s="95" t="s">
        <v>25</v>
      </c>
      <c r="I16" s="95" t="s">
        <v>26</v>
      </c>
      <c r="J16" s="95" t="s">
        <v>27</v>
      </c>
      <c r="K16" s="95" t="s">
        <v>28</v>
      </c>
      <c r="L16" s="95" t="s">
        <v>29</v>
      </c>
      <c r="M16" s="95" t="s">
        <v>17</v>
      </c>
      <c r="N16" s="95" t="s">
        <v>18</v>
      </c>
      <c r="O16" s="167"/>
    </row>
    <row r="17" spans="1:15" x14ac:dyDescent="0.25">
      <c r="A17" s="233">
        <v>10</v>
      </c>
      <c r="B17" s="234" t="s">
        <v>254</v>
      </c>
      <c r="C17" s="234" t="s">
        <v>255</v>
      </c>
      <c r="D17" s="235">
        <v>45</v>
      </c>
      <c r="E17" s="234"/>
      <c r="F17" s="234" t="s">
        <v>35</v>
      </c>
      <c r="G17" s="234"/>
      <c r="H17" s="236"/>
      <c r="I17" s="237"/>
      <c r="J17" s="238"/>
      <c r="K17" s="236"/>
      <c r="L17" s="236"/>
      <c r="M17" s="238">
        <v>4</v>
      </c>
      <c r="N17" s="239">
        <f>IF(J17="",D17*M17,D17*J17*K17*L17*M17)</f>
        <v>180</v>
      </c>
      <c r="O17" s="170"/>
    </row>
    <row r="18" spans="1:15" x14ac:dyDescent="0.25">
      <c r="A18" s="233">
        <v>20</v>
      </c>
      <c r="B18" s="234" t="s">
        <v>256</v>
      </c>
      <c r="C18" s="234" t="s">
        <v>257</v>
      </c>
      <c r="D18" s="235">
        <v>5</v>
      </c>
      <c r="E18" s="234"/>
      <c r="F18" s="234" t="s">
        <v>35</v>
      </c>
      <c r="G18" s="234"/>
      <c r="H18" s="236"/>
      <c r="I18" s="237"/>
      <c r="J18" s="238"/>
      <c r="K18" s="236"/>
      <c r="L18" s="236"/>
      <c r="M18" s="238">
        <v>4</v>
      </c>
      <c r="N18" s="239">
        <f>IF(J18="",D18*M18,D18*J18*K18*L18*M18)</f>
        <v>20</v>
      </c>
      <c r="O18" s="163"/>
    </row>
    <row r="19" spans="1:15" x14ac:dyDescent="0.25">
      <c r="A19" s="16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95" t="s">
        <v>18</v>
      </c>
      <c r="N19" s="97">
        <f>SUM(N17:N18)</f>
        <v>200</v>
      </c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31</v>
      </c>
      <c r="C21" s="95" t="s">
        <v>20</v>
      </c>
      <c r="D21" s="95" t="s">
        <v>21</v>
      </c>
      <c r="E21" s="95" t="s">
        <v>32</v>
      </c>
      <c r="F21" s="95" t="s">
        <v>17</v>
      </c>
      <c r="G21" s="95" t="s">
        <v>33</v>
      </c>
      <c r="H21" s="95" t="s">
        <v>34</v>
      </c>
      <c r="I21" s="95" t="s">
        <v>18</v>
      </c>
      <c r="J21" s="19"/>
      <c r="K21" s="19"/>
      <c r="L21" s="19"/>
      <c r="M21" s="19"/>
      <c r="N21" s="19"/>
      <c r="O21" s="163"/>
    </row>
    <row r="22" spans="1:15" x14ac:dyDescent="0.25">
      <c r="A22" s="233">
        <v>10</v>
      </c>
      <c r="B22" s="231" t="s">
        <v>186</v>
      </c>
      <c r="C22" s="231" t="s">
        <v>258</v>
      </c>
      <c r="D22" s="235">
        <v>0.56000000000000005</v>
      </c>
      <c r="E22" s="234" t="s">
        <v>35</v>
      </c>
      <c r="F22" s="234">
        <v>2</v>
      </c>
      <c r="G22" s="234"/>
      <c r="H22" s="234">
        <v>1</v>
      </c>
      <c r="I22" s="235">
        <f t="shared" ref="I22:I33" si="0">D22*F22*H22</f>
        <v>1.1200000000000001</v>
      </c>
      <c r="J22" s="111"/>
      <c r="K22" s="111"/>
      <c r="L22" s="111"/>
      <c r="M22" s="46"/>
      <c r="N22" s="46"/>
      <c r="O22" s="163"/>
    </row>
    <row r="23" spans="1:15" x14ac:dyDescent="0.25">
      <c r="A23" s="233">
        <v>20</v>
      </c>
      <c r="B23" s="231" t="s">
        <v>259</v>
      </c>
      <c r="C23" s="231" t="s">
        <v>260</v>
      </c>
      <c r="D23" s="235">
        <v>1.5</v>
      </c>
      <c r="E23" s="234" t="s">
        <v>35</v>
      </c>
      <c r="F23" s="234">
        <v>2</v>
      </c>
      <c r="G23" s="234"/>
      <c r="H23" s="234">
        <v>1</v>
      </c>
      <c r="I23" s="235">
        <f t="shared" si="0"/>
        <v>3</v>
      </c>
      <c r="J23" s="111"/>
      <c r="K23" s="111"/>
      <c r="L23" s="111"/>
      <c r="M23" s="46"/>
      <c r="N23" s="46"/>
      <c r="O23" s="163"/>
    </row>
    <row r="24" spans="1:15" x14ac:dyDescent="0.25">
      <c r="A24" s="233">
        <v>30</v>
      </c>
      <c r="B24" s="231" t="s">
        <v>188</v>
      </c>
      <c r="C24" s="231" t="s">
        <v>261</v>
      </c>
      <c r="D24" s="235">
        <v>0.19</v>
      </c>
      <c r="E24" s="234" t="s">
        <v>35</v>
      </c>
      <c r="F24" s="234">
        <v>4</v>
      </c>
      <c r="G24" s="234"/>
      <c r="H24" s="234">
        <v>1</v>
      </c>
      <c r="I24" s="235">
        <f t="shared" si="0"/>
        <v>0.76</v>
      </c>
      <c r="J24" s="111"/>
      <c r="K24" s="111"/>
      <c r="L24" s="111"/>
      <c r="M24" s="45"/>
      <c r="N24" s="45"/>
      <c r="O24" s="163"/>
    </row>
    <row r="25" spans="1:15" x14ac:dyDescent="0.25">
      <c r="A25" s="233">
        <v>40</v>
      </c>
      <c r="B25" s="231" t="s">
        <v>188</v>
      </c>
      <c r="C25" s="231" t="s">
        <v>262</v>
      </c>
      <c r="D25" s="235">
        <v>0.19</v>
      </c>
      <c r="E25" s="234" t="s">
        <v>35</v>
      </c>
      <c r="F25" s="234">
        <v>4</v>
      </c>
      <c r="G25" s="234"/>
      <c r="H25" s="234">
        <v>1</v>
      </c>
      <c r="I25" s="235">
        <f t="shared" si="0"/>
        <v>0.76</v>
      </c>
      <c r="J25" s="111"/>
      <c r="K25" s="111"/>
      <c r="L25" s="111"/>
      <c r="M25" s="45"/>
      <c r="N25" s="45"/>
      <c r="O25" s="163"/>
    </row>
    <row r="26" spans="1:15" x14ac:dyDescent="0.25">
      <c r="A26" s="233">
        <v>50</v>
      </c>
      <c r="B26" s="231" t="s">
        <v>173</v>
      </c>
      <c r="C26" s="231" t="s">
        <v>263</v>
      </c>
      <c r="D26" s="235">
        <v>0.13</v>
      </c>
      <c r="E26" s="234" t="s">
        <v>35</v>
      </c>
      <c r="F26" s="234">
        <v>4</v>
      </c>
      <c r="G26" s="234"/>
      <c r="H26" s="234">
        <v>1</v>
      </c>
      <c r="I26" s="235">
        <f t="shared" si="0"/>
        <v>0.52</v>
      </c>
      <c r="J26" s="111"/>
      <c r="K26" s="111"/>
      <c r="L26" s="111"/>
      <c r="M26" s="45"/>
      <c r="N26" s="45"/>
      <c r="O26" s="170"/>
    </row>
    <row r="27" spans="1:15" x14ac:dyDescent="0.25">
      <c r="A27" s="233">
        <v>60</v>
      </c>
      <c r="B27" s="231" t="s">
        <v>188</v>
      </c>
      <c r="C27" s="231" t="s">
        <v>262</v>
      </c>
      <c r="D27" s="235">
        <v>0.19</v>
      </c>
      <c r="E27" s="234" t="s">
        <v>35</v>
      </c>
      <c r="F27" s="234">
        <v>4</v>
      </c>
      <c r="G27" s="234"/>
      <c r="H27" s="234">
        <v>1</v>
      </c>
      <c r="I27" s="235">
        <f t="shared" si="0"/>
        <v>0.76</v>
      </c>
      <c r="J27" s="111"/>
      <c r="K27" s="111"/>
      <c r="L27" s="111"/>
      <c r="M27" s="45"/>
      <c r="N27" s="45"/>
      <c r="O27" s="163"/>
    </row>
    <row r="28" spans="1:15" x14ac:dyDescent="0.25">
      <c r="A28" s="233">
        <v>70</v>
      </c>
      <c r="B28" s="231" t="s">
        <v>264</v>
      </c>
      <c r="C28" s="231" t="s">
        <v>265</v>
      </c>
      <c r="D28" s="235">
        <v>0.19</v>
      </c>
      <c r="E28" s="234" t="s">
        <v>35</v>
      </c>
      <c r="F28" s="234">
        <v>4</v>
      </c>
      <c r="G28" s="234"/>
      <c r="H28" s="234">
        <v>1</v>
      </c>
      <c r="I28" s="235">
        <f t="shared" si="0"/>
        <v>0.76</v>
      </c>
      <c r="J28" s="111"/>
      <c r="K28" s="111"/>
      <c r="L28" s="111"/>
      <c r="M28" s="45"/>
      <c r="N28" s="45"/>
      <c r="O28" s="163"/>
    </row>
    <row r="29" spans="1:15" x14ac:dyDescent="0.25">
      <c r="A29" s="233">
        <v>80</v>
      </c>
      <c r="B29" s="231" t="s">
        <v>188</v>
      </c>
      <c r="C29" s="231" t="s">
        <v>266</v>
      </c>
      <c r="D29" s="235">
        <v>0.19</v>
      </c>
      <c r="E29" s="234" t="s">
        <v>35</v>
      </c>
      <c r="F29" s="234">
        <v>4</v>
      </c>
      <c r="G29" s="234"/>
      <c r="H29" s="234">
        <v>1</v>
      </c>
      <c r="I29" s="235">
        <f t="shared" si="0"/>
        <v>0.76</v>
      </c>
      <c r="J29" s="111"/>
      <c r="K29" s="111"/>
      <c r="L29" s="111"/>
      <c r="M29" s="45"/>
      <c r="N29" s="45"/>
      <c r="O29" s="163"/>
    </row>
    <row r="30" spans="1:15" x14ac:dyDescent="0.25">
      <c r="A30" s="233">
        <v>90</v>
      </c>
      <c r="B30" s="231" t="s">
        <v>186</v>
      </c>
      <c r="C30" s="231" t="s">
        <v>267</v>
      </c>
      <c r="D30" s="235">
        <v>0.56000000000000005</v>
      </c>
      <c r="E30" s="234" t="s">
        <v>35</v>
      </c>
      <c r="F30" s="234">
        <v>2</v>
      </c>
      <c r="G30" s="234"/>
      <c r="H30" s="234">
        <v>1</v>
      </c>
      <c r="I30" s="235">
        <f t="shared" si="0"/>
        <v>1.1200000000000001</v>
      </c>
      <c r="J30" s="111"/>
      <c r="K30" s="155"/>
      <c r="L30" s="155"/>
      <c r="M30" s="47"/>
      <c r="N30" s="47"/>
      <c r="O30" s="163"/>
    </row>
    <row r="31" spans="1:15" x14ac:dyDescent="0.25">
      <c r="A31" s="233">
        <v>100</v>
      </c>
      <c r="B31" s="231" t="s">
        <v>186</v>
      </c>
      <c r="C31" s="231" t="s">
        <v>271</v>
      </c>
      <c r="D31" s="235">
        <v>0.56000000000000005</v>
      </c>
      <c r="E31" s="234" t="s">
        <v>35</v>
      </c>
      <c r="F31" s="234">
        <v>4</v>
      </c>
      <c r="G31" s="234"/>
      <c r="H31" s="234">
        <v>1</v>
      </c>
      <c r="I31" s="235">
        <f t="shared" si="0"/>
        <v>2.2400000000000002</v>
      </c>
      <c r="J31" s="111"/>
      <c r="K31" s="111"/>
      <c r="L31" s="155"/>
      <c r="M31" s="46"/>
      <c r="N31" s="46"/>
      <c r="O31" s="163"/>
    </row>
    <row r="32" spans="1:15" x14ac:dyDescent="0.25">
      <c r="A32" s="233">
        <v>110</v>
      </c>
      <c r="B32" s="231" t="s">
        <v>186</v>
      </c>
      <c r="C32" s="231" t="s">
        <v>270</v>
      </c>
      <c r="D32" s="235">
        <v>0.56000000000000005</v>
      </c>
      <c r="E32" s="234" t="s">
        <v>35</v>
      </c>
      <c r="F32" s="234">
        <v>4</v>
      </c>
      <c r="G32" s="234"/>
      <c r="H32" s="234">
        <v>1</v>
      </c>
      <c r="I32" s="235">
        <f t="shared" si="0"/>
        <v>2.2400000000000002</v>
      </c>
      <c r="J32" s="111"/>
      <c r="K32" s="111"/>
      <c r="L32" s="111"/>
      <c r="M32" s="47"/>
      <c r="N32" s="47"/>
      <c r="O32" s="163"/>
    </row>
    <row r="33" spans="1:15" x14ac:dyDescent="0.25">
      <c r="A33" s="233">
        <v>120</v>
      </c>
      <c r="B33" s="231" t="s">
        <v>268</v>
      </c>
      <c r="C33" s="231" t="s">
        <v>269</v>
      </c>
      <c r="D33" s="235">
        <v>0.75</v>
      </c>
      <c r="E33" s="234" t="s">
        <v>35</v>
      </c>
      <c r="F33" s="234">
        <v>2</v>
      </c>
      <c r="G33" s="234"/>
      <c r="H33" s="234">
        <v>1</v>
      </c>
      <c r="I33" s="235">
        <f t="shared" si="0"/>
        <v>1.5</v>
      </c>
      <c r="J33" s="111"/>
      <c r="K33" s="111"/>
      <c r="L33" s="111"/>
      <c r="M33" s="45"/>
      <c r="N33" s="45"/>
      <c r="O33" s="163"/>
    </row>
    <row r="34" spans="1:15" x14ac:dyDescent="0.25">
      <c r="A34" s="168"/>
      <c r="B34" s="19"/>
      <c r="C34" s="19"/>
      <c r="D34" s="19"/>
      <c r="E34" s="19"/>
      <c r="F34" s="19"/>
      <c r="G34" s="19"/>
      <c r="H34" s="96" t="s">
        <v>18</v>
      </c>
      <c r="I34" s="97">
        <f>SUM(I22:I33)</f>
        <v>15.54</v>
      </c>
      <c r="J34" s="45"/>
      <c r="K34" s="45"/>
      <c r="L34" s="45"/>
      <c r="M34" s="45"/>
      <c r="N34" s="45"/>
      <c r="O34" s="163"/>
    </row>
    <row r="35" spans="1:15" x14ac:dyDescent="0.25">
      <c r="A35" s="16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163"/>
    </row>
    <row r="36" spans="1:15" x14ac:dyDescent="0.25">
      <c r="A36" s="162" t="s">
        <v>14</v>
      </c>
      <c r="B36" s="95" t="s">
        <v>36</v>
      </c>
      <c r="C36" s="95" t="s">
        <v>20</v>
      </c>
      <c r="D36" s="95" t="s">
        <v>21</v>
      </c>
      <c r="E36" s="95" t="s">
        <v>22</v>
      </c>
      <c r="F36" s="95" t="s">
        <v>23</v>
      </c>
      <c r="G36" s="95" t="s">
        <v>24</v>
      </c>
      <c r="H36" s="95" t="s">
        <v>25</v>
      </c>
      <c r="I36" s="95" t="s">
        <v>17</v>
      </c>
      <c r="J36" s="95" t="s">
        <v>18</v>
      </c>
      <c r="K36" s="45"/>
      <c r="L36" s="45"/>
      <c r="M36" s="45"/>
      <c r="N36" s="45"/>
      <c r="O36" s="163"/>
    </row>
    <row r="37" spans="1:15" x14ac:dyDescent="0.25">
      <c r="A37" s="233">
        <v>10</v>
      </c>
      <c r="B37" s="234" t="s">
        <v>272</v>
      </c>
      <c r="C37" s="234" t="s">
        <v>273</v>
      </c>
      <c r="D37" s="240">
        <f>0.0002*E37*E37+0.013</f>
        <v>9.2999999999999999E-2</v>
      </c>
      <c r="E37" s="234">
        <v>20</v>
      </c>
      <c r="F37" s="241" t="s">
        <v>30</v>
      </c>
      <c r="G37" s="234"/>
      <c r="H37" s="231"/>
      <c r="I37" s="242">
        <v>8</v>
      </c>
      <c r="J37" s="235">
        <f>D37*I37</f>
        <v>0.74399999999999999</v>
      </c>
      <c r="K37" s="45"/>
      <c r="L37" s="45"/>
      <c r="M37" s="45"/>
      <c r="N37" s="45"/>
      <c r="O37" s="163"/>
    </row>
    <row r="38" spans="1:15" x14ac:dyDescent="0.25">
      <c r="A38" s="233">
        <v>20</v>
      </c>
      <c r="B38" s="243" t="s">
        <v>274</v>
      </c>
      <c r="C38" s="234" t="s">
        <v>275</v>
      </c>
      <c r="D38" s="240">
        <f>0.004*E38+0.5</f>
        <v>0.7898639999999999</v>
      </c>
      <c r="E38" s="234">
        <f>36.233*2</f>
        <v>72.465999999999994</v>
      </c>
      <c r="F38" s="241" t="s">
        <v>30</v>
      </c>
      <c r="G38" s="234"/>
      <c r="H38" s="231"/>
      <c r="I38" s="242">
        <v>4</v>
      </c>
      <c r="J38" s="235">
        <f>D38*I38</f>
        <v>3.1594559999999996</v>
      </c>
      <c r="K38" s="45"/>
      <c r="L38" s="45"/>
      <c r="M38" s="45"/>
      <c r="N38" s="45"/>
      <c r="O38" s="163"/>
    </row>
    <row r="39" spans="1:15" x14ac:dyDescent="0.25">
      <c r="A39" s="233">
        <v>30</v>
      </c>
      <c r="B39" s="243" t="s">
        <v>274</v>
      </c>
      <c r="C39" s="234" t="s">
        <v>275</v>
      </c>
      <c r="D39" s="240">
        <f>0.004*E39+0.5</f>
        <v>0.61115200000000003</v>
      </c>
      <c r="E39" s="234">
        <f>13.894*2</f>
        <v>27.788</v>
      </c>
      <c r="F39" s="241" t="s">
        <v>30</v>
      </c>
      <c r="G39" s="234"/>
      <c r="H39" s="231"/>
      <c r="I39" s="242">
        <v>4</v>
      </c>
      <c r="J39" s="235">
        <f>D39*I39</f>
        <v>2.4446080000000001</v>
      </c>
      <c r="K39" s="45"/>
      <c r="L39" s="45"/>
      <c r="M39" s="45"/>
      <c r="N39" s="45"/>
      <c r="O39" s="163"/>
    </row>
    <row r="40" spans="1:15" x14ac:dyDescent="0.25">
      <c r="A40" s="233">
        <v>40</v>
      </c>
      <c r="B40" s="234" t="s">
        <v>203</v>
      </c>
      <c r="C40" s="234" t="s">
        <v>276</v>
      </c>
      <c r="D40" s="240">
        <f>0.8/105154*E40*E40*G40*SQRT(G40)+(0.003*EXP(0.319*E40))</f>
        <v>8.2048330888522564E-2</v>
      </c>
      <c r="E40" s="234">
        <v>8</v>
      </c>
      <c r="F40" s="241" t="s">
        <v>30</v>
      </c>
      <c r="G40" s="234">
        <v>20</v>
      </c>
      <c r="H40" s="231" t="s">
        <v>30</v>
      </c>
      <c r="I40" s="242">
        <v>2</v>
      </c>
      <c r="J40" s="235">
        <f>D40*I40</f>
        <v>0.16409666177704513</v>
      </c>
      <c r="K40" s="45"/>
      <c r="L40" s="45"/>
      <c r="M40" s="45"/>
      <c r="N40" s="45"/>
      <c r="O40" s="163"/>
    </row>
    <row r="41" spans="1:15" x14ac:dyDescent="0.25">
      <c r="A41" s="233">
        <v>50</v>
      </c>
      <c r="B41" s="244" t="s">
        <v>277</v>
      </c>
      <c r="C41" s="234" t="s">
        <v>278</v>
      </c>
      <c r="D41" s="240">
        <v>0.49</v>
      </c>
      <c r="E41" s="234">
        <v>20</v>
      </c>
      <c r="F41" s="241" t="s">
        <v>30</v>
      </c>
      <c r="G41" s="234"/>
      <c r="H41" s="231"/>
      <c r="I41" s="242">
        <v>2</v>
      </c>
      <c r="J41" s="235">
        <f>D41*I41</f>
        <v>0.98</v>
      </c>
      <c r="K41" s="45"/>
      <c r="L41" s="45"/>
      <c r="M41" s="45"/>
      <c r="N41" s="45"/>
      <c r="O41" s="163"/>
    </row>
    <row r="42" spans="1:15" x14ac:dyDescent="0.25">
      <c r="A42" s="168"/>
      <c r="B42" s="19"/>
      <c r="C42" s="19"/>
      <c r="D42" s="19"/>
      <c r="E42" s="19"/>
      <c r="F42" s="19"/>
      <c r="G42" s="19"/>
      <c r="H42" s="19"/>
      <c r="I42" s="96" t="s">
        <v>18</v>
      </c>
      <c r="J42" s="97">
        <f>SUM(J37:J41)</f>
        <v>7.492160661777044</v>
      </c>
      <c r="K42" s="45"/>
      <c r="L42" s="45"/>
      <c r="M42" s="45"/>
      <c r="N42" s="45"/>
      <c r="O42" s="163"/>
    </row>
    <row r="43" spans="1:15" x14ac:dyDescent="0.25">
      <c r="A43" s="16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163"/>
    </row>
    <row r="44" spans="1:15" ht="15.75" thickBot="1" x14ac:dyDescent="0.3">
      <c r="A44" s="172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4"/>
    </row>
  </sheetData>
  <hyperlinks>
    <hyperlink ref="B10" location="EN_1000_001!A1" display="Inboard tripod housing" xr:uid="{A72A27D6-2A20-4300-924D-C758BA327F7E}"/>
    <hyperlink ref="B11" location="EN_1000_002!A1" display="Outboard tripod housing" xr:uid="{F3F51DEF-8CFB-40F9-85B6-42EB9AFF8C62}"/>
    <hyperlink ref="B13" location="EN_1000_004!A1" display="Right axle" xr:uid="{F9A1E856-B4CC-4119-A1D5-7D5CC7E17549}"/>
    <hyperlink ref="B12" location="EN_1000_003!A1" display="Left axle" xr:uid="{B3F2C828-FBF9-4C6B-8B62-07309ADDA23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4142-F7DE-4D85-951E-DDF478122F83}">
  <sheetPr>
    <tabColor theme="6" tint="0.39997558519241921"/>
  </sheetPr>
  <dimension ref="A1:O34"/>
  <sheetViews>
    <sheetView topLeftCell="C1" zoomScale="85" zoomScaleNormal="85" workbookViewId="0"/>
  </sheetViews>
  <sheetFormatPr baseColWidth="10" defaultRowHeight="15" x14ac:dyDescent="0.25"/>
  <cols>
    <col min="2" max="2" width="45.42578125" customWidth="1"/>
    <col min="3" max="3" width="59.5703125" customWidth="1"/>
    <col min="4" max="4" width="12.28515625" bestFit="1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53" t="s">
        <v>7</v>
      </c>
      <c r="B6" s="175" t="s">
        <v>279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4.0999054020002239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0.155</v>
      </c>
      <c r="L11" s="145">
        <v>7850</v>
      </c>
      <c r="M11" s="145">
        <v>1</v>
      </c>
      <c r="N11" s="140">
        <f>D11*J11*K11*L11*M11</f>
        <v>9.224787154500504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256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57" t="s">
        <v>18</v>
      </c>
      <c r="N13" s="105">
        <f>SUM(N11:N11)</f>
        <v>9.224787154500504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253" t="s">
        <v>14</v>
      </c>
      <c r="B15" s="255" t="s">
        <v>31</v>
      </c>
      <c r="C15" s="255" t="s">
        <v>20</v>
      </c>
      <c r="D15" s="255" t="s">
        <v>21</v>
      </c>
      <c r="E15" s="255" t="s">
        <v>32</v>
      </c>
      <c r="F15" s="255" t="s">
        <v>17</v>
      </c>
      <c r="G15" s="255" t="s">
        <v>33</v>
      </c>
      <c r="H15" s="255" t="s">
        <v>34</v>
      </c>
      <c r="I15" s="255" t="s">
        <v>18</v>
      </c>
      <c r="J15" s="19"/>
      <c r="K15" s="19"/>
      <c r="L15" s="19"/>
      <c r="M15" s="19"/>
      <c r="N15" s="19"/>
      <c r="O15" s="163"/>
    </row>
    <row r="16" spans="1:15" x14ac:dyDescent="0.25">
      <c r="A16" s="258">
        <v>10</v>
      </c>
      <c r="B16" s="247" t="s">
        <v>43</v>
      </c>
      <c r="C16" s="248" t="s">
        <v>283</v>
      </c>
      <c r="D16" s="249">
        <v>1.3</v>
      </c>
      <c r="E16" s="247" t="s">
        <v>32</v>
      </c>
      <c r="F16" s="246">
        <v>1</v>
      </c>
      <c r="G16" s="246"/>
      <c r="H16" s="246"/>
      <c r="I16" s="250">
        <f>IF(H16="",D16*F16,D16*F16*H16)</f>
        <v>1.3</v>
      </c>
      <c r="J16" s="19"/>
      <c r="K16" s="19"/>
      <c r="L16" s="19"/>
      <c r="M16" s="19"/>
      <c r="N16" s="19"/>
      <c r="O16" s="163"/>
    </row>
    <row r="17" spans="1:15" x14ac:dyDescent="0.25">
      <c r="A17" s="259">
        <v>20</v>
      </c>
      <c r="B17" s="248" t="s">
        <v>161</v>
      </c>
      <c r="C17" s="248" t="s">
        <v>287</v>
      </c>
      <c r="D17" s="249">
        <v>0.04</v>
      </c>
      <c r="E17" s="263" t="s">
        <v>162</v>
      </c>
      <c r="F17" s="251">
        <v>269.89999999999998</v>
      </c>
      <c r="G17" s="265" t="s">
        <v>288</v>
      </c>
      <c r="H17" s="266">
        <v>3</v>
      </c>
      <c r="I17" s="250">
        <f t="shared" ref="I17:I21" si="0">IF(H17="",D17*F17,D17*F17*H17)</f>
        <v>32.387999999999998</v>
      </c>
      <c r="J17" s="45"/>
      <c r="K17" s="45"/>
      <c r="L17" s="45"/>
      <c r="M17" s="45"/>
      <c r="N17" s="45"/>
      <c r="O17" s="163"/>
    </row>
    <row r="18" spans="1:15" x14ac:dyDescent="0.25">
      <c r="A18" s="258">
        <v>30</v>
      </c>
      <c r="B18" s="247" t="s">
        <v>285</v>
      </c>
      <c r="C18" s="248" t="s">
        <v>290</v>
      </c>
      <c r="D18" s="249">
        <v>0.65</v>
      </c>
      <c r="E18" s="247" t="s">
        <v>32</v>
      </c>
      <c r="F18" s="246">
        <v>1</v>
      </c>
      <c r="G18" s="246"/>
      <c r="H18" s="246"/>
      <c r="I18" s="250">
        <f t="shared" si="0"/>
        <v>0.65</v>
      </c>
      <c r="J18" s="45"/>
      <c r="K18" s="45"/>
      <c r="L18" s="45"/>
      <c r="M18" s="45"/>
      <c r="N18" s="45"/>
      <c r="O18" s="163"/>
    </row>
    <row r="19" spans="1:15" x14ac:dyDescent="0.25">
      <c r="A19" s="268">
        <v>40</v>
      </c>
      <c r="B19" s="269" t="s">
        <v>161</v>
      </c>
      <c r="C19" s="269" t="s">
        <v>289</v>
      </c>
      <c r="D19" s="249">
        <v>0.04</v>
      </c>
      <c r="E19" s="270" t="s">
        <v>162</v>
      </c>
      <c r="F19" s="278">
        <v>175.85</v>
      </c>
      <c r="G19" s="265" t="s">
        <v>288</v>
      </c>
      <c r="H19" s="271">
        <v>3</v>
      </c>
      <c r="I19" s="272">
        <f t="shared" si="0"/>
        <v>21.102</v>
      </c>
      <c r="J19" s="45"/>
      <c r="K19" s="45"/>
      <c r="L19" s="45"/>
      <c r="M19" s="45"/>
      <c r="N19" s="45"/>
      <c r="O19" s="163"/>
    </row>
    <row r="20" spans="1:15" x14ac:dyDescent="0.25">
      <c r="A20" s="273">
        <v>50</v>
      </c>
      <c r="B20" s="247" t="s">
        <v>285</v>
      </c>
      <c r="C20" s="248" t="s">
        <v>291</v>
      </c>
      <c r="D20" s="249">
        <v>0.65</v>
      </c>
      <c r="E20" s="247" t="s">
        <v>32</v>
      </c>
      <c r="F20" s="246">
        <v>1</v>
      </c>
      <c r="G20" s="275"/>
      <c r="H20" s="276"/>
      <c r="I20" s="272">
        <f t="shared" si="0"/>
        <v>0.65</v>
      </c>
      <c r="J20" s="45"/>
      <c r="K20" s="45"/>
      <c r="L20" s="45"/>
      <c r="M20" s="45"/>
      <c r="N20" s="45"/>
      <c r="O20" s="163"/>
    </row>
    <row r="21" spans="1:15" x14ac:dyDescent="0.25">
      <c r="A21" s="273">
        <v>60</v>
      </c>
      <c r="B21" s="274" t="s">
        <v>170</v>
      </c>
      <c r="C21" s="274" t="s">
        <v>286</v>
      </c>
      <c r="D21" s="249">
        <v>0.5</v>
      </c>
      <c r="E21" s="275" t="s">
        <v>45</v>
      </c>
      <c r="F21" s="279">
        <v>2.4700000000000002</v>
      </c>
      <c r="G21" s="275"/>
      <c r="H21" s="276"/>
      <c r="I21" s="272">
        <f t="shared" si="0"/>
        <v>1.2350000000000001</v>
      </c>
      <c r="J21" s="45"/>
      <c r="K21" s="45"/>
      <c r="L21" s="45"/>
      <c r="M21" s="45"/>
      <c r="N21" s="45"/>
      <c r="O21" s="163"/>
    </row>
    <row r="22" spans="1:15" x14ac:dyDescent="0.25">
      <c r="A22" s="168"/>
      <c r="B22" s="19"/>
      <c r="C22" s="19"/>
      <c r="D22" s="19"/>
      <c r="E22" s="19"/>
      <c r="F22" s="19"/>
      <c r="G22" s="19"/>
      <c r="H22" s="110" t="s">
        <v>18</v>
      </c>
      <c r="I22" s="280">
        <f>SUM(I16:I21)</f>
        <v>57.324999999999996</v>
      </c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ht="15.75" thickBot="1" x14ac:dyDescent="0.3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4"/>
    </row>
    <row r="31" spans="1:15" x14ac:dyDescent="0.25">
      <c r="I31" s="261"/>
    </row>
    <row r="32" spans="1:15" x14ac:dyDescent="0.25">
      <c r="H32" s="262"/>
      <c r="J32" s="262"/>
    </row>
    <row r="33" spans="6:11" x14ac:dyDescent="0.25">
      <c r="K33" s="262"/>
    </row>
    <row r="34" spans="6:11" x14ac:dyDescent="0.25">
      <c r="F34" s="261"/>
      <c r="G34" s="262"/>
      <c r="H34" s="262"/>
      <c r="J34" s="264"/>
      <c r="K34" s="264"/>
    </row>
  </sheetData>
  <hyperlinks>
    <hyperlink ref="B4" location="EN_A1000!A1" display="Driveshaft" xr:uid="{14C71347-ABED-4F3A-8B04-3EB2F1C5F84E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F321-BE68-4E0C-A8DD-7F6001EA6604}">
  <sheetPr>
    <tabColor theme="6" tint="0.39997558519241921"/>
  </sheetPr>
  <dimension ref="A1:O30"/>
  <sheetViews>
    <sheetView zoomScaleNormal="100" workbookViewId="0">
      <selection activeCell="B8" sqref="B8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EN_1000_002_m+EN_1000_002_p</f>
        <v>72.275200595774251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251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144.5504011915485</v>
      </c>
      <c r="O5" s="163"/>
    </row>
    <row r="6" spans="1:15" x14ac:dyDescent="0.25">
      <c r="A6" s="253" t="s">
        <v>7</v>
      </c>
      <c r="B6" s="175" t="s">
        <v>292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4.2790580425663371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0.161773</v>
      </c>
      <c r="L11" s="145">
        <v>7850</v>
      </c>
      <c r="M11" s="145">
        <v>1</v>
      </c>
      <c r="N11" s="140">
        <f>D11*J11*K11*L11*M11</f>
        <v>9.6278805957742595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57" t="s">
        <v>18</v>
      </c>
      <c r="N12" s="105">
        <f>SUM(N11:N11)</f>
        <v>9.6278805957742595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53" t="s">
        <v>14</v>
      </c>
      <c r="B14" s="255" t="s">
        <v>31</v>
      </c>
      <c r="C14" s="255" t="s">
        <v>20</v>
      </c>
      <c r="D14" s="255" t="s">
        <v>21</v>
      </c>
      <c r="E14" s="255" t="s">
        <v>32</v>
      </c>
      <c r="F14" s="255" t="s">
        <v>17</v>
      </c>
      <c r="G14" s="255" t="s">
        <v>33</v>
      </c>
      <c r="H14" s="255" t="s">
        <v>34</v>
      </c>
      <c r="I14" s="255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58">
        <v>10</v>
      </c>
      <c r="B15" s="247" t="s">
        <v>43</v>
      </c>
      <c r="C15" s="248" t="s">
        <v>283</v>
      </c>
      <c r="D15" s="249">
        <v>1.3</v>
      </c>
      <c r="E15" s="247" t="s">
        <v>32</v>
      </c>
      <c r="F15" s="246">
        <v>1</v>
      </c>
      <c r="G15" s="246"/>
      <c r="H15" s="246"/>
      <c r="I15" s="250">
        <f>IF(H15="",D15*F15,D15*F15*H15)</f>
        <v>1.3</v>
      </c>
      <c r="J15" s="19"/>
      <c r="K15" s="19"/>
      <c r="L15" s="19"/>
      <c r="M15" s="19"/>
      <c r="N15" s="19"/>
      <c r="O15" s="163"/>
    </row>
    <row r="16" spans="1:15" x14ac:dyDescent="0.25">
      <c r="A16" s="259">
        <v>20</v>
      </c>
      <c r="B16" s="248" t="s">
        <v>161</v>
      </c>
      <c r="C16" s="248" t="s">
        <v>287</v>
      </c>
      <c r="D16" s="249">
        <v>0.04</v>
      </c>
      <c r="E16" s="263" t="s">
        <v>162</v>
      </c>
      <c r="F16" s="251">
        <v>313.90100000000001</v>
      </c>
      <c r="G16" s="265" t="s">
        <v>288</v>
      </c>
      <c r="H16" s="266">
        <v>3</v>
      </c>
      <c r="I16" s="250">
        <f t="shared" ref="I16:I22" si="0">IF(H16="",D16*F16,D16*F16*H16)</f>
        <v>37.668120000000002</v>
      </c>
      <c r="J16" s="45"/>
      <c r="K16" s="45"/>
      <c r="L16" s="45"/>
      <c r="M16" s="45"/>
      <c r="N16" s="45"/>
      <c r="O16" s="163"/>
    </row>
    <row r="17" spans="1:15" x14ac:dyDescent="0.25">
      <c r="A17" s="258">
        <v>30</v>
      </c>
      <c r="B17" s="247" t="s">
        <v>285</v>
      </c>
      <c r="C17" s="248" t="s">
        <v>290</v>
      </c>
      <c r="D17" s="249">
        <v>0.65</v>
      </c>
      <c r="E17" s="247" t="s">
        <v>32</v>
      </c>
      <c r="F17" s="246">
        <v>1</v>
      </c>
      <c r="G17" s="246"/>
      <c r="H17" s="246"/>
      <c r="I17" s="250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68">
        <v>40</v>
      </c>
      <c r="B18" s="269" t="s">
        <v>161</v>
      </c>
      <c r="C18" s="269" t="s">
        <v>289</v>
      </c>
      <c r="D18" s="249">
        <v>0.04</v>
      </c>
      <c r="E18" s="270" t="s">
        <v>162</v>
      </c>
      <c r="F18" s="278">
        <v>161.94</v>
      </c>
      <c r="G18" s="265" t="s">
        <v>288</v>
      </c>
      <c r="H18" s="271">
        <v>3</v>
      </c>
      <c r="I18" s="272">
        <f t="shared" si="0"/>
        <v>19.4328</v>
      </c>
      <c r="J18" s="45"/>
      <c r="K18" s="45"/>
      <c r="L18" s="45"/>
      <c r="M18" s="45"/>
      <c r="N18" s="45"/>
      <c r="O18" s="163"/>
    </row>
    <row r="19" spans="1:15" x14ac:dyDescent="0.25">
      <c r="A19" s="273">
        <v>50</v>
      </c>
      <c r="B19" s="247" t="s">
        <v>285</v>
      </c>
      <c r="C19" s="248" t="s">
        <v>291</v>
      </c>
      <c r="D19" s="249">
        <v>0.65</v>
      </c>
      <c r="E19" s="247" t="s">
        <v>32</v>
      </c>
      <c r="F19" s="246">
        <v>1</v>
      </c>
      <c r="G19" s="275"/>
      <c r="H19" s="276"/>
      <c r="I19" s="272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73">
        <v>60</v>
      </c>
      <c r="B20" s="274" t="s">
        <v>170</v>
      </c>
      <c r="C20" s="274" t="s">
        <v>286</v>
      </c>
      <c r="D20" s="249">
        <v>0.5</v>
      </c>
      <c r="E20" s="275" t="s">
        <v>45</v>
      </c>
      <c r="F20" s="279">
        <v>5.8928000000000003</v>
      </c>
      <c r="G20" s="275"/>
      <c r="H20" s="276"/>
      <c r="I20" s="272">
        <f t="shared" si="0"/>
        <v>2.9464000000000001</v>
      </c>
      <c r="J20" s="45"/>
      <c r="K20" s="45"/>
      <c r="L20" s="45"/>
      <c r="M20" s="45"/>
      <c r="N20" s="45"/>
      <c r="O20" s="163"/>
    </row>
    <row r="21" spans="1:15" x14ac:dyDescent="0.25">
      <c r="A21" s="281">
        <v>70</v>
      </c>
      <c r="B21" s="274" t="s">
        <v>285</v>
      </c>
      <c r="C21" s="274" t="s">
        <v>297</v>
      </c>
      <c r="D21" s="282">
        <v>0.65</v>
      </c>
      <c r="E21" s="283" t="s">
        <v>32</v>
      </c>
      <c r="F21" s="284">
        <v>1</v>
      </c>
      <c r="G21" s="285"/>
      <c r="H21" s="285"/>
      <c r="I21" s="277">
        <f t="shared" si="0"/>
        <v>0.65</v>
      </c>
      <c r="J21" s="45"/>
      <c r="K21" s="45"/>
      <c r="L21" s="45"/>
      <c r="M21" s="45"/>
      <c r="N21" s="45"/>
      <c r="O21" s="163"/>
    </row>
    <row r="22" spans="1:15" x14ac:dyDescent="0.25">
      <c r="A22" s="273">
        <v>80</v>
      </c>
      <c r="B22" s="274" t="s">
        <v>298</v>
      </c>
      <c r="C22" s="274" t="s">
        <v>299</v>
      </c>
      <c r="D22" s="282">
        <v>0.1</v>
      </c>
      <c r="E22" s="283" t="s">
        <v>45</v>
      </c>
      <c r="F22" s="284">
        <v>1.8452999999999999</v>
      </c>
      <c r="G22" s="285"/>
      <c r="H22" s="285"/>
      <c r="I22" s="277">
        <f t="shared" si="0"/>
        <v>0.18453</v>
      </c>
      <c r="J22" s="45"/>
      <c r="K22" s="45"/>
      <c r="L22" s="177"/>
      <c r="M22" s="218"/>
      <c r="N22" s="45"/>
      <c r="O22" s="163"/>
    </row>
    <row r="23" spans="1:15" x14ac:dyDescent="0.25">
      <c r="A23" s="281"/>
      <c r="B23" s="19"/>
      <c r="C23" s="19"/>
      <c r="D23" s="19"/>
      <c r="E23" s="19"/>
      <c r="F23" s="19"/>
      <c r="G23" s="19"/>
      <c r="H23" s="110" t="s">
        <v>18</v>
      </c>
      <c r="I23" s="280">
        <f>SUM(I15:I20)</f>
        <v>62.647319999999993</v>
      </c>
      <c r="J23" s="45"/>
      <c r="K23" s="45"/>
      <c r="L23" s="45"/>
      <c r="M23" s="45"/>
      <c r="N23" s="45"/>
      <c r="O23" s="163"/>
    </row>
    <row r="24" spans="1:15" x14ac:dyDescent="0.2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B25" s="45"/>
      <c r="C25" s="267"/>
      <c r="D25" s="45"/>
      <c r="E25" s="177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B26" s="45"/>
      <c r="C26" s="177"/>
      <c r="D26" s="45"/>
      <c r="E26" s="177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B27" s="45"/>
      <c r="C27" s="45"/>
      <c r="D27" s="45"/>
      <c r="E27" s="287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163"/>
    </row>
    <row r="30" spans="1:15" ht="15.75" thickBot="1" x14ac:dyDescent="0.3"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4"/>
    </row>
  </sheetData>
  <hyperlinks>
    <hyperlink ref="B4" location="EN_A1000!A1" display="Driveshaft" xr:uid="{FF9C9BF0-8081-401C-8903-0E5F32CF10C8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E86C-E34C-48C6-8181-74AE21A7D0A0}">
  <sheetPr>
    <tabColor theme="6" tint="0.39997558519241921"/>
  </sheetPr>
  <dimension ref="A1:O30"/>
  <sheetViews>
    <sheetView zoomScaleNormal="100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EN_1000_003_m+EN_1000_003_p</f>
        <v>16.43313830045987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16.43313830045987</v>
      </c>
      <c r="O5" s="163"/>
    </row>
    <row r="6" spans="1:15" x14ac:dyDescent="0.25">
      <c r="A6" s="290" t="s">
        <v>7</v>
      </c>
      <c r="B6" s="175" t="s">
        <v>293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1.1472790446544314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0.38100000000000001</v>
      </c>
      <c r="L11" s="145">
        <v>7850</v>
      </c>
      <c r="M11" s="145">
        <v>1</v>
      </c>
      <c r="N11" s="140">
        <f>D11*J11*K11*L11*M11</f>
        <v>2.58137785047247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2.58137785047247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 t="shared" ref="I15:I20" si="0"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J11*0.009896*2*1000000</f>
        <v>7.5921383057660883</v>
      </c>
      <c r="G16" s="289" t="s">
        <v>284</v>
      </c>
      <c r="H16" s="281">
        <v>3</v>
      </c>
      <c r="I16" s="277">
        <f t="shared" si="0"/>
        <v>0.91105659669193062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(K11-2*0.009896)*PI()*0.00635*0.00635*1000000</f>
        <v>45.756698777462248</v>
      </c>
      <c r="G18" s="289" t="s">
        <v>284</v>
      </c>
      <c r="H18" s="281">
        <v>3</v>
      </c>
      <c r="I18" s="277">
        <f t="shared" si="0"/>
        <v>5.4908038532954695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(58.395-9.896)*2/10</f>
        <v>9.6997999999999998</v>
      </c>
      <c r="G20" s="285"/>
      <c r="H20" s="285"/>
      <c r="I20" s="277">
        <f t="shared" si="0"/>
        <v>4.8498999999999999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13.851760449987401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ht="15.75" thickBot="1" x14ac:dyDescent="0.3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4"/>
    </row>
    <row r="25" spans="1:15" x14ac:dyDescent="0.25">
      <c r="B25" s="45"/>
      <c r="C25" s="45"/>
      <c r="D25" s="45"/>
      <c r="E25" s="45"/>
      <c r="F25" s="45"/>
      <c r="G25" s="45"/>
      <c r="H25" s="45"/>
      <c r="I25" s="45"/>
    </row>
    <row r="26" spans="1:15" x14ac:dyDescent="0.25">
      <c r="B26" s="45"/>
      <c r="C26" s="45"/>
      <c r="D26" s="45"/>
      <c r="E26" s="45"/>
      <c r="F26" s="45"/>
      <c r="G26" s="45"/>
      <c r="H26" s="45"/>
      <c r="I26" s="45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B30" s="45"/>
      <c r="C30" s="45"/>
      <c r="D30" s="45"/>
      <c r="E30" s="45"/>
      <c r="F30" s="45"/>
      <c r="G30" s="45"/>
      <c r="H30" s="45"/>
      <c r="I30" s="45"/>
    </row>
  </sheetData>
  <hyperlinks>
    <hyperlink ref="B4" location="EN_A1000!A1" display="Driveshaft" xr:uid="{264BDC21-2F70-442B-B94A-24FE91BAB0E8}"/>
    <hyperlink ref="D3" location="'EN_1000_003 Drawing'!A1" display="FileLink1" xr:uid="{E2643090-5EC8-4828-BDC3-2A60C67FB06D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F5FF-3B9E-4BE6-BCC4-B605A4A577E2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86" t="s">
        <v>293</v>
      </c>
    </row>
  </sheetData>
  <hyperlinks>
    <hyperlink ref="A1" location="EN_1000_003" display="EN_1000_003" xr:uid="{0059A778-37A3-42B6-B92C-98F89F6D26F7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7E70-3A36-4051-ADBC-E2E08B0C7EA8}">
  <sheetPr>
    <tabColor theme="6" tint="0.39997558519241921"/>
  </sheetPr>
  <dimension ref="A1:O32"/>
  <sheetViews>
    <sheetView zoomScale="85" zoomScaleNormal="85" workbookViewId="0">
      <selection activeCell="B8" sqref="B8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EN_1000_004_m+EN_1000_004_p</f>
        <v>17.337133082722115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17.337133082722115</v>
      </c>
      <c r="O5" s="163"/>
    </row>
    <row r="6" spans="1:15" x14ac:dyDescent="0.25">
      <c r="A6" s="290" t="s">
        <v>7</v>
      </c>
      <c r="B6" s="175" t="s">
        <v>296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1.3002495839416888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0.43180000000000002</v>
      </c>
      <c r="L11" s="145">
        <v>7850</v>
      </c>
      <c r="M11" s="145">
        <v>1</v>
      </c>
      <c r="N11" s="140">
        <f>D11*J11*K11*L11*M11</f>
        <v>2.9255615638687997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2.9255615638687997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ht="30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 t="shared" ref="I15:I20" si="0">IF(H15="",D15*F15,D15*F15*H15)</f>
        <v>1.3</v>
      </c>
      <c r="J15" s="45"/>
      <c r="K15" s="45"/>
      <c r="L15" s="45"/>
      <c r="M15" s="45"/>
      <c r="N15" s="45"/>
      <c r="O15" s="163"/>
    </row>
    <row r="16" spans="1:15" ht="30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J11*0.0155015*2*1000000</f>
        <v>11.892636615484337</v>
      </c>
      <c r="G16" s="289" t="s">
        <v>284</v>
      </c>
      <c r="H16" s="281">
        <v>3</v>
      </c>
      <c r="I16" s="277">
        <f t="shared" si="0"/>
        <v>1.4271163938581204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 t="shared" si="0"/>
        <v>0.65</v>
      </c>
      <c r="J17" s="45"/>
      <c r="K17" s="45"/>
      <c r="L17" s="45"/>
      <c r="M17" s="45"/>
      <c r="N17" s="45"/>
      <c r="O17" s="163"/>
    </row>
    <row r="18" spans="1:15" ht="30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(K11-2*0.0155015)*PI()*0.00635*0.00635*1000000</f>
        <v>50.771709374959947</v>
      </c>
      <c r="G18" s="289" t="s">
        <v>284</v>
      </c>
      <c r="H18" s="281">
        <v>3</v>
      </c>
      <c r="I18" s="277">
        <f t="shared" si="0"/>
        <v>6.0926051249951936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(58.42-15.5015)*2/10</f>
        <v>8.5837000000000003</v>
      </c>
      <c r="G20" s="285"/>
      <c r="H20" s="285"/>
      <c r="I20" s="277">
        <f t="shared" si="0"/>
        <v>4.2918500000000002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14.411571518853314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A30" s="45"/>
      <c r="B30" s="45"/>
      <c r="C30" s="45"/>
      <c r="D30" s="45"/>
      <c r="E30" s="45"/>
      <c r="F30" s="45"/>
      <c r="G30" s="45"/>
      <c r="H30" s="45"/>
      <c r="I30" s="45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</row>
    <row r="32" spans="1:15" x14ac:dyDescent="0.25">
      <c r="A32" s="45"/>
      <c r="B32" s="45"/>
      <c r="C32" s="45"/>
      <c r="D32" s="45"/>
      <c r="E32" s="45"/>
      <c r="F32" s="45"/>
      <c r="G32" s="45"/>
      <c r="H32" s="45"/>
      <c r="I32" s="45"/>
    </row>
  </sheetData>
  <hyperlinks>
    <hyperlink ref="B4" location="EN_A1000!A1" display="Driveshaft" xr:uid="{58957493-CEF2-4EEA-B403-B9FA8EE073B4}"/>
    <hyperlink ref="D3" location="'EN_1000_004 Drawing'!A1" display="FileLink1" xr:uid="{D079C1BA-582D-4B7A-BF47-41C78B6C2493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D418-FC24-44FA-8188-943C3F051D6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296</v>
      </c>
    </row>
  </sheetData>
  <hyperlinks>
    <hyperlink ref="A1" location="EN_1000_004" display="EN_1000_004" xr:uid="{C9FAD0C7-A44C-434E-9009-46372571A36E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D719-8F9F-417C-A637-94C75E412176}">
  <sheetPr>
    <tabColor theme="6" tint="-0.249977111117893"/>
  </sheetPr>
  <dimension ref="A1:O61"/>
  <sheetViews>
    <sheetView topLeftCell="A37" workbookViewId="0">
      <selection activeCell="H29" sqref="H29"/>
    </sheetView>
  </sheetViews>
  <sheetFormatPr baseColWidth="10" defaultRowHeight="15" x14ac:dyDescent="0.25"/>
  <cols>
    <col min="2" max="2" width="28.42578125" bestFit="1" customWidth="1"/>
    <col min="3" max="3" width="43.57031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EN_A1100_pa+EN_A1100_m+EN_A1100_p+EN_A1100_f+EN_A1100_t</f>
        <v>133.92753768939843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336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308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133.92753768939843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227" t="s">
        <v>14</v>
      </c>
      <c r="B9" s="308" t="s">
        <v>15</v>
      </c>
      <c r="C9" s="228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310">
        <v>10</v>
      </c>
      <c r="B10" s="342" t="s">
        <v>309</v>
      </c>
      <c r="C10" s="311">
        <f>EN_1100_001!N$2</f>
        <v>25.404258243942198</v>
      </c>
      <c r="D10" s="312">
        <f>EN_1100_001_q</f>
        <v>1</v>
      </c>
      <c r="E10" s="313">
        <f>C10*D10</f>
        <v>25.404258243942198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63"/>
    </row>
    <row r="11" spans="1:15" x14ac:dyDescent="0.25">
      <c r="A11" s="310">
        <v>20</v>
      </c>
      <c r="B11" s="286" t="s">
        <v>310</v>
      </c>
      <c r="C11" s="311">
        <f>EN_1100_002!N$2</f>
        <v>41.802269960952131</v>
      </c>
      <c r="D11" s="312">
        <f>EN_1100_002_q</f>
        <v>1</v>
      </c>
      <c r="E11" s="313">
        <f t="shared" ref="E11:E14" si="0">C11*D11</f>
        <v>41.802269960952131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63"/>
    </row>
    <row r="12" spans="1:15" x14ac:dyDescent="0.25">
      <c r="A12" s="310">
        <v>30</v>
      </c>
      <c r="B12" s="342" t="s">
        <v>311</v>
      </c>
      <c r="C12" s="311">
        <f>EN_1100_003!N$2</f>
        <v>29.160865459581132</v>
      </c>
      <c r="D12" s="312">
        <f>EN_1100_003_q</f>
        <v>1</v>
      </c>
      <c r="E12" s="313">
        <f t="shared" si="0"/>
        <v>29.160865459581132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67"/>
    </row>
    <row r="13" spans="1:15" x14ac:dyDescent="0.25">
      <c r="A13" s="310">
        <v>40</v>
      </c>
      <c r="B13" s="342" t="s">
        <v>312</v>
      </c>
      <c r="C13" s="311">
        <f>EN_1100_004!N$2</f>
        <v>9.0978820921659498</v>
      </c>
      <c r="D13" s="312">
        <f>EN_1100_004_q</f>
        <v>1</v>
      </c>
      <c r="E13" s="313">
        <f t="shared" si="0"/>
        <v>9.0978820921659498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63"/>
    </row>
    <row r="14" spans="1:15" x14ac:dyDescent="0.25">
      <c r="A14" s="314">
        <v>50</v>
      </c>
      <c r="B14" s="342" t="s">
        <v>370</v>
      </c>
      <c r="C14" s="311">
        <f>EN_1100_005!N$2</f>
        <v>1.7144014375000001</v>
      </c>
      <c r="D14" s="312">
        <f>EN_1100_005_q</f>
        <v>1</v>
      </c>
      <c r="E14" s="313">
        <f t="shared" si="0"/>
        <v>1.7144014375000001</v>
      </c>
      <c r="F14" s="111"/>
      <c r="G14" s="111"/>
      <c r="H14" s="111"/>
      <c r="I14" s="111"/>
      <c r="J14" s="111"/>
      <c r="K14" s="111"/>
      <c r="L14" s="111"/>
      <c r="M14" s="111"/>
      <c r="N14" s="111"/>
      <c r="O14" s="163"/>
    </row>
    <row r="15" spans="1:15" x14ac:dyDescent="0.25">
      <c r="A15" s="314">
        <v>60</v>
      </c>
      <c r="B15" s="342" t="s">
        <v>375</v>
      </c>
      <c r="C15" s="311">
        <f>EN_1100_006!N$2</f>
        <v>1.7139456024999999</v>
      </c>
      <c r="D15" s="312">
        <f>EN_1100_006_q</f>
        <v>1</v>
      </c>
      <c r="E15" s="313">
        <f t="shared" ref="E15" si="1">C15*D15</f>
        <v>1.7139456024999999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63"/>
    </row>
    <row r="16" spans="1:15" x14ac:dyDescent="0.25">
      <c r="A16" s="164"/>
      <c r="B16" s="45"/>
      <c r="C16" s="45"/>
      <c r="D16" s="99" t="s">
        <v>18</v>
      </c>
      <c r="E16" s="100">
        <f>SUM(E10:E15)</f>
        <v>108.89362279664141</v>
      </c>
      <c r="F16" s="46"/>
      <c r="G16" s="46"/>
      <c r="H16" s="46"/>
      <c r="I16" s="46"/>
      <c r="J16" s="46"/>
      <c r="K16" s="46"/>
      <c r="L16" s="46"/>
      <c r="M16" s="46"/>
      <c r="N16" s="46"/>
      <c r="O16" s="163"/>
    </row>
    <row r="17" spans="1:15" x14ac:dyDescent="0.25">
      <c r="A17" s="16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67"/>
    </row>
    <row r="18" spans="1:15" x14ac:dyDescent="0.25">
      <c r="A18" s="162" t="s">
        <v>14</v>
      </c>
      <c r="B18" s="95" t="s">
        <v>19</v>
      </c>
      <c r="C18" s="95" t="s">
        <v>20</v>
      </c>
      <c r="D18" s="95" t="s">
        <v>21</v>
      </c>
      <c r="E18" s="95" t="s">
        <v>22</v>
      </c>
      <c r="F18" s="95" t="s">
        <v>23</v>
      </c>
      <c r="G18" s="95" t="s">
        <v>24</v>
      </c>
      <c r="H18" s="95" t="s">
        <v>25</v>
      </c>
      <c r="I18" s="95" t="s">
        <v>26</v>
      </c>
      <c r="J18" s="95" t="s">
        <v>27</v>
      </c>
      <c r="K18" s="95" t="s">
        <v>28</v>
      </c>
      <c r="L18" s="95" t="s">
        <v>29</v>
      </c>
      <c r="M18" s="95" t="s">
        <v>17</v>
      </c>
      <c r="N18" s="95" t="s">
        <v>18</v>
      </c>
      <c r="O18" s="167"/>
    </row>
    <row r="19" spans="1:15" x14ac:dyDescent="0.25">
      <c r="A19" s="314">
        <v>10</v>
      </c>
      <c r="B19" s="295" t="s">
        <v>313</v>
      </c>
      <c r="C19" s="295"/>
      <c r="D19" s="296">
        <v>0.05</v>
      </c>
      <c r="E19" s="295">
        <v>20</v>
      </c>
      <c r="F19" s="295" t="s">
        <v>30</v>
      </c>
      <c r="G19" s="295"/>
      <c r="H19" s="315"/>
      <c r="I19" s="316"/>
      <c r="J19" s="317"/>
      <c r="K19" s="315"/>
      <c r="L19" s="315"/>
      <c r="M19" s="317">
        <v>1</v>
      </c>
      <c r="N19" s="318">
        <f>IF(J19="",D19*M19*E19,D19*J19*K19*L19*M19)</f>
        <v>1</v>
      </c>
      <c r="O19" s="170"/>
    </row>
    <row r="20" spans="1:15" x14ac:dyDescent="0.25">
      <c r="A20" s="314">
        <v>20</v>
      </c>
      <c r="B20" s="295" t="s">
        <v>143</v>
      </c>
      <c r="C20" s="295" t="s">
        <v>314</v>
      </c>
      <c r="D20" s="296">
        <v>10</v>
      </c>
      <c r="E20" s="295">
        <f>0.001*2+0.116</f>
        <v>0.11800000000000001</v>
      </c>
      <c r="F20" s="295" t="s">
        <v>145</v>
      </c>
      <c r="G20" s="295"/>
      <c r="H20" s="315"/>
      <c r="I20" s="316"/>
      <c r="J20" s="317"/>
      <c r="K20" s="315"/>
      <c r="L20" s="315"/>
      <c r="M20" s="317">
        <v>1</v>
      </c>
      <c r="N20" s="318">
        <f>IF(J20="",D20*M20*E20,D20*J20*K20*L20*M20)</f>
        <v>1.1800000000000002</v>
      </c>
      <c r="O20" s="163"/>
    </row>
    <row r="21" spans="1:15" x14ac:dyDescent="0.25">
      <c r="A21" s="16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95" t="s">
        <v>18</v>
      </c>
      <c r="N21" s="97">
        <f>SUM(N19:N20)</f>
        <v>2.1800000000000002</v>
      </c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2" t="s">
        <v>14</v>
      </c>
      <c r="B23" s="95" t="s">
        <v>31</v>
      </c>
      <c r="C23" s="95" t="s">
        <v>20</v>
      </c>
      <c r="D23" s="95" t="s">
        <v>21</v>
      </c>
      <c r="E23" s="95" t="s">
        <v>32</v>
      </c>
      <c r="F23" s="95" t="s">
        <v>17</v>
      </c>
      <c r="G23" s="95" t="s">
        <v>33</v>
      </c>
      <c r="H23" s="95" t="s">
        <v>34</v>
      </c>
      <c r="I23" s="95" t="s">
        <v>18</v>
      </c>
      <c r="J23" s="19"/>
      <c r="K23" s="19"/>
      <c r="L23" s="19"/>
      <c r="M23" s="19"/>
      <c r="N23" s="19"/>
      <c r="O23" s="163"/>
    </row>
    <row r="24" spans="1:15" x14ac:dyDescent="0.25">
      <c r="A24" s="319">
        <v>10</v>
      </c>
      <c r="B24" s="274" t="s">
        <v>183</v>
      </c>
      <c r="C24" s="274" t="s">
        <v>315</v>
      </c>
      <c r="D24" s="282">
        <v>0.15</v>
      </c>
      <c r="E24" s="283" t="s">
        <v>45</v>
      </c>
      <c r="F24" s="297">
        <v>2</v>
      </c>
      <c r="G24" s="298"/>
      <c r="H24" s="298"/>
      <c r="I24" s="299">
        <f t="shared" ref="I24:I39" si="2">IF(H24="",D24*F24,D24*F24*H24)</f>
        <v>0.3</v>
      </c>
      <c r="J24" s="111"/>
      <c r="K24" s="111"/>
      <c r="L24" s="111"/>
      <c r="M24" s="45"/>
      <c r="N24" s="45"/>
      <c r="O24" s="163"/>
    </row>
    <row r="25" spans="1:15" x14ac:dyDescent="0.25">
      <c r="A25" s="319">
        <v>20</v>
      </c>
      <c r="B25" s="274" t="s">
        <v>185</v>
      </c>
      <c r="C25" s="295" t="s">
        <v>316</v>
      </c>
      <c r="D25" s="282">
        <v>5.25</v>
      </c>
      <c r="E25" s="283" t="s">
        <v>145</v>
      </c>
      <c r="F25" s="295">
        <f>0.001*2+0.116</f>
        <v>0.11800000000000001</v>
      </c>
      <c r="G25" s="298"/>
      <c r="H25" s="298"/>
      <c r="I25" s="299">
        <f t="shared" si="2"/>
        <v>0.61950000000000005</v>
      </c>
      <c r="J25" s="111"/>
      <c r="K25" s="111"/>
      <c r="L25" s="111"/>
      <c r="M25" s="45"/>
      <c r="N25" s="45"/>
      <c r="O25" s="163"/>
    </row>
    <row r="26" spans="1:15" ht="30" x14ac:dyDescent="0.25">
      <c r="A26" s="319">
        <v>30</v>
      </c>
      <c r="B26" s="274" t="s">
        <v>188</v>
      </c>
      <c r="C26" s="274" t="s">
        <v>317</v>
      </c>
      <c r="D26" s="282">
        <v>0.19</v>
      </c>
      <c r="E26" s="283" t="s">
        <v>32</v>
      </c>
      <c r="F26" s="297">
        <v>1</v>
      </c>
      <c r="G26" s="273"/>
      <c r="H26" s="273"/>
      <c r="I26" s="299">
        <f t="shared" si="2"/>
        <v>0.19</v>
      </c>
      <c r="J26" s="111"/>
      <c r="K26" s="111"/>
      <c r="L26" s="111"/>
      <c r="M26" s="45"/>
      <c r="N26" s="45"/>
      <c r="O26" s="163"/>
    </row>
    <row r="27" spans="1:15" ht="30" x14ac:dyDescent="0.25">
      <c r="A27" s="319">
        <v>40</v>
      </c>
      <c r="B27" s="274" t="s">
        <v>188</v>
      </c>
      <c r="C27" s="274" t="s">
        <v>330</v>
      </c>
      <c r="D27" s="282">
        <v>0.19</v>
      </c>
      <c r="E27" s="283" t="s">
        <v>32</v>
      </c>
      <c r="F27" s="297">
        <v>6</v>
      </c>
      <c r="G27" s="273"/>
      <c r="H27" s="273"/>
      <c r="I27" s="299">
        <f t="shared" si="2"/>
        <v>1.1400000000000001</v>
      </c>
      <c r="J27" s="111"/>
      <c r="K27" s="111"/>
      <c r="L27" s="111"/>
      <c r="M27" s="45"/>
      <c r="N27" s="45"/>
      <c r="O27" s="163"/>
    </row>
    <row r="28" spans="1:15" x14ac:dyDescent="0.25">
      <c r="A28" s="319">
        <v>50</v>
      </c>
      <c r="B28" s="274" t="s">
        <v>173</v>
      </c>
      <c r="C28" s="274" t="s">
        <v>318</v>
      </c>
      <c r="D28" s="282">
        <v>0.13</v>
      </c>
      <c r="E28" s="283" t="s">
        <v>32</v>
      </c>
      <c r="F28" s="297">
        <v>1</v>
      </c>
      <c r="G28" s="273"/>
      <c r="H28" s="273"/>
      <c r="I28" s="299">
        <f t="shared" si="2"/>
        <v>0.13</v>
      </c>
      <c r="J28" s="111"/>
      <c r="K28" s="111"/>
      <c r="L28" s="111"/>
      <c r="M28" s="45"/>
      <c r="N28" s="45"/>
      <c r="O28" s="163"/>
    </row>
    <row r="29" spans="1:15" x14ac:dyDescent="0.25">
      <c r="A29" s="319">
        <v>60</v>
      </c>
      <c r="B29" s="274" t="s">
        <v>319</v>
      </c>
      <c r="C29" s="274" t="s">
        <v>320</v>
      </c>
      <c r="D29" s="282">
        <v>0.06</v>
      </c>
      <c r="E29" s="283" t="s">
        <v>32</v>
      </c>
      <c r="F29" s="297">
        <v>15</v>
      </c>
      <c r="G29" s="273"/>
      <c r="H29" s="273"/>
      <c r="I29" s="299">
        <f t="shared" si="2"/>
        <v>0.89999999999999991</v>
      </c>
      <c r="J29" s="111"/>
      <c r="K29" s="111"/>
      <c r="L29" s="111"/>
      <c r="M29" s="45"/>
      <c r="N29" s="45"/>
      <c r="O29" s="163"/>
    </row>
    <row r="30" spans="1:15" x14ac:dyDescent="0.25">
      <c r="A30" s="319">
        <v>70</v>
      </c>
      <c r="B30" s="274" t="s">
        <v>176</v>
      </c>
      <c r="C30" s="274" t="s">
        <v>321</v>
      </c>
      <c r="D30" s="282">
        <v>0.75</v>
      </c>
      <c r="E30" s="283" t="s">
        <v>32</v>
      </c>
      <c r="F30" s="297">
        <v>6</v>
      </c>
      <c r="G30" s="273"/>
      <c r="H30" s="273"/>
      <c r="I30" s="299">
        <f t="shared" si="2"/>
        <v>4.5</v>
      </c>
      <c r="J30" s="111"/>
      <c r="K30" s="111"/>
      <c r="L30" s="111"/>
      <c r="M30" s="45"/>
      <c r="N30" s="45"/>
      <c r="O30" s="163"/>
    </row>
    <row r="31" spans="1:15" x14ac:dyDescent="0.25">
      <c r="A31" s="319">
        <v>80</v>
      </c>
      <c r="B31" s="274" t="s">
        <v>322</v>
      </c>
      <c r="C31" s="274" t="s">
        <v>321</v>
      </c>
      <c r="D31" s="282">
        <v>0.25</v>
      </c>
      <c r="E31" s="283" t="s">
        <v>32</v>
      </c>
      <c r="F31" s="297">
        <v>6</v>
      </c>
      <c r="G31" s="273"/>
      <c r="H31" s="273"/>
      <c r="I31" s="299">
        <f t="shared" si="2"/>
        <v>1.5</v>
      </c>
      <c r="J31" s="111"/>
      <c r="K31" s="111"/>
      <c r="L31" s="111"/>
      <c r="M31" s="45"/>
      <c r="N31" s="45"/>
      <c r="O31" s="163"/>
    </row>
    <row r="32" spans="1:15" x14ac:dyDescent="0.25">
      <c r="A32" s="319">
        <v>90</v>
      </c>
      <c r="B32" s="274" t="s">
        <v>188</v>
      </c>
      <c r="C32" s="274" t="s">
        <v>323</v>
      </c>
      <c r="D32" s="282">
        <v>0.19</v>
      </c>
      <c r="E32" s="283" t="s">
        <v>32</v>
      </c>
      <c r="F32" s="297">
        <v>1</v>
      </c>
      <c r="G32" s="273"/>
      <c r="H32" s="273"/>
      <c r="I32" s="299">
        <f t="shared" si="2"/>
        <v>0.19</v>
      </c>
      <c r="J32" s="111"/>
      <c r="K32" s="111"/>
      <c r="L32" s="111"/>
      <c r="M32" s="45"/>
      <c r="N32" s="45"/>
      <c r="O32" s="163"/>
    </row>
    <row r="33" spans="1:15" x14ac:dyDescent="0.25">
      <c r="A33" s="319">
        <v>100</v>
      </c>
      <c r="B33" s="274" t="s">
        <v>176</v>
      </c>
      <c r="C33" s="274" t="s">
        <v>324</v>
      </c>
      <c r="D33" s="282">
        <v>0.75</v>
      </c>
      <c r="E33" s="283" t="s">
        <v>32</v>
      </c>
      <c r="F33" s="297">
        <v>1</v>
      </c>
      <c r="G33" s="273"/>
      <c r="H33" s="273"/>
      <c r="I33" s="299">
        <f t="shared" si="2"/>
        <v>0.75</v>
      </c>
      <c r="J33" s="155"/>
      <c r="K33" s="155"/>
      <c r="L33" s="155"/>
      <c r="M33" s="45"/>
      <c r="N33" s="45"/>
      <c r="O33" s="163"/>
    </row>
    <row r="34" spans="1:15" x14ac:dyDescent="0.25">
      <c r="A34" s="319">
        <v>110</v>
      </c>
      <c r="B34" s="274" t="s">
        <v>173</v>
      </c>
      <c r="C34" s="274" t="s">
        <v>325</v>
      </c>
      <c r="D34" s="282">
        <v>0.13</v>
      </c>
      <c r="E34" s="283" t="s">
        <v>32</v>
      </c>
      <c r="F34" s="297">
        <v>1</v>
      </c>
      <c r="G34" s="273"/>
      <c r="H34" s="273"/>
      <c r="I34" s="299">
        <f t="shared" si="2"/>
        <v>0.13</v>
      </c>
      <c r="J34" s="111"/>
      <c r="K34" s="111"/>
      <c r="L34" s="111"/>
      <c r="M34" s="45"/>
      <c r="N34" s="45"/>
      <c r="O34" s="163"/>
    </row>
    <row r="35" spans="1:15" x14ac:dyDescent="0.25">
      <c r="A35" s="319">
        <v>120</v>
      </c>
      <c r="B35" s="274" t="s">
        <v>326</v>
      </c>
      <c r="C35" s="274" t="s">
        <v>327</v>
      </c>
      <c r="D35" s="282">
        <v>5</v>
      </c>
      <c r="E35" s="283" t="s">
        <v>32</v>
      </c>
      <c r="F35" s="297">
        <v>1</v>
      </c>
      <c r="G35" s="273"/>
      <c r="H35" s="273"/>
      <c r="I35" s="299">
        <f t="shared" si="2"/>
        <v>5</v>
      </c>
      <c r="J35" s="155"/>
      <c r="K35" s="155"/>
      <c r="L35" s="155"/>
      <c r="M35" s="45"/>
      <c r="N35" s="45"/>
      <c r="O35" s="163"/>
    </row>
    <row r="36" spans="1:15" x14ac:dyDescent="0.25">
      <c r="A36" s="319">
        <v>130</v>
      </c>
      <c r="B36" s="274" t="s">
        <v>319</v>
      </c>
      <c r="C36" s="274" t="s">
        <v>320</v>
      </c>
      <c r="D36" s="282">
        <v>0.06</v>
      </c>
      <c r="E36" s="283" t="s">
        <v>32</v>
      </c>
      <c r="F36" s="297">
        <v>3</v>
      </c>
      <c r="G36" s="273"/>
      <c r="H36" s="273"/>
      <c r="I36" s="299">
        <f t="shared" si="2"/>
        <v>0.18</v>
      </c>
      <c r="J36" s="111"/>
      <c r="K36" s="111"/>
      <c r="L36" s="111"/>
      <c r="M36" s="45"/>
      <c r="N36" s="45"/>
      <c r="O36" s="163"/>
    </row>
    <row r="37" spans="1:15" x14ac:dyDescent="0.25">
      <c r="A37" s="319">
        <v>140</v>
      </c>
      <c r="B37" s="274" t="s">
        <v>176</v>
      </c>
      <c r="C37" s="274" t="s">
        <v>328</v>
      </c>
      <c r="D37" s="282">
        <v>0.75</v>
      </c>
      <c r="E37" s="283" t="s">
        <v>32</v>
      </c>
      <c r="F37" s="297">
        <v>1</v>
      </c>
      <c r="G37" s="273"/>
      <c r="H37" s="273"/>
      <c r="I37" s="299">
        <f t="shared" si="2"/>
        <v>0.75</v>
      </c>
      <c r="J37" s="111"/>
      <c r="K37" s="111"/>
      <c r="L37" s="111"/>
      <c r="M37" s="45"/>
      <c r="N37" s="45"/>
      <c r="O37" s="163"/>
    </row>
    <row r="38" spans="1:15" x14ac:dyDescent="0.25">
      <c r="A38" s="319">
        <v>150</v>
      </c>
      <c r="B38" s="274" t="s">
        <v>322</v>
      </c>
      <c r="C38" s="274" t="s">
        <v>328</v>
      </c>
      <c r="D38" s="282">
        <v>0.25</v>
      </c>
      <c r="E38" s="283" t="s">
        <v>32</v>
      </c>
      <c r="F38" s="297">
        <v>1</v>
      </c>
      <c r="G38" s="273"/>
      <c r="H38" s="273"/>
      <c r="I38" s="299">
        <f t="shared" si="2"/>
        <v>0.25</v>
      </c>
      <c r="J38" s="111"/>
      <c r="K38" s="111"/>
      <c r="L38" s="111"/>
      <c r="M38" s="45"/>
      <c r="N38" s="45"/>
      <c r="O38" s="163"/>
    </row>
    <row r="39" spans="1:15" x14ac:dyDescent="0.25">
      <c r="A39" s="319">
        <v>160</v>
      </c>
      <c r="B39" s="274" t="s">
        <v>319</v>
      </c>
      <c r="C39" s="274" t="s">
        <v>320</v>
      </c>
      <c r="D39" s="282">
        <v>0.06</v>
      </c>
      <c r="E39" s="283" t="s">
        <v>32</v>
      </c>
      <c r="F39" s="297">
        <v>3</v>
      </c>
      <c r="G39" s="273"/>
      <c r="H39" s="273"/>
      <c r="I39" s="299">
        <f t="shared" si="2"/>
        <v>0.18</v>
      </c>
      <c r="J39" s="111"/>
      <c r="K39" s="111"/>
      <c r="L39" s="111"/>
      <c r="M39" s="45"/>
      <c r="N39" s="45"/>
      <c r="O39" s="163"/>
    </row>
    <row r="40" spans="1:15" x14ac:dyDescent="0.25">
      <c r="A40" s="319">
        <v>170</v>
      </c>
      <c r="B40" s="274" t="s">
        <v>176</v>
      </c>
      <c r="C40" s="274" t="s">
        <v>329</v>
      </c>
      <c r="D40" s="282">
        <v>0.75</v>
      </c>
      <c r="E40" s="283" t="s">
        <v>32</v>
      </c>
      <c r="F40" s="297">
        <v>1</v>
      </c>
      <c r="G40" s="273"/>
      <c r="H40" s="273"/>
      <c r="I40" s="299">
        <f>IF(H40="",D40*F40,D40*F40*H40)</f>
        <v>0.75</v>
      </c>
      <c r="J40" s="111"/>
      <c r="K40" s="111"/>
      <c r="L40" s="111"/>
      <c r="M40" s="45"/>
      <c r="N40" s="45"/>
      <c r="O40" s="163"/>
    </row>
    <row r="41" spans="1:15" x14ac:dyDescent="0.25">
      <c r="A41" s="319">
        <v>180</v>
      </c>
      <c r="B41" s="274" t="s">
        <v>322</v>
      </c>
      <c r="C41" s="274" t="s">
        <v>329</v>
      </c>
      <c r="D41" s="282">
        <v>0.25</v>
      </c>
      <c r="E41" s="283" t="s">
        <v>32</v>
      </c>
      <c r="F41" s="297">
        <v>1</v>
      </c>
      <c r="G41" s="273"/>
      <c r="H41" s="273"/>
      <c r="I41" s="299">
        <f>IF(H41="",D41*F41,D41*F41*H41)</f>
        <v>0.25</v>
      </c>
      <c r="J41" s="111"/>
      <c r="K41" s="111"/>
      <c r="L41" s="111"/>
      <c r="M41" s="45"/>
      <c r="N41" s="45"/>
      <c r="O41" s="163"/>
    </row>
    <row r="42" spans="1:15" x14ac:dyDescent="0.25">
      <c r="A42" s="168"/>
      <c r="B42" s="19"/>
      <c r="C42" s="19"/>
      <c r="D42" s="19"/>
      <c r="E42" s="19"/>
      <c r="F42" s="19"/>
      <c r="G42" s="19"/>
      <c r="H42" s="96" t="s">
        <v>18</v>
      </c>
      <c r="I42" s="97">
        <f>SUM(I24:I41)</f>
        <v>17.709499999999998</v>
      </c>
      <c r="J42" s="45"/>
      <c r="K42" s="45"/>
      <c r="L42" s="45"/>
      <c r="M42" s="45"/>
      <c r="N42" s="45"/>
      <c r="O42" s="163"/>
    </row>
    <row r="43" spans="1:15" x14ac:dyDescent="0.25">
      <c r="A43" s="16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163"/>
    </row>
    <row r="44" spans="1:15" x14ac:dyDescent="0.25">
      <c r="A44" s="162" t="s">
        <v>14</v>
      </c>
      <c r="B44" s="95" t="s">
        <v>36</v>
      </c>
      <c r="C44" s="95" t="s">
        <v>20</v>
      </c>
      <c r="D44" s="95" t="s">
        <v>21</v>
      </c>
      <c r="E44" s="95" t="s">
        <v>22</v>
      </c>
      <c r="F44" s="95" t="s">
        <v>23</v>
      </c>
      <c r="G44" s="95" t="s">
        <v>24</v>
      </c>
      <c r="H44" s="95" t="s">
        <v>25</v>
      </c>
      <c r="I44" s="95" t="s">
        <v>17</v>
      </c>
      <c r="J44" s="95" t="s">
        <v>18</v>
      </c>
      <c r="K44" s="45"/>
      <c r="L44" s="45"/>
      <c r="M44" s="45"/>
      <c r="N44" s="45"/>
      <c r="O44" s="163"/>
    </row>
    <row r="45" spans="1:15" x14ac:dyDescent="0.25">
      <c r="A45" s="314">
        <v>10</v>
      </c>
      <c r="B45" s="295" t="s">
        <v>203</v>
      </c>
      <c r="C45" s="295" t="s">
        <v>331</v>
      </c>
      <c r="D45" s="300">
        <f>0.8/105154*E45*E45*G45*SQRT(G45)+(0.003*EXP(0.319*E45))</f>
        <v>0.19787566120335398</v>
      </c>
      <c r="E45" s="284">
        <v>10</v>
      </c>
      <c r="F45" s="301" t="s">
        <v>30</v>
      </c>
      <c r="G45" s="284">
        <v>30</v>
      </c>
      <c r="H45" s="302" t="s">
        <v>30</v>
      </c>
      <c r="I45" s="303">
        <v>6</v>
      </c>
      <c r="J45" s="299">
        <f t="shared" ref="J45:J55" si="3">I45*D45</f>
        <v>1.1872539672201239</v>
      </c>
      <c r="K45" s="45"/>
      <c r="L45" s="45"/>
      <c r="M45" s="45"/>
      <c r="N45" s="45"/>
      <c r="O45" s="163"/>
    </row>
    <row r="46" spans="1:15" x14ac:dyDescent="0.25">
      <c r="A46" s="314">
        <v>20</v>
      </c>
      <c r="B46" s="295" t="s">
        <v>205</v>
      </c>
      <c r="C46" s="295" t="s">
        <v>331</v>
      </c>
      <c r="D46" s="300">
        <f>0.009*EXP(0.2*E46)</f>
        <v>6.6501504890375845E-2</v>
      </c>
      <c r="E46" s="284">
        <v>10</v>
      </c>
      <c r="F46" s="301" t="s">
        <v>30</v>
      </c>
      <c r="G46" s="284"/>
      <c r="H46" s="302"/>
      <c r="I46" s="303">
        <v>6</v>
      </c>
      <c r="J46" s="299">
        <f t="shared" si="3"/>
        <v>0.39900902934225507</v>
      </c>
      <c r="K46" s="45"/>
      <c r="L46" s="45"/>
      <c r="M46" s="45"/>
      <c r="N46" s="45"/>
      <c r="O46" s="163"/>
    </row>
    <row r="47" spans="1:15" x14ac:dyDescent="0.25">
      <c r="A47" s="314">
        <v>30</v>
      </c>
      <c r="B47" s="295" t="s">
        <v>207</v>
      </c>
      <c r="C47" s="295" t="s">
        <v>331</v>
      </c>
      <c r="D47" s="300">
        <v>0.01</v>
      </c>
      <c r="E47" s="284"/>
      <c r="F47" s="301" t="s">
        <v>32</v>
      </c>
      <c r="G47" s="284"/>
      <c r="H47" s="302"/>
      <c r="I47" s="303">
        <v>12</v>
      </c>
      <c r="J47" s="304">
        <f t="shared" si="3"/>
        <v>0.12</v>
      </c>
      <c r="K47" s="45"/>
      <c r="L47" s="45"/>
      <c r="M47" s="45"/>
      <c r="N47" s="45"/>
      <c r="O47" s="163"/>
    </row>
    <row r="48" spans="1:15" x14ac:dyDescent="0.25">
      <c r="A48" s="314">
        <v>40</v>
      </c>
      <c r="B48" s="295" t="s">
        <v>203</v>
      </c>
      <c r="C48" s="295" t="s">
        <v>332</v>
      </c>
      <c r="D48" s="300">
        <f>0.8/105154*E48*E48*G48*SQRT(G48)+(0.003*EXP(0.319*E48))</f>
        <v>4.4837397015100443E-2</v>
      </c>
      <c r="E48" s="284">
        <v>6</v>
      </c>
      <c r="F48" s="301" t="s">
        <v>30</v>
      </c>
      <c r="G48" s="284">
        <v>20</v>
      </c>
      <c r="H48" s="302" t="s">
        <v>30</v>
      </c>
      <c r="I48" s="303">
        <v>1</v>
      </c>
      <c r="J48" s="277">
        <f t="shared" si="3"/>
        <v>4.4837397015100443E-2</v>
      </c>
      <c r="K48" s="45"/>
      <c r="L48" s="45"/>
      <c r="M48" s="45"/>
      <c r="N48" s="45"/>
      <c r="O48" s="163"/>
    </row>
    <row r="49" spans="1:15" x14ac:dyDescent="0.25">
      <c r="A49" s="314">
        <v>50</v>
      </c>
      <c r="B49" s="295" t="s">
        <v>205</v>
      </c>
      <c r="C49" s="295" t="s">
        <v>332</v>
      </c>
      <c r="D49" s="300">
        <f>0.009*EXP(0.2*E49)</f>
        <v>2.9881052304628931E-2</v>
      </c>
      <c r="E49" s="284">
        <v>6</v>
      </c>
      <c r="F49" s="301" t="s">
        <v>30</v>
      </c>
      <c r="G49" s="284"/>
      <c r="H49" s="302"/>
      <c r="I49" s="303">
        <v>1</v>
      </c>
      <c r="J49" s="305">
        <f t="shared" si="3"/>
        <v>2.9881052304628931E-2</v>
      </c>
      <c r="K49" s="45"/>
      <c r="L49" s="45"/>
      <c r="M49" s="45"/>
      <c r="N49" s="45"/>
      <c r="O49" s="163"/>
    </row>
    <row r="50" spans="1:15" x14ac:dyDescent="0.25">
      <c r="A50" s="314">
        <v>60</v>
      </c>
      <c r="B50" s="295" t="s">
        <v>207</v>
      </c>
      <c r="C50" s="295" t="s">
        <v>332</v>
      </c>
      <c r="D50" s="300">
        <v>0.01</v>
      </c>
      <c r="E50" s="284"/>
      <c r="F50" s="301" t="s">
        <v>32</v>
      </c>
      <c r="G50" s="284"/>
      <c r="H50" s="302"/>
      <c r="I50" s="303">
        <v>2</v>
      </c>
      <c r="J50" s="299">
        <f t="shared" si="3"/>
        <v>0.02</v>
      </c>
      <c r="K50" s="45"/>
      <c r="L50" s="45"/>
      <c r="M50" s="45"/>
      <c r="N50" s="45"/>
      <c r="O50" s="163"/>
    </row>
    <row r="51" spans="1:15" x14ac:dyDescent="0.25">
      <c r="A51" s="314">
        <v>70</v>
      </c>
      <c r="B51" s="295" t="s">
        <v>203</v>
      </c>
      <c r="C51" s="295" t="s">
        <v>332</v>
      </c>
      <c r="D51" s="300">
        <f>0.8/105154*E51*E51*G51*SQRT(G51)+(0.003*EXP(0.319*E51))</f>
        <v>4.4837397015100443E-2</v>
      </c>
      <c r="E51" s="284">
        <v>6</v>
      </c>
      <c r="F51" s="301" t="s">
        <v>30</v>
      </c>
      <c r="G51" s="284">
        <v>20</v>
      </c>
      <c r="H51" s="302" t="s">
        <v>30</v>
      </c>
      <c r="I51" s="303">
        <v>1</v>
      </c>
      <c r="J51" s="299">
        <f t="shared" si="3"/>
        <v>4.4837397015100443E-2</v>
      </c>
      <c r="K51" s="45"/>
      <c r="L51" s="45"/>
      <c r="M51" s="45"/>
      <c r="N51" s="45"/>
      <c r="O51" s="163"/>
    </row>
    <row r="52" spans="1:15" x14ac:dyDescent="0.25">
      <c r="A52" s="314">
        <v>80</v>
      </c>
      <c r="B52" s="295" t="s">
        <v>205</v>
      </c>
      <c r="C52" s="295" t="s">
        <v>332</v>
      </c>
      <c r="D52" s="300">
        <f>0.009*EXP(0.2*E52)</f>
        <v>2.9881052304628931E-2</v>
      </c>
      <c r="E52" s="284">
        <v>6</v>
      </c>
      <c r="F52" s="301" t="s">
        <v>30</v>
      </c>
      <c r="G52" s="284"/>
      <c r="H52" s="302"/>
      <c r="I52" s="303">
        <v>1</v>
      </c>
      <c r="J52" s="299">
        <f t="shared" si="3"/>
        <v>2.9881052304628931E-2</v>
      </c>
      <c r="K52" s="45"/>
      <c r="L52" s="45"/>
      <c r="M52" s="45"/>
      <c r="N52" s="45"/>
      <c r="O52" s="163"/>
    </row>
    <row r="53" spans="1:15" x14ac:dyDescent="0.25">
      <c r="A53" s="314">
        <v>90</v>
      </c>
      <c r="B53" s="295" t="s">
        <v>207</v>
      </c>
      <c r="C53" s="295" t="s">
        <v>332</v>
      </c>
      <c r="D53" s="300">
        <v>0.01</v>
      </c>
      <c r="E53" s="284"/>
      <c r="F53" s="301" t="s">
        <v>32</v>
      </c>
      <c r="G53" s="284"/>
      <c r="H53" s="302"/>
      <c r="I53" s="303">
        <v>2</v>
      </c>
      <c r="J53" s="299">
        <f t="shared" si="3"/>
        <v>0.02</v>
      </c>
      <c r="K53" s="45"/>
      <c r="L53" s="45"/>
      <c r="M53" s="45"/>
      <c r="N53" s="45"/>
      <c r="O53" s="163"/>
    </row>
    <row r="54" spans="1:15" x14ac:dyDescent="0.25">
      <c r="A54" s="314">
        <v>100</v>
      </c>
      <c r="B54" s="295" t="s">
        <v>203</v>
      </c>
      <c r="C54" s="295" t="s">
        <v>333</v>
      </c>
      <c r="D54" s="300">
        <f>0.8/105154*E54*E54*G54*SQRT(G54)+(0.003*EXP(0.319*E54))</f>
        <v>8.2048330888522564E-2</v>
      </c>
      <c r="E54" s="284">
        <v>8</v>
      </c>
      <c r="F54" s="301" t="s">
        <v>30</v>
      </c>
      <c r="G54" s="284">
        <v>20</v>
      </c>
      <c r="H54" s="302" t="s">
        <v>30</v>
      </c>
      <c r="I54" s="303">
        <v>1</v>
      </c>
      <c r="J54" s="299">
        <f t="shared" si="3"/>
        <v>8.2048330888522564E-2</v>
      </c>
      <c r="K54" s="45"/>
      <c r="L54" s="45"/>
      <c r="M54" s="45"/>
      <c r="N54" s="45"/>
      <c r="O54" s="163"/>
    </row>
    <row r="55" spans="1:15" x14ac:dyDescent="0.25">
      <c r="A55" s="314">
        <v>110</v>
      </c>
      <c r="B55" s="295" t="s">
        <v>334</v>
      </c>
      <c r="C55" s="295" t="s">
        <v>335</v>
      </c>
      <c r="D55" s="300">
        <v>0.5</v>
      </c>
      <c r="E55" s="284">
        <v>52</v>
      </c>
      <c r="F55" s="301" t="s">
        <v>30</v>
      </c>
      <c r="G55" s="284"/>
      <c r="H55" s="302"/>
      <c r="I55" s="303">
        <v>1</v>
      </c>
      <c r="J55" s="299">
        <f t="shared" si="3"/>
        <v>0.5</v>
      </c>
      <c r="K55" s="45"/>
      <c r="L55" s="45"/>
      <c r="M55" s="45"/>
      <c r="N55" s="45"/>
      <c r="O55" s="163"/>
    </row>
    <row r="56" spans="1:15" x14ac:dyDescent="0.25">
      <c r="A56" s="168"/>
      <c r="B56" s="19"/>
      <c r="C56" s="19"/>
      <c r="D56" s="19"/>
      <c r="E56" s="19"/>
      <c r="F56" s="19"/>
      <c r="G56" s="19"/>
      <c r="H56" s="19"/>
      <c r="I56" s="96" t="s">
        <v>18</v>
      </c>
      <c r="J56" s="97">
        <f>SUM(J45:J55)</f>
        <v>2.4777482260903598</v>
      </c>
      <c r="K56" s="45"/>
      <c r="L56" s="45"/>
      <c r="M56" s="45"/>
      <c r="N56" s="45"/>
      <c r="O56" s="163"/>
    </row>
    <row r="57" spans="1:15" x14ac:dyDescent="0.25">
      <c r="A57" s="16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163"/>
    </row>
    <row r="58" spans="1:15" x14ac:dyDescent="0.25">
      <c r="A58" s="162" t="s">
        <v>14</v>
      </c>
      <c r="B58" s="95" t="s">
        <v>37</v>
      </c>
      <c r="C58" s="95" t="s">
        <v>20</v>
      </c>
      <c r="D58" s="95" t="s">
        <v>21</v>
      </c>
      <c r="E58" s="95" t="s">
        <v>32</v>
      </c>
      <c r="F58" s="95" t="s">
        <v>17</v>
      </c>
      <c r="G58" s="95" t="s">
        <v>38</v>
      </c>
      <c r="H58" s="306" t="s">
        <v>39</v>
      </c>
      <c r="I58" s="308" t="s">
        <v>18</v>
      </c>
      <c r="J58" s="45"/>
      <c r="K58" s="45"/>
      <c r="L58" s="45"/>
      <c r="M58" s="45"/>
      <c r="N58" s="45"/>
      <c r="O58" s="163"/>
    </row>
    <row r="59" spans="1:15" x14ac:dyDescent="0.25">
      <c r="A59" s="171">
        <v>10</v>
      </c>
      <c r="B59" s="60" t="s">
        <v>40</v>
      </c>
      <c r="C59" s="60" t="s">
        <v>184</v>
      </c>
      <c r="D59" s="61">
        <v>500</v>
      </c>
      <c r="E59" s="60" t="s">
        <v>41</v>
      </c>
      <c r="F59" s="60">
        <v>16</v>
      </c>
      <c r="G59" s="60">
        <v>3000</v>
      </c>
      <c r="H59" s="307">
        <v>1</v>
      </c>
      <c r="I59" s="309">
        <f>D59*F59/G59*H59</f>
        <v>2.6666666666666665</v>
      </c>
      <c r="J59" s="45"/>
      <c r="K59" s="45"/>
      <c r="L59" s="45"/>
      <c r="M59" s="45"/>
      <c r="N59" s="45"/>
      <c r="O59" s="163"/>
    </row>
    <row r="60" spans="1:15" x14ac:dyDescent="0.25">
      <c r="A60" s="168"/>
      <c r="B60" s="19"/>
      <c r="C60" s="19"/>
      <c r="D60" s="19"/>
      <c r="E60" s="19"/>
      <c r="F60" s="19"/>
      <c r="G60" s="19"/>
      <c r="H60" s="99" t="s">
        <v>18</v>
      </c>
      <c r="I60" s="100">
        <f>SUM(I59:I59)</f>
        <v>2.6666666666666665</v>
      </c>
      <c r="J60" s="45"/>
      <c r="K60" s="45"/>
      <c r="L60" s="45"/>
      <c r="M60" s="45"/>
      <c r="N60" s="45"/>
      <c r="O60" s="163"/>
    </row>
    <row r="61" spans="1:15" ht="15.75" thickBot="1" x14ac:dyDescent="0.3">
      <c r="A61" s="172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4"/>
    </row>
  </sheetData>
  <hyperlinks>
    <hyperlink ref="B10" location="EN_1100_001" display="Front sprocket" xr:uid="{AF7F342E-4855-4789-AE27-F8B3AFD5FBAD}"/>
    <hyperlink ref="B11" location="EN_1100_002!A1" display="rear sprocket" xr:uid="{25FE80D6-1AC7-4466-93BA-31970C4A8461}"/>
    <hyperlink ref="B12" location="EN_1100_003!A1" display="Rear sprocket adaptor" xr:uid="{A9790CD9-4172-4535-8977-A9E1DF8C6F8E}"/>
    <hyperlink ref="B13" location="EN_1100_004!A1" display="Chain shield" xr:uid="{A8B9867F-E569-4B27-8530-827D704C9342}"/>
    <hyperlink ref="B14" location="EN_1100_005!A1" display="Upper chainshield bracket" xr:uid="{1018497E-B0E6-4B67-BBD0-C15FD336CD3E}"/>
    <hyperlink ref="B15" location="EN_1100_006!A1" display="Lower chainshield bracket" xr:uid="{582A9970-6C56-4D5A-8B4D-FBF593D1AB1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9E72-7A98-4A87-95B1-E43757B02DE2}">
  <sheetPr>
    <tabColor theme="6" tint="0.39997558519241921"/>
  </sheetPr>
  <dimension ref="A1:O26"/>
  <sheetViews>
    <sheetView zoomScale="85" zoomScaleNormal="85" workbookViewId="0">
      <selection activeCell="G27" sqref="G27"/>
    </sheetView>
  </sheetViews>
  <sheetFormatPr baseColWidth="10" defaultRowHeight="15" x14ac:dyDescent="0.25"/>
  <cols>
    <col min="2" max="2" width="33.7109375" bestFit="1" customWidth="1"/>
    <col min="3" max="3" width="47.5703125" bestFit="1" customWidth="1"/>
    <col min="7" max="7" width="13.5703125" bestFit="1" customWidth="1"/>
    <col min="9" max="9" width="18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EN_1100_001_m+EN_1100_001_p</f>
        <v>25.404258243942198</v>
      </c>
      <c r="O2" s="163"/>
    </row>
    <row r="3" spans="1:15" x14ac:dyDescent="0.25">
      <c r="A3" s="181" t="s">
        <v>3</v>
      </c>
      <c r="B3" s="180" t="s">
        <v>134</v>
      </c>
      <c r="C3" s="45"/>
      <c r="D3" s="226" t="s">
        <v>6</v>
      </c>
      <c r="E3" s="45"/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290" t="s">
        <v>5</v>
      </c>
      <c r="B4" s="286" t="s">
        <v>336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309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25.404258243942198</v>
      </c>
      <c r="O5" s="163"/>
    </row>
    <row r="6" spans="1:15" x14ac:dyDescent="0.25">
      <c r="A6" s="290" t="s">
        <v>7</v>
      </c>
      <c r="B6" s="175" t="s">
        <v>337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281">
        <v>10</v>
      </c>
      <c r="B11" s="320" t="s">
        <v>234</v>
      </c>
      <c r="C11" s="321" t="s">
        <v>338</v>
      </c>
      <c r="D11" s="282">
        <v>2.25</v>
      </c>
      <c r="E11" s="322">
        <f>J11*K11*L11</f>
        <v>0.67553218760489098</v>
      </c>
      <c r="F11" s="323" t="s">
        <v>155</v>
      </c>
      <c r="G11" s="323"/>
      <c r="H11" s="324"/>
      <c r="I11" s="325" t="s">
        <v>339</v>
      </c>
      <c r="J11" s="326">
        <f>PI()*(0.081/2)^2</f>
        <v>5.152997350050658E-3</v>
      </c>
      <c r="K11" s="327">
        <v>1.67E-2</v>
      </c>
      <c r="L11" s="328">
        <v>7850</v>
      </c>
      <c r="M11" s="329">
        <v>1</v>
      </c>
      <c r="N11" s="277">
        <f>IF(J11="",D11*M11,D11*J11*K11*L11*M11)</f>
        <v>1.519947422111005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1.519947422111005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81">
        <v>10</v>
      </c>
      <c r="B15" s="274" t="s">
        <v>43</v>
      </c>
      <c r="C15" s="274" t="s">
        <v>340</v>
      </c>
      <c r="D15" s="282">
        <v>1.3</v>
      </c>
      <c r="E15" s="283" t="s">
        <v>32</v>
      </c>
      <c r="F15" s="330">
        <v>1</v>
      </c>
      <c r="G15" s="330"/>
      <c r="H15" s="330"/>
      <c r="I15" s="277">
        <f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81">
        <v>20</v>
      </c>
      <c r="B16" s="274" t="s">
        <v>161</v>
      </c>
      <c r="C16" s="274" t="s">
        <v>347</v>
      </c>
      <c r="D16" s="282">
        <v>0.04</v>
      </c>
      <c r="E16" s="283" t="s">
        <v>162</v>
      </c>
      <c r="F16" s="279">
        <f>PI()*((0.081/2)^2-(0.034/2)^2)*0.0048*2*100^3+PI()*0.013^2*0.0167*100^3</f>
        <v>49.61925684859326</v>
      </c>
      <c r="G16" s="331" t="s">
        <v>342</v>
      </c>
      <c r="H16" s="332">
        <v>3</v>
      </c>
      <c r="I16" s="277">
        <f>IF(H16="",D16*F16,D16*F16*H16)</f>
        <v>5.9543108218311911</v>
      </c>
      <c r="J16" s="45"/>
      <c r="K16" s="45"/>
      <c r="L16" s="45"/>
      <c r="M16" s="45"/>
      <c r="N16" s="45"/>
      <c r="O16" s="163"/>
    </row>
    <row r="17" spans="1:15" x14ac:dyDescent="0.25">
      <c r="A17" s="341">
        <v>30</v>
      </c>
      <c r="B17" s="274" t="s">
        <v>285</v>
      </c>
      <c r="C17" s="334" t="s">
        <v>348</v>
      </c>
      <c r="D17" s="282">
        <v>1.3</v>
      </c>
      <c r="E17" s="283" t="s">
        <v>32</v>
      </c>
      <c r="F17" s="330">
        <v>1</v>
      </c>
      <c r="G17" s="330"/>
      <c r="H17" s="330"/>
      <c r="I17" s="277">
        <f>IF(H17="",D17*F17,D17*F17*H17)</f>
        <v>1.3</v>
      </c>
      <c r="J17" s="45"/>
      <c r="K17" s="45"/>
      <c r="L17" s="45"/>
      <c r="M17" s="45"/>
      <c r="N17" s="45"/>
      <c r="O17" s="163"/>
    </row>
    <row r="18" spans="1:15" x14ac:dyDescent="0.25">
      <c r="A18" s="281">
        <v>40</v>
      </c>
      <c r="B18" s="333" t="s">
        <v>343</v>
      </c>
      <c r="C18" s="334" t="s">
        <v>349</v>
      </c>
      <c r="D18" s="335">
        <v>0.5</v>
      </c>
      <c r="E18" s="336" t="s">
        <v>45</v>
      </c>
      <c r="F18" s="337">
        <f>0.71*13</f>
        <v>9.23</v>
      </c>
      <c r="G18" s="338" t="s">
        <v>342</v>
      </c>
      <c r="H18" s="339">
        <v>3</v>
      </c>
      <c r="I18" s="340">
        <f>IF(H18="",D18*F18,D18*F18*H18)</f>
        <v>13.845000000000001</v>
      </c>
      <c r="J18" s="45"/>
      <c r="K18" s="45"/>
      <c r="L18" s="45"/>
      <c r="M18" s="45"/>
      <c r="N18" s="45"/>
      <c r="O18" s="163"/>
    </row>
    <row r="19" spans="1:15" x14ac:dyDescent="0.25">
      <c r="A19" s="281">
        <v>50</v>
      </c>
      <c r="B19" s="334" t="s">
        <v>285</v>
      </c>
      <c r="C19" s="334" t="s">
        <v>344</v>
      </c>
      <c r="D19" s="335">
        <v>0.65</v>
      </c>
      <c r="E19" s="336" t="s">
        <v>32</v>
      </c>
      <c r="F19" s="339">
        <v>1</v>
      </c>
      <c r="G19" s="339"/>
      <c r="H19" s="339"/>
      <c r="I19" s="340">
        <f>IF(H19="",D19*F19,D19*F19*H19)</f>
        <v>0.65</v>
      </c>
      <c r="J19" s="45"/>
      <c r="K19" s="45"/>
      <c r="L19" s="45"/>
      <c r="M19" s="45"/>
      <c r="N19" s="45"/>
      <c r="O19" s="163"/>
    </row>
    <row r="20" spans="1:15" x14ac:dyDescent="0.25">
      <c r="A20" s="341">
        <v>60</v>
      </c>
      <c r="B20" s="334" t="s">
        <v>345</v>
      </c>
      <c r="C20" s="334" t="s">
        <v>346</v>
      </c>
      <c r="D20" s="335">
        <v>0.5</v>
      </c>
      <c r="E20" s="336" t="s">
        <v>45</v>
      </c>
      <c r="F20" s="337">
        <v>1.67</v>
      </c>
      <c r="G20" s="338"/>
      <c r="H20" s="339"/>
      <c r="I20" s="340">
        <f>IF(H20="",D20*F20,D20*F20*H20)</f>
        <v>0.83499999999999996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23.884310821831193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B4" location="EN_A1100" display="Driveshaft" xr:uid="{808CCE2D-630F-4834-BE1D-C217A3D2E49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62"/>
  <sheetViews>
    <sheetView topLeftCell="A7" zoomScale="85" zoomScaleNormal="85" zoomScaleSheetLayoutView="80" workbookViewId="0">
      <selection activeCell="I59" sqref="I59"/>
    </sheetView>
  </sheetViews>
  <sheetFormatPr baseColWidth="10" defaultColWidth="9.140625" defaultRowHeight="15" x14ac:dyDescent="0.25"/>
  <cols>
    <col min="1" max="1" width="11.42578125"/>
    <col min="2" max="2" width="41.42578125" bestFit="1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386.6092730418427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159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386.6092730418427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136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62" t="s">
        <v>14</v>
      </c>
      <c r="B9" s="117" t="s">
        <v>15</v>
      </c>
      <c r="C9" s="95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65">
        <v>10</v>
      </c>
      <c r="B10" s="224" t="s">
        <v>137</v>
      </c>
      <c r="C10" s="114">
        <f>EN_0900_001!N$2</f>
        <v>112.52931553333677</v>
      </c>
      <c r="D10" s="176">
        <f>EN_0900_001!N$3</f>
        <v>1</v>
      </c>
      <c r="E10" s="116">
        <f>C10*D10</f>
        <v>112.52931553333677</v>
      </c>
      <c r="F10" s="45"/>
      <c r="G10" s="45"/>
      <c r="H10" s="45"/>
      <c r="I10" s="45"/>
      <c r="J10" s="45"/>
      <c r="K10" s="45"/>
      <c r="L10" s="45"/>
      <c r="M10" s="45"/>
      <c r="N10" s="45"/>
      <c r="O10" s="163"/>
    </row>
    <row r="11" spans="1:15" x14ac:dyDescent="0.25">
      <c r="A11" s="165">
        <v>20</v>
      </c>
      <c r="B11" s="224" t="s">
        <v>139</v>
      </c>
      <c r="C11" s="114">
        <f>EN_0900_002!N$2</f>
        <v>10.904564699673662</v>
      </c>
      <c r="D11" s="176">
        <f>EN_0900_002!N$3</f>
        <v>1</v>
      </c>
      <c r="E11" s="116">
        <f>C11*D11</f>
        <v>10.904564699673662</v>
      </c>
      <c r="F11" s="46"/>
      <c r="G11" s="46"/>
      <c r="H11" s="46"/>
      <c r="I11" s="46"/>
      <c r="J11" s="46"/>
      <c r="K11" s="46"/>
      <c r="L11" s="46"/>
      <c r="M11" s="46"/>
      <c r="N11" s="46"/>
      <c r="O11" s="166"/>
    </row>
    <row r="12" spans="1:15" x14ac:dyDescent="0.25">
      <c r="A12" s="165">
        <v>30</v>
      </c>
      <c r="B12" s="224" t="s">
        <v>138</v>
      </c>
      <c r="C12" s="114">
        <f>EN_0900_003!N$2</f>
        <v>8.5389646196590014</v>
      </c>
      <c r="D12" s="176">
        <f>EN_0900_003!N$3</f>
        <v>1</v>
      </c>
      <c r="E12" s="116">
        <f t="shared" ref="E12:E18" si="0">C12*D12</f>
        <v>8.5389646196590014</v>
      </c>
      <c r="F12" s="46"/>
      <c r="G12" s="46"/>
      <c r="H12" s="46"/>
      <c r="I12" s="46"/>
      <c r="J12" s="46"/>
      <c r="K12" s="46"/>
      <c r="L12" s="46"/>
      <c r="M12" s="46"/>
      <c r="N12" s="46"/>
      <c r="O12" s="166"/>
    </row>
    <row r="13" spans="1:15" x14ac:dyDescent="0.25">
      <c r="A13" s="165">
        <v>40</v>
      </c>
      <c r="B13" s="224" t="s">
        <v>212</v>
      </c>
      <c r="C13" s="114">
        <f>EN_0900_004!N$2</f>
        <v>23.956417471999998</v>
      </c>
      <c r="D13" s="176">
        <f>EN_0900_004!N$3</f>
        <v>1</v>
      </c>
      <c r="E13" s="116">
        <f>C13*D13</f>
        <v>23.956417471999998</v>
      </c>
      <c r="F13" s="46"/>
      <c r="G13" s="46"/>
      <c r="H13" s="46"/>
      <c r="I13" s="46"/>
      <c r="J13" s="46"/>
      <c r="K13" s="46"/>
      <c r="L13" s="46"/>
      <c r="M13" s="46"/>
      <c r="N13" s="46"/>
      <c r="O13" s="163"/>
    </row>
    <row r="14" spans="1:15" x14ac:dyDescent="0.25">
      <c r="A14" s="165">
        <v>50</v>
      </c>
      <c r="B14" s="224" t="s">
        <v>213</v>
      </c>
      <c r="C14" s="114">
        <f>EN_0900_005!N$2</f>
        <v>17.198412672</v>
      </c>
      <c r="D14" s="176">
        <f>EN_0900_005!N$3</f>
        <v>1</v>
      </c>
      <c r="E14" s="116">
        <f>C14*D14</f>
        <v>17.198412672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5">
        <v>60</v>
      </c>
      <c r="B15" s="224" t="s">
        <v>214</v>
      </c>
      <c r="C15" s="114">
        <f>EN_0900_006!N$2</f>
        <v>0.83337245000000004</v>
      </c>
      <c r="D15" s="176">
        <f>EN_0900_006!N$3</f>
        <v>4</v>
      </c>
      <c r="E15" s="116">
        <f>C15*D15</f>
        <v>3.3334898000000002</v>
      </c>
      <c r="F15" s="46"/>
      <c r="G15" s="46"/>
      <c r="H15" s="46"/>
      <c r="I15" s="46"/>
      <c r="J15" s="46"/>
      <c r="K15" s="46"/>
      <c r="L15" s="46"/>
      <c r="M15" s="46"/>
      <c r="N15" s="46"/>
      <c r="O15" s="163"/>
    </row>
    <row r="16" spans="1:15" x14ac:dyDescent="0.25">
      <c r="A16" s="165">
        <v>70</v>
      </c>
      <c r="B16" s="224" t="s">
        <v>215</v>
      </c>
      <c r="C16" s="114">
        <f>EN_0900_007!N$2</f>
        <v>0.806785325</v>
      </c>
      <c r="D16" s="176">
        <f>EN_0900_007!N$3</f>
        <v>4</v>
      </c>
      <c r="E16" s="116">
        <f>C16*D16</f>
        <v>3.2271413</v>
      </c>
      <c r="F16" s="46"/>
      <c r="G16" s="46"/>
      <c r="H16" s="46"/>
      <c r="I16" s="46"/>
      <c r="J16" s="46"/>
      <c r="K16" s="46"/>
      <c r="L16" s="46"/>
      <c r="M16" s="46"/>
      <c r="N16" s="46"/>
      <c r="O16" s="166"/>
    </row>
    <row r="17" spans="1:15" x14ac:dyDescent="0.25">
      <c r="A17" s="165">
        <v>80</v>
      </c>
      <c r="B17" s="224" t="s">
        <v>152</v>
      </c>
      <c r="C17" s="114">
        <f>EN_0900_008!N$2</f>
        <v>1.5521247499999999</v>
      </c>
      <c r="D17" s="176">
        <f>EN_0900_008!N$3</f>
        <v>1</v>
      </c>
      <c r="E17" s="116">
        <f t="shared" si="0"/>
        <v>1.5521247499999999</v>
      </c>
      <c r="F17" s="46"/>
      <c r="G17" s="46"/>
      <c r="H17" s="46"/>
      <c r="I17" s="46"/>
      <c r="J17" s="46"/>
      <c r="K17" s="46"/>
      <c r="L17" s="46"/>
      <c r="M17" s="46"/>
      <c r="N17" s="46"/>
      <c r="O17" s="166"/>
    </row>
    <row r="18" spans="1:15" x14ac:dyDescent="0.25">
      <c r="A18" s="165">
        <v>90</v>
      </c>
      <c r="B18" s="224" t="s">
        <v>245</v>
      </c>
      <c r="C18" s="114">
        <f>EN_0900_009!N$2</f>
        <v>1.5630151625000002</v>
      </c>
      <c r="D18" s="176">
        <f>EN_0900_009!N$3</f>
        <v>1</v>
      </c>
      <c r="E18" s="116">
        <f t="shared" si="0"/>
        <v>1.5630151625000002</v>
      </c>
      <c r="F18" s="46"/>
      <c r="G18" s="46"/>
      <c r="H18" s="46"/>
      <c r="I18" s="46"/>
      <c r="J18" s="46"/>
      <c r="K18" s="46"/>
      <c r="L18" s="46"/>
      <c r="M18" s="46"/>
      <c r="N18" s="46"/>
      <c r="O18" s="166"/>
    </row>
    <row r="19" spans="1:15" x14ac:dyDescent="0.25">
      <c r="A19" s="164"/>
      <c r="B19" s="45"/>
      <c r="C19" s="45"/>
      <c r="D19" s="99" t="s">
        <v>18</v>
      </c>
      <c r="E19" s="100">
        <f>SUM(E10:E18)</f>
        <v>182.80344600916939</v>
      </c>
      <c r="F19" s="46"/>
      <c r="G19" s="46"/>
      <c r="H19" s="46"/>
      <c r="I19" s="46"/>
      <c r="J19" s="46"/>
      <c r="K19" s="46"/>
      <c r="L19" s="46"/>
      <c r="M19" s="46"/>
      <c r="N19" s="46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19</v>
      </c>
      <c r="C21" s="95" t="s">
        <v>20</v>
      </c>
      <c r="D21" s="95" t="s">
        <v>21</v>
      </c>
      <c r="E21" s="95" t="s">
        <v>22</v>
      </c>
      <c r="F21" s="95" t="s">
        <v>23</v>
      </c>
      <c r="G21" s="95" t="s">
        <v>24</v>
      </c>
      <c r="H21" s="95" t="s">
        <v>25</v>
      </c>
      <c r="I21" s="95" t="s">
        <v>26</v>
      </c>
      <c r="J21" s="95" t="s">
        <v>27</v>
      </c>
      <c r="K21" s="95" t="s">
        <v>28</v>
      </c>
      <c r="L21" s="95" t="s">
        <v>29</v>
      </c>
      <c r="M21" s="95" t="s">
        <v>17</v>
      </c>
      <c r="N21" s="95" t="s">
        <v>18</v>
      </c>
      <c r="O21" s="163"/>
    </row>
    <row r="22" spans="1:15" s="17" customFormat="1" x14ac:dyDescent="0.25">
      <c r="A22" s="165">
        <v>20</v>
      </c>
      <c r="B22" s="113" t="s">
        <v>150</v>
      </c>
      <c r="C22" s="113" t="s">
        <v>142</v>
      </c>
      <c r="D22" s="114">
        <f>0.1*(E22^2*G22)^0.5</f>
        <v>38.183766184073569</v>
      </c>
      <c r="E22" s="113">
        <v>90</v>
      </c>
      <c r="F22" s="113" t="s">
        <v>30</v>
      </c>
      <c r="G22" s="113">
        <v>18</v>
      </c>
      <c r="H22" s="118" t="s">
        <v>30</v>
      </c>
      <c r="I22" s="119"/>
      <c r="J22" s="120"/>
      <c r="K22" s="118"/>
      <c r="L22" s="118"/>
      <c r="M22" s="121">
        <v>1</v>
      </c>
      <c r="N22" s="122">
        <f>IF(J22="",D22*M22,D22*J22*K22*L22*M22)</f>
        <v>38.183766184073569</v>
      </c>
      <c r="O22" s="167"/>
    </row>
    <row r="23" spans="1:15" x14ac:dyDescent="0.25">
      <c r="A23" s="165">
        <v>10</v>
      </c>
      <c r="B23" s="113" t="s">
        <v>150</v>
      </c>
      <c r="C23" s="113" t="s">
        <v>141</v>
      </c>
      <c r="D23" s="114">
        <f>0.1*(E23^2*G23)^0.5</f>
        <v>32</v>
      </c>
      <c r="E23" s="113">
        <v>80</v>
      </c>
      <c r="F23" s="113" t="s">
        <v>30</v>
      </c>
      <c r="G23" s="113">
        <v>16</v>
      </c>
      <c r="H23" s="118" t="s">
        <v>30</v>
      </c>
      <c r="I23" s="119"/>
      <c r="J23" s="120"/>
      <c r="K23" s="118"/>
      <c r="L23" s="118"/>
      <c r="M23" s="121">
        <v>1</v>
      </c>
      <c r="N23" s="122">
        <f>IF(J23="",D23*M23,D23*J23*K23*L23*M23)</f>
        <v>32</v>
      </c>
      <c r="O23" s="163"/>
    </row>
    <row r="24" spans="1:15" s="17" customFormat="1" x14ac:dyDescent="0.25">
      <c r="A24" s="165">
        <v>30</v>
      </c>
      <c r="B24" s="113" t="s">
        <v>143</v>
      </c>
      <c r="C24" s="115" t="s">
        <v>151</v>
      </c>
      <c r="D24" s="114">
        <v>10</v>
      </c>
      <c r="E24" s="113">
        <f>0.002*4+0.002*4+0.004*2</f>
        <v>2.4E-2</v>
      </c>
      <c r="F24" s="113" t="s">
        <v>145</v>
      </c>
      <c r="G24" s="113"/>
      <c r="H24" s="118"/>
      <c r="I24" s="119"/>
      <c r="J24" s="120"/>
      <c r="K24" s="118"/>
      <c r="L24" s="118"/>
      <c r="M24" s="121">
        <v>1</v>
      </c>
      <c r="N24" s="122">
        <f>IF(J24="",D24*M24*E24,D24*J24*K24*L24*M24)</f>
        <v>0.24</v>
      </c>
      <c r="O24" s="167"/>
    </row>
    <row r="25" spans="1:15" s="17" customFormat="1" x14ac:dyDescent="0.25">
      <c r="A25" s="165">
        <v>40</v>
      </c>
      <c r="B25" s="113" t="s">
        <v>146</v>
      </c>
      <c r="C25" s="113" t="s">
        <v>147</v>
      </c>
      <c r="D25" s="114">
        <v>0.75</v>
      </c>
      <c r="E25" s="113">
        <v>0.06</v>
      </c>
      <c r="F25" s="113" t="s">
        <v>148</v>
      </c>
      <c r="G25" s="113"/>
      <c r="H25" s="118"/>
      <c r="I25" s="123"/>
      <c r="J25" s="120"/>
      <c r="K25" s="118"/>
      <c r="L25" s="124"/>
      <c r="M25" s="121">
        <v>1</v>
      </c>
      <c r="N25" s="122">
        <f>IF(J25="",D25*M25*E25,D25*J25*K25*L25*M25)</f>
        <v>4.4999999999999998E-2</v>
      </c>
      <c r="O25" s="167"/>
    </row>
    <row r="26" spans="1:15" ht="30" x14ac:dyDescent="0.25">
      <c r="A26" s="165">
        <v>50</v>
      </c>
      <c r="B26" s="125" t="s">
        <v>149</v>
      </c>
      <c r="C26" s="113"/>
      <c r="D26" s="114">
        <v>110</v>
      </c>
      <c r="E26" s="113">
        <v>1</v>
      </c>
      <c r="F26" s="113" t="s">
        <v>35</v>
      </c>
      <c r="G26" s="113"/>
      <c r="H26" s="118"/>
      <c r="I26" s="123"/>
      <c r="J26" s="120"/>
      <c r="K26" s="118"/>
      <c r="L26" s="124"/>
      <c r="M26" s="121">
        <v>1</v>
      </c>
      <c r="N26" s="122">
        <f>IF(J26="",D26*M26,D26*J26*K26*L26*M26)</f>
        <v>110</v>
      </c>
      <c r="O26" s="163"/>
    </row>
    <row r="27" spans="1:15" x14ac:dyDescent="0.25">
      <c r="A27" s="16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95" t="s">
        <v>18</v>
      </c>
      <c r="N27" s="97">
        <f>SUM(N22:N26)</f>
        <v>180.46876618407356</v>
      </c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s="20" customFormat="1" x14ac:dyDescent="0.25">
      <c r="A29" s="162" t="s">
        <v>14</v>
      </c>
      <c r="B29" s="95" t="s">
        <v>31</v>
      </c>
      <c r="C29" s="95" t="s">
        <v>20</v>
      </c>
      <c r="D29" s="95" t="s">
        <v>21</v>
      </c>
      <c r="E29" s="95" t="s">
        <v>32</v>
      </c>
      <c r="F29" s="95" t="s">
        <v>17</v>
      </c>
      <c r="G29" s="95" t="s">
        <v>33</v>
      </c>
      <c r="H29" s="95" t="s">
        <v>34</v>
      </c>
      <c r="I29" s="95" t="s">
        <v>18</v>
      </c>
      <c r="J29" s="19"/>
      <c r="K29" s="19"/>
      <c r="L29" s="19"/>
      <c r="M29" s="19"/>
      <c r="N29" s="19"/>
      <c r="O29" s="169"/>
    </row>
    <row r="30" spans="1:15" s="20" customFormat="1" x14ac:dyDescent="0.25">
      <c r="A30" s="165">
        <v>10</v>
      </c>
      <c r="B30" s="115" t="s">
        <v>183</v>
      </c>
      <c r="C30" s="115" t="s">
        <v>184</v>
      </c>
      <c r="D30" s="114">
        <v>0.15</v>
      </c>
      <c r="E30" s="113" t="s">
        <v>45</v>
      </c>
      <c r="F30" s="113">
        <v>56.54</v>
      </c>
      <c r="G30" s="113"/>
      <c r="H30" s="113">
        <v>1</v>
      </c>
      <c r="I30" s="114">
        <f t="shared" ref="I30:I43" si="1">D30*F30*H30</f>
        <v>8.4809999999999999</v>
      </c>
      <c r="J30" s="111"/>
      <c r="K30" s="111"/>
      <c r="L30" s="111"/>
      <c r="M30" s="46"/>
      <c r="N30" s="46"/>
      <c r="O30" s="169"/>
    </row>
    <row r="31" spans="1:15" s="16" customFormat="1" x14ac:dyDescent="0.25">
      <c r="A31" s="165">
        <v>20</v>
      </c>
      <c r="B31" s="115" t="s">
        <v>185</v>
      </c>
      <c r="C31" s="115" t="s">
        <v>144</v>
      </c>
      <c r="D31" s="114">
        <v>5.25</v>
      </c>
      <c r="E31" s="113" t="s">
        <v>145</v>
      </c>
      <c r="F31" s="113">
        <v>8.0000000000000002E-3</v>
      </c>
      <c r="G31" s="113"/>
      <c r="H31" s="113">
        <v>1</v>
      </c>
      <c r="I31" s="114">
        <f t="shared" si="1"/>
        <v>4.2000000000000003E-2</v>
      </c>
      <c r="J31" s="111"/>
      <c r="K31" s="111"/>
      <c r="L31" s="111"/>
      <c r="M31" s="46"/>
      <c r="N31" s="46"/>
      <c r="O31" s="170"/>
    </row>
    <row r="32" spans="1:15" x14ac:dyDescent="0.25">
      <c r="A32" s="165">
        <v>30</v>
      </c>
      <c r="B32" s="150" t="s">
        <v>186</v>
      </c>
      <c r="C32" s="115" t="s">
        <v>187</v>
      </c>
      <c r="D32" s="114">
        <v>0.56000000000000005</v>
      </c>
      <c r="E32" s="113" t="s">
        <v>35</v>
      </c>
      <c r="F32" s="113">
        <v>2</v>
      </c>
      <c r="G32" s="113"/>
      <c r="H32" s="113">
        <v>1</v>
      </c>
      <c r="I32" s="114">
        <f t="shared" si="1"/>
        <v>1.1200000000000001</v>
      </c>
      <c r="J32" s="111"/>
      <c r="K32" s="111"/>
      <c r="L32" s="111"/>
      <c r="M32" s="45"/>
      <c r="N32" s="45"/>
      <c r="O32" s="163"/>
    </row>
    <row r="33" spans="1:15" x14ac:dyDescent="0.25">
      <c r="A33" s="165">
        <v>40</v>
      </c>
      <c r="B33" s="150" t="s">
        <v>188</v>
      </c>
      <c r="C33" s="115" t="s">
        <v>189</v>
      </c>
      <c r="D33" s="114">
        <v>0.19</v>
      </c>
      <c r="E33" s="113" t="s">
        <v>35</v>
      </c>
      <c r="F33" s="113">
        <v>1</v>
      </c>
      <c r="G33" s="113"/>
      <c r="H33" s="113">
        <v>1</v>
      </c>
      <c r="I33" s="114">
        <f t="shared" si="1"/>
        <v>0.19</v>
      </c>
      <c r="J33" s="111"/>
      <c r="K33" s="111"/>
      <c r="L33" s="111"/>
      <c r="M33" s="45"/>
      <c r="N33" s="45"/>
      <c r="O33" s="163"/>
    </row>
    <row r="34" spans="1:15" x14ac:dyDescent="0.25">
      <c r="A34" s="165">
        <v>50</v>
      </c>
      <c r="B34" s="115" t="s">
        <v>188</v>
      </c>
      <c r="C34" s="115" t="s">
        <v>190</v>
      </c>
      <c r="D34" s="114">
        <v>0.19</v>
      </c>
      <c r="E34" s="113" t="s">
        <v>35</v>
      </c>
      <c r="F34" s="113">
        <v>1</v>
      </c>
      <c r="G34" s="113"/>
      <c r="H34" s="113">
        <v>1</v>
      </c>
      <c r="I34" s="114">
        <f t="shared" si="1"/>
        <v>0.19</v>
      </c>
      <c r="J34" s="111"/>
      <c r="K34" s="111"/>
      <c r="L34" s="111"/>
      <c r="M34" s="45"/>
      <c r="N34" s="45"/>
      <c r="O34" s="163"/>
    </row>
    <row r="35" spans="1:15" x14ac:dyDescent="0.25">
      <c r="A35" s="165">
        <v>60</v>
      </c>
      <c r="B35" s="115" t="s">
        <v>188</v>
      </c>
      <c r="C35" s="115" t="s">
        <v>191</v>
      </c>
      <c r="D35" s="114">
        <v>0.19</v>
      </c>
      <c r="E35" s="113" t="s">
        <v>35</v>
      </c>
      <c r="F35" s="113">
        <v>2</v>
      </c>
      <c r="G35" s="113"/>
      <c r="H35" s="113">
        <v>1</v>
      </c>
      <c r="I35" s="114">
        <f t="shared" si="1"/>
        <v>0.38</v>
      </c>
      <c r="J35" s="111"/>
      <c r="K35" s="111"/>
      <c r="L35" s="111"/>
      <c r="M35" s="45"/>
      <c r="N35" s="45"/>
      <c r="O35" s="163"/>
    </row>
    <row r="36" spans="1:15" x14ac:dyDescent="0.25">
      <c r="A36" s="165">
        <v>70</v>
      </c>
      <c r="B36" s="115" t="s">
        <v>192</v>
      </c>
      <c r="C36" s="115" t="s">
        <v>193</v>
      </c>
      <c r="D36" s="114">
        <v>0.5</v>
      </c>
      <c r="E36" s="113" t="s">
        <v>35</v>
      </c>
      <c r="F36" s="113">
        <v>4</v>
      </c>
      <c r="G36" s="113"/>
      <c r="H36" s="113">
        <v>1</v>
      </c>
      <c r="I36" s="114">
        <f t="shared" si="1"/>
        <v>2</v>
      </c>
      <c r="J36" s="111"/>
      <c r="K36" s="111"/>
      <c r="L36" s="111"/>
      <c r="M36" s="45"/>
      <c r="N36" s="45"/>
      <c r="O36" s="163"/>
    </row>
    <row r="37" spans="1:15" x14ac:dyDescent="0.25">
      <c r="A37" s="165">
        <v>80</v>
      </c>
      <c r="B37" s="115" t="s">
        <v>194</v>
      </c>
      <c r="C37" s="115" t="s">
        <v>193</v>
      </c>
      <c r="D37" s="114">
        <v>0.25</v>
      </c>
      <c r="E37" s="113" t="s">
        <v>35</v>
      </c>
      <c r="F37" s="113">
        <v>4</v>
      </c>
      <c r="G37" s="113"/>
      <c r="H37" s="113">
        <v>1</v>
      </c>
      <c r="I37" s="114">
        <f t="shared" si="1"/>
        <v>1</v>
      </c>
      <c r="J37" s="111"/>
      <c r="K37" s="111"/>
      <c r="L37" s="111"/>
      <c r="M37" s="45"/>
      <c r="N37" s="45"/>
      <c r="O37" s="163"/>
    </row>
    <row r="38" spans="1:15" x14ac:dyDescent="0.25">
      <c r="A38" s="165">
        <v>90</v>
      </c>
      <c r="B38" s="115" t="s">
        <v>195</v>
      </c>
      <c r="C38" s="115" t="s">
        <v>196</v>
      </c>
      <c r="D38" s="114">
        <v>0.38</v>
      </c>
      <c r="E38" s="113" t="s">
        <v>35</v>
      </c>
      <c r="F38" s="113">
        <v>2</v>
      </c>
      <c r="G38" s="113"/>
      <c r="H38" s="113">
        <v>1</v>
      </c>
      <c r="I38" s="114">
        <f t="shared" si="1"/>
        <v>0.76</v>
      </c>
      <c r="J38" s="111"/>
      <c r="K38" s="155"/>
      <c r="L38" s="155"/>
      <c r="M38" s="47"/>
      <c r="N38" s="47"/>
      <c r="O38" s="163"/>
    </row>
    <row r="39" spans="1:15" x14ac:dyDescent="0.25">
      <c r="A39" s="165">
        <v>100</v>
      </c>
      <c r="B39" s="115" t="s">
        <v>197</v>
      </c>
      <c r="C39" s="115" t="s">
        <v>198</v>
      </c>
      <c r="D39" s="114">
        <v>0.06</v>
      </c>
      <c r="E39" s="113" t="s">
        <v>35</v>
      </c>
      <c r="F39" s="113">
        <v>4</v>
      </c>
      <c r="G39" s="113"/>
      <c r="H39" s="113">
        <v>1</v>
      </c>
      <c r="I39" s="114">
        <f t="shared" si="1"/>
        <v>0.24</v>
      </c>
      <c r="J39" s="111"/>
      <c r="K39" s="111"/>
      <c r="L39" s="111"/>
      <c r="M39" s="47"/>
      <c r="N39" s="47"/>
      <c r="O39" s="163"/>
    </row>
    <row r="40" spans="1:15" s="16" customFormat="1" x14ac:dyDescent="0.25">
      <c r="A40" s="165">
        <v>110</v>
      </c>
      <c r="B40" s="115" t="s">
        <v>199</v>
      </c>
      <c r="C40" s="115" t="s">
        <v>200</v>
      </c>
      <c r="D40" s="114">
        <v>0.75</v>
      </c>
      <c r="E40" s="113" t="s">
        <v>35</v>
      </c>
      <c r="F40" s="113">
        <v>2</v>
      </c>
      <c r="G40" s="113"/>
      <c r="H40" s="113">
        <v>1</v>
      </c>
      <c r="I40" s="114">
        <f t="shared" si="1"/>
        <v>1.5</v>
      </c>
      <c r="J40" s="111"/>
      <c r="K40" s="111"/>
      <c r="L40" s="155"/>
      <c r="M40" s="46"/>
      <c r="N40" s="46"/>
      <c r="O40" s="170"/>
    </row>
    <row r="41" spans="1:15" x14ac:dyDescent="0.25">
      <c r="A41" s="165">
        <v>120</v>
      </c>
      <c r="B41" s="115" t="s">
        <v>201</v>
      </c>
      <c r="C41" s="115" t="s">
        <v>200</v>
      </c>
      <c r="D41" s="114">
        <v>0.25</v>
      </c>
      <c r="E41" s="113" t="s">
        <v>35</v>
      </c>
      <c r="F41" s="113">
        <v>2</v>
      </c>
      <c r="G41" s="113"/>
      <c r="H41" s="113">
        <v>1</v>
      </c>
      <c r="I41" s="114">
        <f t="shared" si="1"/>
        <v>0.5</v>
      </c>
      <c r="J41" s="111"/>
      <c r="K41" s="111"/>
      <c r="L41" s="111"/>
      <c r="M41" s="47"/>
      <c r="N41" s="47"/>
      <c r="O41" s="163"/>
    </row>
    <row r="42" spans="1:15" x14ac:dyDescent="0.25">
      <c r="A42" s="165">
        <v>130</v>
      </c>
      <c r="B42" s="115" t="s">
        <v>199</v>
      </c>
      <c r="C42" s="115" t="s">
        <v>202</v>
      </c>
      <c r="D42" s="114">
        <v>0.75</v>
      </c>
      <c r="E42" s="113" t="s">
        <v>35</v>
      </c>
      <c r="F42" s="113">
        <v>2</v>
      </c>
      <c r="G42" s="113"/>
      <c r="H42" s="113">
        <v>1</v>
      </c>
      <c r="I42" s="114">
        <f t="shared" si="1"/>
        <v>1.5</v>
      </c>
      <c r="J42" s="111"/>
      <c r="K42" s="111"/>
      <c r="L42" s="111"/>
      <c r="M42" s="45"/>
      <c r="N42" s="45"/>
      <c r="O42" s="163"/>
    </row>
    <row r="43" spans="1:15" x14ac:dyDescent="0.25">
      <c r="A43" s="165">
        <v>140</v>
      </c>
      <c r="B43" s="115" t="s">
        <v>201</v>
      </c>
      <c r="C43" s="115" t="s">
        <v>202</v>
      </c>
      <c r="D43" s="114">
        <v>0.25</v>
      </c>
      <c r="E43" s="113" t="s">
        <v>35</v>
      </c>
      <c r="F43" s="113">
        <v>2</v>
      </c>
      <c r="G43" s="113"/>
      <c r="H43" s="113">
        <v>1</v>
      </c>
      <c r="I43" s="114">
        <f t="shared" si="1"/>
        <v>0.5</v>
      </c>
      <c r="J43" s="111"/>
      <c r="K43" s="111"/>
      <c r="L43" s="111"/>
      <c r="M43" s="45"/>
      <c r="N43" s="45"/>
      <c r="O43" s="163"/>
    </row>
    <row r="44" spans="1:15" x14ac:dyDescent="0.25">
      <c r="A44" s="168"/>
      <c r="B44" s="19"/>
      <c r="C44" s="19"/>
      <c r="D44" s="19"/>
      <c r="E44" s="19"/>
      <c r="F44" s="19"/>
      <c r="G44" s="19"/>
      <c r="H44" s="96" t="s">
        <v>18</v>
      </c>
      <c r="I44" s="97">
        <f>SUM(I30:I43)</f>
        <v>18.402999999999999</v>
      </c>
      <c r="J44" s="45"/>
      <c r="K44" s="45"/>
      <c r="L44" s="45"/>
      <c r="M44" s="45"/>
      <c r="N44" s="45"/>
      <c r="O44" s="163"/>
    </row>
    <row r="45" spans="1:15" x14ac:dyDescent="0.25">
      <c r="A45" s="16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63"/>
    </row>
    <row r="46" spans="1:15" x14ac:dyDescent="0.25">
      <c r="A46" s="162" t="s">
        <v>14</v>
      </c>
      <c r="B46" s="95" t="s">
        <v>36</v>
      </c>
      <c r="C46" s="95" t="s">
        <v>20</v>
      </c>
      <c r="D46" s="95" t="s">
        <v>21</v>
      </c>
      <c r="E46" s="95" t="s">
        <v>22</v>
      </c>
      <c r="F46" s="95" t="s">
        <v>23</v>
      </c>
      <c r="G46" s="95" t="s">
        <v>24</v>
      </c>
      <c r="H46" s="95" t="s">
        <v>25</v>
      </c>
      <c r="I46" s="95" t="s">
        <v>17</v>
      </c>
      <c r="J46" s="95" t="s">
        <v>18</v>
      </c>
      <c r="K46" s="45"/>
      <c r="L46" s="45"/>
      <c r="M46" s="45"/>
      <c r="N46" s="45"/>
      <c r="O46" s="163"/>
    </row>
    <row r="47" spans="1:15" x14ac:dyDescent="0.25">
      <c r="A47" s="165">
        <v>10</v>
      </c>
      <c r="B47" s="113" t="s">
        <v>203</v>
      </c>
      <c r="C47" s="113" t="s">
        <v>204</v>
      </c>
      <c r="D47" s="156">
        <f>0.8/105154*E47*E47*G47*SQRT(G47)+(0.003*EXP(0.319*E47))</f>
        <v>0.5252420080501925</v>
      </c>
      <c r="E47" s="113">
        <v>12</v>
      </c>
      <c r="F47" s="157" t="s">
        <v>30</v>
      </c>
      <c r="G47" s="113">
        <v>50</v>
      </c>
      <c r="H47" s="115" t="s">
        <v>30</v>
      </c>
      <c r="I47" s="158">
        <v>2</v>
      </c>
      <c r="J47" s="114">
        <f t="shared" ref="J47:J55" si="2">D47*I47</f>
        <v>1.050484016100385</v>
      </c>
      <c r="K47" s="111"/>
      <c r="L47" s="111"/>
      <c r="M47" s="111"/>
      <c r="N47" s="45"/>
      <c r="O47" s="163"/>
    </row>
    <row r="48" spans="1:15" x14ac:dyDescent="0.25">
      <c r="A48" s="165">
        <v>20</v>
      </c>
      <c r="B48" s="113" t="s">
        <v>205</v>
      </c>
      <c r="C48" s="113" t="s">
        <v>204</v>
      </c>
      <c r="D48" s="156">
        <f>0.009*EXP(0.2*E48)</f>
        <v>9.920858742577443E-2</v>
      </c>
      <c r="E48" s="113">
        <v>12</v>
      </c>
      <c r="F48" s="157" t="s">
        <v>30</v>
      </c>
      <c r="G48" s="113"/>
      <c r="H48" s="115"/>
      <c r="I48" s="158">
        <v>2</v>
      </c>
      <c r="J48" s="114">
        <f t="shared" si="2"/>
        <v>0.19841717485154886</v>
      </c>
      <c r="K48" s="111"/>
      <c r="L48" s="111"/>
      <c r="M48" s="111"/>
      <c r="N48" s="45"/>
      <c r="O48" s="163"/>
    </row>
    <row r="49" spans="1:15" x14ac:dyDescent="0.25">
      <c r="A49" s="165">
        <v>30</v>
      </c>
      <c r="B49" s="113" t="s">
        <v>203</v>
      </c>
      <c r="C49" s="113" t="s">
        <v>206</v>
      </c>
      <c r="D49" s="156">
        <f>0.8/105154*E49*E49*G49*SQRT(G49)+(0.003*EXP(0.319*E49))</f>
        <v>0.11850487334396681</v>
      </c>
      <c r="E49" s="113">
        <v>8</v>
      </c>
      <c r="F49" s="157" t="s">
        <v>30</v>
      </c>
      <c r="G49" s="113">
        <v>30</v>
      </c>
      <c r="H49" s="115" t="s">
        <v>30</v>
      </c>
      <c r="I49" s="158">
        <v>2</v>
      </c>
      <c r="J49" s="114">
        <f t="shared" si="2"/>
        <v>0.23700974668793362</v>
      </c>
      <c r="K49" s="111"/>
      <c r="L49" s="155"/>
      <c r="M49" s="155"/>
      <c r="N49" s="45"/>
      <c r="O49" s="163"/>
    </row>
    <row r="50" spans="1:15" x14ac:dyDescent="0.25">
      <c r="A50" s="165">
        <v>40</v>
      </c>
      <c r="B50" s="113" t="s">
        <v>205</v>
      </c>
      <c r="C50" s="113" t="s">
        <v>206</v>
      </c>
      <c r="D50" s="156">
        <f>0.009*EXP(0.2*E50)</f>
        <v>4.4577291819556032E-2</v>
      </c>
      <c r="E50" s="113">
        <v>8</v>
      </c>
      <c r="F50" s="157" t="s">
        <v>30</v>
      </c>
      <c r="G50" s="113"/>
      <c r="H50" s="115"/>
      <c r="I50" s="158">
        <v>2</v>
      </c>
      <c r="J50" s="114">
        <f t="shared" si="2"/>
        <v>8.9154583639112064E-2</v>
      </c>
      <c r="K50" s="111"/>
      <c r="L50" s="111"/>
      <c r="M50" s="111"/>
      <c r="N50" s="45"/>
      <c r="O50" s="163"/>
    </row>
    <row r="51" spans="1:15" x14ac:dyDescent="0.25">
      <c r="A51" s="165">
        <v>50</v>
      </c>
      <c r="B51" s="113" t="s">
        <v>207</v>
      </c>
      <c r="C51" s="113" t="s">
        <v>208</v>
      </c>
      <c r="D51" s="156">
        <v>0.01</v>
      </c>
      <c r="E51" s="113"/>
      <c r="F51" s="157" t="s">
        <v>35</v>
      </c>
      <c r="G51" s="113"/>
      <c r="H51" s="115"/>
      <c r="I51" s="158">
        <v>4</v>
      </c>
      <c r="J51" s="114">
        <f t="shared" si="2"/>
        <v>0.04</v>
      </c>
      <c r="K51" s="111"/>
      <c r="L51" s="111"/>
      <c r="M51" s="111"/>
      <c r="N51" s="45"/>
      <c r="O51" s="163"/>
    </row>
    <row r="52" spans="1:15" x14ac:dyDescent="0.25">
      <c r="A52" s="165">
        <v>60</v>
      </c>
      <c r="B52" s="113" t="s">
        <v>203</v>
      </c>
      <c r="C52" s="113" t="s">
        <v>209</v>
      </c>
      <c r="D52" s="156">
        <f>0.8/105154*E52*E52*G52*SQRT(G52)+(0.003*EXP(0.319*E52))</f>
        <v>0.11850487334396681</v>
      </c>
      <c r="E52" s="113">
        <v>8</v>
      </c>
      <c r="F52" s="157" t="s">
        <v>30</v>
      </c>
      <c r="G52" s="113">
        <v>30</v>
      </c>
      <c r="H52" s="115" t="s">
        <v>30</v>
      </c>
      <c r="I52" s="158">
        <v>2</v>
      </c>
      <c r="J52" s="114">
        <f t="shared" si="2"/>
        <v>0.23700974668793362</v>
      </c>
      <c r="K52" s="111"/>
      <c r="L52" s="111"/>
      <c r="M52" s="111"/>
      <c r="N52" s="45"/>
      <c r="O52" s="163"/>
    </row>
    <row r="53" spans="1:15" x14ac:dyDescent="0.25">
      <c r="A53" s="165">
        <v>70</v>
      </c>
      <c r="B53" s="113" t="s">
        <v>205</v>
      </c>
      <c r="C53" s="113" t="s">
        <v>209</v>
      </c>
      <c r="D53" s="156">
        <f>0.009*EXP(0.2*E53)</f>
        <v>4.4577291819556032E-2</v>
      </c>
      <c r="E53" s="113">
        <v>8</v>
      </c>
      <c r="F53" s="157" t="s">
        <v>30</v>
      </c>
      <c r="G53" s="113"/>
      <c r="H53" s="115"/>
      <c r="I53" s="158">
        <v>2</v>
      </c>
      <c r="J53" s="114">
        <f t="shared" si="2"/>
        <v>8.9154583639112064E-2</v>
      </c>
      <c r="K53" s="111"/>
      <c r="L53" s="111"/>
      <c r="M53" s="111"/>
      <c r="N53" s="45"/>
      <c r="O53" s="163"/>
    </row>
    <row r="54" spans="1:15" x14ac:dyDescent="0.25">
      <c r="A54" s="165">
        <v>80</v>
      </c>
      <c r="B54" s="113" t="s">
        <v>203</v>
      </c>
      <c r="C54" s="113" t="s">
        <v>210</v>
      </c>
      <c r="D54" s="156">
        <f>0.8/105154*E54*E54*G54*SQRT(G54)+(0.003*EXP(0.319*E54))</f>
        <v>0.11850487334396681</v>
      </c>
      <c r="E54" s="113">
        <v>8</v>
      </c>
      <c r="F54" s="157" t="s">
        <v>30</v>
      </c>
      <c r="G54" s="113">
        <v>30</v>
      </c>
      <c r="H54" s="115" t="s">
        <v>30</v>
      </c>
      <c r="I54" s="158">
        <v>2</v>
      </c>
      <c r="J54" s="114">
        <f t="shared" si="2"/>
        <v>0.23700974668793362</v>
      </c>
      <c r="K54" s="111"/>
      <c r="L54" s="111"/>
      <c r="M54" s="111"/>
      <c r="N54" s="45"/>
      <c r="O54" s="163"/>
    </row>
    <row r="55" spans="1:15" x14ac:dyDescent="0.25">
      <c r="A55" s="165">
        <v>90</v>
      </c>
      <c r="B55" s="113" t="s">
        <v>205</v>
      </c>
      <c r="C55" s="113" t="s">
        <v>210</v>
      </c>
      <c r="D55" s="156">
        <f>0.009*EXP(0.2*E55)</f>
        <v>4.4577291819556032E-2</v>
      </c>
      <c r="E55" s="113">
        <v>8</v>
      </c>
      <c r="F55" s="157" t="s">
        <v>30</v>
      </c>
      <c r="G55" s="113"/>
      <c r="H55" s="115"/>
      <c r="I55" s="158">
        <v>2</v>
      </c>
      <c r="J55" s="114">
        <f t="shared" si="2"/>
        <v>8.9154583639112064E-2</v>
      </c>
      <c r="K55" s="155"/>
      <c r="L55" s="111"/>
      <c r="M55" s="111"/>
      <c r="N55" s="45"/>
      <c r="O55" s="163"/>
    </row>
    <row r="56" spans="1:15" x14ac:dyDescent="0.25">
      <c r="A56" s="168"/>
      <c r="B56" s="19"/>
      <c r="C56" s="19"/>
      <c r="D56" s="19"/>
      <c r="E56" s="19"/>
      <c r="F56" s="19"/>
      <c r="G56" s="19"/>
      <c r="H56" s="19"/>
      <c r="I56" s="96" t="s">
        <v>18</v>
      </c>
      <c r="J56" s="97">
        <f>SUM(J47:J55)</f>
        <v>2.2673941819330707</v>
      </c>
      <c r="K56" s="45"/>
      <c r="L56" s="45"/>
      <c r="M56" s="45"/>
      <c r="N56" s="45"/>
      <c r="O56" s="163"/>
    </row>
    <row r="57" spans="1:15" x14ac:dyDescent="0.25">
      <c r="A57" s="16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163"/>
    </row>
    <row r="58" spans="1:15" x14ac:dyDescent="0.25">
      <c r="A58" s="162" t="s">
        <v>14</v>
      </c>
      <c r="B58" s="95" t="s">
        <v>37</v>
      </c>
      <c r="C58" s="95" t="s">
        <v>20</v>
      </c>
      <c r="D58" s="95" t="s">
        <v>21</v>
      </c>
      <c r="E58" s="95" t="s">
        <v>32</v>
      </c>
      <c r="F58" s="95" t="s">
        <v>17</v>
      </c>
      <c r="G58" s="95" t="s">
        <v>38</v>
      </c>
      <c r="H58" s="95" t="s">
        <v>39</v>
      </c>
      <c r="I58" s="95" t="s">
        <v>18</v>
      </c>
      <c r="J58" s="19"/>
      <c r="K58" s="45"/>
      <c r="L58" s="45"/>
      <c r="M58" s="45"/>
      <c r="N58" s="45"/>
      <c r="O58" s="163"/>
    </row>
    <row r="59" spans="1:15" x14ac:dyDescent="0.25">
      <c r="A59" s="171">
        <v>10</v>
      </c>
      <c r="B59" s="60" t="s">
        <v>40</v>
      </c>
      <c r="C59" s="60" t="s">
        <v>184</v>
      </c>
      <c r="D59" s="61">
        <v>500</v>
      </c>
      <c r="E59" s="60" t="s">
        <v>41</v>
      </c>
      <c r="F59" s="60">
        <v>16</v>
      </c>
      <c r="G59" s="60">
        <v>3000</v>
      </c>
      <c r="H59" s="60">
        <v>1</v>
      </c>
      <c r="I59" s="61">
        <f>D59*F59/G59*H59</f>
        <v>2.6666666666666665</v>
      </c>
      <c r="J59" s="19"/>
      <c r="K59" s="45"/>
      <c r="L59" s="45"/>
      <c r="M59" s="45"/>
      <c r="N59" s="45"/>
      <c r="O59" s="163"/>
    </row>
    <row r="60" spans="1:15" x14ac:dyDescent="0.25">
      <c r="A60" s="168"/>
      <c r="B60" s="19"/>
      <c r="C60" s="19"/>
      <c r="D60" s="19"/>
      <c r="E60" s="19"/>
      <c r="F60" s="19"/>
      <c r="G60" s="19"/>
      <c r="H60" s="99" t="s">
        <v>18</v>
      </c>
      <c r="I60" s="100">
        <f>SUM(I59:I59)</f>
        <v>2.6666666666666665</v>
      </c>
      <c r="J60" s="19"/>
      <c r="K60" s="45"/>
      <c r="L60" s="45"/>
      <c r="M60" s="45"/>
      <c r="N60" s="45"/>
      <c r="O60" s="163"/>
    </row>
    <row r="61" spans="1:15" ht="15.75" thickBot="1" x14ac:dyDescent="0.3">
      <c r="A61" s="172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4"/>
    </row>
    <row r="62" spans="1:1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</row>
  </sheetData>
  <hyperlinks>
    <hyperlink ref="B10" location="EN_0900_001!A1" display="Housing" xr:uid="{DA3E61DF-D2AD-48C3-AF88-6F0CCBCB9351}"/>
    <hyperlink ref="B11" location="EN_0900_002!A1" display="Left Eccentric" xr:uid="{0BA6AE2C-0A00-45A2-8A7B-D87B3090E593}"/>
    <hyperlink ref="B12" location="EN_0900_003!A1" display="Right Eccentric" xr:uid="{DA08F1F9-017B-4164-9E84-D998C8B12ADC}"/>
    <hyperlink ref="B13" location="EN_0900_004!A1" display="Left Eccentric Carrier" xr:uid="{1588C84C-FDCA-4045-AAF6-A5DA801EC158}"/>
    <hyperlink ref="B14" location="EN_0900_005!A1" display="Right Eccentric Carrier" xr:uid="{C2F33B37-11FB-48A0-ADBF-00ACD192344A}"/>
    <hyperlink ref="B15" location="EN_0900_006!A1" display="Upper Eccentric Carrier bracket" xr:uid="{3C258538-23CE-47AB-8146-C084739CA550}"/>
    <hyperlink ref="B16" location="EN_0900_007!A1" display="Lower Eccentric Carrier bracket" xr:uid="{3DE5781F-31EF-4086-9BD0-6AD3267FC968}"/>
    <hyperlink ref="B17" location="EN_0900_008!A1" display="Left Jacking Bar bracket" xr:uid="{60988AB8-F287-436F-9EC9-2E99B50810F9}"/>
    <hyperlink ref="B18" location="EN_0900_009!A1" display="Right Jacking Bar bracket" xr:uid="{25F9E751-6FF5-4CE7-87FC-686F94734F31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040E-024A-4B5E-A081-1AE73B3B42FF}">
  <sheetPr>
    <tabColor theme="6" tint="0.39997558519241921"/>
  </sheetPr>
  <dimension ref="A1:P26"/>
  <sheetViews>
    <sheetView zoomScale="70" zoomScaleNormal="70" workbookViewId="0">
      <selection activeCell="O27" sqref="O27"/>
    </sheetView>
  </sheetViews>
  <sheetFormatPr baseColWidth="10" defaultRowHeight="15" x14ac:dyDescent="0.25"/>
  <cols>
    <col min="2" max="2" width="35.85546875" bestFit="1" customWidth="1"/>
    <col min="3" max="3" width="50.5703125" bestFit="1" customWidth="1"/>
    <col min="7" max="7" width="14.5703125" bestFit="1" customWidth="1"/>
    <col min="9" max="9" width="20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EN_1100_002_m+EN_1100_002_p</f>
        <v>41.802269960952131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/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358" t="s">
        <v>5</v>
      </c>
      <c r="B4" s="254" t="s">
        <v>336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358" t="s">
        <v>15</v>
      </c>
      <c r="B5" s="252" t="s">
        <v>351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41.802269960952131</v>
      </c>
      <c r="O5" s="163"/>
    </row>
    <row r="6" spans="1:15" x14ac:dyDescent="0.25">
      <c r="A6" s="358" t="s">
        <v>7</v>
      </c>
      <c r="B6" s="175" t="s">
        <v>350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359" t="s">
        <v>23</v>
      </c>
      <c r="G10" s="359" t="s">
        <v>24</v>
      </c>
      <c r="H10" s="359" t="s">
        <v>25</v>
      </c>
      <c r="I10" s="359" t="s">
        <v>26</v>
      </c>
      <c r="J10" s="359" t="s">
        <v>27</v>
      </c>
      <c r="K10" s="359" t="s">
        <v>28</v>
      </c>
      <c r="L10" s="359" t="s">
        <v>29</v>
      </c>
      <c r="M10" s="359" t="s">
        <v>17</v>
      </c>
      <c r="N10" s="359" t="s">
        <v>18</v>
      </c>
      <c r="O10" s="163"/>
    </row>
    <row r="11" spans="1:15" x14ac:dyDescent="0.25">
      <c r="A11" s="319">
        <v>10</v>
      </c>
      <c r="B11" s="343" t="s">
        <v>234</v>
      </c>
      <c r="C11" s="344" t="s">
        <v>352</v>
      </c>
      <c r="D11" s="335">
        <v>2.25</v>
      </c>
      <c r="E11" s="345">
        <f>J11*K11*L11</f>
        <v>1.3594653159787282</v>
      </c>
      <c r="F11" s="346" t="s">
        <v>155</v>
      </c>
      <c r="G11" s="346"/>
      <c r="H11" s="347"/>
      <c r="I11" s="348" t="s">
        <v>353</v>
      </c>
      <c r="J11" s="349">
        <f>0.105^2*PI()</f>
        <v>3.4636059005827467E-2</v>
      </c>
      <c r="K11" s="350">
        <v>5.0000000000000001E-3</v>
      </c>
      <c r="L11" s="351">
        <v>7850</v>
      </c>
      <c r="M11" s="352">
        <v>1</v>
      </c>
      <c r="N11" s="340">
        <f>IF(J11="",D11*M11,D11*J11*K11*L11*M11)</f>
        <v>3.0587969609521379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360" t="s">
        <v>18</v>
      </c>
      <c r="N12" s="105">
        <f>SUM(N11:N11)</f>
        <v>3.0587969609521379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358" t="s">
        <v>14</v>
      </c>
      <c r="B14" s="359" t="s">
        <v>31</v>
      </c>
      <c r="C14" s="359" t="s">
        <v>20</v>
      </c>
      <c r="D14" s="359" t="s">
        <v>21</v>
      </c>
      <c r="E14" s="359" t="s">
        <v>32</v>
      </c>
      <c r="F14" s="359" t="s">
        <v>17</v>
      </c>
      <c r="G14" s="359" t="s">
        <v>33</v>
      </c>
      <c r="H14" s="359" t="s">
        <v>34</v>
      </c>
      <c r="I14" s="359" t="s">
        <v>18</v>
      </c>
      <c r="J14" s="19"/>
      <c r="K14" s="19"/>
      <c r="L14" s="19"/>
      <c r="M14" s="19"/>
      <c r="N14" s="19"/>
      <c r="O14" s="163"/>
    </row>
    <row r="15" spans="1:15" x14ac:dyDescent="0.25">
      <c r="A15" s="319">
        <v>10</v>
      </c>
      <c r="B15" s="334" t="s">
        <v>43</v>
      </c>
      <c r="C15" s="334" t="s">
        <v>340</v>
      </c>
      <c r="D15" s="353">
        <v>1.3</v>
      </c>
      <c r="E15" s="336" t="s">
        <v>32</v>
      </c>
      <c r="F15" s="354">
        <v>1</v>
      </c>
      <c r="G15" s="355"/>
      <c r="H15" s="355"/>
      <c r="I15" s="340">
        <f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319">
        <v>20</v>
      </c>
      <c r="B16" s="338" t="s">
        <v>343</v>
      </c>
      <c r="C16" s="334"/>
      <c r="D16" s="353">
        <v>0.5</v>
      </c>
      <c r="E16" s="336" t="s">
        <v>45</v>
      </c>
      <c r="F16" s="337">
        <f>44*0.5</f>
        <v>22</v>
      </c>
      <c r="G16" s="338" t="s">
        <v>342</v>
      </c>
      <c r="H16" s="339">
        <v>3</v>
      </c>
      <c r="I16" s="340">
        <f>IF(H16="",D16*F16,D16*F16*H16)</f>
        <v>33</v>
      </c>
      <c r="J16" s="45"/>
      <c r="K16" s="45"/>
      <c r="L16" s="45"/>
      <c r="M16" s="45"/>
      <c r="N16" s="45"/>
      <c r="O16" s="163"/>
    </row>
    <row r="17" spans="1:16" x14ac:dyDescent="0.25">
      <c r="A17" s="319">
        <v>30</v>
      </c>
      <c r="B17" s="334" t="s">
        <v>285</v>
      </c>
      <c r="C17" s="334" t="s">
        <v>354</v>
      </c>
      <c r="D17" s="353">
        <v>0.65</v>
      </c>
      <c r="E17" s="336" t="s">
        <v>32</v>
      </c>
      <c r="F17" s="354">
        <v>1</v>
      </c>
      <c r="G17" s="344"/>
      <c r="H17" s="356">
        <v>1</v>
      </c>
      <c r="I17" s="340">
        <f>IF(H17="",D17*F17,D17*F17*H17)</f>
        <v>0.65</v>
      </c>
      <c r="J17" s="45"/>
      <c r="K17" s="45"/>
      <c r="L17" s="45"/>
      <c r="M17" s="45"/>
      <c r="N17" s="45"/>
      <c r="O17" s="163"/>
    </row>
    <row r="18" spans="1:16" x14ac:dyDescent="0.25">
      <c r="A18" s="361">
        <v>40</v>
      </c>
      <c r="B18" s="334" t="s">
        <v>355</v>
      </c>
      <c r="C18" s="334" t="s">
        <v>341</v>
      </c>
      <c r="D18" s="353">
        <v>0.01</v>
      </c>
      <c r="E18" s="336" t="s">
        <v>45</v>
      </c>
      <c r="F18" s="357">
        <v>126.4491</v>
      </c>
      <c r="G18" s="344" t="s">
        <v>284</v>
      </c>
      <c r="H18" s="356">
        <v>3</v>
      </c>
      <c r="I18" s="340">
        <f>IF(H18="",D18*F18,D18*F18*H18)</f>
        <v>3.7934730000000001</v>
      </c>
      <c r="J18" s="45"/>
      <c r="K18" s="45"/>
      <c r="L18" s="45"/>
      <c r="M18" s="45"/>
      <c r="N18" s="45"/>
      <c r="O18" s="163"/>
    </row>
    <row r="19" spans="1:16" x14ac:dyDescent="0.25">
      <c r="A19" s="164"/>
      <c r="B19" s="19"/>
      <c r="C19" s="19"/>
      <c r="D19" s="19"/>
      <c r="E19" s="19"/>
      <c r="F19" s="19"/>
      <c r="G19" s="19"/>
      <c r="H19" s="110" t="s">
        <v>18</v>
      </c>
      <c r="I19" s="362">
        <f>SUM(I15:I18)</f>
        <v>38.743472999999994</v>
      </c>
      <c r="J19" s="45"/>
      <c r="K19" s="45"/>
      <c r="L19" s="45"/>
      <c r="M19" s="45"/>
      <c r="N19" s="45"/>
      <c r="O19" s="163"/>
    </row>
    <row r="20" spans="1:16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  <c r="P20" s="45"/>
    </row>
    <row r="21" spans="1:16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  <c r="P21" s="45"/>
    </row>
    <row r="22" spans="1:16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  <c r="P22" s="45"/>
    </row>
    <row r="23" spans="1:16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  <c r="P23" s="45"/>
    </row>
    <row r="24" spans="1:16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  <c r="P24" s="45"/>
    </row>
    <row r="25" spans="1:16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  <row r="26" spans="1:16" x14ac:dyDescent="0.25">
      <c r="A26" s="45"/>
      <c r="B26" s="45"/>
      <c r="C26" s="45"/>
      <c r="D26" s="45"/>
      <c r="E26" s="45"/>
      <c r="F26" s="45"/>
      <c r="G26" s="45"/>
      <c r="H26" s="45"/>
      <c r="I26" s="45"/>
    </row>
  </sheetData>
  <hyperlinks>
    <hyperlink ref="B4" location="EN_A1100" display="Driveshaft" xr:uid="{72882053-F9F3-4562-A951-C8761541422D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DE5C-CE62-420B-9FD6-ABCB30AD9686}">
  <sheetPr>
    <tabColor theme="6" tint="0.39997558519241921"/>
  </sheetPr>
  <dimension ref="A1:O24"/>
  <sheetViews>
    <sheetView workbookViewId="0">
      <selection activeCell="B6" sqref="B6"/>
    </sheetView>
  </sheetViews>
  <sheetFormatPr baseColWidth="10" defaultRowHeight="15" x14ac:dyDescent="0.25"/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EN_1100_003_m+EN_1100_003_p</f>
        <v>29.160865459581132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358" t="s">
        <v>5</v>
      </c>
      <c r="B4" s="254" t="s">
        <v>336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358" t="s">
        <v>15</v>
      </c>
      <c r="B5" s="252" t="s">
        <v>311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29.160865459581132</v>
      </c>
      <c r="O5" s="163"/>
    </row>
    <row r="6" spans="1:15" x14ac:dyDescent="0.25">
      <c r="A6" s="358" t="s">
        <v>7</v>
      </c>
      <c r="B6" s="175" t="s">
        <v>356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359" t="s">
        <v>23</v>
      </c>
      <c r="G10" s="359" t="s">
        <v>24</v>
      </c>
      <c r="H10" s="359" t="s">
        <v>25</v>
      </c>
      <c r="I10" s="359" t="s">
        <v>26</v>
      </c>
      <c r="J10" s="359" t="s">
        <v>27</v>
      </c>
      <c r="K10" s="359" t="s">
        <v>28</v>
      </c>
      <c r="L10" s="359" t="s">
        <v>29</v>
      </c>
      <c r="M10" s="359" t="s">
        <v>17</v>
      </c>
      <c r="N10" s="359" t="s">
        <v>18</v>
      </c>
      <c r="O10" s="163"/>
    </row>
    <row r="11" spans="1:15" ht="30" x14ac:dyDescent="0.25">
      <c r="A11" s="341">
        <v>10</v>
      </c>
      <c r="B11" s="343" t="s">
        <v>154</v>
      </c>
      <c r="C11" s="344" t="s">
        <v>357</v>
      </c>
      <c r="D11" s="335">
        <v>4.2</v>
      </c>
      <c r="E11" s="363">
        <f>J11*K11*L11</f>
        <v>2.0761108237097923</v>
      </c>
      <c r="F11" s="364" t="s">
        <v>155</v>
      </c>
      <c r="G11" s="364"/>
      <c r="H11" s="365"/>
      <c r="I11" s="366" t="s">
        <v>358</v>
      </c>
      <c r="J11" s="367">
        <f>PI()*0.19^2/4</f>
        <v>2.8352873698647883E-2</v>
      </c>
      <c r="K11" s="368">
        <v>2.7E-2</v>
      </c>
      <c r="L11" s="369">
        <v>2712</v>
      </c>
      <c r="M11" s="369">
        <v>1</v>
      </c>
      <c r="N11" s="340">
        <f>IF(J11="",D11*M11,D11*J11*K11*L11*M11)</f>
        <v>8.7196654595811296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360" t="s">
        <v>18</v>
      </c>
      <c r="N12" s="105">
        <f>SUM(N11:N11)</f>
        <v>8.7196654595811296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358" t="s">
        <v>14</v>
      </c>
      <c r="B14" s="359" t="s">
        <v>31</v>
      </c>
      <c r="C14" s="359" t="s">
        <v>20</v>
      </c>
      <c r="D14" s="359" t="s">
        <v>21</v>
      </c>
      <c r="E14" s="359" t="s">
        <v>32</v>
      </c>
      <c r="F14" s="359" t="s">
        <v>17</v>
      </c>
      <c r="G14" s="359" t="s">
        <v>33</v>
      </c>
      <c r="H14" s="359" t="s">
        <v>34</v>
      </c>
      <c r="I14" s="359" t="s">
        <v>18</v>
      </c>
      <c r="J14" s="19"/>
      <c r="K14" s="19"/>
      <c r="L14" s="19"/>
      <c r="M14" s="19"/>
      <c r="N14" s="19"/>
      <c r="O14" s="163"/>
    </row>
    <row r="15" spans="1:15" ht="90" x14ac:dyDescent="0.25">
      <c r="A15" s="370">
        <v>10</v>
      </c>
      <c r="B15" s="334" t="s">
        <v>43</v>
      </c>
      <c r="C15" s="334" t="s">
        <v>359</v>
      </c>
      <c r="D15" s="335">
        <v>1.3</v>
      </c>
      <c r="E15" s="344" t="s">
        <v>32</v>
      </c>
      <c r="F15" s="371">
        <v>1</v>
      </c>
      <c r="G15" s="370"/>
      <c r="H15" s="370"/>
      <c r="I15" s="340">
        <f>IF(H15="",D15*F15,D15*F15*H15)</f>
        <v>1.3</v>
      </c>
      <c r="J15" s="45"/>
      <c r="K15" s="45"/>
      <c r="L15" s="45"/>
      <c r="M15" s="45"/>
      <c r="N15" s="45"/>
      <c r="O15" s="163"/>
    </row>
    <row r="16" spans="1:15" ht="30" x14ac:dyDescent="0.25">
      <c r="A16" s="370">
        <v>20</v>
      </c>
      <c r="B16" s="334" t="s">
        <v>161</v>
      </c>
      <c r="C16" s="334" t="s">
        <v>360</v>
      </c>
      <c r="D16" s="335">
        <v>0.04</v>
      </c>
      <c r="E16" s="344" t="s">
        <v>162</v>
      </c>
      <c r="F16" s="371">
        <v>444.78</v>
      </c>
      <c r="G16" s="370"/>
      <c r="H16" s="370"/>
      <c r="I16" s="340">
        <f>IF(H16="",D16*F16,D16*F16*H16)</f>
        <v>17.7912</v>
      </c>
      <c r="J16" s="45"/>
      <c r="K16" s="45"/>
      <c r="L16" s="45"/>
      <c r="M16" s="45"/>
      <c r="N16" s="45"/>
      <c r="O16" s="163"/>
    </row>
    <row r="17" spans="1:15" ht="30" x14ac:dyDescent="0.25">
      <c r="A17" s="370">
        <v>30</v>
      </c>
      <c r="B17" s="334" t="s">
        <v>345</v>
      </c>
      <c r="C17" s="334" t="s">
        <v>361</v>
      </c>
      <c r="D17" s="335">
        <v>0.5</v>
      </c>
      <c r="E17" s="344" t="s">
        <v>45</v>
      </c>
      <c r="F17" s="371">
        <v>2.7</v>
      </c>
      <c r="G17" s="370"/>
      <c r="H17" s="370"/>
      <c r="I17" s="340">
        <f>IF(H17="",D17*F17,D17*F17*H17)</f>
        <v>1.35</v>
      </c>
      <c r="J17" s="45"/>
      <c r="K17" s="45"/>
      <c r="L17" s="45"/>
      <c r="M17" s="45"/>
      <c r="N17" s="45"/>
      <c r="O17" s="163"/>
    </row>
    <row r="18" spans="1:15" x14ac:dyDescent="0.25">
      <c r="A18" s="164"/>
      <c r="B18" s="19"/>
      <c r="C18" s="19"/>
      <c r="D18" s="19"/>
      <c r="E18" s="19"/>
      <c r="F18" s="19"/>
      <c r="G18" s="19"/>
      <c r="H18" s="110" t="s">
        <v>18</v>
      </c>
      <c r="I18" s="362">
        <f>SUM(I15:I17)</f>
        <v>20.441200000000002</v>
      </c>
      <c r="J18" s="45"/>
      <c r="K18" s="45"/>
      <c r="L18" s="45"/>
      <c r="M18" s="45"/>
      <c r="N18" s="45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ht="15.75" thickBot="1" x14ac:dyDescent="0.3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4"/>
    </row>
  </sheetData>
  <hyperlinks>
    <hyperlink ref="B4" location="EN_A1100" display="Driveshaft" xr:uid="{8E8FEA7D-438F-4230-A32B-9D1285104007}"/>
    <hyperlink ref="D3" location="'EN_1100_003 Drawing'!A1" display="FileLink1" xr:uid="{8A494E03-AE7D-454C-BC1B-F5C1BFBA9858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67E5-E5CB-46F5-BCB4-D4A31CE84611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86" t="s">
        <v>356</v>
      </c>
    </row>
  </sheetData>
  <hyperlinks>
    <hyperlink ref="A1" location="EN_1100_003" display="EN_1100_003" xr:uid="{BB8F04E1-D925-49FE-A39B-C1A80C6BFA68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4ECF-34BC-4D82-9142-57F2E76D1F3B}">
  <sheetPr>
    <tabColor theme="6" tint="0.39997558519241921"/>
  </sheetPr>
  <dimension ref="A1:O24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45.28515625" bestFit="1" customWidth="1"/>
    <col min="7" max="7" width="13.7109375" bestFit="1" customWidth="1"/>
    <col min="9" max="9" width="28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EN_1100_004_m+EN_1100_004_p</f>
        <v>9.0978820921659498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358" t="s">
        <v>5</v>
      </c>
      <c r="B4" s="254" t="s">
        <v>336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358" t="s">
        <v>15</v>
      </c>
      <c r="B5" s="252" t="s">
        <v>312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9.0978820921659498</v>
      </c>
      <c r="O5" s="163"/>
    </row>
    <row r="6" spans="1:15" x14ac:dyDescent="0.25">
      <c r="A6" s="358" t="s">
        <v>7</v>
      </c>
      <c r="B6" s="175" t="s">
        <v>362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359" t="s">
        <v>23</v>
      </c>
      <c r="G10" s="359" t="s">
        <v>24</v>
      </c>
      <c r="H10" s="359" t="s">
        <v>25</v>
      </c>
      <c r="I10" s="359" t="s">
        <v>26</v>
      </c>
      <c r="J10" s="359" t="s">
        <v>27</v>
      </c>
      <c r="K10" s="359" t="s">
        <v>28</v>
      </c>
      <c r="L10" s="359" t="s">
        <v>29</v>
      </c>
      <c r="M10" s="359" t="s">
        <v>17</v>
      </c>
      <c r="N10" s="359" t="s">
        <v>18</v>
      </c>
      <c r="O10" s="163"/>
    </row>
    <row r="11" spans="1:15" x14ac:dyDescent="0.25">
      <c r="A11" s="341">
        <v>10</v>
      </c>
      <c r="B11" s="343" t="s">
        <v>234</v>
      </c>
      <c r="C11" s="344" t="s">
        <v>363</v>
      </c>
      <c r="D11" s="335">
        <v>2.25</v>
      </c>
      <c r="E11" s="372">
        <f>J11*K11*L11</f>
        <v>1.4725155965181997</v>
      </c>
      <c r="F11" s="364" t="s">
        <v>155</v>
      </c>
      <c r="G11" s="364"/>
      <c r="H11" s="365"/>
      <c r="I11" s="373" t="s">
        <v>364</v>
      </c>
      <c r="J11" s="374">
        <f>100.841*930.086/1000000</f>
        <v>9.3790802325999983E-2</v>
      </c>
      <c r="K11" s="375">
        <f>2/1000</f>
        <v>2E-3</v>
      </c>
      <c r="L11" s="376">
        <v>7850</v>
      </c>
      <c r="M11" s="377">
        <v>1</v>
      </c>
      <c r="N11" s="340">
        <f>IF(J11="",D11*M11,D11*J11*K11*L11*M11)</f>
        <v>3.3131600921659494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360" t="s">
        <v>18</v>
      </c>
      <c r="N12" s="105">
        <f>SUM(N11:N11)</f>
        <v>3.3131600921659494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358" t="s">
        <v>14</v>
      </c>
      <c r="B14" s="359" t="s">
        <v>31</v>
      </c>
      <c r="C14" s="359" t="s">
        <v>20</v>
      </c>
      <c r="D14" s="359" t="s">
        <v>21</v>
      </c>
      <c r="E14" s="359" t="s">
        <v>32</v>
      </c>
      <c r="F14" s="359" t="s">
        <v>17</v>
      </c>
      <c r="G14" s="359" t="s">
        <v>33</v>
      </c>
      <c r="H14" s="359" t="s">
        <v>34</v>
      </c>
      <c r="I14" s="359" t="s">
        <v>18</v>
      </c>
      <c r="J14" s="19"/>
      <c r="K14" s="19"/>
      <c r="L14" s="19"/>
      <c r="M14" s="19"/>
      <c r="N14" s="19"/>
      <c r="O14" s="163"/>
    </row>
    <row r="15" spans="1:15" x14ac:dyDescent="0.25">
      <c r="A15" s="341">
        <v>10</v>
      </c>
      <c r="B15" s="334" t="s">
        <v>43</v>
      </c>
      <c r="C15" s="334" t="s">
        <v>365</v>
      </c>
      <c r="D15" s="335">
        <v>1.3</v>
      </c>
      <c r="E15" s="336" t="s">
        <v>32</v>
      </c>
      <c r="F15" s="354">
        <v>1</v>
      </c>
      <c r="G15" s="355"/>
      <c r="H15" s="355"/>
      <c r="I15" s="340">
        <f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341">
        <v>20</v>
      </c>
      <c r="B16" s="334" t="s">
        <v>44</v>
      </c>
      <c r="C16" s="334" t="s">
        <v>366</v>
      </c>
      <c r="D16" s="335">
        <v>0.01</v>
      </c>
      <c r="E16" s="336" t="s">
        <v>45</v>
      </c>
      <c r="F16" s="354">
        <f>(11+7.541*2+13*2+31.416+19+533.083+63.5+7.541*2+27.3*2+31.416+138.488+110.764+14.251+18.85*2+60.192)/10</f>
        <v>116.15740000000001</v>
      </c>
      <c r="G16" s="344" t="s">
        <v>284</v>
      </c>
      <c r="H16" s="371">
        <v>3</v>
      </c>
      <c r="I16" s="340">
        <f>IF(H16="",D16*F16,D16*F16*H16)</f>
        <v>3.4847220000000005</v>
      </c>
      <c r="J16" s="45"/>
      <c r="K16" s="45"/>
      <c r="L16" s="45"/>
      <c r="M16" s="45"/>
      <c r="N16" s="45"/>
      <c r="O16" s="163"/>
    </row>
    <row r="17" spans="1:15" x14ac:dyDescent="0.25">
      <c r="A17" s="341">
        <v>30</v>
      </c>
      <c r="B17" s="334" t="s">
        <v>367</v>
      </c>
      <c r="C17" s="334" t="s">
        <v>368</v>
      </c>
      <c r="D17" s="335">
        <v>0.25</v>
      </c>
      <c r="E17" s="336" t="s">
        <v>369</v>
      </c>
      <c r="F17" s="354">
        <v>4</v>
      </c>
      <c r="G17" s="355"/>
      <c r="H17" s="355"/>
      <c r="I17" s="340">
        <f>IF(H17="",D17*F17,D17*F17*H17)</f>
        <v>1</v>
      </c>
      <c r="J17" s="45"/>
      <c r="K17" s="45"/>
      <c r="L17" s="45"/>
      <c r="M17" s="45"/>
      <c r="N17" s="45"/>
      <c r="O17" s="163"/>
    </row>
    <row r="18" spans="1:15" x14ac:dyDescent="0.25">
      <c r="A18" s="164"/>
      <c r="B18" s="19"/>
      <c r="C18" s="19"/>
      <c r="D18" s="19"/>
      <c r="E18" s="19"/>
      <c r="F18" s="19"/>
      <c r="G18" s="19"/>
      <c r="H18" s="110" t="s">
        <v>18</v>
      </c>
      <c r="I18" s="362">
        <f>SUM(I15:I17)</f>
        <v>5.7847220000000004</v>
      </c>
      <c r="J18" s="45"/>
      <c r="K18" s="45"/>
      <c r="L18" s="45"/>
      <c r="M18" s="45"/>
      <c r="N18" s="45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ht="15.75" thickBot="1" x14ac:dyDescent="0.3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4"/>
    </row>
  </sheetData>
  <hyperlinks>
    <hyperlink ref="B4" location="EN_A1100" display="Driveshaft" xr:uid="{2DE3E143-0FE8-49BE-91D6-67CEA81AD226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F532-E438-4A91-8BBE-37996A16BC9A}">
  <sheetPr>
    <tabColor theme="6" tint="0.39997558519241921"/>
  </sheetPr>
  <dimension ref="A1"/>
  <sheetViews>
    <sheetView workbookViewId="0">
      <selection activeCell="O18" sqref="O18"/>
    </sheetView>
  </sheetViews>
  <sheetFormatPr baseColWidth="10" defaultRowHeight="15" x14ac:dyDescent="0.25"/>
  <sheetData>
    <row r="1" spans="1:1" x14ac:dyDescent="0.25">
      <c r="A1" s="66" t="s">
        <v>362</v>
      </c>
    </row>
  </sheetData>
  <hyperlinks>
    <hyperlink ref="A1" location="EN_1100_004" display="EN_1100_004" xr:uid="{557BA407-7ABB-4CFE-84CF-3B7E140F3DC9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2C81-73DB-4AE6-B890-A435F6FB02D3}">
  <sheetPr>
    <tabColor theme="6" tint="0.39997558519241921"/>
  </sheetPr>
  <dimension ref="A1:Q23"/>
  <sheetViews>
    <sheetView zoomScale="85" zoomScaleNormal="85" workbookViewId="0">
      <selection activeCell="B4" sqref="B4"/>
    </sheetView>
  </sheetViews>
  <sheetFormatPr baseColWidth="10" defaultRowHeight="15" x14ac:dyDescent="0.25"/>
  <cols>
    <col min="2" max="2" width="35.42578125" bestFit="1" customWidth="1"/>
    <col min="3" max="3" width="33.140625" bestFit="1" customWidth="1"/>
    <col min="7" max="7" width="12" bestFit="1" customWidth="1"/>
    <col min="9" max="9" width="28" bestFit="1" customWidth="1"/>
  </cols>
  <sheetData>
    <row r="1" spans="1:17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7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EN_1100_005_m+EN_1100_005_p</f>
        <v>1.7144014375000001</v>
      </c>
      <c r="O2" s="163"/>
    </row>
    <row r="3" spans="1:17" x14ac:dyDescent="0.25">
      <c r="A3" s="181" t="s">
        <v>3</v>
      </c>
      <c r="B3" s="180" t="s">
        <v>134</v>
      </c>
      <c r="C3" s="45"/>
      <c r="D3" s="254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7" x14ac:dyDescent="0.25">
      <c r="A4" s="358" t="s">
        <v>5</v>
      </c>
      <c r="B4" s="254" t="s">
        <v>336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7" x14ac:dyDescent="0.25">
      <c r="A5" s="358" t="s">
        <v>15</v>
      </c>
      <c r="B5" s="252" t="s">
        <v>370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1.7144014375000001</v>
      </c>
      <c r="O5" s="163"/>
    </row>
    <row r="6" spans="1:17" x14ac:dyDescent="0.25">
      <c r="A6" s="358" t="s">
        <v>7</v>
      </c>
      <c r="B6" s="175" t="s">
        <v>371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7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7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7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7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7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1.8015750000000001E-2</v>
      </c>
      <c r="F11" s="139" t="s">
        <v>155</v>
      </c>
      <c r="G11" s="139"/>
      <c r="H11" s="142"/>
      <c r="I11" s="143" t="s">
        <v>372</v>
      </c>
      <c r="J11" s="143">
        <f>30.6*25/1000000</f>
        <v>7.6499999999999995E-4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4.0535437499999993E-2</v>
      </c>
      <c r="O11" s="167"/>
    </row>
    <row r="12" spans="1:17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2" t="s">
        <v>18</v>
      </c>
      <c r="N12" s="105">
        <f>SUM(N11:N11)</f>
        <v>4.0535437499999993E-2</v>
      </c>
      <c r="O12" s="163"/>
    </row>
    <row r="13" spans="1:17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7" x14ac:dyDescent="0.25">
      <c r="A14" s="182" t="s">
        <v>14</v>
      </c>
      <c r="B14" s="186" t="s">
        <v>31</v>
      </c>
      <c r="C14" s="186" t="s">
        <v>20</v>
      </c>
      <c r="D14" s="186" t="s">
        <v>21</v>
      </c>
      <c r="E14" s="186" t="s">
        <v>32</v>
      </c>
      <c r="F14" s="186" t="s">
        <v>17</v>
      </c>
      <c r="G14" s="186" t="s">
        <v>33</v>
      </c>
      <c r="H14" s="186" t="s">
        <v>34</v>
      </c>
      <c r="I14" s="186" t="s">
        <v>18</v>
      </c>
      <c r="J14" s="19"/>
      <c r="K14" s="19"/>
      <c r="L14" s="19"/>
      <c r="M14" s="19"/>
      <c r="N14" s="19"/>
      <c r="O14" s="163"/>
    </row>
    <row r="15" spans="1:17" x14ac:dyDescent="0.25">
      <c r="A15" s="187">
        <v>10</v>
      </c>
      <c r="B15" s="220" t="s">
        <v>43</v>
      </c>
      <c r="C15" s="195" t="s">
        <v>218</v>
      </c>
      <c r="D15" s="221">
        <v>1.3</v>
      </c>
      <c r="E15" s="197" t="s">
        <v>32</v>
      </c>
      <c r="F15" s="197">
        <v>1</v>
      </c>
      <c r="G15" s="207"/>
      <c r="H15" s="195"/>
      <c r="I15" s="140">
        <f>IF(H15="",D15*F15,D15*F15*H15)</f>
        <v>1.3</v>
      </c>
      <c r="J15" s="47"/>
      <c r="K15" s="47"/>
      <c r="L15" s="47"/>
      <c r="M15" s="47"/>
      <c r="N15" s="47"/>
      <c r="O15" s="163"/>
      <c r="Q15" s="262"/>
    </row>
    <row r="16" spans="1:17" x14ac:dyDescent="0.25">
      <c r="A16" s="205">
        <v>20</v>
      </c>
      <c r="B16" s="195" t="s">
        <v>44</v>
      </c>
      <c r="C16" s="216" t="s">
        <v>239</v>
      </c>
      <c r="D16" s="221">
        <v>0.01</v>
      </c>
      <c r="E16" s="197" t="s">
        <v>45</v>
      </c>
      <c r="F16" s="197">
        <f>124.622/10</f>
        <v>12.462199999999999</v>
      </c>
      <c r="G16" s="197" t="s">
        <v>238</v>
      </c>
      <c r="H16" s="197">
        <v>3</v>
      </c>
      <c r="I16" s="140">
        <f>IF(H16="",D16*F16,D16*F16*H16)</f>
        <v>0.37386599999999998</v>
      </c>
      <c r="J16" s="47"/>
      <c r="K16" s="47"/>
      <c r="L16" s="47"/>
      <c r="M16" s="47"/>
      <c r="N16" s="47"/>
      <c r="O16" s="163"/>
    </row>
    <row r="17" spans="1:15" x14ac:dyDescent="0.25">
      <c r="A17" s="168"/>
      <c r="B17" s="19"/>
      <c r="C17" s="19"/>
      <c r="D17" s="19"/>
      <c r="E17" s="19"/>
      <c r="F17" s="19"/>
      <c r="G17" s="19"/>
      <c r="H17" s="110" t="s">
        <v>18</v>
      </c>
      <c r="I17" s="105">
        <f>SUM(I15:I16)</f>
        <v>1.6738660000000001</v>
      </c>
      <c r="J17" s="19"/>
      <c r="K17" s="19"/>
      <c r="L17" s="19"/>
      <c r="M17" s="19"/>
      <c r="N17" s="19"/>
      <c r="O17" s="163"/>
    </row>
    <row r="18" spans="1:15" x14ac:dyDescent="0.25">
      <c r="A18" s="16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ht="15.75" thickBot="1" x14ac:dyDescent="0.3">
      <c r="A23" s="172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4"/>
    </row>
  </sheetData>
  <hyperlinks>
    <hyperlink ref="B4" location="EN_A1100" display="Driveshaft" xr:uid="{EF4C806F-12A5-4C08-A281-25FE1E3EFA25}"/>
    <hyperlink ref="D3" location="'EN_1100_005 Drawing'!A1" display="FileLink1" xr:uid="{62D14DB8-5112-40A5-92B2-BFF897B9F0A2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792D-1616-43C8-8E4C-2D8388A2C5D5}">
  <sheetPr>
    <tabColor theme="6" tint="0.39997558519241921"/>
  </sheetPr>
  <dimension ref="A1"/>
  <sheetViews>
    <sheetView topLeftCell="A13" workbookViewId="0">
      <selection activeCell="N29" sqref="N29"/>
    </sheetView>
  </sheetViews>
  <sheetFormatPr baseColWidth="10" defaultRowHeight="15" x14ac:dyDescent="0.25"/>
  <sheetData>
    <row r="1" spans="1:1" x14ac:dyDescent="0.25">
      <c r="A1" s="66" t="s">
        <v>371</v>
      </c>
    </row>
  </sheetData>
  <hyperlinks>
    <hyperlink ref="A1" location="EN_1100_005" display="EN_1100_005" xr:uid="{74E82E69-440C-45D7-8F9E-9D7551F2EC58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2803-A8AA-46A9-BBF0-8BFC767AC654}">
  <sheetPr>
    <tabColor theme="6" tint="0.39997558519241921"/>
  </sheetPr>
  <dimension ref="A1:O23"/>
  <sheetViews>
    <sheetView workbookViewId="0">
      <selection activeCell="D3" sqref="D3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14" bestFit="1" customWidth="1"/>
    <col min="9" max="9" width="27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EN_1100_006_m+EN_1100_006_p</f>
        <v>1.7139456024999999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358" t="s">
        <v>5</v>
      </c>
      <c r="B4" s="254" t="s">
        <v>336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358" t="s">
        <v>15</v>
      </c>
      <c r="B5" s="252" t="s">
        <v>375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1.7139456024999999</v>
      </c>
      <c r="O5" s="163"/>
    </row>
    <row r="6" spans="1:15" x14ac:dyDescent="0.25">
      <c r="A6" s="358" t="s">
        <v>7</v>
      </c>
      <c r="B6" s="175" t="s">
        <v>373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1.6574490000000001E-2</v>
      </c>
      <c r="F11" s="139" t="s">
        <v>155</v>
      </c>
      <c r="G11" s="139"/>
      <c r="H11" s="142"/>
      <c r="I11" s="143" t="s">
        <v>374</v>
      </c>
      <c r="J11" s="143">
        <f>30.6*23/1000000</f>
        <v>7.0380000000000009E-4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3.7292602500000001E-2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2" t="s">
        <v>18</v>
      </c>
      <c r="N12" s="105">
        <f>SUM(N11:N11)</f>
        <v>3.7292602500000001E-2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182" t="s">
        <v>14</v>
      </c>
      <c r="B14" s="186" t="s">
        <v>31</v>
      </c>
      <c r="C14" s="186" t="s">
        <v>20</v>
      </c>
      <c r="D14" s="186" t="s">
        <v>21</v>
      </c>
      <c r="E14" s="186" t="s">
        <v>32</v>
      </c>
      <c r="F14" s="186" t="s">
        <v>17</v>
      </c>
      <c r="G14" s="186" t="s">
        <v>33</v>
      </c>
      <c r="H14" s="186" t="s">
        <v>34</v>
      </c>
      <c r="I14" s="186" t="s">
        <v>18</v>
      </c>
      <c r="J14" s="19"/>
      <c r="K14" s="19"/>
      <c r="L14" s="19"/>
      <c r="M14" s="19"/>
      <c r="N14" s="19"/>
      <c r="O14" s="163"/>
    </row>
    <row r="15" spans="1:15" x14ac:dyDescent="0.25">
      <c r="A15" s="187">
        <v>10</v>
      </c>
      <c r="B15" s="220" t="s">
        <v>43</v>
      </c>
      <c r="C15" s="195" t="s">
        <v>218</v>
      </c>
      <c r="D15" s="221">
        <v>1.3</v>
      </c>
      <c r="E15" s="197" t="s">
        <v>32</v>
      </c>
      <c r="F15" s="197">
        <v>1</v>
      </c>
      <c r="G15" s="207"/>
      <c r="H15" s="195"/>
      <c r="I15" s="140">
        <f>IF(H15="",D15*F15,D15*F15*H15)</f>
        <v>1.3</v>
      </c>
      <c r="J15" s="47"/>
      <c r="K15" s="47"/>
      <c r="L15" s="47"/>
      <c r="M15" s="47"/>
      <c r="N15" s="47"/>
      <c r="O15" s="163"/>
    </row>
    <row r="16" spans="1:15" x14ac:dyDescent="0.25">
      <c r="A16" s="205">
        <v>20</v>
      </c>
      <c r="B16" s="195" t="s">
        <v>44</v>
      </c>
      <c r="C16" s="216" t="s">
        <v>239</v>
      </c>
      <c r="D16" s="221">
        <v>0.01</v>
      </c>
      <c r="E16" s="197" t="s">
        <v>45</v>
      </c>
      <c r="F16" s="197">
        <f>125.551/10</f>
        <v>12.555099999999999</v>
      </c>
      <c r="G16" s="197" t="s">
        <v>238</v>
      </c>
      <c r="H16" s="197">
        <v>3</v>
      </c>
      <c r="I16" s="140">
        <f>IF(H16="",D16*F16,D16*F16*H16)</f>
        <v>0.37665300000000002</v>
      </c>
      <c r="J16" s="47"/>
      <c r="K16" s="47"/>
      <c r="L16" s="47"/>
      <c r="M16" s="47"/>
      <c r="N16" s="47"/>
      <c r="O16" s="163"/>
    </row>
    <row r="17" spans="1:15" x14ac:dyDescent="0.25">
      <c r="A17" s="168"/>
      <c r="B17" s="19"/>
      <c r="C17" s="19"/>
      <c r="D17" s="19"/>
      <c r="E17" s="19"/>
      <c r="F17" s="19"/>
      <c r="G17" s="19"/>
      <c r="H17" s="110" t="s">
        <v>18</v>
      </c>
      <c r="I17" s="105">
        <f>SUM(I15:I16)</f>
        <v>1.6766529999999999</v>
      </c>
      <c r="J17" s="19"/>
      <c r="K17" s="19"/>
      <c r="L17" s="19"/>
      <c r="M17" s="19"/>
      <c r="N17" s="19"/>
      <c r="O17" s="163"/>
    </row>
    <row r="18" spans="1:15" x14ac:dyDescent="0.25">
      <c r="A18" s="16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ht="15.75" thickBot="1" x14ac:dyDescent="0.3">
      <c r="A23" s="172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4"/>
    </row>
  </sheetData>
  <hyperlinks>
    <hyperlink ref="B4" location="EN_A1100" display="Driveshaft" xr:uid="{94110715-C8E4-45D6-9125-D95D51DA3FCE}"/>
    <hyperlink ref="D3" location="'EN_1100_006 Drawing'!A1" display="FileLink1" xr:uid="{A30933CD-1D49-4094-803B-AB349BAE1DFE}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AD3B-F57C-41C0-B6E2-524E0F98DB82}">
  <sheetPr>
    <tabColor theme="6" tint="0.39997558519241921"/>
  </sheetPr>
  <dimension ref="A1"/>
  <sheetViews>
    <sheetView topLeftCell="A13" workbookViewId="0">
      <selection activeCell="P9" sqref="P9"/>
    </sheetView>
  </sheetViews>
  <sheetFormatPr baseColWidth="10" defaultRowHeight="15" x14ac:dyDescent="0.25"/>
  <sheetData>
    <row r="1" spans="1:1" x14ac:dyDescent="0.25">
      <c r="A1" s="66" t="s">
        <v>373</v>
      </c>
    </row>
  </sheetData>
  <hyperlinks>
    <hyperlink ref="A1" location="EN_1100_006" display="EN_1100_006" xr:uid="{1588CF3A-87FF-43C8-91C3-441A75AE576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41"/>
  <sheetViews>
    <sheetView zoomScale="70" zoomScaleNormal="70" workbookViewId="0">
      <selection activeCell="L34" sqref="L34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20" bestFit="1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 spans="1:15" x14ac:dyDescent="0.25">
      <c r="A2" s="101" t="s">
        <v>0</v>
      </c>
      <c r="B2" s="126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EN_0900_001_m+EN_0900_001_p+EN_0900_001_f</f>
        <v>112.52931553333677</v>
      </c>
      <c r="O2" s="51"/>
    </row>
    <row r="3" spans="1:15" x14ac:dyDescent="0.25">
      <c r="A3" s="101" t="s">
        <v>3</v>
      </c>
      <c r="B3" s="126" t="s">
        <v>134</v>
      </c>
      <c r="C3" s="45"/>
      <c r="D3" s="101" t="s">
        <v>6</v>
      </c>
      <c r="E3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51"/>
    </row>
    <row r="4" spans="1:15" x14ac:dyDescent="0.25">
      <c r="A4" s="101" t="s">
        <v>5</v>
      </c>
      <c r="B4" s="66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51"/>
    </row>
    <row r="5" spans="1:15" x14ac:dyDescent="0.25">
      <c r="A5" s="101" t="s">
        <v>15</v>
      </c>
      <c r="B5" s="111" t="s">
        <v>137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112.52931553333677</v>
      </c>
      <c r="O5" s="51"/>
    </row>
    <row r="6" spans="1:15" x14ac:dyDescent="0.25">
      <c r="A6" s="101" t="s">
        <v>7</v>
      </c>
      <c r="B6" s="127" t="s">
        <v>158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51"/>
    </row>
    <row r="7" spans="1:15" x14ac:dyDescent="0.25">
      <c r="A7" s="101" t="s">
        <v>10</v>
      </c>
      <c r="B7" s="126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1"/>
    </row>
    <row r="8" spans="1:15" x14ac:dyDescent="0.25">
      <c r="A8" s="101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51"/>
    </row>
    <row r="9" spans="1:15" x14ac:dyDescent="0.25">
      <c r="A9" s="6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51"/>
    </row>
    <row r="10" spans="1:15" x14ac:dyDescent="0.25">
      <c r="A10" s="106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08" t="s">
        <v>23</v>
      </c>
      <c r="G10" s="108" t="s">
        <v>24</v>
      </c>
      <c r="H10" s="108" t="s">
        <v>25</v>
      </c>
      <c r="I10" s="108" t="s">
        <v>26</v>
      </c>
      <c r="J10" s="108" t="s">
        <v>27</v>
      </c>
      <c r="K10" s="108" t="s">
        <v>28</v>
      </c>
      <c r="L10" s="108" t="s">
        <v>29</v>
      </c>
      <c r="M10" s="108" t="s">
        <v>17</v>
      </c>
      <c r="N10" s="108" t="s">
        <v>18</v>
      </c>
      <c r="O10" s="51"/>
    </row>
    <row r="11" spans="1:15" s="17" customFormat="1" x14ac:dyDescent="0.25">
      <c r="A11" s="138">
        <v>10</v>
      </c>
      <c r="B11" s="139" t="s">
        <v>154</v>
      </c>
      <c r="C11" s="139"/>
      <c r="D11" s="140">
        <v>4.2</v>
      </c>
      <c r="E11" s="141">
        <f>J11*K11*L11</f>
        <v>1.905804558171124</v>
      </c>
      <c r="F11" s="139" t="s">
        <v>155</v>
      </c>
      <c r="G11" s="139"/>
      <c r="H11" s="142"/>
      <c r="I11" s="143" t="s">
        <v>156</v>
      </c>
      <c r="J11" s="143">
        <f>PI()*51*51/1000000</f>
        <v>8.171282491987052E-3</v>
      </c>
      <c r="K11" s="144">
        <v>8.5999999999999993E-2</v>
      </c>
      <c r="L11" s="145">
        <v>2712</v>
      </c>
      <c r="M11" s="145">
        <v>1</v>
      </c>
      <c r="N11" s="140">
        <f>D11*J11*K11*L11*M11</f>
        <v>8.0043791443187207</v>
      </c>
      <c r="O11" s="54"/>
    </row>
    <row r="12" spans="1:15" s="17" customFormat="1" x14ac:dyDescent="0.25">
      <c r="A12" s="138">
        <v>20</v>
      </c>
      <c r="B12" s="139" t="s">
        <v>154</v>
      </c>
      <c r="C12" s="139"/>
      <c r="D12" s="140">
        <v>4.2</v>
      </c>
      <c r="E12" s="141">
        <f>J12*K12*L12</f>
        <v>1.3961126414509397</v>
      </c>
      <c r="F12" s="139" t="s">
        <v>155</v>
      </c>
      <c r="G12" s="139"/>
      <c r="H12" s="142"/>
      <c r="I12" s="143" t="s">
        <v>156</v>
      </c>
      <c r="J12" s="143">
        <f>PI()*51*51/1000000</f>
        <v>8.171282491987052E-3</v>
      </c>
      <c r="K12" s="144">
        <v>6.3E-2</v>
      </c>
      <c r="L12" s="145">
        <v>2712</v>
      </c>
      <c r="M12" s="145">
        <v>1</v>
      </c>
      <c r="N12" s="140">
        <f>D12*J12*K12*L12*M12</f>
        <v>5.8636730940939472</v>
      </c>
      <c r="O12" s="54"/>
    </row>
    <row r="13" spans="1:15" s="17" customFormat="1" x14ac:dyDescent="0.25">
      <c r="A13" s="138">
        <v>30</v>
      </c>
      <c r="B13" s="139" t="s">
        <v>154</v>
      </c>
      <c r="C13" s="139"/>
      <c r="D13" s="140">
        <v>4.2</v>
      </c>
      <c r="E13" s="141">
        <f>J13*K13*L13</f>
        <v>1.7728414494615108</v>
      </c>
      <c r="F13" s="139" t="s">
        <v>155</v>
      </c>
      <c r="G13" s="139"/>
      <c r="H13" s="142"/>
      <c r="I13" s="146" t="s">
        <v>156</v>
      </c>
      <c r="J13" s="143">
        <f>PI()*51*51/1000000</f>
        <v>8.171282491987052E-3</v>
      </c>
      <c r="K13" s="144">
        <v>0.08</v>
      </c>
      <c r="L13" s="145">
        <v>2712</v>
      </c>
      <c r="M13" s="145">
        <v>1</v>
      </c>
      <c r="N13" s="140">
        <f>D13*J13*K13*L13*M13</f>
        <v>7.4459340877383466</v>
      </c>
      <c r="O13" s="54"/>
    </row>
    <row r="14" spans="1:15" s="17" customFormat="1" x14ac:dyDescent="0.25">
      <c r="A14" s="138">
        <v>40</v>
      </c>
      <c r="B14" s="139" t="s">
        <v>157</v>
      </c>
      <c r="C14" s="139"/>
      <c r="D14" s="140">
        <v>0.05</v>
      </c>
      <c r="E14" s="139"/>
      <c r="F14" s="139" t="s">
        <v>35</v>
      </c>
      <c r="G14" s="139"/>
      <c r="H14" s="142"/>
      <c r="I14" s="146"/>
      <c r="J14" s="147"/>
      <c r="K14" s="144"/>
      <c r="L14" s="145"/>
      <c r="M14" s="145">
        <v>2</v>
      </c>
      <c r="N14" s="140">
        <f>M14*D14</f>
        <v>0.1</v>
      </c>
      <c r="O14" s="54"/>
    </row>
    <row r="15" spans="1:15" s="17" customFormat="1" x14ac:dyDescent="0.25">
      <c r="A15" s="128"/>
      <c r="B15" s="129"/>
      <c r="C15" s="130"/>
      <c r="D15" s="131"/>
      <c r="E15" s="130"/>
      <c r="F15" s="130"/>
      <c r="G15" s="130"/>
      <c r="H15" s="132"/>
      <c r="I15" s="133"/>
      <c r="J15" s="134"/>
      <c r="K15" s="135"/>
      <c r="L15" s="136"/>
      <c r="M15" s="18"/>
      <c r="N15" s="137"/>
      <c r="O15" s="54"/>
    </row>
    <row r="16" spans="1:15" x14ac:dyDescent="0.25">
      <c r="A16" s="5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4" t="s">
        <v>18</v>
      </c>
      <c r="N16" s="105">
        <f>SUM(N11:N11)</f>
        <v>8.0043791443187207</v>
      </c>
      <c r="O16" s="51"/>
    </row>
    <row r="17" spans="1:15" x14ac:dyDescent="0.25">
      <c r="A17" s="52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</row>
    <row r="18" spans="1:15" x14ac:dyDescent="0.25">
      <c r="A18" s="109" t="s">
        <v>14</v>
      </c>
      <c r="B18" s="108" t="s">
        <v>31</v>
      </c>
      <c r="C18" s="108" t="s">
        <v>20</v>
      </c>
      <c r="D18" s="108" t="s">
        <v>21</v>
      </c>
      <c r="E18" s="108" t="s">
        <v>32</v>
      </c>
      <c r="F18" s="108" t="s">
        <v>17</v>
      </c>
      <c r="G18" s="108" t="s">
        <v>33</v>
      </c>
      <c r="H18" s="108" t="s">
        <v>34</v>
      </c>
      <c r="I18" s="108" t="s">
        <v>18</v>
      </c>
      <c r="J18" s="19"/>
      <c r="K18" s="19"/>
      <c r="L18" s="19"/>
      <c r="M18" s="19"/>
      <c r="N18" s="19"/>
      <c r="O18" s="51"/>
    </row>
    <row r="19" spans="1:15" s="20" customFormat="1" x14ac:dyDescent="0.25">
      <c r="A19" s="138">
        <v>10</v>
      </c>
      <c r="B19" s="148" t="s">
        <v>43</v>
      </c>
      <c r="C19" s="139" t="s">
        <v>160</v>
      </c>
      <c r="D19" s="140">
        <v>1.3</v>
      </c>
      <c r="E19" s="139" t="s">
        <v>35</v>
      </c>
      <c r="F19" s="139">
        <v>1</v>
      </c>
      <c r="G19" s="139"/>
      <c r="H19" s="139">
        <v>1</v>
      </c>
      <c r="I19" s="149">
        <f t="shared" ref="I19:I32" si="0">H19*F19*D19</f>
        <v>1.3</v>
      </c>
      <c r="J19" s="47"/>
      <c r="K19" s="47"/>
      <c r="L19" s="47"/>
      <c r="M19" s="47"/>
      <c r="N19" s="47"/>
      <c r="O19" s="56"/>
    </row>
    <row r="20" spans="1:15" s="20" customFormat="1" x14ac:dyDescent="0.25">
      <c r="A20" s="138">
        <v>20</v>
      </c>
      <c r="B20" s="148" t="s">
        <v>161</v>
      </c>
      <c r="C20" s="139" t="s">
        <v>161</v>
      </c>
      <c r="D20" s="140">
        <v>0.04</v>
      </c>
      <c r="E20" s="139" t="s">
        <v>162</v>
      </c>
      <c r="F20" s="139">
        <v>623</v>
      </c>
      <c r="G20" s="139" t="s">
        <v>163</v>
      </c>
      <c r="H20" s="139">
        <v>1</v>
      </c>
      <c r="I20" s="149">
        <f t="shared" si="0"/>
        <v>24.92</v>
      </c>
      <c r="J20" s="47"/>
      <c r="K20" s="47"/>
      <c r="L20" s="47"/>
      <c r="M20" s="47"/>
      <c r="N20" s="47"/>
      <c r="O20" s="56"/>
    </row>
    <row r="21" spans="1:15" s="20" customFormat="1" x14ac:dyDescent="0.25">
      <c r="A21" s="138">
        <v>30</v>
      </c>
      <c r="B21" s="148" t="s">
        <v>164</v>
      </c>
      <c r="C21" s="139" t="s">
        <v>165</v>
      </c>
      <c r="D21" s="140">
        <v>0.35</v>
      </c>
      <c r="E21" s="139" t="s">
        <v>166</v>
      </c>
      <c r="F21" s="139">
        <v>24</v>
      </c>
      <c r="G21" s="139"/>
      <c r="H21" s="139">
        <v>1</v>
      </c>
      <c r="I21" s="149">
        <f t="shared" si="0"/>
        <v>8.3999999999999986</v>
      </c>
      <c r="J21" s="47"/>
      <c r="K21" s="47"/>
      <c r="L21" s="47"/>
      <c r="M21" s="47"/>
      <c r="N21" s="47"/>
      <c r="O21" s="56"/>
    </row>
    <row r="22" spans="1:15" s="20" customFormat="1" x14ac:dyDescent="0.25">
      <c r="A22" s="138">
        <v>40</v>
      </c>
      <c r="B22" s="148" t="s">
        <v>164</v>
      </c>
      <c r="C22" s="139" t="s">
        <v>167</v>
      </c>
      <c r="D22" s="140">
        <v>0.35</v>
      </c>
      <c r="E22" s="139" t="s">
        <v>166</v>
      </c>
      <c r="F22" s="139">
        <v>3</v>
      </c>
      <c r="G22" s="139"/>
      <c r="H22" s="139">
        <v>1</v>
      </c>
      <c r="I22" s="149">
        <f t="shared" si="0"/>
        <v>1.0499999999999998</v>
      </c>
      <c r="J22" s="47"/>
      <c r="K22" s="47"/>
      <c r="L22" s="47"/>
      <c r="M22" s="47"/>
      <c r="N22" s="47"/>
      <c r="O22" s="56"/>
    </row>
    <row r="23" spans="1:15" s="20" customFormat="1" x14ac:dyDescent="0.25">
      <c r="A23" s="138">
        <v>50</v>
      </c>
      <c r="B23" s="148" t="s">
        <v>43</v>
      </c>
      <c r="C23" s="139" t="s">
        <v>160</v>
      </c>
      <c r="D23" s="140">
        <v>1.3</v>
      </c>
      <c r="E23" s="139" t="s">
        <v>35</v>
      </c>
      <c r="F23" s="139">
        <v>1</v>
      </c>
      <c r="G23" s="139"/>
      <c r="H23" s="139">
        <v>1</v>
      </c>
      <c r="I23" s="149">
        <f t="shared" si="0"/>
        <v>1.3</v>
      </c>
      <c r="J23" s="47"/>
      <c r="K23" s="47"/>
      <c r="L23" s="47"/>
      <c r="M23" s="47"/>
      <c r="N23" s="47"/>
      <c r="O23" s="56"/>
    </row>
    <row r="24" spans="1:15" s="20" customFormat="1" x14ac:dyDescent="0.25">
      <c r="A24" s="138">
        <v>60</v>
      </c>
      <c r="B24" s="148" t="s">
        <v>161</v>
      </c>
      <c r="C24" s="139" t="s">
        <v>161</v>
      </c>
      <c r="D24" s="140">
        <v>0.04</v>
      </c>
      <c r="E24" s="139" t="s">
        <v>162</v>
      </c>
      <c r="F24" s="139">
        <v>426</v>
      </c>
      <c r="G24" s="139" t="s">
        <v>163</v>
      </c>
      <c r="H24" s="139">
        <v>1</v>
      </c>
      <c r="I24" s="149">
        <f t="shared" si="0"/>
        <v>17.04</v>
      </c>
      <c r="J24" s="47"/>
      <c r="K24" s="47"/>
      <c r="L24" s="47"/>
      <c r="M24" s="47"/>
      <c r="N24" s="47"/>
      <c r="O24" s="56"/>
    </row>
    <row r="25" spans="1:15" s="20" customFormat="1" x14ac:dyDescent="0.25">
      <c r="A25" s="138">
        <v>70</v>
      </c>
      <c r="B25" s="150" t="s">
        <v>168</v>
      </c>
      <c r="C25" s="139" t="s">
        <v>169</v>
      </c>
      <c r="D25" s="140">
        <v>0.35</v>
      </c>
      <c r="E25" s="139" t="s">
        <v>166</v>
      </c>
      <c r="F25" s="139">
        <v>12</v>
      </c>
      <c r="G25" s="139"/>
      <c r="H25" s="139">
        <v>1</v>
      </c>
      <c r="I25" s="149">
        <f t="shared" si="0"/>
        <v>4.1999999999999993</v>
      </c>
      <c r="J25" s="47"/>
      <c r="K25" s="47"/>
      <c r="L25" s="47"/>
      <c r="M25" s="47"/>
      <c r="N25" s="47"/>
      <c r="O25" s="56"/>
    </row>
    <row r="26" spans="1:15" s="20" customFormat="1" x14ac:dyDescent="0.25">
      <c r="A26" s="138">
        <v>80</v>
      </c>
      <c r="B26" s="150" t="s">
        <v>170</v>
      </c>
      <c r="C26" s="139" t="s">
        <v>171</v>
      </c>
      <c r="D26" s="140">
        <v>0.5</v>
      </c>
      <c r="E26" s="139" t="s">
        <v>45</v>
      </c>
      <c r="F26" s="139">
        <v>3.5</v>
      </c>
      <c r="G26" s="139"/>
      <c r="H26" s="139">
        <v>1</v>
      </c>
      <c r="I26" s="149">
        <f t="shared" si="0"/>
        <v>1.75</v>
      </c>
      <c r="J26" s="47"/>
      <c r="K26" s="47"/>
      <c r="L26" s="47"/>
      <c r="M26" s="47"/>
      <c r="N26" s="47"/>
      <c r="O26" s="56"/>
    </row>
    <row r="27" spans="1:15" s="20" customFormat="1" x14ac:dyDescent="0.25">
      <c r="A27" s="138">
        <v>90</v>
      </c>
      <c r="B27" s="148" t="s">
        <v>43</v>
      </c>
      <c r="C27" s="139" t="s">
        <v>160</v>
      </c>
      <c r="D27" s="140">
        <v>1.3</v>
      </c>
      <c r="E27" s="139" t="s">
        <v>35</v>
      </c>
      <c r="F27" s="139">
        <v>1</v>
      </c>
      <c r="G27" s="139"/>
      <c r="H27" s="139">
        <v>1</v>
      </c>
      <c r="I27" s="149">
        <f t="shared" si="0"/>
        <v>1.3</v>
      </c>
      <c r="J27" s="47"/>
      <c r="K27" s="47"/>
      <c r="L27" s="47"/>
      <c r="M27" s="47"/>
      <c r="N27" s="47"/>
      <c r="O27" s="56"/>
    </row>
    <row r="28" spans="1:15" s="20" customFormat="1" x14ac:dyDescent="0.25">
      <c r="A28" s="138">
        <v>100</v>
      </c>
      <c r="B28" s="148" t="s">
        <v>161</v>
      </c>
      <c r="C28" s="139" t="s">
        <v>161</v>
      </c>
      <c r="D28" s="140">
        <v>0.04</v>
      </c>
      <c r="E28" s="139" t="s">
        <v>162</v>
      </c>
      <c r="F28" s="139">
        <v>538</v>
      </c>
      <c r="G28" s="139" t="s">
        <v>163</v>
      </c>
      <c r="H28" s="139">
        <v>1</v>
      </c>
      <c r="I28" s="149">
        <f t="shared" si="0"/>
        <v>21.52</v>
      </c>
      <c r="J28" s="47"/>
      <c r="K28" s="47"/>
      <c r="L28" s="47"/>
      <c r="M28" s="47"/>
      <c r="N28" s="47"/>
      <c r="O28" s="56"/>
    </row>
    <row r="29" spans="1:15" s="20" customFormat="1" x14ac:dyDescent="0.25">
      <c r="A29" s="138">
        <v>110</v>
      </c>
      <c r="B29" s="150" t="s">
        <v>168</v>
      </c>
      <c r="C29" s="139" t="s">
        <v>172</v>
      </c>
      <c r="D29" s="140">
        <v>0.35</v>
      </c>
      <c r="E29" s="139" t="s">
        <v>166</v>
      </c>
      <c r="F29" s="139">
        <v>12</v>
      </c>
      <c r="G29" s="139"/>
      <c r="H29" s="139">
        <v>1</v>
      </c>
      <c r="I29" s="149">
        <f t="shared" si="0"/>
        <v>4.1999999999999993</v>
      </c>
      <c r="J29" s="47"/>
      <c r="K29" s="47"/>
      <c r="L29" s="47"/>
      <c r="M29" s="47"/>
      <c r="N29" s="47"/>
      <c r="O29" s="56"/>
    </row>
    <row r="30" spans="1:15" s="20" customFormat="1" x14ac:dyDescent="0.25">
      <c r="A30" s="138">
        <v>120</v>
      </c>
      <c r="B30" s="150" t="s">
        <v>173</v>
      </c>
      <c r="C30" s="139" t="s">
        <v>174</v>
      </c>
      <c r="D30" s="140">
        <v>0.13</v>
      </c>
      <c r="E30" s="139" t="s">
        <v>35</v>
      </c>
      <c r="F30" s="139">
        <v>2</v>
      </c>
      <c r="G30" s="139"/>
      <c r="H30" s="139">
        <v>1</v>
      </c>
      <c r="I30" s="149">
        <f t="shared" si="0"/>
        <v>0.26</v>
      </c>
      <c r="J30" s="47"/>
      <c r="K30" s="47"/>
      <c r="L30" s="47"/>
      <c r="M30" s="47"/>
      <c r="N30" s="47"/>
      <c r="O30" s="56"/>
    </row>
    <row r="31" spans="1:15" x14ac:dyDescent="0.25">
      <c r="A31" s="138">
        <v>130</v>
      </c>
      <c r="B31" s="150" t="s">
        <v>175</v>
      </c>
      <c r="C31" s="139" t="s">
        <v>174</v>
      </c>
      <c r="D31" s="140">
        <v>0.5</v>
      </c>
      <c r="E31" s="139" t="s">
        <v>35</v>
      </c>
      <c r="F31" s="139">
        <v>24</v>
      </c>
      <c r="G31" s="139"/>
      <c r="H31" s="139">
        <v>1</v>
      </c>
      <c r="I31" s="149">
        <f t="shared" si="0"/>
        <v>12</v>
      </c>
      <c r="J31" s="45"/>
      <c r="L31" s="45"/>
      <c r="M31" s="45"/>
      <c r="N31" s="45"/>
      <c r="O31" s="51"/>
    </row>
    <row r="32" spans="1:15" s="16" customFormat="1" x14ac:dyDescent="0.25">
      <c r="A32" s="138">
        <v>140</v>
      </c>
      <c r="B32" s="150" t="s">
        <v>176</v>
      </c>
      <c r="C32" s="139" t="s">
        <v>177</v>
      </c>
      <c r="D32" s="140">
        <v>0.75</v>
      </c>
      <c r="E32" s="139" t="s">
        <v>35</v>
      </c>
      <c r="F32" s="139">
        <v>3</v>
      </c>
      <c r="G32" s="139"/>
      <c r="H32" s="139">
        <v>1</v>
      </c>
      <c r="I32" s="149">
        <f t="shared" si="0"/>
        <v>2.25</v>
      </c>
      <c r="J32" s="46"/>
      <c r="K32" s="46"/>
      <c r="L32" s="46"/>
      <c r="M32" s="46"/>
      <c r="N32" s="46"/>
      <c r="O32" s="53"/>
    </row>
    <row r="33" spans="1:15" x14ac:dyDescent="0.25">
      <c r="A33" s="55"/>
      <c r="B33" s="19"/>
      <c r="C33" s="19"/>
      <c r="D33" s="19"/>
      <c r="E33" s="19"/>
      <c r="F33" s="19"/>
      <c r="G33" s="19"/>
      <c r="H33" s="110" t="s">
        <v>18</v>
      </c>
      <c r="I33" s="105">
        <f>SUM(I19:I32)</f>
        <v>101.49</v>
      </c>
      <c r="J33" s="19"/>
      <c r="K33" s="19"/>
      <c r="L33" s="19"/>
      <c r="M33" s="19"/>
      <c r="N33" s="19"/>
      <c r="O33" s="51"/>
    </row>
    <row r="34" spans="1:15" x14ac:dyDescent="0.25">
      <c r="A34" s="52"/>
      <c r="B34" s="45"/>
      <c r="C34" s="45"/>
      <c r="D34" s="45"/>
      <c r="E34" s="45"/>
      <c r="F34" s="45"/>
      <c r="G34" s="45"/>
      <c r="H34" s="45"/>
      <c r="I34" s="46"/>
      <c r="J34" s="45"/>
      <c r="K34" s="45"/>
      <c r="L34" s="45"/>
      <c r="M34" s="45"/>
      <c r="N34" s="45"/>
      <c r="O34" s="51"/>
    </row>
    <row r="35" spans="1:15" x14ac:dyDescent="0.25">
      <c r="A35" s="109" t="s">
        <v>14</v>
      </c>
      <c r="B35" s="108" t="s">
        <v>36</v>
      </c>
      <c r="C35" s="108" t="s">
        <v>20</v>
      </c>
      <c r="D35" s="108" t="s">
        <v>21</v>
      </c>
      <c r="E35" s="108" t="s">
        <v>22</v>
      </c>
      <c r="F35" s="108" t="s">
        <v>23</v>
      </c>
      <c r="G35" s="108" t="s">
        <v>24</v>
      </c>
      <c r="H35" s="108" t="s">
        <v>25</v>
      </c>
      <c r="I35" s="108" t="s">
        <v>17</v>
      </c>
      <c r="J35" s="108" t="s">
        <v>18</v>
      </c>
      <c r="K35" s="45"/>
      <c r="L35" s="45"/>
      <c r="M35" s="45"/>
      <c r="N35" s="45"/>
      <c r="O35" s="51"/>
    </row>
    <row r="36" spans="1:15" x14ac:dyDescent="0.25">
      <c r="A36" s="148">
        <v>10</v>
      </c>
      <c r="B36" s="125" t="s">
        <v>178</v>
      </c>
      <c r="C36" s="148" t="s">
        <v>179</v>
      </c>
      <c r="D36" s="151">
        <f>1.25/105154*E36*E36*G36*SQRT(G36)+0.005*EXP(0.319*E36)</f>
        <v>5.6317842209943889E-2</v>
      </c>
      <c r="E36" s="148">
        <v>6</v>
      </c>
      <c r="F36" s="152" t="s">
        <v>30</v>
      </c>
      <c r="G36" s="148">
        <v>14</v>
      </c>
      <c r="H36" s="148" t="s">
        <v>30</v>
      </c>
      <c r="I36" s="153">
        <v>24</v>
      </c>
      <c r="J36" s="154">
        <f>I36*D36</f>
        <v>1.3516282130386532</v>
      </c>
      <c r="K36" s="45"/>
      <c r="L36" s="45"/>
      <c r="M36" s="45"/>
      <c r="N36" s="45"/>
      <c r="O36" s="51"/>
    </row>
    <row r="37" spans="1:15" x14ac:dyDescent="0.25">
      <c r="A37" s="148">
        <v>20</v>
      </c>
      <c r="B37" s="125" t="s">
        <v>180</v>
      </c>
      <c r="C37" s="148"/>
      <c r="D37" s="151">
        <v>0.02</v>
      </c>
      <c r="E37" s="148"/>
      <c r="F37" s="152" t="s">
        <v>35</v>
      </c>
      <c r="G37" s="148"/>
      <c r="H37" s="148"/>
      <c r="I37" s="153">
        <v>24</v>
      </c>
      <c r="J37" s="154">
        <f>I37*D37</f>
        <v>0.48</v>
      </c>
      <c r="K37" s="45"/>
      <c r="L37" s="45"/>
      <c r="M37" s="45"/>
      <c r="N37" s="45"/>
      <c r="O37" s="51"/>
    </row>
    <row r="38" spans="1:15" x14ac:dyDescent="0.25">
      <c r="A38" s="148">
        <v>30</v>
      </c>
      <c r="B38" s="125" t="s">
        <v>181</v>
      </c>
      <c r="C38" s="148"/>
      <c r="D38" s="151">
        <f>1/105154*E38*E38*G38*SQRT(G38)+0.004*EXP(0.319*E38)</f>
        <v>6.5102725326469366E-2</v>
      </c>
      <c r="E38" s="148">
        <v>8</v>
      </c>
      <c r="F38" s="152" t="s">
        <v>30</v>
      </c>
      <c r="G38" s="148">
        <v>8</v>
      </c>
      <c r="H38" s="148" t="s">
        <v>30</v>
      </c>
      <c r="I38" s="153">
        <v>3</v>
      </c>
      <c r="J38" s="154">
        <f>I38*D38</f>
        <v>0.19530817597940808</v>
      </c>
      <c r="K38" s="45"/>
      <c r="L38" s="45"/>
      <c r="M38" s="45"/>
      <c r="N38" s="45"/>
      <c r="O38" s="51"/>
    </row>
    <row r="39" spans="1:15" x14ac:dyDescent="0.25">
      <c r="A39" s="148">
        <v>40</v>
      </c>
      <c r="B39" s="125" t="s">
        <v>182</v>
      </c>
      <c r="C39" s="148"/>
      <c r="D39" s="151">
        <v>0.33600000000000002</v>
      </c>
      <c r="E39" s="148">
        <v>8</v>
      </c>
      <c r="F39" s="152" t="s">
        <v>30</v>
      </c>
      <c r="G39" s="148"/>
      <c r="H39" s="148"/>
      <c r="I39" s="153">
        <v>3</v>
      </c>
      <c r="J39" s="154">
        <f>I39*D39</f>
        <v>1.008</v>
      </c>
      <c r="K39" s="45"/>
      <c r="L39" s="45"/>
      <c r="M39" s="45"/>
      <c r="N39" s="45"/>
      <c r="O39" s="51"/>
    </row>
    <row r="40" spans="1:15" x14ac:dyDescent="0.25">
      <c r="A40" s="55"/>
      <c r="B40" s="19"/>
      <c r="C40" s="19"/>
      <c r="D40" s="19"/>
      <c r="E40" s="19"/>
      <c r="F40" s="19"/>
      <c r="G40" s="19"/>
      <c r="H40" s="19"/>
      <c r="I40" s="110" t="s">
        <v>18</v>
      </c>
      <c r="J40" s="105">
        <f>SUM(J36:J39)</f>
        <v>3.0349363890180614</v>
      </c>
      <c r="K40" s="45"/>
      <c r="L40" s="45"/>
      <c r="M40" s="45"/>
      <c r="N40" s="45"/>
      <c r="O40" s="51"/>
    </row>
    <row r="41" spans="1:15" ht="15.75" thickBot="1" x14ac:dyDescent="0.3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</row>
  </sheetData>
  <hyperlinks>
    <hyperlink ref="B4" location="EN_A0900!A1" display="Differential" xr:uid="{6CB8330E-FA96-4AEF-AF47-83214EE548D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1" max="16383" man="1"/>
    <brk id="7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AAA1-2CA2-4999-A56B-F4E826ADD4A0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EN_0900_002_m+EN_0900_002_p</f>
        <v>10.904564699673662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139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10.904564699673662</v>
      </c>
      <c r="O5" s="163"/>
    </row>
    <row r="6" spans="1:15" x14ac:dyDescent="0.25">
      <c r="A6" s="182" t="s">
        <v>7</v>
      </c>
      <c r="B6" s="175" t="s">
        <v>211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0.78556506050717001</v>
      </c>
      <c r="F11" s="139" t="s">
        <v>155</v>
      </c>
      <c r="G11" s="139"/>
      <c r="H11" s="142"/>
      <c r="I11" s="143" t="s">
        <v>217</v>
      </c>
      <c r="J11" s="143">
        <f>PI()*87.5*87.5/1000000</f>
        <v>2.4052818754046849E-2</v>
      </c>
      <c r="K11" s="144">
        <v>2.3E-2</v>
      </c>
      <c r="L11" s="145">
        <v>1420</v>
      </c>
      <c r="M11" s="145">
        <v>1</v>
      </c>
      <c r="N11" s="140">
        <f>E11*D11</f>
        <v>2.5923646996736607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2.5923646996736607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350.61</v>
      </c>
      <c r="G17" s="200" t="s">
        <v>220</v>
      </c>
      <c r="H17" s="204">
        <v>0.5</v>
      </c>
      <c r="I17" s="199">
        <f>IF(H17="",D17*F17,D17*F17*H17)</f>
        <v>7.0122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8.3122000000000007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177"/>
      <c r="D20" s="177"/>
      <c r="E20" s="178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2 Drawing'!A1" display="FileLink1" xr:uid="{ECDC8661-0D3F-4C07-AD93-18900582CBCA}"/>
    <hyperlink ref="B4" location="EN_A0900!A1" display="Differential" xr:uid="{606CCB03-2F4A-462D-B9DA-17F06C3B5AE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P21" sqref="P21"/>
    </sheetView>
  </sheetViews>
  <sheetFormatPr baseColWidth="10" defaultRowHeight="15" x14ac:dyDescent="0.25"/>
  <cols>
    <col min="1" max="1" width="14" customWidth="1"/>
  </cols>
  <sheetData>
    <row r="1" spans="1:2" x14ac:dyDescent="0.25">
      <c r="A1" s="66" t="s">
        <v>211</v>
      </c>
      <c r="B1" s="66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CB35-5E4D-477D-B0C4-98B12375369F}">
  <sheetPr>
    <tabColor theme="6" tint="0.39997558519241921"/>
  </sheetPr>
  <dimension ref="A1:P31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EN_0900_003_m+EN_0900_003_p</f>
        <v>8.5389646196590014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138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8.5389646196590014</v>
      </c>
      <c r="O5" s="163"/>
    </row>
    <row r="6" spans="1:15" x14ac:dyDescent="0.25">
      <c r="A6" s="182" t="s">
        <v>7</v>
      </c>
      <c r="B6" s="175" t="s">
        <v>221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0.60726200595727309</v>
      </c>
      <c r="F11" s="139" t="s">
        <v>155</v>
      </c>
      <c r="G11" s="139"/>
      <c r="H11" s="142"/>
      <c r="I11" s="143" t="s">
        <v>222</v>
      </c>
      <c r="J11" s="143">
        <f>PI()*82.5*82.5/1000000</f>
        <v>2.138246499849553E-2</v>
      </c>
      <c r="K11" s="144">
        <v>0.02</v>
      </c>
      <c r="L11" s="145">
        <v>1420</v>
      </c>
      <c r="M11" s="145">
        <v>1</v>
      </c>
      <c r="N11" s="140">
        <f>E11*D11</f>
        <v>2.0039646196590013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2.0039646196590013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6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261.75</v>
      </c>
      <c r="G17" s="200" t="s">
        <v>220</v>
      </c>
      <c r="H17" s="204">
        <v>0.5</v>
      </c>
      <c r="I17" s="199">
        <f>IF(H17="",D17*F17,D17*F17*H17)</f>
        <v>5.2350000000000003</v>
      </c>
      <c r="J17" s="47"/>
      <c r="K17" s="47"/>
      <c r="L17" s="47"/>
      <c r="M17" s="47"/>
      <c r="N17" s="47"/>
      <c r="O17" s="169"/>
    </row>
    <row r="18" spans="1:16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6.5350000000000001</v>
      </c>
      <c r="J18" s="19"/>
      <c r="K18" s="19"/>
      <c r="L18" s="19"/>
      <c r="M18" s="19"/>
      <c r="N18" s="19"/>
      <c r="O18" s="163"/>
    </row>
    <row r="19" spans="1:16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6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6" x14ac:dyDescent="0.25">
      <c r="A21" s="164"/>
      <c r="B21" s="45"/>
      <c r="C21" s="45"/>
      <c r="D21" s="45"/>
      <c r="E21" s="177"/>
      <c r="F21" s="45"/>
      <c r="G21" s="177"/>
      <c r="H21" s="178"/>
      <c r="I21" s="45"/>
      <c r="J21" s="45"/>
      <c r="K21" s="45"/>
      <c r="L21" s="45"/>
      <c r="M21" s="45"/>
      <c r="N21" s="45"/>
      <c r="O21" s="163"/>
    </row>
    <row r="22" spans="1:16" x14ac:dyDescent="0.25">
      <c r="A22" s="164"/>
      <c r="B22" s="45"/>
      <c r="C22" s="45"/>
      <c r="D22" s="45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6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6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6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6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  <c r="P26" s="45"/>
    </row>
    <row r="27" spans="1:16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  <c r="P27" s="45"/>
    </row>
    <row r="28" spans="1:16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</row>
    <row r="29" spans="1:16" x14ac:dyDescent="0.25">
      <c r="A29" s="16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</row>
    <row r="30" spans="1:16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</row>
    <row r="31" spans="1:16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</sheetData>
  <hyperlinks>
    <hyperlink ref="D3" location="'EN_0900_003 Drawing'!A1" display="FileLink1" xr:uid="{59C5B32C-7553-42F4-AFEA-29C9E3DD5D96}"/>
    <hyperlink ref="B4" location="EN_A0900!A1" display="Differential" xr:uid="{1B866F73-6B2A-4890-8043-8FCD8402A00D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229-419E-4C21-8D70-722F177075CC}">
  <sheetPr>
    <tabColor theme="6" tint="0.39997558519241921"/>
  </sheetPr>
  <dimension ref="A1"/>
  <sheetViews>
    <sheetView topLeftCell="A13" workbookViewId="0">
      <selection activeCell="O10" sqref="O10"/>
    </sheetView>
  </sheetViews>
  <sheetFormatPr baseColWidth="10" defaultRowHeight="15" x14ac:dyDescent="0.25"/>
  <sheetData>
    <row r="1" spans="1:1" x14ac:dyDescent="0.25">
      <c r="A1" s="66" t="s">
        <v>221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3489-9D64-49E7-BB99-1CCB29392CF5}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6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EN_0900_004_m+EN_0900_004_p</f>
        <v>23.956417471999998</v>
      </c>
      <c r="O2" s="163"/>
    </row>
    <row r="3" spans="1:16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6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6" x14ac:dyDescent="0.25">
      <c r="A5" s="182" t="s">
        <v>15</v>
      </c>
      <c r="B5" s="45" t="s">
        <v>224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23.956417471999998</v>
      </c>
      <c r="O5" s="163"/>
    </row>
    <row r="6" spans="1:16" x14ac:dyDescent="0.25">
      <c r="A6" s="182" t="s">
        <v>7</v>
      </c>
      <c r="B6" s="175" t="s">
        <v>223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6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  <c r="P7">
        <f>341.663+32</f>
        <v>373.66300000000001</v>
      </c>
    </row>
    <row r="8" spans="1:16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6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6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6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1.8460041599999997</v>
      </c>
      <c r="F11" s="197" t="s">
        <v>155</v>
      </c>
      <c r="G11" s="197"/>
      <c r="H11" s="210"/>
      <c r="I11" s="211" t="s">
        <v>226</v>
      </c>
      <c r="J11" s="212">
        <f>374*130/1000000</f>
        <v>4.8619999999999997E-2</v>
      </c>
      <c r="K11" s="213">
        <f>14/1000</f>
        <v>1.4E-2</v>
      </c>
      <c r="L11" s="214">
        <v>2712</v>
      </c>
      <c r="M11" s="214">
        <v>1</v>
      </c>
      <c r="N11" s="215">
        <f>IF(J11="",D11*M11,D11*J11*K11*L11*M11)</f>
        <v>7.7532174719999993</v>
      </c>
      <c r="O11" s="167"/>
    </row>
    <row r="12" spans="1:16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6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7.7532174719999993</v>
      </c>
      <c r="O13" s="163"/>
    </row>
    <row r="14" spans="1:16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6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6" ht="45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372.58</v>
      </c>
      <c r="G17" s="194" t="s">
        <v>229</v>
      </c>
      <c r="H17" s="204">
        <v>1</v>
      </c>
      <c r="I17" s="215">
        <f>IF(H17="",D17*F17,D17*F17*H17)</f>
        <v>14.9032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16.203199999999999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177"/>
      <c r="G21" s="178"/>
      <c r="H21" s="178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177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4 Drawing'!A1" display="FileLink1" xr:uid="{6A68EED4-513C-421E-A1FD-224DD9A14C59}"/>
    <hyperlink ref="B4" location="EN_A0900!A1" display="Differential" xr:uid="{0AE4B8F9-86C3-4AB7-AB62-0DE605A214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102</vt:i4>
      </vt:variant>
    </vt:vector>
  </HeadingPairs>
  <TitlesOfParts>
    <vt:vector size="140" baseType="lpstr">
      <vt:lpstr>Instructions</vt:lpstr>
      <vt:lpstr>BOM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EN_0900_005 Drawing</vt:lpstr>
      <vt:lpstr>EN_0900_006</vt:lpstr>
      <vt:lpstr>EN_0900_006 Drawing</vt:lpstr>
      <vt:lpstr>EN_0900_007</vt:lpstr>
      <vt:lpstr>EN_0900_007 Drawing</vt:lpstr>
      <vt:lpstr>EN_0900_008</vt:lpstr>
      <vt:lpstr>EN_0900_008 Drawing</vt:lpstr>
      <vt:lpstr>EN_0900_009</vt:lpstr>
      <vt:lpstr>EN_0900_009 Drawing</vt:lpstr>
      <vt:lpstr>EN_A1000</vt:lpstr>
      <vt:lpstr>EN_1000_001</vt:lpstr>
      <vt:lpstr>EN_1000_002</vt:lpstr>
      <vt:lpstr>EN_1000_003</vt:lpstr>
      <vt:lpstr>EN_1000_003 Drawing</vt:lpstr>
      <vt:lpstr>EN_1000_004</vt:lpstr>
      <vt:lpstr>EN_1000_004 Drawing</vt:lpstr>
      <vt:lpstr>EN_A1100</vt:lpstr>
      <vt:lpstr>EN_1100_001</vt:lpstr>
      <vt:lpstr>EN_1100_002</vt:lpstr>
      <vt:lpstr>EN_1100_003</vt:lpstr>
      <vt:lpstr>EN_1100_003 Drawing</vt:lpstr>
      <vt:lpstr>EN_1100_004</vt:lpstr>
      <vt:lpstr>EN_1100_004 Drawing</vt:lpstr>
      <vt:lpstr>EN_1100_005</vt:lpstr>
      <vt:lpstr>EN_1100_005 Drawing</vt:lpstr>
      <vt:lpstr>EN_1100_006</vt:lpstr>
      <vt:lpstr>EN_1100_006 Drawing</vt:lpstr>
      <vt:lpstr>BOM!Car</vt:lpstr>
      <vt:lpstr>BOM!CompCode</vt:lpstr>
      <vt:lpstr>dBR_01001</vt:lpstr>
      <vt:lpstr>dEL_01001</vt:lpstr>
      <vt:lpstr>EN_0900_001</vt:lpstr>
      <vt:lpstr>EN_0900_001_f</vt:lpstr>
      <vt:lpstr>EN_0900_001_m</vt:lpstr>
      <vt:lpstr>EN_0900_001_p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EN_1100_001</vt:lpstr>
      <vt:lpstr>EN_1100_001_m</vt:lpstr>
      <vt:lpstr>EN_1100_001_p</vt:lpstr>
      <vt:lpstr>EN_1100_001_q</vt:lpstr>
      <vt:lpstr>EN_1100_002</vt:lpstr>
      <vt:lpstr>EN_1100_002_m</vt:lpstr>
      <vt:lpstr>EN_1100_002_p</vt:lpstr>
      <vt:lpstr>EN_1100_002_q</vt:lpstr>
      <vt:lpstr>EN_1100_003</vt:lpstr>
      <vt:lpstr>EN_1100_003_m</vt:lpstr>
      <vt:lpstr>EN_1100_003_p</vt:lpstr>
      <vt:lpstr>EN_1100_003_q</vt:lpstr>
      <vt:lpstr>EN_1100_004</vt:lpstr>
      <vt:lpstr>EN_1100_004_m</vt:lpstr>
      <vt:lpstr>EN_1100_004_p</vt:lpstr>
      <vt:lpstr>EN_1100_004_q</vt:lpstr>
      <vt:lpstr>EN_1100_005</vt:lpstr>
      <vt:lpstr>EN_1100_005_m</vt:lpstr>
      <vt:lpstr>EN_1100_005_p</vt:lpstr>
      <vt:lpstr>EN_1100_005_q</vt:lpstr>
      <vt:lpstr>EN_1100_006</vt:lpstr>
      <vt:lpstr>EN_1100_006_m</vt:lpstr>
      <vt:lpstr>EN_1100_006_p</vt:lpstr>
      <vt:lpstr>EN_1100_006_q</vt:lpstr>
      <vt:lpstr>EN_A0900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EN_A1000_f</vt:lpstr>
      <vt:lpstr>EN_A1000_m</vt:lpstr>
      <vt:lpstr>EN_A1000_p</vt:lpstr>
      <vt:lpstr>EN_A1000_pa</vt:lpstr>
      <vt:lpstr>EN_A1100</vt:lpstr>
      <vt:lpstr>EN_A1100_f</vt:lpstr>
      <vt:lpstr>EN_A1100_m</vt:lpstr>
      <vt:lpstr>EN_A1100_p</vt:lpstr>
      <vt:lpstr>EN_A1100_pa</vt:lpstr>
      <vt:lpstr>EN_A1100_q</vt:lpstr>
      <vt:lpstr>EN_A1100_t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Adrien de la Salle</cp:lastModifiedBy>
  <cp:revision>0</cp:revision>
  <dcterms:created xsi:type="dcterms:W3CDTF">2015-05-29T18:57:13Z</dcterms:created>
  <dcterms:modified xsi:type="dcterms:W3CDTF">2018-04-01T15:57:01Z</dcterms:modified>
  <dc:language>fr-FR</dc:language>
</cp:coreProperties>
</file>