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chappement\"/>
    </mc:Choice>
  </mc:AlternateContent>
  <xr:revisionPtr revIDLastSave="0" documentId="13_ncr:1_{A93BF698-B49B-4445-976E-3BF1B466FFB6}" xr6:coauthVersionLast="31" xr6:coauthVersionMax="31" xr10:uidLastSave="{00000000-0000-0000-0000-000000000000}"/>
  <bookViews>
    <workbookView xWindow="4740" yWindow="60" windowWidth="16380" windowHeight="8190" tabRatio="736" activeTab="2" xr2:uid="{00000000-000D-0000-FFFF-FFFF00000000}"/>
  </bookViews>
  <sheets>
    <sheet name="Instructions" sheetId="7" r:id="rId1"/>
    <sheet name="BOM" sheetId="8" r:id="rId2"/>
    <sheet name="EN A0200" sheetId="1" r:id="rId3"/>
    <sheet name="EN_02001" sheetId="2" r:id="rId4"/>
    <sheet name="dEN_02001" sheetId="9" r:id="rId5"/>
    <sheet name="EN_02002" sheetId="12" r:id="rId6"/>
    <sheet name="dEN_02002" sheetId="13" r:id="rId7"/>
    <sheet name="EN_02003" sheetId="14" r:id="rId8"/>
    <sheet name="EN_02004" sheetId="11" r:id="rId9"/>
    <sheet name="EN_02005" sheetId="15" r:id="rId10"/>
    <sheet name="EN_02006" sheetId="16" r:id="rId11"/>
    <sheet name="EN_02007" sheetId="17" r:id="rId12"/>
    <sheet name="EN_02008" sheetId="18" r:id="rId13"/>
    <sheet name="EN_02009" sheetId="19" r:id="rId14"/>
  </sheets>
  <externalReferences>
    <externalReference r:id="rId15"/>
    <externalReference r:id="rId16"/>
  </externalReferences>
  <definedNames>
    <definedName name="EN_02001">EN_02001!$B$6</definedName>
    <definedName name="EN_02001_f" localSheetId="5">EN_02001!#REF!</definedName>
    <definedName name="EN_02001_f" localSheetId="7">EN_02001!#REF!</definedName>
    <definedName name="EN_02001_f" localSheetId="9">EN_02001!#REF!</definedName>
    <definedName name="EN_02001_f" localSheetId="10">EN_02001!#REF!</definedName>
    <definedName name="EN_02001_f" localSheetId="11">EN_02001!#REF!</definedName>
    <definedName name="EN_02001_f" localSheetId="12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5">EN_02001!#REF!</definedName>
    <definedName name="EN_02001_t" localSheetId="7">EN_02001!#REF!</definedName>
    <definedName name="EN_02001_t" localSheetId="9">EN_02001!#REF!</definedName>
    <definedName name="EN_02001_t" localSheetId="10">EN_02001!#REF!</definedName>
    <definedName name="EN_02001_t" localSheetId="11">EN_02001!#REF!</definedName>
    <definedName name="EN_02001_t" localSheetId="12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EN_02005!$I$19</definedName>
    <definedName name="EN_02005_q">EN_02005!$N$3</definedName>
    <definedName name="EN_02005_t">EN_02005!$I$23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A0001">'[1]EN Assembly'!$B$5</definedName>
    <definedName name="EN_A0001_f" localSheetId="5">'[1]EN Assembly'!$J$43</definedName>
    <definedName name="EN_A0001_f" localSheetId="7">'[1]EN Assembly'!$J$43</definedName>
    <definedName name="EN_A0001_f" localSheetId="8">'[1]EN Assembly'!$J$43</definedName>
    <definedName name="EN_A0001_f" localSheetId="9">'[1]EN Assembly'!$J$43</definedName>
    <definedName name="EN_A0001_f" localSheetId="10">'[1]EN Assembly'!$J$43</definedName>
    <definedName name="EN_A0001_f" localSheetId="11">'[1]EN Assembly'!$J$43</definedName>
    <definedName name="EN_A0001_f" localSheetId="12">'[1]EN Assembly'!$J$43</definedName>
    <definedName name="EN_A0001_f" localSheetId="13">'[1]EN Assembly'!$J$43</definedName>
    <definedName name="EN_A0001_f">'EN A0200'!$J$53</definedName>
    <definedName name="EN_A0001_m" localSheetId="5">'[1]EN Assembly'!$N$24</definedName>
    <definedName name="EN_A0001_m" localSheetId="7">'[1]EN Assembly'!$N$24</definedName>
    <definedName name="EN_A0001_m" localSheetId="8">'[1]EN Assembly'!$N$24</definedName>
    <definedName name="EN_A0001_m" localSheetId="9">'[1]EN Assembly'!$N$24</definedName>
    <definedName name="EN_A0001_m" localSheetId="10">'[1]EN Assembly'!$N$24</definedName>
    <definedName name="EN_A0001_m" localSheetId="11">'[1]EN Assembly'!$N$24</definedName>
    <definedName name="EN_A0001_m" localSheetId="12">'[1]EN Assembly'!$N$24</definedName>
    <definedName name="EN_A0001_m" localSheetId="13">'[1]EN Assembly'!$N$24</definedName>
    <definedName name="EN_A0001_m">'EN A0200'!$N$25</definedName>
    <definedName name="EN_A0001_p" localSheetId="5">'[1]EN Assembly'!$I$33</definedName>
    <definedName name="EN_A0001_p" localSheetId="7">'[1]EN Assembly'!$I$33</definedName>
    <definedName name="EN_A0001_p" localSheetId="8">'[1]EN Assembly'!$I$33</definedName>
    <definedName name="EN_A0001_p" localSheetId="9">'[1]EN Assembly'!$I$33</definedName>
    <definedName name="EN_A0001_p" localSheetId="10">'[1]EN Assembly'!$I$33</definedName>
    <definedName name="EN_A0001_p" localSheetId="11">'[1]EN Assembly'!$I$33</definedName>
    <definedName name="EN_A0001_p" localSheetId="12">'[1]EN Assembly'!$I$33</definedName>
    <definedName name="EN_A0001_p" localSheetId="13">'[1]EN Assembly'!$I$33</definedName>
    <definedName name="EN_A0001_p">'EN A0200'!$I$44</definedName>
    <definedName name="EN_A0001_pa" localSheetId="5">'[1]EN Assembly'!$E$16</definedName>
    <definedName name="EN_A0001_pa" localSheetId="7">'[1]EN Assembly'!$E$16</definedName>
    <definedName name="EN_A0001_pa" localSheetId="8">'[1]EN Assembly'!$E$16</definedName>
    <definedName name="EN_A0001_pa" localSheetId="9">'[1]EN Assembly'!$E$16</definedName>
    <definedName name="EN_A0001_pa" localSheetId="10">'[1]EN Assembly'!$E$16</definedName>
    <definedName name="EN_A0001_pa" localSheetId="11">'[1]EN Assembly'!$E$16</definedName>
    <definedName name="EN_A0001_pa" localSheetId="12">'[1]EN Assembly'!$E$16</definedName>
    <definedName name="EN_A0001_pa" localSheetId="13">'[1]EN Assembly'!$E$16</definedName>
    <definedName name="EN_A0001_pa">'EN A0200'!$E$21</definedName>
    <definedName name="EN_A0001_q" localSheetId="5">'[1]EN Assembly'!$N$3</definedName>
    <definedName name="EN_A0001_q" localSheetId="7">'[1]EN Assembly'!$N$3</definedName>
    <definedName name="EN_A0001_q" localSheetId="8">'[1]EN Assembly'!$N$3</definedName>
    <definedName name="EN_A0001_q" localSheetId="9">'[1]EN Assembly'!$N$3</definedName>
    <definedName name="EN_A0001_q" localSheetId="10">'[1]EN Assembly'!$N$3</definedName>
    <definedName name="EN_A0001_q" localSheetId="11">'[1]EN Assembly'!$N$3</definedName>
    <definedName name="EN_A0001_q" localSheetId="12">'[1]EN Assembly'!$N$3</definedName>
    <definedName name="EN_A0001_q" localSheetId="13">'[1]EN Assembly'!$N$3</definedName>
    <definedName name="EN_A0001_q">'EN A0200'!$N$3</definedName>
    <definedName name="EN_A0001_t" localSheetId="5">'[1]EN Assembly'!$I$48</definedName>
    <definedName name="EN_A0001_t" localSheetId="7">'[1]EN Assembly'!$I$48</definedName>
    <definedName name="EN_A0001_t" localSheetId="8">'[1]EN Assembly'!$I$48</definedName>
    <definedName name="EN_A0001_t" localSheetId="9">'[1]EN Assembly'!$I$48</definedName>
    <definedName name="EN_A0001_t" localSheetId="10">'[1]EN Assembly'!$I$48</definedName>
    <definedName name="EN_A0001_t" localSheetId="11">'[1]EN Assembly'!$I$48</definedName>
    <definedName name="EN_A0001_t" localSheetId="12">'[1]EN Assembly'!$I$48</definedName>
    <definedName name="EN_A0001_t" localSheetId="13">'[1]EN Assembly'!$I$48</definedName>
    <definedName name="EN_A0001_t">'EN A0200'!$I$57</definedName>
    <definedName name="EN_A0200">'EN A0200'!$B$5</definedName>
    <definedName name="EN_A0200_f">'EN A0200'!$J$53</definedName>
    <definedName name="EN_A0200_m">'EN A0200'!$N$25</definedName>
    <definedName name="EN_A0200_p">'EN A0200'!$I$44</definedName>
    <definedName name="EN_A0200_pa">'EN A0200'!$E$21</definedName>
    <definedName name="EN_A0200_q">'EN A0200'!$N$3</definedName>
    <definedName name="EN_A0200_t">'EN A0200'!$I$57</definedName>
  </definedNames>
  <calcPr calcId="179017"/>
</workbook>
</file>

<file path=xl/calcChain.xml><?xml version="1.0" encoding="utf-8"?>
<calcChain xmlns="http://schemas.openxmlformats.org/spreadsheetml/2006/main">
  <c r="I57" i="1" l="1"/>
  <c r="J53" i="1"/>
  <c r="J52" i="1"/>
  <c r="I44" i="1"/>
  <c r="N25" i="1"/>
  <c r="E21" i="1"/>
  <c r="J48" i="1"/>
  <c r="F29" i="1"/>
  <c r="D18" i="1"/>
  <c r="C18" i="1"/>
  <c r="B18" i="1"/>
  <c r="I20" i="19"/>
  <c r="N11" i="19"/>
  <c r="N12" i="19" s="1"/>
  <c r="B4" i="19"/>
  <c r="I21" i="19"/>
  <c r="I16" i="19"/>
  <c r="I15" i="19"/>
  <c r="I17" i="19" s="1"/>
  <c r="B3" i="19"/>
  <c r="E18" i="1" l="1"/>
  <c r="N2" i="19"/>
  <c r="N5" i="19" s="1"/>
  <c r="D11" i="1" l="1"/>
  <c r="B11" i="1"/>
  <c r="B1" i="13"/>
  <c r="N2" i="12"/>
  <c r="C11" i="1" s="1"/>
  <c r="D17" i="1"/>
  <c r="I18" i="18"/>
  <c r="I19" i="18"/>
  <c r="I20" i="18"/>
  <c r="I21" i="18"/>
  <c r="N13" i="18"/>
  <c r="N12" i="18"/>
  <c r="J12" i="18"/>
  <c r="N11" i="18"/>
  <c r="B17" i="1"/>
  <c r="B4" i="18"/>
  <c r="D16" i="1"/>
  <c r="F18" i="17"/>
  <c r="E11" i="1" l="1"/>
  <c r="N14" i="18"/>
  <c r="K11" i="15"/>
  <c r="F15" i="17"/>
  <c r="I16" i="17" l="1"/>
  <c r="I18" i="17"/>
  <c r="I15" i="17"/>
  <c r="J11" i="17"/>
  <c r="N11" i="17" s="1"/>
  <c r="N12" i="17" s="1"/>
  <c r="B16" i="1"/>
  <c r="B4" i="17"/>
  <c r="I17" i="18"/>
  <c r="I22" i="18" s="1"/>
  <c r="B3" i="18"/>
  <c r="N13" i="16"/>
  <c r="N2" i="16" s="1"/>
  <c r="C15" i="1" s="1"/>
  <c r="I23" i="16"/>
  <c r="I19" i="16"/>
  <c r="D15" i="1"/>
  <c r="B15" i="1"/>
  <c r="F18" i="16"/>
  <c r="F18" i="11"/>
  <c r="F16" i="16"/>
  <c r="F16" i="11"/>
  <c r="K11" i="16"/>
  <c r="N12" i="16"/>
  <c r="J12" i="16"/>
  <c r="J11" i="16"/>
  <c r="B4" i="16"/>
  <c r="I22" i="17"/>
  <c r="I23" i="17" s="1"/>
  <c r="I17" i="17"/>
  <c r="B3" i="17"/>
  <c r="D14" i="1"/>
  <c r="B14" i="1"/>
  <c r="F18" i="15"/>
  <c r="F15" i="15"/>
  <c r="N2" i="18" l="1"/>
  <c r="I19" i="17"/>
  <c r="N2" i="17"/>
  <c r="E15" i="1"/>
  <c r="N5" i="17" l="1"/>
  <c r="C16" i="1"/>
  <c r="E16" i="1" s="1"/>
  <c r="N5" i="18"/>
  <c r="C17" i="1"/>
  <c r="E17" i="1" s="1"/>
  <c r="J11" i="15"/>
  <c r="N11" i="15" s="1"/>
  <c r="N12" i="15" s="1"/>
  <c r="J12" i="11"/>
  <c r="N12" i="11" s="1"/>
  <c r="B4" i="15"/>
  <c r="I22" i="16"/>
  <c r="I18" i="16"/>
  <c r="I17" i="16"/>
  <c r="I16" i="16"/>
  <c r="N11" i="16"/>
  <c r="B3" i="16"/>
  <c r="D13" i="1"/>
  <c r="B13" i="1"/>
  <c r="K11" i="11"/>
  <c r="J11" i="11"/>
  <c r="N11" i="11" s="1"/>
  <c r="I17" i="12"/>
  <c r="I19" i="2"/>
  <c r="I19" i="14"/>
  <c r="I24" i="14"/>
  <c r="N12" i="14"/>
  <c r="B4" i="11"/>
  <c r="I22" i="15"/>
  <c r="I23" i="15" s="1"/>
  <c r="I18" i="15"/>
  <c r="I17" i="15"/>
  <c r="I15" i="15"/>
  <c r="I16" i="15"/>
  <c r="B3" i="15"/>
  <c r="D10" i="1"/>
  <c r="D12" i="1"/>
  <c r="B12" i="1"/>
  <c r="F18" i="14"/>
  <c r="F15" i="14"/>
  <c r="J11" i="14"/>
  <c r="N11" i="14" s="1"/>
  <c r="N5" i="16" l="1"/>
  <c r="I19" i="15"/>
  <c r="N2" i="15" s="1"/>
  <c r="N13" i="11"/>
  <c r="B4" i="14"/>
  <c r="N5" i="15" l="1"/>
  <c r="C14" i="1"/>
  <c r="E14" i="1" s="1"/>
  <c r="I23" i="14"/>
  <c r="I18" i="14"/>
  <c r="I17" i="14"/>
  <c r="I15" i="14"/>
  <c r="I16" i="14"/>
  <c r="B3" i="14"/>
  <c r="J11" i="12"/>
  <c r="E11" i="12" s="1"/>
  <c r="N11" i="12" s="1"/>
  <c r="B4" i="12"/>
  <c r="I16" i="12"/>
  <c r="I15" i="12"/>
  <c r="B3" i="12"/>
  <c r="I22" i="11"/>
  <c r="I23" i="11" s="1"/>
  <c r="I18" i="11"/>
  <c r="I17" i="11"/>
  <c r="I16" i="11"/>
  <c r="B3" i="11"/>
  <c r="I19" i="11" l="1"/>
  <c r="N2" i="11"/>
  <c r="N2" i="14"/>
  <c r="N12" i="12"/>
  <c r="J11" i="2"/>
  <c r="E11" i="2" s="1"/>
  <c r="N11" i="2" s="1"/>
  <c r="B1" i="9"/>
  <c r="N5" i="11" l="1"/>
  <c r="C13" i="1"/>
  <c r="E13" i="1" s="1"/>
  <c r="N5" i="14"/>
  <c r="C12" i="1"/>
  <c r="E12" i="1" s="1"/>
  <c r="N5" i="12"/>
  <c r="I31" i="1"/>
  <c r="I42" i="1" l="1"/>
  <c r="I41" i="1"/>
  <c r="I40" i="1"/>
  <c r="I39" i="1"/>
  <c r="I38" i="1"/>
  <c r="I37" i="1"/>
  <c r="I36" i="1"/>
  <c r="I35" i="1"/>
  <c r="I34" i="1"/>
  <c r="I33" i="1"/>
  <c r="I32" i="1"/>
  <c r="I30" i="1"/>
  <c r="I43" i="1"/>
  <c r="I29" i="1"/>
  <c r="I28" i="1"/>
  <c r="I7" i="8" l="1"/>
  <c r="C7" i="8" l="1"/>
  <c r="B9" i="8"/>
  <c r="B10" i="8"/>
  <c r="B11" i="8"/>
  <c r="B12" i="8"/>
  <c r="B13" i="8"/>
  <c r="B14" i="8"/>
  <c r="B15" i="8"/>
  <c r="B16" i="8"/>
  <c r="B17" i="8"/>
  <c r="B8" i="8"/>
  <c r="B7" i="8"/>
  <c r="C8" i="8"/>
  <c r="J8" i="8"/>
  <c r="F8" i="8"/>
  <c r="F7" i="8"/>
  <c r="M8" i="8"/>
  <c r="L8" i="8"/>
  <c r="K8" i="8"/>
  <c r="I8" i="8"/>
  <c r="B3" i="2" l="1"/>
  <c r="B18" i="8"/>
  <c r="B4" i="2" l="1"/>
  <c r="E8" i="8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56" i="1"/>
  <c r="J51" i="1"/>
  <c r="J50" i="1"/>
  <c r="J49" i="1"/>
  <c r="J47" i="1"/>
  <c r="N24" i="1"/>
  <c r="B10" i="1"/>
  <c r="L7" i="8" l="1"/>
  <c r="L18" i="8" s="1"/>
  <c r="K7" i="8"/>
  <c r="M7" i="8"/>
  <c r="M18" i="8" s="1"/>
  <c r="N2" i="2"/>
  <c r="J7" i="8"/>
  <c r="K18" i="8" l="1"/>
  <c r="H7" i="8"/>
  <c r="N7" i="8" s="1"/>
  <c r="H8" i="8"/>
  <c r="N8" i="8" s="1"/>
  <c r="O1" i="8"/>
  <c r="N5" i="2"/>
  <c r="C10" i="1"/>
  <c r="E10" i="1" s="1"/>
  <c r="J18" i="8" l="1"/>
  <c r="N18" i="8"/>
  <c r="N2" i="1"/>
  <c r="N5" i="1" l="1"/>
</calcChain>
</file>

<file path=xl/sharedStrings.xml><?xml version="1.0" encoding="utf-8"?>
<sst xmlns="http://schemas.openxmlformats.org/spreadsheetml/2006/main" count="868" uniqueCount="240">
  <si>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</si>
  <si>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</si>
  <si>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</si>
  <si>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</si>
  <si>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</si>
  <si>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</si>
  <si>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</si>
  <si>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</si>
  <si>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</si>
  <si>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</si>
  <si>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</si>
  <si>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</si>
  <si>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</si>
  <si>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</si>
  <si>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</si>
  <si>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</si>
  <si>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</si>
  <si>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</si>
  <si>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</si>
  <si>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</si>
  <si>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</si>
  <si>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</si>
  <si>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</si>
  <si>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</si>
  <si>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</si>
  <si>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</si>
  <si>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</si>
  <si>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</si>
  <si>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</si>
  <si>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</si>
  <si>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</si>
  <si>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</si>
  <si>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</si>
  <si>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</si>
  <si>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</si>
  <si>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</si>
  <si>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</si>
  <si>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</si>
  <si>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</si>
  <si>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</si>
  <si>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</si>
  <si>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</si>
  <si>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</si>
  <si>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</si>
  <si>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</si>
  <si>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</si>
  <si>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</si>
  <si>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</si>
  <si>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</si>
  <si>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</si>
  <si>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</si>
  <si>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</si>
  <si>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</si>
  <si>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</si>
  <si>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</si>
  <si>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</si>
  <si>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</si>
  <si>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</si>
  <si>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</si>
  <si>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</si>
  <si>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</si>
  <si>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</si>
  <si>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</si>
  <si>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</si>
  <si>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</si>
  <si>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</si>
  <si>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</si>
  <si>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</si>
  <si>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</si>
  <si>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</si>
  <si>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</si>
  <si>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</si>
  <si>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</si>
  <si>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</si>
  <si>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</si>
  <si>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</si>
  <si>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</si>
  <si>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</si>
  <si>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</si>
  <si>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</si>
  <si>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</si>
  <si>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</si>
  <si>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</si>
  <si>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</si>
  <si>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</si>
  <si>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</si>
  <si>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</si>
  <si>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</si>
  <si>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</si>
  <si>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</si>
  <si>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</si>
  <si>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</si>
  <si>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</si>
  <si>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</si>
  <si>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</si>
  <si>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</si>
  <si>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</si>
  <si>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</si>
  <si>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</si>
  <si>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</si>
  <si>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</si>
  <si>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</si>
  <si>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</si>
  <si>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</si>
  <si>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</si>
  <si>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</si>
  <si>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</si>
  <si>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</si>
  <si>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</si>
  <si>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</si>
  <si>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</si>
  <si>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</si>
  <si>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</si>
  <si>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</si>
  <si>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</si>
  <si>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</si>
  <si>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</si>
  <si>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</si>
  <si>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</si>
  <si>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</si>
  <si>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</si>
  <si>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</si>
  <si>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</si>
  <si>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</si>
  <si>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</si>
  <si>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</si>
  <si>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</si>
  <si>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</si>
  <si>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</si>
  <si>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</si>
  <si>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</si>
  <si>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</si>
  <si>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</si>
  <si>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</si>
  <si>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</si>
  <si>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Engine and Drivetrain</t>
  </si>
  <si>
    <t>Consulter le tutoriel disponible sur GitHub, dans Vulcanix-v1.0/Cost Report, pour plus d'informations sur cette étape.</t>
  </si>
  <si>
    <t>EN A0200</t>
  </si>
  <si>
    <t>Exhaust System</t>
  </si>
  <si>
    <t>Exhaust System Ceramic Coating</t>
  </si>
  <si>
    <t>m</t>
  </si>
  <si>
    <t>Weld</t>
  </si>
  <si>
    <t>Assemble, 1 kg, Loose</t>
  </si>
  <si>
    <t>Ratchet &lt;=25,4mm</t>
  </si>
  <si>
    <t>Assemble, 1kg, Interference</t>
  </si>
  <si>
    <t>Assemble headers to engine</t>
  </si>
  <si>
    <t>Assemble Primary collector to headers</t>
  </si>
  <si>
    <t>Assemble Primary collector tubing to collector</t>
  </si>
  <si>
    <t>Assemble secondary collector to primary tubing</t>
  </si>
  <si>
    <t>Assemble tubing to collector</t>
  </si>
  <si>
    <t>Muffler</t>
  </si>
  <si>
    <t>Tighten Muffler on tubing</t>
  </si>
  <si>
    <t>Tube cut</t>
  </si>
  <si>
    <t>Tube fixation muffler cut</t>
  </si>
  <si>
    <t>Assemble Mufler fixation</t>
  </si>
  <si>
    <t>Ratchet &lt;= 6.35 mm</t>
  </si>
  <si>
    <t>Tighten Muffler on bottom</t>
  </si>
  <si>
    <t>fastener installation &gt;4D</t>
  </si>
  <si>
    <t>Reaction Tool &lt;= 6.35 mm</t>
  </si>
  <si>
    <t>Assemble,1kg, Line-on-Line</t>
  </si>
  <si>
    <t>Assemble, 3kg, Line-on-Line</t>
  </si>
  <si>
    <t>Tips welding on primary collector</t>
  </si>
  <si>
    <t>Assemble flanges to primary collector</t>
  </si>
  <si>
    <t>Assemble primary collector to headers</t>
  </si>
  <si>
    <t>Tighten collector's nut</t>
  </si>
  <si>
    <t>Exhaust Tip</t>
  </si>
  <si>
    <t>EN 02001</t>
  </si>
  <si>
    <t>kg</t>
  </si>
  <si>
    <t>Round 43mm diam.</t>
  </si>
  <si>
    <t>Machining</t>
  </si>
  <si>
    <t>Machining Setup, Change</t>
  </si>
  <si>
    <t>Inner machining</t>
  </si>
  <si>
    <t>Outside machining</t>
  </si>
  <si>
    <t>cm^3</t>
  </si>
  <si>
    <t>Material - Steel</t>
  </si>
  <si>
    <t>FracIncld</t>
  </si>
  <si>
    <t>Laser Cut</t>
  </si>
  <si>
    <t>Exhaust Flange</t>
  </si>
  <si>
    <t>Raw material</t>
  </si>
  <si>
    <t>Rectangular area 80 x 50mm</t>
  </si>
  <si>
    <t>4 parts made from a single machining setup</t>
  </si>
  <si>
    <t>4 parts made from a single machining change</t>
  </si>
  <si>
    <t>Flange cut</t>
  </si>
  <si>
    <t>Steel, Mild (per kg)</t>
  </si>
  <si>
    <t>Exhaust headers</t>
  </si>
  <si>
    <t>EN 02003</t>
  </si>
  <si>
    <t>4 headers in one part</t>
  </si>
  <si>
    <t>Steel, Stainless</t>
  </si>
  <si>
    <t>Header material</t>
  </si>
  <si>
    <t>Round 34mm*1,2mm</t>
  </si>
  <si>
    <t>Tube bends</t>
  </si>
  <si>
    <t>bend</t>
  </si>
  <si>
    <t>cut</t>
  </si>
  <si>
    <t>Tube end preperation for welding</t>
  </si>
  <si>
    <t>end</t>
  </si>
  <si>
    <t>Weld - Round Tubing</t>
  </si>
  <si>
    <t>EN 02004</t>
  </si>
  <si>
    <t>Primary collector</t>
  </si>
  <si>
    <t>1 connector for each pair of headers</t>
  </si>
  <si>
    <t>Collector material</t>
  </si>
  <si>
    <t>Round 42,1mm*1,5mm</t>
  </si>
  <si>
    <t>EN 02005</t>
  </si>
  <si>
    <t>2 primary collectors in 1 part</t>
  </si>
  <si>
    <t>Primary collectors tubing</t>
  </si>
  <si>
    <t>EN 02006</t>
  </si>
  <si>
    <t>Secondary collector</t>
  </si>
  <si>
    <t>Tubing material</t>
  </si>
  <si>
    <t>Round 49,8mm*1,2mm</t>
  </si>
  <si>
    <t>Secondary collector tubing</t>
  </si>
  <si>
    <t>EN 02007</t>
  </si>
  <si>
    <t>EN 02008</t>
  </si>
  <si>
    <t>Cost as made</t>
  </si>
  <si>
    <t>Sheet metal bends</t>
  </si>
  <si>
    <t>Sheet metal punching</t>
  </si>
  <si>
    <t>Sheet metal stamping</t>
  </si>
  <si>
    <t>Material for muffler body</t>
  </si>
  <si>
    <t>Rectangular area 0.5 x 0.4m</t>
  </si>
  <si>
    <t>Rectangular area 0.5 x 0.15m</t>
  </si>
  <si>
    <t>Muffler Batting</t>
  </si>
  <si>
    <t>Titanium (per kg)</t>
  </si>
  <si>
    <t>cm^2</t>
  </si>
  <si>
    <t>Assemble, 1 kg, Line-on-Line</t>
  </si>
  <si>
    <t>Riveting</t>
  </si>
  <si>
    <t>EN 02002</t>
  </si>
  <si>
    <t>Muffler Collar</t>
  </si>
  <si>
    <t>EN 02009</t>
  </si>
  <si>
    <t>Carbon Fiber, 1 Ply</t>
  </si>
  <si>
    <t>Collar material</t>
  </si>
  <si>
    <t>Lamination, Manual</t>
  </si>
  <si>
    <t>m^2</t>
  </si>
  <si>
    <t>Cure, Oven</t>
  </si>
  <si>
    <t>Lamination - Composite Tool</t>
  </si>
  <si>
    <t>Spring, Compression (General)</t>
  </si>
  <si>
    <t>Headers nuts</t>
  </si>
  <si>
    <t>Muffler collar washers</t>
  </si>
  <si>
    <t>Bolt, Grade 8.8 (SAE 5)</t>
  </si>
  <si>
    <t>Muffler collar bolt</t>
  </si>
  <si>
    <t>Muffler mount nut</t>
  </si>
  <si>
    <t>Muffler mount bolt</t>
  </si>
  <si>
    <t>Engine 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</si>
</sst>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"/>
    <numFmt numFmtId="174" formatCode="&quot;$&quot;#,##0.00"/>
    <numFmt numFmtId="175" formatCode="0.0"/>
    <numFmt numFmtId="176" formatCode="_(* #,##0.000_);_(* \(#,##0.000\);_(* &quot;-&quot;??_);_(@_)"/>
    <numFmt numFmtId="177" formatCode="\$#,##0.00,;&quot;($&quot;#,##0.00\)"/>
    <numFmt numFmtId="178" formatCode="_(&quot;$&quot;* #,##0_);_(&quot;$&quot;* \(#,##0\);_(&quot;$&quot;* &quot;-&quot;??_);_(@_)"/>
    <numFmt numFmtId="179" formatCode="_-* #,##0.000\ _€_-;\-* #,##0.000\ _€_-;_-* &quot;-&quot;??\ _€_-;_-@_-"/>
    <numFmt numFmtId="180" formatCode="_-* #,##0\ _€_-;\-* #,##0\ _€_-;_-* &quot;-&quot;??\ _€_-;_-@_-"/>
    <numFmt numFmtId="181" formatCode="_(* #,##0_);_(* \(#,##0\);_(* &quot;-&quot;??_);_(@_)"/>
    <numFmt numFmtId="182" formatCode="_(&quot;$&quot;* #,##0.000_);_(&quot;$&quot;* \(#,##0.00\);_(&quot;$&quot;* &quot;-&quot;??_);_(@_)"/>
    <numFmt numFmtId="186" formatCode="_-* #,##0.00\ &quot;€&quot;_-;\-* #,##0.00\ &quot;€&quot;_-;_-* &quot;-&quot;??\ &quot;€&quot;_-;_-@_-"/>
    <numFmt numFmtId="187" formatCode="_-* #,##0.00\ _€_-;\-* #,##0.00\ _€_-;_-* &quot;-&quot;??\ _€_-;_-@_-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</fills>
  <borders count="5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91">
    <xf numFmtId="0" fontId="0" fillId="0" borderId="0"/>
    <xf numFmtId="0" fontId="12" fillId="0" borderId="0"/>
    <xf numFmtId="170" fontId="12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1" fillId="2" borderId="6">
      <alignment vertical="center" wrapText="1"/>
    </xf>
    <xf numFmtId="171" fontId="12" fillId="0" borderId="0" applyFont="0" applyFill="0" applyBorder="0" applyAlignment="0" applyProtection="0"/>
    <xf numFmtId="0" fontId="7" fillId="0" borderId="0"/>
    <xf numFmtId="166" fontId="10" fillId="0" borderId="1">
      <alignment vertical="center" wrapText="1"/>
    </xf>
    <xf numFmtId="0" fontId="23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0" fontId="30" fillId="0" borderId="0"/>
    <xf numFmtId="0" fontId="10" fillId="0" borderId="0"/>
    <xf numFmtId="0" fontId="4" fillId="0" borderId="0"/>
    <xf numFmtId="43" fontId="1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4" fontId="10" fillId="0" borderId="1">
      <alignment vertical="center" wrapText="1"/>
    </xf>
    <xf numFmtId="44" fontId="1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3" fillId="11" borderId="0" applyNumberFormat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4" fillId="0" borderId="0"/>
    <xf numFmtId="170" fontId="34" fillId="0" borderId="0" applyFont="0" applyFill="0" applyBorder="0" applyAlignment="0" applyProtection="0"/>
    <xf numFmtId="0" fontId="4" fillId="0" borderId="0"/>
    <xf numFmtId="165" fontId="20" fillId="0" borderId="0" applyFill="0" applyBorder="0" applyAlignment="0" applyProtection="0"/>
    <xf numFmtId="170" fontId="12" fillId="0" borderId="0" applyFont="0" applyFill="0" applyBorder="0" applyAlignment="0" applyProtection="0"/>
    <xf numFmtId="0" fontId="12" fillId="0" borderId="0"/>
    <xf numFmtId="0" fontId="20" fillId="0" borderId="0"/>
    <xf numFmtId="164" fontId="20" fillId="0" borderId="0" applyFill="0" applyBorder="0" applyAlignment="0" applyProtection="0"/>
    <xf numFmtId="0" fontId="35" fillId="2" borderId="0" applyNumberFormat="0" applyBorder="0" applyAlignment="0" applyProtection="0"/>
    <xf numFmtId="0" fontId="20" fillId="0" borderId="0"/>
    <xf numFmtId="177" fontId="20" fillId="0" borderId="37">
      <alignment vertical="center" wrapText="1"/>
    </xf>
    <xf numFmtId="175" fontId="10" fillId="0" borderId="1">
      <alignment vertical="center" wrapText="1"/>
    </xf>
    <xf numFmtId="43" fontId="20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177" fontId="20" fillId="0" borderId="40">
      <alignment vertical="center" wrapText="1"/>
    </xf>
    <xf numFmtId="43" fontId="20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20" fillId="0" borderId="42">
      <alignment vertical="center" wrapText="1"/>
    </xf>
    <xf numFmtId="0" fontId="36" fillId="11" borderId="0" applyNumberFormat="0" applyBorder="0" applyAlignment="0" applyProtection="0"/>
    <xf numFmtId="0" fontId="2" fillId="0" borderId="0"/>
    <xf numFmtId="44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177" fontId="20" fillId="0" borderId="47">
      <alignment vertical="center" wrapText="1"/>
    </xf>
    <xf numFmtId="43" fontId="20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86" fontId="10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177" fontId="20" fillId="0" borderId="51">
      <alignment vertical="center" wrapText="1"/>
    </xf>
    <xf numFmtId="187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18" fontId="16" fillId="0" borderId="7" xfId="1" applyNumberFormat="1" applyFont="1" applyFill="1" applyBorder="1" applyAlignment="1" applyProtection="1">
      <protection locked="0"/>
    </xf>
    <xf numFmtId="0" fontId="16" fillId="0" borderId="7" xfId="1" applyFont="1" applyFill="1" applyBorder="1" applyAlignment="1">
      <alignment horizontal="center"/>
    </xf>
    <xf numFmtId="171" fontId="16" fillId="0" borderId="7" xfId="5" applyFont="1" applyFill="1" applyBorder="1" applyProtection="1">
      <protection locked="0"/>
    </xf>
    <xf numFmtId="0" fontId="16" fillId="0" borderId="7" xfId="1" applyFont="1" applyFill="1" applyBorder="1" applyAlignment="1" applyProtection="1">
      <alignment horizontal="center"/>
      <protection locked="0"/>
    </xf>
    <xf numFmtId="0" fontId="16" fillId="0" borderId="7" xfId="1" applyFont="1" applyFill="1" applyBorder="1" applyProtection="1">
      <protection locked="0"/>
    </xf>
    <xf numFmtId="171" fontId="13" fillId="0" borderId="0" xfId="5" applyFont="1"/>
    <xf numFmtId="0" fontId="13" fillId="0" borderId="0" xfId="1" applyFont="1" applyProtection="1">
      <protection locked="0"/>
    </xf>
    <xf numFmtId="171" fontId="12" fillId="0" borderId="0" xfId="5" applyFont="1"/>
    <xf numFmtId="0" fontId="13" fillId="0" borderId="0" xfId="1" applyFont="1"/>
    <xf numFmtId="0" fontId="15" fillId="0" borderId="0" xfId="1" applyFont="1"/>
    <xf numFmtId="0" fontId="12" fillId="0" borderId="0" xfId="1" applyFont="1" applyProtection="1">
      <protection locked="0"/>
    </xf>
    <xf numFmtId="0" fontId="12" fillId="0" borderId="0" xfId="1" applyFont="1" applyFill="1"/>
    <xf numFmtId="0" fontId="12" fillId="0" borderId="0" xfId="1" applyFont="1"/>
    <xf numFmtId="0" fontId="7" fillId="0" borderId="0" xfId="6" applyBorder="1"/>
    <xf numFmtId="0" fontId="7" fillId="0" borderId="0" xfId="6"/>
    <xf numFmtId="0" fontId="9" fillId="0" borderId="0" xfId="0" applyFont="1" applyBorder="1"/>
    <xf numFmtId="0" fontId="0" fillId="0" borderId="0" xfId="0" applyFont="1"/>
    <xf numFmtId="0" fontId="9" fillId="0" borderId="0" xfId="0" applyFont="1" applyBorder="1" applyAlignment="1">
      <alignment horizontal="left"/>
    </xf>
    <xf numFmtId="0" fontId="9" fillId="0" borderId="3" xfId="0" applyFont="1" applyBorder="1"/>
    <xf numFmtId="0" fontId="0" fillId="0" borderId="0" xfId="0" applyAlignment="1"/>
    <xf numFmtId="0" fontId="8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9" fillId="0" borderId="0" xfId="0" applyNumberFormat="1" applyFont="1" applyBorder="1" applyAlignment="1">
      <alignment horizontal="left"/>
    </xf>
    <xf numFmtId="0" fontId="8" fillId="0" borderId="4" xfId="0" applyFont="1" applyBorder="1"/>
    <xf numFmtId="165" fontId="9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9" fillId="0" borderId="3" xfId="7" applyNumberFormat="1" applyFont="1" applyBorder="1" applyAlignment="1" applyProtection="1">
      <alignment wrapText="1"/>
    </xf>
    <xf numFmtId="0" fontId="17" fillId="0" borderId="0" xfId="1" applyFont="1" applyAlignment="1">
      <alignment horizontal="center"/>
    </xf>
    <xf numFmtId="0" fontId="18" fillId="0" borderId="0" xfId="1" applyFont="1"/>
    <xf numFmtId="0" fontId="21" fillId="0" borderId="0" xfId="6" applyFont="1" applyFill="1" applyBorder="1"/>
    <xf numFmtId="0" fontId="7" fillId="0" borderId="0" xfId="6" applyFill="1"/>
    <xf numFmtId="0" fontId="7" fillId="0" borderId="0" xfId="6" applyFill="1" applyBorder="1"/>
    <xf numFmtId="0" fontId="7" fillId="0" borderId="0" xfId="6" applyFont="1"/>
    <xf numFmtId="0" fontId="7" fillId="0" borderId="0" xfId="6" applyFont="1" applyFill="1" applyBorder="1"/>
    <xf numFmtId="0" fontId="7" fillId="0" borderId="0" xfId="6" applyFont="1" applyFill="1"/>
    <xf numFmtId="0" fontId="16" fillId="0" borderId="7" xfId="1" applyFont="1" applyFill="1" applyBorder="1" applyAlignment="1">
      <alignment horizontal="left"/>
    </xf>
    <xf numFmtId="0" fontId="14" fillId="0" borderId="0" xfId="1" applyFont="1"/>
    <xf numFmtId="0" fontId="19" fillId="0" borderId="0" xfId="1" applyFont="1"/>
    <xf numFmtId="0" fontId="21" fillId="3" borderId="0" xfId="6" applyFont="1" applyFill="1" applyBorder="1" applyAlignment="1"/>
    <xf numFmtId="171" fontId="12" fillId="0" borderId="0" xfId="1" applyNumberFormat="1" applyFont="1"/>
    <xf numFmtId="0" fontId="17" fillId="0" borderId="8" xfId="1" applyFont="1" applyBorder="1" applyAlignment="1">
      <alignment horizontal="center" wrapText="1"/>
    </xf>
    <xf numFmtId="2" fontId="17" fillId="0" borderId="8" xfId="1" applyNumberFormat="1" applyFont="1" applyBorder="1" applyAlignment="1">
      <alignment horizontal="center" wrapText="1"/>
    </xf>
    <xf numFmtId="171" fontId="17" fillId="0" borderId="8" xfId="5" applyFont="1" applyBorder="1" applyAlignment="1">
      <alignment horizontal="center" wrapText="1"/>
    </xf>
    <xf numFmtId="0" fontId="22" fillId="4" borderId="9" xfId="6" applyFont="1" applyFill="1" applyBorder="1"/>
    <xf numFmtId="0" fontId="22" fillId="4" borderId="11" xfId="6" applyFont="1" applyFill="1" applyBorder="1"/>
    <xf numFmtId="0" fontId="22" fillId="4" borderId="10" xfId="6" applyFont="1" applyFill="1" applyBorder="1"/>
    <xf numFmtId="0" fontId="22" fillId="4" borderId="12" xfId="6" applyFont="1" applyFill="1" applyBorder="1"/>
    <xf numFmtId="0" fontId="7" fillId="5" borderId="14" xfId="6" quotePrefix="1" applyFill="1" applyBorder="1" applyAlignment="1">
      <alignment horizontal="left"/>
    </xf>
    <xf numFmtId="2" fontId="7" fillId="6" borderId="15" xfId="6" quotePrefix="1" applyNumberFormat="1" applyFill="1" applyBorder="1" applyAlignment="1">
      <alignment horizontal="right"/>
    </xf>
    <xf numFmtId="0" fontId="22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0" borderId="22" xfId="0" applyFont="1" applyBorder="1"/>
    <xf numFmtId="0" fontId="9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8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16" xfId="0" applyFont="1" applyBorder="1"/>
    <xf numFmtId="165" fontId="9" fillId="0" borderId="16" xfId="7" applyNumberFormat="1" applyFont="1" applyBorder="1" applyAlignment="1" applyProtection="1"/>
    <xf numFmtId="164" fontId="9" fillId="0" borderId="16" xfId="7" applyNumberFormat="1" applyFont="1" applyBorder="1" applyAlignment="1" applyProtection="1"/>
    <xf numFmtId="11" fontId="9" fillId="0" borderId="16" xfId="0" applyNumberFormat="1" applyFont="1" applyBorder="1"/>
    <xf numFmtId="167" fontId="9" fillId="0" borderId="16" xfId="7" applyNumberFormat="1" applyFont="1" applyBorder="1" applyAlignment="1" applyProtection="1"/>
    <xf numFmtId="168" fontId="9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9" fillId="0" borderId="16" xfId="7" applyNumberFormat="1" applyFont="1" applyBorder="1" applyAlignment="1" applyProtection="1"/>
    <xf numFmtId="0" fontId="9" fillId="0" borderId="16" xfId="0" applyFont="1" applyBorder="1" applyAlignment="1">
      <alignment horizontal="right"/>
    </xf>
    <xf numFmtId="0" fontId="8" fillId="0" borderId="27" xfId="0" applyFont="1" applyBorder="1"/>
    <xf numFmtId="0" fontId="0" fillId="0" borderId="22" xfId="0" applyBorder="1"/>
    <xf numFmtId="0" fontId="23" fillId="0" borderId="16" xfId="8" applyNumberFormat="1" applyBorder="1" applyAlignment="1" applyProtection="1"/>
    <xf numFmtId="0" fontId="24" fillId="0" borderId="0" xfId="0" applyFont="1"/>
    <xf numFmtId="0" fontId="23" fillId="0" borderId="0" xfId="8" applyBorder="1"/>
    <xf numFmtId="0" fontId="23" fillId="0" borderId="0" xfId="8"/>
    <xf numFmtId="0" fontId="26" fillId="0" borderId="0" xfId="0" applyFont="1"/>
    <xf numFmtId="0" fontId="27" fillId="0" borderId="0" xfId="0" applyFont="1"/>
    <xf numFmtId="0" fontId="7" fillId="5" borderId="14" xfId="6" quotePrefix="1" applyFont="1" applyFill="1" applyBorder="1" applyAlignment="1">
      <alignment horizontal="left"/>
    </xf>
    <xf numFmtId="0" fontId="6" fillId="5" borderId="14" xfId="6" applyFont="1" applyFill="1" applyBorder="1"/>
    <xf numFmtId="0" fontId="6" fillId="5" borderId="13" xfId="6" applyFont="1" applyFill="1" applyBorder="1"/>
    <xf numFmtId="172" fontId="9" fillId="0" borderId="16" xfId="7" applyNumberFormat="1" applyFont="1" applyBorder="1" applyAlignment="1" applyProtection="1"/>
    <xf numFmtId="172" fontId="16" fillId="0" borderId="7" xfId="1" applyNumberFormat="1" applyFont="1" applyFill="1" applyBorder="1" applyAlignment="1">
      <alignment horizontal="right"/>
    </xf>
    <xf numFmtId="0" fontId="16" fillId="7" borderId="3" xfId="1" applyFont="1" applyFill="1" applyBorder="1" applyProtection="1">
      <protection locked="0"/>
    </xf>
    <xf numFmtId="0" fontId="16" fillId="7" borderId="3" xfId="1" applyFont="1" applyFill="1" applyBorder="1" applyAlignment="1">
      <alignment horizontal="left"/>
    </xf>
    <xf numFmtId="18" fontId="16" fillId="7" borderId="3" xfId="1" applyNumberFormat="1" applyFont="1" applyFill="1" applyBorder="1" applyAlignment="1" applyProtection="1">
      <protection locked="0"/>
    </xf>
    <xf numFmtId="0" fontId="23" fillId="7" borderId="3" xfId="8" applyFill="1" applyBorder="1" applyAlignment="1">
      <alignment horizontal="left"/>
    </xf>
    <xf numFmtId="172" fontId="16" fillId="7" borderId="3" xfId="5" applyNumberFormat="1" applyFont="1" applyFill="1" applyBorder="1" applyProtection="1">
      <protection locked="0"/>
    </xf>
    <xf numFmtId="37" fontId="16" fillId="7" borderId="3" xfId="1" applyNumberFormat="1" applyFont="1" applyFill="1" applyBorder="1" applyAlignment="1" applyProtection="1">
      <alignment horizontal="center"/>
      <protection locked="0"/>
    </xf>
    <xf numFmtId="172" fontId="16" fillId="7" borderId="3" xfId="1" applyNumberFormat="1" applyFont="1" applyFill="1" applyBorder="1" applyAlignment="1" applyProtection="1">
      <alignment horizontal="center"/>
      <protection locked="0"/>
    </xf>
    <xf numFmtId="172" fontId="16" fillId="7" borderId="3" xfId="1" applyNumberFormat="1" applyFont="1" applyFill="1" applyBorder="1" applyAlignment="1">
      <alignment horizontal="right"/>
    </xf>
    <xf numFmtId="0" fontId="16" fillId="7" borderId="3" xfId="1" applyFont="1" applyFill="1" applyBorder="1" applyAlignment="1">
      <alignment horizontal="center"/>
    </xf>
    <xf numFmtId="0" fontId="16" fillId="8" borderId="3" xfId="1" applyFont="1" applyFill="1" applyBorder="1" applyProtection="1">
      <protection locked="0"/>
    </xf>
    <xf numFmtId="0" fontId="16" fillId="8" borderId="3" xfId="1" applyFont="1" applyFill="1" applyBorder="1" applyAlignment="1">
      <alignment horizontal="left"/>
    </xf>
    <xf numFmtId="18" fontId="16" fillId="8" borderId="3" xfId="1" applyNumberFormat="1" applyFont="1" applyFill="1" applyBorder="1" applyAlignment="1" applyProtection="1">
      <alignment horizontal="right"/>
      <protection locked="0"/>
    </xf>
    <xf numFmtId="18" fontId="16" fillId="8" borderId="3" xfId="1" applyNumberFormat="1" applyFont="1" applyFill="1" applyBorder="1" applyAlignment="1" applyProtection="1">
      <protection locked="0"/>
    </xf>
    <xf numFmtId="0" fontId="23" fillId="8" borderId="3" xfId="8" applyFill="1" applyBorder="1" applyAlignment="1">
      <alignment horizontal="left"/>
    </xf>
    <xf numFmtId="172" fontId="16" fillId="8" borderId="3" xfId="5" applyNumberFormat="1" applyFont="1" applyFill="1" applyBorder="1" applyProtection="1">
      <protection locked="0"/>
    </xf>
    <xf numFmtId="37" fontId="16" fillId="8" borderId="3" xfId="1" applyNumberFormat="1" applyFont="1" applyFill="1" applyBorder="1" applyAlignment="1" applyProtection="1">
      <alignment horizontal="center"/>
      <protection locked="0"/>
    </xf>
    <xf numFmtId="172" fontId="16" fillId="8" borderId="3" xfId="1" applyNumberFormat="1" applyFont="1" applyFill="1" applyBorder="1" applyAlignment="1" applyProtection="1">
      <alignment horizontal="center"/>
      <protection locked="0"/>
    </xf>
    <xf numFmtId="172" fontId="16" fillId="8" borderId="3" xfId="1" applyNumberFormat="1" applyFont="1" applyFill="1" applyBorder="1" applyAlignment="1">
      <alignment horizontal="right"/>
    </xf>
    <xf numFmtId="0" fontId="16" fillId="8" borderId="3" xfId="1" applyFont="1" applyFill="1" applyBorder="1" applyAlignment="1">
      <alignment horizontal="center"/>
    </xf>
    <xf numFmtId="0" fontId="16" fillId="8" borderId="3" xfId="1" applyFont="1" applyFill="1" applyBorder="1" applyAlignment="1" applyProtection="1">
      <alignment horizontal="center"/>
      <protection locked="0"/>
    </xf>
    <xf numFmtId="11" fontId="16" fillId="8" borderId="3" xfId="1" applyNumberFormat="1" applyFont="1" applyFill="1" applyBorder="1" applyAlignment="1" applyProtection="1">
      <protection locked="0"/>
    </xf>
    <xf numFmtId="0" fontId="8" fillId="9" borderId="16" xfId="0" applyFont="1" applyFill="1" applyBorder="1"/>
    <xf numFmtId="0" fontId="8" fillId="9" borderId="16" xfId="0" applyFont="1" applyFill="1" applyBorder="1" applyAlignment="1">
      <alignment horizontal="right"/>
    </xf>
    <xf numFmtId="165" fontId="8" fillId="9" borderId="16" xfId="0" applyNumberFormat="1" applyFont="1" applyFill="1" applyBorder="1"/>
    <xf numFmtId="0" fontId="8" fillId="9" borderId="0" xfId="0" applyFont="1" applyFill="1" applyBorder="1"/>
    <xf numFmtId="0" fontId="8" fillId="9" borderId="26" xfId="0" applyFont="1" applyFill="1" applyBorder="1" applyAlignment="1">
      <alignment horizontal="right"/>
    </xf>
    <xf numFmtId="165" fontId="8" fillId="9" borderId="26" xfId="0" applyNumberFormat="1" applyFont="1" applyFill="1" applyBorder="1"/>
    <xf numFmtId="0" fontId="8" fillId="10" borderId="16" xfId="0" applyFont="1" applyFill="1" applyBorder="1"/>
    <xf numFmtId="0" fontId="8" fillId="10" borderId="16" xfId="0" applyFont="1" applyFill="1" applyBorder="1" applyAlignment="1">
      <alignment horizontal="left"/>
    </xf>
    <xf numFmtId="0" fontId="8" fillId="10" borderId="2" xfId="0" applyFont="1" applyFill="1" applyBorder="1"/>
    <xf numFmtId="0" fontId="8" fillId="10" borderId="3" xfId="0" applyFont="1" applyFill="1" applyBorder="1" applyAlignment="1">
      <alignment horizontal="right"/>
    </xf>
    <xf numFmtId="165" fontId="8" fillId="10" borderId="5" xfId="0" applyNumberFormat="1" applyFont="1" applyFill="1" applyBorder="1"/>
    <xf numFmtId="0" fontId="8" fillId="10" borderId="28" xfId="0" applyFont="1" applyFill="1" applyBorder="1"/>
    <xf numFmtId="0" fontId="8" fillId="10" borderId="5" xfId="0" applyFont="1" applyFill="1" applyBorder="1"/>
    <xf numFmtId="0" fontId="8" fillId="10" borderId="3" xfId="0" applyFont="1" applyFill="1" applyBorder="1"/>
    <xf numFmtId="0" fontId="8" fillId="10" borderId="22" xfId="0" applyFont="1" applyFill="1" applyBorder="1"/>
    <xf numFmtId="0" fontId="8" fillId="10" borderId="5" xfId="0" applyFont="1" applyFill="1" applyBorder="1" applyAlignment="1">
      <alignment horizontal="right"/>
    </xf>
    <xf numFmtId="0" fontId="9" fillId="0" borderId="26" xfId="0" applyFont="1" applyBorder="1"/>
    <xf numFmtId="0" fontId="0" fillId="0" borderId="26" xfId="0" applyBorder="1"/>
    <xf numFmtId="0" fontId="9" fillId="0" borderId="29" xfId="11" applyFont="1" applyBorder="1"/>
    <xf numFmtId="0" fontId="29" fillId="0" borderId="30" xfId="10" applyFont="1" applyFill="1" applyBorder="1" applyAlignment="1">
      <alignment wrapText="1"/>
    </xf>
    <xf numFmtId="0" fontId="29" fillId="0" borderId="30" xfId="11" applyFont="1" applyFill="1" applyBorder="1"/>
    <xf numFmtId="170" fontId="29" fillId="0" borderId="30" xfId="3" applyFont="1" applyFill="1" applyBorder="1"/>
    <xf numFmtId="0" fontId="29" fillId="0" borderId="30" xfId="11" applyFont="1" applyBorder="1"/>
    <xf numFmtId="165" fontId="9" fillId="0" borderId="31" xfId="7" applyNumberFormat="1" applyFont="1" applyBorder="1" applyAlignment="1" applyProtection="1"/>
    <xf numFmtId="0" fontId="29" fillId="0" borderId="30" xfId="11" applyFont="1" applyFill="1" applyBorder="1" applyAlignment="1">
      <alignment wrapText="1" shrinkToFit="1"/>
    </xf>
    <xf numFmtId="165" fontId="9" fillId="0" borderId="32" xfId="7" applyNumberFormat="1" applyFont="1" applyBorder="1" applyAlignment="1" applyProtection="1"/>
    <xf numFmtId="0" fontId="9" fillId="0" borderId="33" xfId="11" applyFont="1" applyBorder="1"/>
    <xf numFmtId="0" fontId="29" fillId="0" borderId="8" xfId="10" applyFont="1" applyFill="1" applyBorder="1" applyAlignment="1">
      <alignment wrapText="1"/>
    </xf>
    <xf numFmtId="170" fontId="29" fillId="0" borderId="8" xfId="3" applyFont="1" applyFill="1" applyBorder="1"/>
    <xf numFmtId="0" fontId="29" fillId="0" borderId="8" xfId="11" applyFont="1" applyFill="1" applyBorder="1"/>
    <xf numFmtId="0" fontId="29" fillId="0" borderId="8" xfId="11" applyFont="1" applyBorder="1"/>
    <xf numFmtId="165" fontId="9" fillId="0" borderId="30" xfId="7" applyNumberFormat="1" applyFont="1" applyBorder="1" applyAlignment="1" applyProtection="1"/>
    <xf numFmtId="0" fontId="29" fillId="0" borderId="30" xfId="11" applyFont="1" applyFill="1" applyBorder="1" applyAlignment="1">
      <alignment wrapText="1"/>
    </xf>
    <xf numFmtId="0" fontId="9" fillId="0" borderId="34" xfId="11" applyFont="1" applyBorder="1"/>
    <xf numFmtId="170" fontId="32" fillId="0" borderId="36" xfId="12" applyNumberFormat="1" applyFont="1" applyBorder="1"/>
    <xf numFmtId="0" fontId="32" fillId="0" borderId="36" xfId="12" applyFont="1" applyBorder="1"/>
    <xf numFmtId="0" fontId="32" fillId="0" borderId="5" xfId="12" applyFont="1" applyBorder="1"/>
    <xf numFmtId="43" fontId="32" fillId="0" borderId="36" xfId="12" applyNumberFormat="1" applyFont="1" applyBorder="1"/>
    <xf numFmtId="11" fontId="32" fillId="0" borderId="36" xfId="12" applyNumberFormat="1" applyFont="1" applyBorder="1"/>
    <xf numFmtId="173" fontId="32" fillId="0" borderId="36" xfId="12" applyNumberFormat="1" applyFont="1" applyBorder="1"/>
    <xf numFmtId="0" fontId="32" fillId="0" borderId="36" xfId="12" applyNumberFormat="1" applyFont="1" applyBorder="1"/>
    <xf numFmtId="176" fontId="32" fillId="0" borderId="36" xfId="12" applyNumberFormat="1" applyFont="1" applyBorder="1"/>
    <xf numFmtId="0" fontId="32" fillId="0" borderId="36" xfId="12" applyFont="1" applyFill="1" applyBorder="1"/>
    <xf numFmtId="0" fontId="0" fillId="0" borderId="0" xfId="0" applyBorder="1" applyAlignment="1"/>
    <xf numFmtId="0" fontId="0" fillId="0" borderId="3" xfId="0" applyBorder="1" applyAlignment="1"/>
    <xf numFmtId="0" fontId="0" fillId="0" borderId="3" xfId="7" applyNumberFormat="1" applyFont="1" applyBorder="1" applyAlignment="1"/>
    <xf numFmtId="0" fontId="0" fillId="0" borderId="22" xfId="0" applyBorder="1" applyAlignment="1"/>
    <xf numFmtId="175" fontId="0" fillId="0" borderId="0" xfId="0" applyNumberFormat="1" applyBorder="1"/>
    <xf numFmtId="2" fontId="9" fillId="0" borderId="3" xfId="0" applyNumberFormat="1" applyFont="1" applyBorder="1"/>
    <xf numFmtId="11" fontId="32" fillId="0" borderId="36" xfId="29" applyNumberFormat="1" applyFont="1" applyBorder="1"/>
    <xf numFmtId="0" fontId="9" fillId="0" borderId="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32" fillId="0" borderId="36" xfId="29" applyFont="1" applyBorder="1"/>
    <xf numFmtId="0" fontId="32" fillId="0" borderId="35" xfId="29" applyFont="1" applyBorder="1"/>
    <xf numFmtId="0" fontId="32" fillId="0" borderId="36" xfId="29" applyFont="1" applyBorder="1" applyAlignment="1">
      <alignment wrapText="1"/>
    </xf>
    <xf numFmtId="175" fontId="9" fillId="0" borderId="3" xfId="0" applyNumberFormat="1" applyFont="1" applyBorder="1" applyAlignment="1">
      <alignment wrapText="1"/>
    </xf>
    <xf numFmtId="170" fontId="32" fillId="0" borderId="36" xfId="29" applyNumberFormat="1" applyFont="1" applyBorder="1"/>
    <xf numFmtId="0" fontId="32" fillId="0" borderId="36" xfId="29" applyFont="1" applyBorder="1"/>
    <xf numFmtId="0" fontId="32" fillId="0" borderId="35" xfId="29" applyFont="1" applyBorder="1"/>
    <xf numFmtId="170" fontId="32" fillId="0" borderId="35" xfId="29" applyNumberFormat="1" applyFont="1" applyBorder="1"/>
    <xf numFmtId="165" fontId="9" fillId="0" borderId="38" xfId="7" applyNumberFormat="1" applyFont="1" applyBorder="1" applyAlignment="1" applyProtection="1"/>
    <xf numFmtId="0" fontId="9" fillId="0" borderId="38" xfId="0" applyFont="1" applyBorder="1"/>
    <xf numFmtId="0" fontId="9" fillId="0" borderId="39" xfId="0" applyFont="1" applyBorder="1"/>
    <xf numFmtId="0" fontId="8" fillId="10" borderId="38" xfId="0" applyFont="1" applyFill="1" applyBorder="1"/>
    <xf numFmtId="0" fontId="8" fillId="10" borderId="39" xfId="0" applyFont="1" applyFill="1" applyBorder="1"/>
    <xf numFmtId="165" fontId="9" fillId="0" borderId="0" xfId="0" applyNumberFormat="1" applyFont="1" applyBorder="1"/>
    <xf numFmtId="0" fontId="9" fillId="0" borderId="0" xfId="0" applyFont="1" applyBorder="1" applyAlignment="1">
      <alignment horizontal="right"/>
    </xf>
    <xf numFmtId="0" fontId="0" fillId="0" borderId="21" xfId="0" applyFont="1" applyBorder="1"/>
    <xf numFmtId="0" fontId="0" fillId="0" borderId="38" xfId="0" applyBorder="1"/>
    <xf numFmtId="0" fontId="0" fillId="0" borderId="38" xfId="7" applyNumberFormat="1" applyFont="1" applyBorder="1" applyAlignment="1">
      <alignment wrapText="1"/>
    </xf>
    <xf numFmtId="0" fontId="0" fillId="0" borderId="39" xfId="0" applyBorder="1"/>
    <xf numFmtId="165" fontId="9" fillId="0" borderId="38" xfId="7" applyNumberFormat="1" applyFont="1" applyBorder="1" applyAlignment="1" applyProtection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8" fillId="10" borderId="38" xfId="0" applyFont="1" applyFill="1" applyBorder="1" applyAlignment="1">
      <alignment horizontal="right"/>
    </xf>
    <xf numFmtId="0" fontId="9" fillId="0" borderId="39" xfId="0" applyFont="1" applyBorder="1" applyAlignment="1"/>
    <xf numFmtId="0" fontId="0" fillId="0" borderId="38" xfId="0" applyBorder="1" applyAlignment="1"/>
    <xf numFmtId="0" fontId="0" fillId="0" borderId="39" xfId="0" applyBorder="1" applyAlignment="1"/>
    <xf numFmtId="0" fontId="0" fillId="0" borderId="38" xfId="7" applyNumberFormat="1" applyFont="1" applyBorder="1" applyAlignment="1"/>
    <xf numFmtId="0" fontId="32" fillId="0" borderId="36" xfId="44" applyNumberFormat="1" applyFont="1" applyBorder="1"/>
    <xf numFmtId="175" fontId="9" fillId="0" borderId="38" xfId="0" applyNumberFormat="1" applyFont="1" applyBorder="1"/>
    <xf numFmtId="0" fontId="29" fillId="0" borderId="41" xfId="11" applyFont="1" applyFill="1" applyBorder="1" applyAlignment="1" applyProtection="1">
      <alignment wrapText="1"/>
    </xf>
    <xf numFmtId="0" fontId="29" fillId="0" borderId="41" xfId="53" applyFont="1" applyFill="1" applyBorder="1" applyAlignment="1">
      <alignment wrapText="1"/>
    </xf>
    <xf numFmtId="0" fontId="29" fillId="0" borderId="43" xfId="11" applyFont="1" applyFill="1" applyBorder="1" applyAlignment="1"/>
    <xf numFmtId="0" fontId="29" fillId="0" borderId="43" xfId="11" applyFont="1" applyFill="1" applyBorder="1" applyAlignment="1" applyProtection="1">
      <alignment wrapText="1"/>
    </xf>
    <xf numFmtId="0" fontId="29" fillId="0" borderId="43" xfId="11" applyFont="1" applyFill="1" applyBorder="1" applyAlignment="1">
      <alignment horizontal="left"/>
    </xf>
    <xf numFmtId="170" fontId="32" fillId="0" borderId="43" xfId="60" applyNumberFormat="1" applyFont="1" applyFill="1" applyBorder="1" applyAlignment="1"/>
    <xf numFmtId="43" fontId="29" fillId="0" borderId="43" xfId="17" applyFont="1" applyFill="1" applyBorder="1" applyAlignment="1"/>
    <xf numFmtId="11" fontId="29" fillId="0" borderId="43" xfId="11" applyNumberFormat="1" applyFont="1" applyFill="1" applyBorder="1" applyAlignment="1">
      <alignment wrapText="1"/>
    </xf>
    <xf numFmtId="165" fontId="9" fillId="0" borderId="43" xfId="7" applyNumberFormat="1" applyFont="1" applyBorder="1" applyAlignment="1" applyProtection="1"/>
    <xf numFmtId="0" fontId="29" fillId="0" borderId="43" xfId="11" applyFont="1" applyFill="1" applyBorder="1" applyAlignment="1">
      <alignment wrapText="1"/>
    </xf>
    <xf numFmtId="0" fontId="29" fillId="0" borderId="43" xfId="11" applyFont="1" applyFill="1" applyBorder="1" applyAlignment="1">
      <alignment horizontal="left" wrapText="1"/>
    </xf>
    <xf numFmtId="170" fontId="32" fillId="0" borderId="43" xfId="60" applyNumberFormat="1" applyFont="1" applyFill="1" applyBorder="1" applyAlignment="1">
      <alignment wrapText="1"/>
    </xf>
    <xf numFmtId="43" fontId="29" fillId="0" borderId="43" xfId="17" applyFont="1" applyFill="1" applyBorder="1" applyAlignment="1">
      <alignment wrapText="1"/>
    </xf>
    <xf numFmtId="0" fontId="29" fillId="0" borderId="43" xfId="17" applyNumberFormat="1" applyFont="1" applyFill="1" applyBorder="1" applyAlignment="1">
      <alignment wrapText="1"/>
    </xf>
    <xf numFmtId="0" fontId="29" fillId="0" borderId="43" xfId="11" applyFont="1" applyFill="1" applyBorder="1" applyAlignment="1" applyProtection="1"/>
    <xf numFmtId="11" fontId="29" fillId="0" borderId="43" xfId="11" applyNumberFormat="1" applyFont="1" applyFill="1" applyBorder="1" applyAlignment="1"/>
    <xf numFmtId="0" fontId="29" fillId="0" borderId="43" xfId="17" applyNumberFormat="1" applyFont="1" applyFill="1" applyBorder="1" applyAlignment="1"/>
    <xf numFmtId="43" fontId="29" fillId="0" borderId="43" xfId="11" applyNumberFormat="1" applyFont="1" applyFill="1" applyBorder="1" applyAlignment="1"/>
    <xf numFmtId="0" fontId="10" fillId="0" borderId="44" xfId="11" applyBorder="1" applyAlignment="1">
      <alignment wrapText="1"/>
    </xf>
    <xf numFmtId="0" fontId="29" fillId="0" borderId="43" xfId="10" applyFont="1" applyFill="1" applyBorder="1" applyAlignment="1">
      <alignment wrapText="1"/>
    </xf>
    <xf numFmtId="0" fontId="29" fillId="0" borderId="43" xfId="11" applyFont="1" applyBorder="1"/>
    <xf numFmtId="170" fontId="29" fillId="0" borderId="43" xfId="3" applyFont="1" applyFill="1" applyBorder="1"/>
    <xf numFmtId="0" fontId="9" fillId="0" borderId="44" xfId="11" applyFont="1" applyBorder="1"/>
    <xf numFmtId="0" fontId="29" fillId="0" borderId="43" xfId="11" applyFont="1" applyFill="1" applyBorder="1"/>
    <xf numFmtId="1" fontId="29" fillId="0" borderId="43" xfId="11" applyNumberFormat="1" applyFont="1" applyFill="1" applyBorder="1"/>
    <xf numFmtId="0" fontId="10" fillId="0" borderId="43" xfId="11" applyBorder="1"/>
    <xf numFmtId="178" fontId="29" fillId="0" borderId="43" xfId="26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43" fontId="29" fillId="0" borderId="43" xfId="17" applyFont="1" applyFill="1" applyBorder="1" applyAlignment="1">
      <alignment horizontal="right"/>
    </xf>
    <xf numFmtId="0" fontId="9" fillId="0" borderId="39" xfId="0" applyFont="1" applyBorder="1" applyAlignment="1">
      <alignment wrapText="1"/>
    </xf>
    <xf numFmtId="0" fontId="9" fillId="0" borderId="43" xfId="0" applyFont="1" applyBorder="1" applyAlignment="1">
      <alignment wrapText="1"/>
    </xf>
    <xf numFmtId="179" fontId="29" fillId="0" borderId="43" xfId="23" applyNumberFormat="1" applyFont="1" applyFill="1" applyBorder="1" applyAlignment="1">
      <alignment horizontal="right" wrapText="1"/>
    </xf>
    <xf numFmtId="1" fontId="29" fillId="0" borderId="43" xfId="11" applyNumberFormat="1" applyFont="1" applyBorder="1"/>
    <xf numFmtId="0" fontId="9" fillId="0" borderId="0" xfId="11" applyFont="1" applyBorder="1"/>
    <xf numFmtId="0" fontId="9" fillId="0" borderId="43" xfId="10" applyFont="1" applyFill="1" applyBorder="1" applyAlignment="1">
      <alignment wrapText="1"/>
    </xf>
    <xf numFmtId="0" fontId="9" fillId="0" borderId="43" xfId="11" applyFont="1" applyBorder="1"/>
    <xf numFmtId="170" fontId="9" fillId="0" borderId="43" xfId="3" applyFont="1" applyFill="1" applyBorder="1"/>
    <xf numFmtId="0" fontId="9" fillId="0" borderId="43" xfId="11" applyFont="1" applyFill="1" applyBorder="1"/>
    <xf numFmtId="1" fontId="9" fillId="0" borderId="43" xfId="11" applyNumberFormat="1" applyFont="1" applyFill="1" applyBorder="1"/>
    <xf numFmtId="11" fontId="9" fillId="0" borderId="43" xfId="23" applyNumberFormat="1" applyFont="1" applyBorder="1" applyAlignment="1" applyProtection="1"/>
    <xf numFmtId="180" fontId="29" fillId="0" borderId="43" xfId="17" applyNumberFormat="1" applyFont="1" applyFill="1" applyBorder="1" applyAlignment="1">
      <alignment wrapText="1"/>
    </xf>
    <xf numFmtId="180" fontId="29" fillId="0" borderId="43" xfId="17" applyNumberFormat="1" applyFont="1" applyFill="1" applyBorder="1" applyAlignment="1"/>
    <xf numFmtId="180" fontId="29" fillId="0" borderId="43" xfId="17" applyNumberFormat="1" applyFont="1" applyFill="1" applyBorder="1" applyAlignment="1">
      <alignment horizontal="right"/>
    </xf>
    <xf numFmtId="1" fontId="9" fillId="0" borderId="38" xfId="7" applyNumberFormat="1" applyFont="1" applyBorder="1" applyAlignment="1" applyProtection="1"/>
    <xf numFmtId="0" fontId="29" fillId="0" borderId="43" xfId="11" applyFont="1" applyFill="1" applyBorder="1" applyAlignment="1" applyProtection="1">
      <alignment horizontal="left"/>
    </xf>
    <xf numFmtId="1" fontId="9" fillId="0" borderId="43" xfId="7" applyNumberFormat="1" applyFont="1" applyBorder="1" applyAlignment="1" applyProtection="1">
      <alignment wrapText="1"/>
    </xf>
    <xf numFmtId="179" fontId="29" fillId="0" borderId="43" xfId="17" applyNumberFormat="1" applyFont="1" applyFill="1" applyBorder="1" applyAlignment="1"/>
    <xf numFmtId="179" fontId="29" fillId="0" borderId="43" xfId="17" applyNumberFormat="1" applyFont="1" applyFill="1" applyBorder="1" applyAlignment="1">
      <alignment horizontal="right"/>
    </xf>
    <xf numFmtId="0" fontId="8" fillId="0" borderId="0" xfId="0" applyFont="1" applyBorder="1" applyAlignment="1"/>
    <xf numFmtId="0" fontId="23" fillId="0" borderId="16" xfId="8" applyBorder="1"/>
    <xf numFmtId="172" fontId="9" fillId="0" borderId="16" xfId="9" applyNumberFormat="1" applyFont="1" applyBorder="1"/>
    <xf numFmtId="170" fontId="32" fillId="0" borderId="43" xfId="60" applyNumberFormat="1" applyFont="1" applyFill="1" applyBorder="1" applyAlignment="1">
      <alignment horizontal="right"/>
    </xf>
    <xf numFmtId="0" fontId="29" fillId="0" borderId="43" xfId="11" applyFont="1" applyFill="1" applyBorder="1" applyAlignment="1">
      <alignment horizontal="right"/>
    </xf>
    <xf numFmtId="179" fontId="29" fillId="0" borderId="43" xfId="17" applyNumberFormat="1" applyFont="1" applyFill="1" applyBorder="1" applyAlignment="1">
      <alignment horizontal="right" wrapText="1"/>
    </xf>
    <xf numFmtId="11" fontId="29" fillId="0" borderId="43" xfId="11" applyNumberFormat="1" applyFont="1" applyFill="1" applyBorder="1" applyAlignment="1">
      <alignment horizontal="right"/>
    </xf>
    <xf numFmtId="172" fontId="9" fillId="0" borderId="16" xfId="0" applyNumberFormat="1" applyFont="1" applyBorder="1"/>
    <xf numFmtId="0" fontId="29" fillId="0" borderId="0" xfId="11" applyFont="1" applyFill="1" applyBorder="1"/>
    <xf numFmtId="0" fontId="29" fillId="0" borderId="8" xfId="11" applyFont="1" applyFill="1" applyBorder="1" applyAlignment="1">
      <alignment wrapText="1"/>
    </xf>
    <xf numFmtId="165" fontId="9" fillId="0" borderId="45" xfId="7" applyNumberFormat="1" applyFont="1" applyBorder="1" applyAlignment="1" applyProtection="1">
      <alignment wrapText="1"/>
    </xf>
    <xf numFmtId="0" fontId="29" fillId="0" borderId="45" xfId="1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0" xfId="0" applyFont="1" applyAlignment="1">
      <alignment wrapText="1"/>
    </xf>
    <xf numFmtId="172" fontId="9" fillId="0" borderId="48" xfId="0" applyNumberFormat="1" applyFont="1" applyBorder="1"/>
    <xf numFmtId="172" fontId="9" fillId="0" borderId="46" xfId="0" applyNumberFormat="1" applyFont="1" applyBorder="1"/>
    <xf numFmtId="0" fontId="23" fillId="0" borderId="46" xfId="8" applyBorder="1"/>
    <xf numFmtId="165" fontId="9" fillId="0" borderId="48" xfId="7" applyNumberFormat="1" applyFont="1" applyBorder="1" applyAlignment="1" applyProtection="1"/>
    <xf numFmtId="37" fontId="9" fillId="0" borderId="48" xfId="0" applyNumberFormat="1" applyFont="1" applyBorder="1" applyAlignment="1"/>
    <xf numFmtId="172" fontId="0" fillId="0" borderId="48" xfId="0" applyNumberFormat="1" applyBorder="1"/>
    <xf numFmtId="0" fontId="23" fillId="0" borderId="48" xfId="8" applyBorder="1"/>
    <xf numFmtId="0" fontId="9" fillId="0" borderId="48" xfId="0" applyFont="1" applyBorder="1"/>
    <xf numFmtId="176" fontId="29" fillId="0" borderId="45" xfId="72" applyNumberFormat="1" applyFont="1" applyFill="1" applyBorder="1" applyAlignment="1">
      <alignment vertical="center"/>
    </xf>
    <xf numFmtId="179" fontId="29" fillId="0" borderId="45" xfId="72" applyNumberFormat="1" applyFont="1" applyFill="1" applyBorder="1" applyAlignment="1">
      <alignment horizontal="right" vertical="center"/>
    </xf>
    <xf numFmtId="0" fontId="29" fillId="0" borderId="45" xfId="61" applyFont="1" applyFill="1" applyBorder="1"/>
    <xf numFmtId="11" fontId="29" fillId="0" borderId="45" xfId="61" applyNumberFormat="1" applyFont="1" applyFill="1" applyBorder="1"/>
    <xf numFmtId="170" fontId="29" fillId="0" borderId="45" xfId="19" applyFont="1" applyFill="1" applyBorder="1"/>
    <xf numFmtId="173" fontId="29" fillId="0" borderId="45" xfId="61" applyNumberFormat="1" applyFont="1" applyFill="1" applyBorder="1"/>
    <xf numFmtId="11" fontId="29" fillId="0" borderId="45" xfId="61" applyNumberFormat="1" applyFont="1" applyFill="1" applyBorder="1" applyAlignment="1">
      <alignment wrapText="1"/>
    </xf>
    <xf numFmtId="43" fontId="29" fillId="0" borderId="45" xfId="72" applyFont="1" applyFill="1" applyBorder="1"/>
    <xf numFmtId="0" fontId="29" fillId="0" borderId="45" xfId="72" applyNumberFormat="1" applyFont="1" applyFill="1" applyBorder="1"/>
    <xf numFmtId="182" fontId="29" fillId="0" borderId="45" xfId="19" applyNumberFormat="1" applyFont="1" applyFill="1" applyBorder="1"/>
    <xf numFmtId="181" fontId="29" fillId="0" borderId="45" xfId="72" applyNumberFormat="1" applyFont="1" applyFill="1" applyBorder="1"/>
    <xf numFmtId="165" fontId="9" fillId="0" borderId="26" xfId="7" applyNumberFormat="1" applyFont="1" applyBorder="1" applyAlignment="1" applyProtection="1"/>
    <xf numFmtId="172" fontId="9" fillId="0" borderId="26" xfId="7" applyNumberFormat="1" applyFont="1" applyBorder="1" applyAlignment="1" applyProtection="1"/>
    <xf numFmtId="0" fontId="23" fillId="0" borderId="26" xfId="8" applyNumberFormat="1" applyBorder="1" applyAlignment="1" applyProtection="1"/>
    <xf numFmtId="165" fontId="9" fillId="0" borderId="46" xfId="7" applyNumberFormat="1" applyFont="1" applyBorder="1" applyAlignment="1" applyProtection="1"/>
    <xf numFmtId="37" fontId="9" fillId="0" borderId="46" xfId="0" applyNumberFormat="1" applyFont="1" applyBorder="1" applyAlignment="1"/>
    <xf numFmtId="172" fontId="9" fillId="0" borderId="46" xfId="7" applyNumberFormat="1" applyFont="1" applyBorder="1" applyAlignment="1" applyProtection="1"/>
    <xf numFmtId="0" fontId="23" fillId="0" borderId="46" xfId="8" applyNumberFormat="1" applyBorder="1" applyAlignment="1" applyProtection="1"/>
    <xf numFmtId="0" fontId="9" fillId="0" borderId="46" xfId="0" applyFont="1" applyBorder="1"/>
    <xf numFmtId="0" fontId="29" fillId="0" borderId="45" xfId="10" applyFont="1" applyFill="1" applyBorder="1" applyAlignment="1"/>
    <xf numFmtId="0" fontId="29" fillId="0" borderId="45" xfId="70" applyFont="1" applyFill="1" applyBorder="1"/>
    <xf numFmtId="0" fontId="29" fillId="0" borderId="45" xfId="70" applyNumberFormat="1" applyFont="1" applyFill="1" applyBorder="1"/>
    <xf numFmtId="170" fontId="29" fillId="0" borderId="45" xfId="19" applyFont="1" applyFill="1" applyBorder="1"/>
    <xf numFmtId="0" fontId="29" fillId="0" borderId="45" xfId="10" applyFont="1" applyFill="1" applyBorder="1" applyAlignment="1">
      <alignment wrapText="1"/>
    </xf>
    <xf numFmtId="0" fontId="29" fillId="0" borderId="45" xfId="70" applyFont="1" applyFill="1" applyBorder="1" applyAlignment="1"/>
    <xf numFmtId="170" fontId="29" fillId="0" borderId="45" xfId="19" applyFont="1" applyFill="1" applyBorder="1" applyAlignment="1"/>
    <xf numFmtId="0" fontId="29" fillId="0" borderId="45" xfId="70" applyNumberFormat="1" applyFont="1" applyFill="1" applyBorder="1" applyAlignment="1"/>
    <xf numFmtId="0" fontId="29" fillId="0" borderId="45" xfId="70" applyNumberFormat="1" applyFont="1" applyFill="1" applyBorder="1"/>
    <xf numFmtId="0" fontId="8" fillId="10" borderId="48" xfId="0" applyFont="1" applyFill="1" applyBorder="1"/>
    <xf numFmtId="0" fontId="9" fillId="0" borderId="49" xfId="0" applyFont="1" applyBorder="1" applyAlignment="1"/>
    <xf numFmtId="0" fontId="8" fillId="10" borderId="48" xfId="0" applyFont="1" applyFill="1" applyBorder="1" applyAlignment="1">
      <alignment horizontal="right"/>
    </xf>
    <xf numFmtId="0" fontId="8" fillId="10" borderId="49" xfId="0" applyFont="1" applyFill="1" applyBorder="1"/>
    <xf numFmtId="0" fontId="0" fillId="0" borderId="49" xfId="0" applyBorder="1" applyAlignment="1">
      <alignment wrapText="1"/>
    </xf>
    <xf numFmtId="0" fontId="0" fillId="0" borderId="48" xfId="7" applyNumberFormat="1" applyFont="1" applyBorder="1" applyAlignment="1">
      <alignment wrapText="1"/>
    </xf>
    <xf numFmtId="0" fontId="0" fillId="0" borderId="48" xfId="0" applyBorder="1" applyAlignment="1">
      <alignment wrapText="1"/>
    </xf>
    <xf numFmtId="165" fontId="9" fillId="0" borderId="48" xfId="7" applyNumberFormat="1" applyFont="1" applyBorder="1" applyAlignment="1" applyProtection="1">
      <alignment wrapText="1"/>
    </xf>
    <xf numFmtId="0" fontId="9" fillId="0" borderId="49" xfId="0" applyFont="1" applyBorder="1"/>
    <xf numFmtId="0" fontId="0" fillId="0" borderId="48" xfId="0" applyBorder="1"/>
    <xf numFmtId="175" fontId="0" fillId="0" borderId="16" xfId="0" applyNumberFormat="1" applyBorder="1"/>
    <xf numFmtId="180" fontId="29" fillId="0" borderId="50" xfId="87" applyNumberFormat="1" applyFont="1" applyFill="1" applyBorder="1" applyAlignment="1">
      <alignment wrapText="1"/>
    </xf>
    <xf numFmtId="172" fontId="29" fillId="0" borderId="50" xfId="9" applyNumberFormat="1" applyFont="1" applyFill="1" applyBorder="1" applyAlignment="1">
      <alignment wrapText="1"/>
    </xf>
    <xf numFmtId="0" fontId="29" fillId="0" borderId="50" xfId="76" applyFont="1" applyFill="1" applyBorder="1" applyAlignment="1" applyProtection="1">
      <alignment vertical="center" wrapText="1"/>
    </xf>
    <xf numFmtId="11" fontId="29" fillId="0" borderId="50" xfId="76" applyNumberFormat="1" applyFont="1" applyFill="1" applyBorder="1" applyAlignment="1">
      <alignment wrapText="1"/>
    </xf>
    <xf numFmtId="0" fontId="29" fillId="0" borderId="50" xfId="76" applyFont="1" applyFill="1" applyBorder="1" applyAlignment="1">
      <alignment wrapText="1"/>
    </xf>
    <xf numFmtId="187" fontId="29" fillId="0" borderId="50" xfId="87" applyFont="1" applyFill="1" applyBorder="1" applyAlignment="1">
      <alignment wrapText="1"/>
    </xf>
    <xf numFmtId="181" fontId="29" fillId="0" borderId="50" xfId="87" applyNumberFormat="1" applyFont="1" applyFill="1" applyBorder="1" applyAlignment="1">
      <alignment wrapText="1"/>
    </xf>
    <xf numFmtId="1" fontId="29" fillId="0" borderId="50" xfId="87" applyNumberFormat="1" applyFont="1" applyFill="1" applyBorder="1" applyAlignment="1">
      <alignment wrapText="1"/>
    </xf>
    <xf numFmtId="173" fontId="0" fillId="0" borderId="52" xfId="0" applyNumberFormat="1" applyBorder="1"/>
    <xf numFmtId="11" fontId="0" fillId="0" borderId="0" xfId="0" applyNumberFormat="1"/>
    <xf numFmtId="0" fontId="0" fillId="0" borderId="53" xfId="0" applyBorder="1"/>
    <xf numFmtId="0" fontId="37" fillId="0" borderId="50" xfId="10" applyFont="1" applyFill="1" applyBorder="1" applyAlignment="1">
      <alignment wrapText="1"/>
    </xf>
    <xf numFmtId="172" fontId="5" fillId="0" borderId="54" xfId="9" applyNumberFormat="1" applyFont="1" applyBorder="1"/>
    <xf numFmtId="0" fontId="29" fillId="0" borderId="50" xfId="82" applyNumberFormat="1" applyFont="1" applyFill="1" applyBorder="1" applyAlignment="1">
      <alignment wrapText="1"/>
    </xf>
    <xf numFmtId="0" fontId="29" fillId="0" borderId="50" xfId="82" applyFont="1" applyFill="1" applyBorder="1" applyAlignment="1">
      <alignment wrapText="1"/>
    </xf>
    <xf numFmtId="170" fontId="29" fillId="0" borderId="50" xfId="19" applyFont="1" applyFill="1" applyBorder="1" applyAlignment="1">
      <alignment wrapText="1"/>
    </xf>
    <xf numFmtId="178" fontId="37" fillId="0" borderId="50" xfId="3" applyNumberFormat="1" applyFont="1" applyFill="1" applyBorder="1" applyAlignment="1">
      <alignment horizontal="right" wrapText="1"/>
    </xf>
    <xf numFmtId="0" fontId="9" fillId="0" borderId="53" xfId="0" applyFont="1" applyBorder="1"/>
    <xf numFmtId="0" fontId="29" fillId="0" borderId="50" xfId="0" applyFont="1" applyFill="1" applyBorder="1" applyAlignment="1" applyProtection="1">
      <alignment vertical="center" wrapText="1"/>
    </xf>
    <xf numFmtId="0" fontId="29" fillId="0" borderId="50" xfId="82" applyFont="1" applyFill="1" applyBorder="1" applyAlignment="1">
      <alignment wrapText="1"/>
    </xf>
    <xf numFmtId="0" fontId="1" fillId="0" borderId="50" xfId="82" applyBorder="1" applyAlignment="1">
      <alignment wrapText="1"/>
    </xf>
    <xf numFmtId="0" fontId="8" fillId="9" borderId="46" xfId="0" applyFont="1" applyFill="1" applyBorder="1"/>
    <xf numFmtId="0" fontId="9" fillId="0" borderId="31" xfId="0" applyFont="1" applyBorder="1"/>
    <xf numFmtId="0" fontId="9" fillId="0" borderId="29" xfId="0" applyFont="1" applyBorder="1"/>
    <xf numFmtId="0" fontId="29" fillId="0" borderId="50" xfId="82" applyNumberFormat="1" applyFont="1" applyFill="1" applyBorder="1"/>
    <xf numFmtId="0" fontId="29" fillId="0" borderId="50" xfId="82" applyFont="1" applyFill="1" applyBorder="1"/>
    <xf numFmtId="0" fontId="29" fillId="0" borderId="50" xfId="82" applyFont="1" applyFill="1" applyBorder="1" applyAlignment="1" applyProtection="1">
      <alignment vertical="center" wrapText="1"/>
    </xf>
    <xf numFmtId="174" fontId="10" fillId="0" borderId="50" xfId="15" applyBorder="1">
      <alignment vertical="center" wrapText="1"/>
    </xf>
    <xf numFmtId="0" fontId="29" fillId="0" borderId="50" xfId="10" applyFont="1" applyFill="1" applyBorder="1" applyAlignment="1">
      <alignment wrapText="1"/>
    </xf>
    <xf numFmtId="174" fontId="10" fillId="0" borderId="1" xfId="15">
      <alignment vertical="center" wrapText="1"/>
    </xf>
    <xf numFmtId="0" fontId="29" fillId="0" borderId="50" xfId="82" applyFont="1" applyFill="1" applyBorder="1"/>
    <xf numFmtId="170" fontId="29" fillId="0" borderId="50" xfId="19" applyFont="1" applyFill="1" applyBorder="1"/>
    <xf numFmtId="39" fontId="29" fillId="0" borderId="50" xfId="3" applyNumberFormat="1" applyFont="1" applyFill="1" applyBorder="1"/>
    <xf numFmtId="187" fontId="29" fillId="0" borderId="50" xfId="87" applyFont="1" applyFill="1" applyBorder="1"/>
    <xf numFmtId="0" fontId="29" fillId="0" borderId="50" xfId="19" applyNumberFormat="1" applyFont="1" applyFill="1" applyBorder="1"/>
    <xf numFmtId="37" fontId="29" fillId="0" borderId="50" xfId="3" applyNumberFormat="1" applyFont="1" applyFill="1" applyBorder="1"/>
  </cellXfs>
  <cellStyles count="91">
    <cellStyle name="Comma 2" xfId="5" xr:uid="{00000000-0005-0000-0000-000000000000}"/>
    <cellStyle name="Comma 2 2" xfId="22" xr:uid="{00000000-0005-0000-0000-000001000000}"/>
    <cellStyle name="Comma 2 2 2" xfId="48" xr:uid="{00000000-0005-0000-0000-000001000000}"/>
    <cellStyle name="Comma 2 2 3" xfId="65" xr:uid="{00000000-0005-0000-0000-000001000000}"/>
    <cellStyle name="Comma 2 2 4" xfId="80" xr:uid="{00000000-0005-0000-0000-000001000000}"/>
    <cellStyle name="Comma 2 3" xfId="13" xr:uid="{00000000-0005-0000-0000-000000000000}"/>
    <cellStyle name="Cost_Green" xfId="4" xr:uid="{00000000-0005-0000-0000-000001000000}"/>
    <cellStyle name="Currency 2" xfId="2" xr:uid="{00000000-0005-0000-0000-000002000000}"/>
    <cellStyle name="Currency 2 2" xfId="31" xr:uid="{00000000-0005-0000-0000-000006000000}"/>
    <cellStyle name="Excel Built-in Explanatory Text" xfId="37" xr:uid="{00000000-0005-0000-0000-000007000000}"/>
    <cellStyle name="Excel Built-in Explanatory Text 2" xfId="54" xr:uid="{00000000-0005-0000-0000-000007000000}"/>
    <cellStyle name="Excel Built-in Explanatory Text 3" xfId="59" xr:uid="{00000000-0005-0000-0000-000007000000}"/>
    <cellStyle name="Excel Built-in Explanatory Text 4" xfId="71" xr:uid="{00000000-0005-0000-0000-000007000000}"/>
    <cellStyle name="Excel Built-in Explanatory Text 5" xfId="86" xr:uid="{00000000-0005-0000-0000-000007000000}"/>
    <cellStyle name="Lien hypertexte" xfId="8" builtinId="8"/>
    <cellStyle name="Lien hypertexte 2" xfId="14" xr:uid="{00000000-0005-0000-0000-000041000000}"/>
    <cellStyle name="Milliers 2" xfId="17" xr:uid="{00000000-0005-0000-0000-000022000000}"/>
    <cellStyle name="Milliers 2 2" xfId="39" xr:uid="{00000000-0005-0000-0000-000023000000}"/>
    <cellStyle name="Milliers 2 2 2" xfId="55" xr:uid="{00000000-0005-0000-0000-000023000000}"/>
    <cellStyle name="Milliers 2 2 3" xfId="72" xr:uid="{00000000-0005-0000-0000-000023000000}"/>
    <cellStyle name="Milliers 2 2 4" xfId="87" xr:uid="{00000000-0005-0000-0000-000023000000}"/>
    <cellStyle name="Milliers 3" xfId="23" xr:uid="{00000000-0005-0000-0000-000024000000}"/>
    <cellStyle name="Milliers 3 2" xfId="21" xr:uid="{00000000-0005-0000-0000-000025000000}"/>
    <cellStyle name="Milliers 3 2 2" xfId="47" xr:uid="{00000000-0005-0000-0000-000025000000}"/>
    <cellStyle name="Milliers 3 2 3" xfId="64" xr:uid="{00000000-0005-0000-0000-000025000000}"/>
    <cellStyle name="Milliers 3 2 4" xfId="79" xr:uid="{00000000-0005-0000-0000-000025000000}"/>
    <cellStyle name="Milliers 3 3" xfId="49" xr:uid="{00000000-0005-0000-0000-000024000000}"/>
    <cellStyle name="Milliers 3 4" xfId="66" xr:uid="{00000000-0005-0000-0000-000024000000}"/>
    <cellStyle name="Milliers 3 5" xfId="81" xr:uid="{00000000-0005-0000-0000-000024000000}"/>
    <cellStyle name="Milliers 4" xfId="34" xr:uid="{00000000-0005-0000-0000-000026000000}"/>
    <cellStyle name="Milliers 5" xfId="18" xr:uid="{00000000-0005-0000-0000-000042000000}"/>
    <cellStyle name="Milliers 6" xfId="46" xr:uid="{00000000-0005-0000-0000-00005F000000}"/>
    <cellStyle name="Milliers 7" xfId="63" xr:uid="{00000000-0005-0000-0000-00006F000000}"/>
    <cellStyle name="Milliers 8" xfId="78" xr:uid="{00000000-0005-0000-0000-00007E000000}"/>
    <cellStyle name="Monétaire" xfId="9" builtinId="4"/>
    <cellStyle name="Monétaire 10" xfId="19" xr:uid="{00000000-0005-0000-0000-000028000000}"/>
    <cellStyle name="Monétaire 10 2" xfId="30" xr:uid="{00000000-0005-0000-0000-000029000000}"/>
    <cellStyle name="Monétaire 2" xfId="3" xr:uid="{00000000-0005-0000-0000-000004000000}"/>
    <cellStyle name="Monétaire 2 3" xfId="26" xr:uid="{00000000-0005-0000-0000-00002B000000}"/>
    <cellStyle name="Monétaire 2 3 2" xfId="52" xr:uid="{00000000-0005-0000-0000-00002B000000}"/>
    <cellStyle name="Monétaire 2 3 3" xfId="41" xr:uid="{00000000-0005-0000-0000-00002C000000}"/>
    <cellStyle name="Monétaire 2 3 3 2" xfId="57" xr:uid="{00000000-0005-0000-0000-00002C000000}"/>
    <cellStyle name="Monétaire 2 3 3 3" xfId="74" xr:uid="{00000000-0005-0000-0000-00002C000000}"/>
    <cellStyle name="Monétaire 2 3 3 4" xfId="89" xr:uid="{00000000-0005-0000-0000-00002C000000}"/>
    <cellStyle name="Monétaire 2 3 4" xfId="69" xr:uid="{00000000-0005-0000-0000-00002B000000}"/>
    <cellStyle name="Monétaire 2 3 5" xfId="84" xr:uid="{00000000-0005-0000-0000-00002B000000}"/>
    <cellStyle name="Monétaire 3" xfId="16" xr:uid="{00000000-0005-0000-0000-00002D000000}"/>
    <cellStyle name="Monétaire 3 2" xfId="45" xr:uid="{00000000-0005-0000-0000-00002D000000}"/>
    <cellStyle name="Monétaire 3 3" xfId="62" xr:uid="{00000000-0005-0000-0000-00002D000000}"/>
    <cellStyle name="Monétaire 3 4" xfId="77" xr:uid="{00000000-0005-0000-0000-00002D000000}"/>
    <cellStyle name="Monétaire 35" xfId="28" xr:uid="{00000000-0005-0000-0000-00002E000000}"/>
    <cellStyle name="Monétaire 4 3" xfId="40" xr:uid="{00000000-0005-0000-0000-00002F000000}"/>
    <cellStyle name="Monétaire 4 3 2" xfId="56" xr:uid="{00000000-0005-0000-0000-00002F000000}"/>
    <cellStyle name="Monétaire 4 3 3" xfId="73" xr:uid="{00000000-0005-0000-0000-00002F000000}"/>
    <cellStyle name="Monétaire 4 3 4" xfId="88" xr:uid="{00000000-0005-0000-0000-00002F000000}"/>
    <cellStyle name="Monétaire 7" xfId="25" xr:uid="{00000000-0005-0000-0000-000030000000}"/>
    <cellStyle name="Monétaire 7 2" xfId="51" xr:uid="{00000000-0005-0000-0000-000030000000}"/>
    <cellStyle name="Monétaire 7 3" xfId="68" xr:uid="{00000000-0005-0000-0000-000030000000}"/>
    <cellStyle name="Monétaire 7 4" xfId="83" xr:uid="{00000000-0005-0000-0000-000030000000}"/>
    <cellStyle name="Neutre" xfId="60" builtinId="28"/>
    <cellStyle name="Neutre 2" xfId="20" xr:uid="{00000000-0005-0000-0000-000050000000}"/>
    <cellStyle name="Normal" xfId="0" builtinId="0"/>
    <cellStyle name="Normal 10" xfId="36" xr:uid="{00000000-0005-0000-0000-000033000000}"/>
    <cellStyle name="Normal 2" xfId="1" xr:uid="{00000000-0005-0000-0000-000006000000}"/>
    <cellStyle name="Normal 2 2" xfId="32" xr:uid="{00000000-0005-0000-0000-000035000000}"/>
    <cellStyle name="Normal 2 2 4" xfId="29" xr:uid="{00000000-0005-0000-0000-000036000000}"/>
    <cellStyle name="Normal 2 2 4 2" xfId="53" xr:uid="{00000000-0005-0000-0000-000036000000}"/>
    <cellStyle name="Normal 2 2 4 3" xfId="70" xr:uid="{00000000-0005-0000-0000-000036000000}"/>
    <cellStyle name="Normal 2 2 4 4" xfId="24" xr:uid="{00000000-0005-0000-0000-000037000000}"/>
    <cellStyle name="Normal 2 2 4 4 2" xfId="50" xr:uid="{00000000-0005-0000-0000-000037000000}"/>
    <cellStyle name="Normal 2 2 4 4 3" xfId="67" xr:uid="{00000000-0005-0000-0000-000037000000}"/>
    <cellStyle name="Normal 2 2 4 4 4" xfId="82" xr:uid="{00000000-0005-0000-0000-000037000000}"/>
    <cellStyle name="Normal 2 2 4 5" xfId="85" xr:uid="{00000000-0005-0000-0000-000036000000}"/>
    <cellStyle name="Normal 3" xfId="6" xr:uid="{00000000-0005-0000-0000-000007000000}"/>
    <cellStyle name="Normal 3 2" xfId="33" xr:uid="{00000000-0005-0000-0000-000038000000}"/>
    <cellStyle name="Normal 3 3" xfId="43" xr:uid="{00000000-0005-0000-0000-000007000000}"/>
    <cellStyle name="Normal 4" xfId="11" xr:uid="{1D7D3878-167F-45A6-945C-8A730F98CCEE}"/>
    <cellStyle name="Normal 5" xfId="12" xr:uid="{00000000-0005-0000-0000-000051000000}"/>
    <cellStyle name="Normal 6" xfId="27" xr:uid="{00000000-0005-0000-0000-00003A000000}"/>
    <cellStyle name="Normal 7" xfId="44" xr:uid="{00000000-0005-0000-0000-000068000000}"/>
    <cellStyle name="Normal 8" xfId="61" xr:uid="{00000000-0005-0000-0000-000078000000}"/>
    <cellStyle name="Normal 9" xfId="76" xr:uid="{00000000-0005-0000-0000-000087000000}"/>
    <cellStyle name="Normal_Sheet1" xfId="10" xr:uid="{8CAAA1D9-F6E2-4393-B789-EEC26D2639D7}"/>
    <cellStyle name="Pourcentage 2" xfId="42" xr:uid="{00000000-0005-0000-0000-000058000000}"/>
    <cellStyle name="Pourcentage 3" xfId="58" xr:uid="{00000000-0005-0000-0000-00006B000000}"/>
    <cellStyle name="Pourcentage 4" xfId="75" xr:uid="{00000000-0005-0000-0000-00007B000000}"/>
    <cellStyle name="Pourcentage 5" xfId="90" xr:uid="{00000000-0005-0000-0000-00008A000000}"/>
    <cellStyle name="Satisfaisant 2" xfId="35" xr:uid="{00000000-0005-0000-0000-000059000000}"/>
    <cellStyle name="Style 1" xfId="15" xr:uid="{00000000-0005-0000-0000-00003E000000}"/>
    <cellStyle name="Style 1 2" xfId="38" xr:uid="{00000000-0005-0000-0000-00003F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EN_0200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EN_0200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164558</xdr:colOff>
      <xdr:row>29</xdr:row>
      <xdr:rowOff>108857</xdr:rowOff>
    </xdr:from>
    <xdr:to>
      <xdr:col>14</xdr:col>
      <xdr:colOff>262346</xdr:colOff>
      <xdr:row>39</xdr:row>
      <xdr:rowOff>27214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EFC4E7-1DFA-41E3-A878-3146B1D0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0415" y="6014357"/>
          <a:ext cx="4302395" cy="22043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13</xdr:row>
      <xdr:rowOff>114300</xdr:rowOff>
    </xdr:from>
    <xdr:to>
      <xdr:col>13</xdr:col>
      <xdr:colOff>100599</xdr:colOff>
      <xdr:row>23</xdr:row>
      <xdr:rowOff>178970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659FCB8-F90B-48EC-BCC8-AFA2F5854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2590800"/>
          <a:ext cx="1586499" cy="21601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104175</xdr:colOff>
      <xdr:row>16</xdr:row>
      <xdr:rowOff>82718</xdr:rowOff>
    </xdr:from>
    <xdr:to>
      <xdr:col>14</xdr:col>
      <xdr:colOff>122238</xdr:colOff>
      <xdr:row>20</xdr:row>
      <xdr:rowOff>101311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FB979F4-71B7-48FB-B404-335765E98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9692410" y="2102283"/>
          <a:ext cx="780593" cy="28374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495301</xdr:colOff>
      <xdr:row>12</xdr:row>
      <xdr:rowOff>152400</xdr:rowOff>
    </xdr:from>
    <xdr:to>
      <xdr:col>13</xdr:col>
      <xdr:colOff>252910</xdr:colOff>
      <xdr:row>21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3AD71CB-2FD2-4A87-87B1-1B2E4573A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101" y="2438400"/>
          <a:ext cx="1078409" cy="160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76201</xdr:colOff>
      <xdr:row>12</xdr:row>
      <xdr:rowOff>101600</xdr:rowOff>
    </xdr:from>
    <xdr:to>
      <xdr:col>13</xdr:col>
      <xdr:colOff>50264</xdr:colOff>
      <xdr:row>20</xdr:row>
      <xdr:rowOff>139700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5C433B-05D3-4003-AF59-66BCB4298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161924</xdr:rowOff>
    </xdr:from>
    <xdr:to>
      <xdr:col>9</xdr:col>
      <xdr:colOff>638175</xdr:colOff>
      <xdr:row>30</xdr:row>
      <xdr:rowOff>27026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415C5-D751-4C41-B8AE-7C5D9000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600950" cy="5389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228601</xdr:colOff>
      <xdr:row>0</xdr:row>
      <xdr:rowOff>38100</xdr:rowOff>
    </xdr:from>
    <xdr:to>
      <xdr:col>8</xdr:col>
      <xdr:colOff>1308101</xdr:colOff>
      <xdr:row>8</xdr:row>
      <xdr:rowOff>120339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B5822F-A988-457B-BF1F-FD0BC639F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57149</xdr:rowOff>
    </xdr:from>
    <xdr:to>
      <xdr:col>8</xdr:col>
      <xdr:colOff>156900</xdr:colOff>
      <xdr:row>24</xdr:row>
      <xdr:rowOff>161924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2EFF5-EB07-422B-8D07-835963A6D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609601</xdr:colOff>
      <xdr:row>12</xdr:row>
      <xdr:rowOff>71807</xdr:rowOff>
    </xdr:from>
    <xdr:to>
      <xdr:col>13</xdr:col>
      <xdr:colOff>762001</xdr:colOff>
      <xdr:row>24</xdr:row>
      <xdr:rowOff>109861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AD46396-18A9-403A-9561-27F22A8CA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0101" y="2357807"/>
          <a:ext cx="2565400" cy="25145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224117</xdr:colOff>
      <xdr:row>14</xdr:row>
      <xdr:rowOff>78443</xdr:rowOff>
    </xdr:from>
    <xdr:to>
      <xdr:col>14</xdr:col>
      <xdr:colOff>69157</xdr:colOff>
      <xdr:row>21</xdr:row>
      <xdr:rowOff>179295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D21D23F-F112-4235-B288-BCCF9D79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86382" y="2734237"/>
          <a:ext cx="2803393" cy="16248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101601</xdr:colOff>
      <xdr:row>13</xdr:row>
      <xdr:rowOff>134150</xdr:rowOff>
    </xdr:from>
    <xdr:to>
      <xdr:col>14</xdr:col>
      <xdr:colOff>152401</xdr:colOff>
      <xdr:row>22</xdr:row>
      <xdr:rowOff>11101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62F2CF2-4004-4981-825E-614DA338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1" y="2610650"/>
          <a:ext cx="3124200" cy="17819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13</xdr:row>
      <xdr:rowOff>108776</xdr:rowOff>
    </xdr:from>
    <xdr:to>
      <xdr:col>13</xdr:col>
      <xdr:colOff>571500</xdr:colOff>
      <xdr:row>23</xdr:row>
      <xdr:rowOff>72630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A60B3E5-0200-421D-AB45-05D0C6008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585276"/>
          <a:ext cx="2590800" cy="20593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 refreshError="1"/>
      <sheetData sheetId="1" refreshError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D36" sqref="D36"/>
    </sheetView>
  </sheetViews>
  <sheetFormatPr baseColWidth="10" defaultRowHeight="15" x14ac:dyDescent="0.25"/>
  <sheetData>
    <row r="1" spans="1:2" x14ac:dyDescent="0.25">
      <c r="A1" s="87" t="s">
        <v>122</v>
      </c>
    </row>
    <row r="3" spans="1:2" x14ac:dyDescent="0.25">
      <c r="A3" s="86" t="s">
        <v>66</v>
      </c>
      <c r="B3" s="83" t="s">
        <v>67</v>
      </c>
    </row>
    <row r="5" spans="1:2" x14ac:dyDescent="0.25">
      <c r="A5" t="s">
        <v>123</v>
      </c>
    </row>
    <row r="6" spans="1:2" x14ac:dyDescent="0.25">
      <c r="A6" t="s">
        <v>100</v>
      </c>
    </row>
    <row r="7" spans="1:2" x14ac:dyDescent="0.25">
      <c r="A7" t="s">
        <v>106</v>
      </c>
    </row>
    <row r="8" spans="1:2" x14ac:dyDescent="0.25">
      <c r="A8" t="s">
        <v>104</v>
      </c>
    </row>
    <row r="9" spans="1:2" x14ac:dyDescent="0.25">
      <c r="A9" t="s">
        <v>68</v>
      </c>
    </row>
    <row r="10" spans="1:2" x14ac:dyDescent="0.25">
      <c r="A10" s="83" t="s">
        <v>97</v>
      </c>
    </row>
    <row r="11" spans="1:2" x14ac:dyDescent="0.25">
      <c r="A11" t="s">
        <v>134</v>
      </c>
    </row>
    <row r="12" spans="1:2" x14ac:dyDescent="0.25">
      <c r="A12" t="s">
        <v>69</v>
      </c>
    </row>
    <row r="14" spans="1:2" x14ac:dyDescent="0.25">
      <c r="A14" t="s">
        <v>99</v>
      </c>
    </row>
    <row r="15" spans="1:2" x14ac:dyDescent="0.25">
      <c r="A15" t="s">
        <v>124</v>
      </c>
    </row>
    <row r="16" spans="1:2" x14ac:dyDescent="0.25">
      <c r="A16" t="s">
        <v>110</v>
      </c>
    </row>
    <row r="18" spans="1:3" x14ac:dyDescent="0.25">
      <c r="A18" s="86" t="s">
        <v>70</v>
      </c>
      <c r="B18" s="83" t="s">
        <v>102</v>
      </c>
      <c r="C18" s="83"/>
    </row>
    <row r="20" spans="1:3" x14ac:dyDescent="0.25">
      <c r="A20" t="s">
        <v>109</v>
      </c>
    </row>
    <row r="21" spans="1:3" x14ac:dyDescent="0.25">
      <c r="A21" t="s">
        <v>136</v>
      </c>
    </row>
    <row r="23" spans="1:3" x14ac:dyDescent="0.25">
      <c r="A23" s="86" t="s">
        <v>72</v>
      </c>
      <c r="B23" s="83" t="s">
        <v>73</v>
      </c>
    </row>
    <row r="25" spans="1:3" x14ac:dyDescent="0.25">
      <c r="A25" t="s">
        <v>125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107</v>
      </c>
    </row>
    <row r="29" spans="1:3" x14ac:dyDescent="0.25">
      <c r="A29" t="s">
        <v>105</v>
      </c>
    </row>
    <row r="30" spans="1:3" x14ac:dyDescent="0.25">
      <c r="A30" t="s">
        <v>75</v>
      </c>
    </row>
    <row r="31" spans="1:3" x14ac:dyDescent="0.25">
      <c r="A31" s="83" t="s">
        <v>97</v>
      </c>
    </row>
    <row r="32" spans="1:3" x14ac:dyDescent="0.25">
      <c r="A32" t="s">
        <v>126</v>
      </c>
    </row>
    <row r="33" spans="1:2" x14ac:dyDescent="0.25">
      <c r="A33" t="s">
        <v>127</v>
      </c>
    </row>
    <row r="35" spans="1:2" x14ac:dyDescent="0.25">
      <c r="A35" t="s">
        <v>108</v>
      </c>
    </row>
    <row r="36" spans="1:2" x14ac:dyDescent="0.25">
      <c r="A36" t="s">
        <v>128</v>
      </c>
    </row>
    <row r="37" spans="1:2" x14ac:dyDescent="0.25">
      <c r="A37" t="s">
        <v>111</v>
      </c>
    </row>
    <row r="39" spans="1:2" x14ac:dyDescent="0.25">
      <c r="A39" s="86" t="s">
        <v>76</v>
      </c>
      <c r="B39" s="83" t="s">
        <v>71</v>
      </c>
    </row>
    <row r="41" spans="1:2" x14ac:dyDescent="0.25">
      <c r="A41" t="s">
        <v>116</v>
      </c>
    </row>
    <row r="42" spans="1:2" x14ac:dyDescent="0.25">
      <c r="A42" t="s">
        <v>117</v>
      </c>
    </row>
    <row r="43" spans="1:2" x14ac:dyDescent="0.25">
      <c r="A43" t="s">
        <v>101</v>
      </c>
    </row>
    <row r="45" spans="1:2" x14ac:dyDescent="0.25">
      <c r="A45" s="86" t="s">
        <v>77</v>
      </c>
      <c r="B45" s="83" t="s">
        <v>94</v>
      </c>
    </row>
    <row r="47" spans="1:2" x14ac:dyDescent="0.25">
      <c r="A47" t="s">
        <v>129</v>
      </c>
    </row>
    <row r="48" spans="1:2" x14ac:dyDescent="0.25">
      <c r="A48" t="s">
        <v>95</v>
      </c>
    </row>
    <row r="49" spans="1:2" x14ac:dyDescent="0.25">
      <c r="A49" t="s">
        <v>96</v>
      </c>
    </row>
    <row r="50" spans="1:2" x14ac:dyDescent="0.25">
      <c r="A50" t="s">
        <v>130</v>
      </c>
    </row>
    <row r="51" spans="1:2" x14ac:dyDescent="0.25">
      <c r="A51" t="s">
        <v>118</v>
      </c>
    </row>
    <row r="52" spans="1:2" x14ac:dyDescent="0.25">
      <c r="A52" t="s">
        <v>131</v>
      </c>
    </row>
    <row r="53" spans="1:2" x14ac:dyDescent="0.25">
      <c r="A53" t="s">
        <v>133</v>
      </c>
    </row>
    <row r="55" spans="1:2" x14ac:dyDescent="0.25">
      <c r="A55" t="s">
        <v>112</v>
      </c>
    </row>
    <row r="57" spans="1:2" x14ac:dyDescent="0.25">
      <c r="A57" s="86" t="s">
        <v>81</v>
      </c>
      <c r="B57" s="83" t="s">
        <v>78</v>
      </c>
    </row>
    <row r="59" spans="1:2" x14ac:dyDescent="0.25">
      <c r="A59" t="s">
        <v>80</v>
      </c>
    </row>
    <row r="60" spans="1:2" x14ac:dyDescent="0.25">
      <c r="A60" t="s">
        <v>113</v>
      </c>
    </row>
    <row r="61" spans="1:2" x14ac:dyDescent="0.25">
      <c r="A61" t="s">
        <v>132</v>
      </c>
    </row>
    <row r="63" spans="1:2" x14ac:dyDescent="0.25">
      <c r="A63" s="86" t="s">
        <v>93</v>
      </c>
      <c r="B63" s="83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114</v>
      </c>
    </row>
    <row r="72" spans="1:1" x14ac:dyDescent="0.25">
      <c r="A72" t="s">
        <v>115</v>
      </c>
    </row>
    <row r="74" spans="1:1" x14ac:dyDescent="0.25">
      <c r="A74" t="s">
        <v>119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114</v>
      </c>
    </row>
    <row r="78" spans="1:1" x14ac:dyDescent="0.25">
      <c r="A78" t="s">
        <v>115</v>
      </c>
    </row>
    <row r="80" spans="1:1" x14ac:dyDescent="0.25">
      <c r="A80" s="83" t="s">
        <v>98</v>
      </c>
    </row>
    <row r="82" spans="1:1" x14ac:dyDescent="0.25">
      <c r="A82" s="87" t="s">
        <v>103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6306-9B31-4D6D-AA6E-B9D31CD962DE}">
  <sheetPr>
    <tabColor theme="6" tint="0.39997558519241921"/>
    <pageSetUpPr fitToPage="1"/>
  </sheetPr>
  <dimension ref="A1:O24"/>
  <sheetViews>
    <sheetView zoomScale="75" zoomScaleNormal="75" workbookViewId="0">
      <selection activeCell="K12" sqref="K12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6" width="5.85546875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EN_02005_m+EN_02005_p+EN_02005_t</f>
        <v>13.905258338450619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203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13.905258338450619</v>
      </c>
      <c r="O5" s="59"/>
    </row>
    <row r="6" spans="1:15" x14ac:dyDescent="0.25">
      <c r="A6" s="120" t="s">
        <v>7</v>
      </c>
      <c r="B6" s="25" t="s">
        <v>201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228" t="s">
        <v>202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0" customFormat="1" x14ac:dyDescent="0.25">
      <c r="A11" s="189">
        <v>10</v>
      </c>
      <c r="B11" s="239" t="s">
        <v>187</v>
      </c>
      <c r="C11" s="199" t="s">
        <v>206</v>
      </c>
      <c r="D11" s="200">
        <v>2.25</v>
      </c>
      <c r="E11" s="197"/>
      <c r="F11" s="197" t="s">
        <v>167</v>
      </c>
      <c r="G11" s="197"/>
      <c r="H11" s="201"/>
      <c r="I11" s="210" t="s">
        <v>200</v>
      </c>
      <c r="J11" s="234">
        <f>PI()*((0.0421+0.0015)*(0.0421+0.0015)-0.0421*0.0421)/4</f>
        <v>1.0096293390474202E-4</v>
      </c>
      <c r="K11" s="201">
        <f>0.331</f>
        <v>0.33100000000000002</v>
      </c>
      <c r="L11" s="236">
        <v>7850</v>
      </c>
      <c r="M11" s="238">
        <v>1</v>
      </c>
      <c r="N11" s="174">
        <f>IF(J11="",D11*M11,D11*J11*K11*L11*M11)</f>
        <v>0.59025833845061948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88" t="s">
        <v>18</v>
      </c>
      <c r="N12" s="124">
        <f>SUM(N11:N11)</f>
        <v>0.59025833845061948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78" t="s">
        <v>14</v>
      </c>
      <c r="B14" s="177" t="s">
        <v>31</v>
      </c>
      <c r="C14" s="177" t="s">
        <v>20</v>
      </c>
      <c r="D14" s="177" t="s">
        <v>21</v>
      </c>
      <c r="E14" s="177" t="s">
        <v>32</v>
      </c>
      <c r="F14" s="177" t="s">
        <v>17</v>
      </c>
      <c r="G14" s="177" t="s">
        <v>33</v>
      </c>
      <c r="H14" s="177" t="s">
        <v>34</v>
      </c>
      <c r="I14" s="177" t="s">
        <v>18</v>
      </c>
      <c r="J14" s="21"/>
      <c r="K14" s="21"/>
      <c r="L14" s="21"/>
      <c r="M14" s="21"/>
      <c r="N14" s="21"/>
      <c r="O14" s="59"/>
    </row>
    <row r="15" spans="1:15" s="22" customFormat="1" x14ac:dyDescent="0.25">
      <c r="A15" s="187">
        <v>10</v>
      </c>
      <c r="B15" s="229" t="s">
        <v>152</v>
      </c>
      <c r="C15" s="232"/>
      <c r="D15" s="231">
        <v>0.15</v>
      </c>
      <c r="E15" s="232" t="s">
        <v>46</v>
      </c>
      <c r="F15" s="233">
        <f>4.21*5</f>
        <v>21.05</v>
      </c>
      <c r="G15" s="183"/>
      <c r="H15" s="182"/>
      <c r="I15" s="174">
        <f>IF(H15="",D15*F15,D15*F15*H15)</f>
        <v>3.1575000000000002</v>
      </c>
      <c r="J15" s="55"/>
      <c r="K15" s="55"/>
      <c r="L15" s="55"/>
      <c r="M15" s="55"/>
      <c r="N15" s="55"/>
      <c r="O15" s="66"/>
    </row>
    <row r="16" spans="1:15" s="22" customFormat="1" x14ac:dyDescent="0.25">
      <c r="A16" s="176">
        <v>20</v>
      </c>
      <c r="B16" s="229" t="s">
        <v>190</v>
      </c>
      <c r="C16" s="230"/>
      <c r="D16" s="231">
        <v>0.75</v>
      </c>
      <c r="E16" s="229" t="s">
        <v>191</v>
      </c>
      <c r="F16" s="230">
        <v>2</v>
      </c>
      <c r="G16" s="186"/>
      <c r="H16" s="186"/>
      <c r="I16" s="185">
        <f>IF(H16="",D16*F16,D16*F16*H16)</f>
        <v>1.5</v>
      </c>
      <c r="J16" s="55"/>
      <c r="K16" s="55"/>
      <c r="L16" s="55"/>
      <c r="M16" s="55"/>
      <c r="N16" s="55"/>
      <c r="O16" s="66"/>
    </row>
    <row r="17" spans="1:15" s="17" customFormat="1" ht="30" x14ac:dyDescent="0.25">
      <c r="A17" s="184">
        <v>30</v>
      </c>
      <c r="B17" s="229" t="s">
        <v>193</v>
      </c>
      <c r="C17" s="230"/>
      <c r="D17" s="231">
        <v>0.75</v>
      </c>
      <c r="E17" s="229" t="s">
        <v>194</v>
      </c>
      <c r="F17" s="230">
        <v>6</v>
      </c>
      <c r="G17" s="182"/>
      <c r="H17" s="182"/>
      <c r="I17" s="174">
        <f t="shared" ref="I17:I18" si="0">IF(H17="",D17*F17,D17*F17*H17)</f>
        <v>4.5</v>
      </c>
      <c r="J17" s="54"/>
      <c r="K17" s="54"/>
      <c r="L17" s="54"/>
      <c r="M17" s="54"/>
      <c r="N17" s="54"/>
      <c r="O17" s="63"/>
    </row>
    <row r="18" spans="1:15" x14ac:dyDescent="0.25">
      <c r="A18" s="176">
        <v>40</v>
      </c>
      <c r="B18" s="229" t="s">
        <v>195</v>
      </c>
      <c r="C18" s="230"/>
      <c r="D18" s="231">
        <v>0.5</v>
      </c>
      <c r="E18" s="229" t="s">
        <v>46</v>
      </c>
      <c r="F18" s="230">
        <f>4.21*3</f>
        <v>12.629999999999999</v>
      </c>
      <c r="G18" s="183"/>
      <c r="H18" s="182"/>
      <c r="I18" s="174">
        <f t="shared" si="0"/>
        <v>6.3149999999999995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SUM(I16:I18)</f>
        <v>12.315</v>
      </c>
      <c r="J19" s="21"/>
      <c r="K19" s="21"/>
      <c r="L19" s="21"/>
      <c r="M19" s="21"/>
      <c r="N19" s="21"/>
      <c r="O19" s="59"/>
    </row>
    <row r="20" spans="1:15" x14ac:dyDescent="0.25">
      <c r="A20" s="181"/>
      <c r="B20" s="54"/>
      <c r="C20" s="54"/>
      <c r="D20" s="54"/>
      <c r="E20" s="54"/>
      <c r="F20" s="54"/>
      <c r="G20" s="54"/>
      <c r="H20" s="180"/>
      <c r="I20" s="179"/>
      <c r="J20" s="54"/>
      <c r="K20" s="53"/>
      <c r="L20" s="53"/>
      <c r="M20" s="53"/>
      <c r="N20" s="53"/>
      <c r="O20" s="59"/>
    </row>
    <row r="21" spans="1:15" x14ac:dyDescent="0.25">
      <c r="A21" s="178" t="s">
        <v>14</v>
      </c>
      <c r="B21" s="177" t="s">
        <v>39</v>
      </c>
      <c r="C21" s="177" t="s">
        <v>20</v>
      </c>
      <c r="D21" s="177" t="s">
        <v>21</v>
      </c>
      <c r="E21" s="177" t="s">
        <v>32</v>
      </c>
      <c r="F21" s="177" t="s">
        <v>17</v>
      </c>
      <c r="G21" s="177" t="s">
        <v>40</v>
      </c>
      <c r="H21" s="177" t="s">
        <v>175</v>
      </c>
      <c r="I21" s="17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76">
        <v>10</v>
      </c>
      <c r="B22" s="175" t="s">
        <v>42</v>
      </c>
      <c r="C22" s="175"/>
      <c r="D22" s="174">
        <v>500</v>
      </c>
      <c r="E22" s="175" t="s">
        <v>43</v>
      </c>
      <c r="F22" s="175">
        <v>6</v>
      </c>
      <c r="G22" s="175">
        <v>3000</v>
      </c>
      <c r="H22" s="175">
        <v>1</v>
      </c>
      <c r="I22" s="174">
        <f>D22*F22/G22*H22</f>
        <v>1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1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AA640BE3-D9BD-4402-BFCC-C2B702EAB9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EE59-1DF4-41FA-BC52-5C077877BB17}">
  <sheetPr>
    <tabColor theme="6" tint="0.39997558519241921"/>
    <pageSetUpPr fitToPage="1"/>
  </sheetPr>
  <dimension ref="A1:O24"/>
  <sheetViews>
    <sheetView zoomScale="75" zoomScaleNormal="75" workbookViewId="0">
      <selection activeCell="K12" sqref="K1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EN_02006_m+EN_02006_p+EN_02006_t</f>
        <v>22.466496278906856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205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22.466496278906856</v>
      </c>
      <c r="O5" s="59"/>
    </row>
    <row r="6" spans="1:15" x14ac:dyDescent="0.25">
      <c r="A6" s="120" t="s">
        <v>7</v>
      </c>
      <c r="B6" s="25" t="s">
        <v>204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0" customFormat="1" x14ac:dyDescent="0.25">
      <c r="A11" s="189">
        <v>10</v>
      </c>
      <c r="B11" s="209" t="s">
        <v>187</v>
      </c>
      <c r="C11" s="199" t="s">
        <v>199</v>
      </c>
      <c r="D11" s="200">
        <v>2.25</v>
      </c>
      <c r="E11" s="197"/>
      <c r="F11" s="197" t="s">
        <v>167</v>
      </c>
      <c r="G11" s="197"/>
      <c r="H11" s="201"/>
      <c r="I11" s="210" t="s">
        <v>200</v>
      </c>
      <c r="J11" s="234">
        <f>PI()*((0.0421+0.0015)*(0.0421+0.0015)-0.0421*0.0421)/4</f>
        <v>1.0096293390474202E-4</v>
      </c>
      <c r="K11" s="241">
        <f>2*(0.0836+0.02)</f>
        <v>0.2072</v>
      </c>
      <c r="L11" s="236">
        <v>7850</v>
      </c>
      <c r="M11" s="238">
        <v>1</v>
      </c>
      <c r="N11" s="174">
        <f>IF(J11="",D11*M11,D11*J11*K11*L11*M11)</f>
        <v>0.36949102032316722</v>
      </c>
      <c r="O11" s="64"/>
    </row>
    <row r="12" spans="1:15" s="22" customFormat="1" x14ac:dyDescent="0.25">
      <c r="A12" s="225">
        <v>20</v>
      </c>
      <c r="B12" s="198" t="s">
        <v>187</v>
      </c>
      <c r="C12" s="199" t="s">
        <v>199</v>
      </c>
      <c r="D12" s="206">
        <v>2.25</v>
      </c>
      <c r="E12" s="204"/>
      <c r="F12" s="204" t="s">
        <v>167</v>
      </c>
      <c r="G12" s="204"/>
      <c r="H12" s="207"/>
      <c r="I12" s="202" t="s">
        <v>207</v>
      </c>
      <c r="J12" s="234">
        <f>PI()*(0.051*0.051-0.0498*0.0498)/4</f>
        <v>9.5001761844555195E-5</v>
      </c>
      <c r="K12" s="226">
        <v>0.01</v>
      </c>
      <c r="L12" s="235">
        <v>7850</v>
      </c>
      <c r="M12" s="240">
        <v>1</v>
      </c>
      <c r="N12" s="174">
        <f>IF(J12="",D12*M12,D12*J12*K12*L12*M12)</f>
        <v>1.6779686185794559E-2</v>
      </c>
      <c r="O12" s="66"/>
    </row>
    <row r="13" spans="1:15" x14ac:dyDescent="0.25">
      <c r="A13" s="6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88" t="s">
        <v>18</v>
      </c>
      <c r="N13" s="124">
        <f>SUM(N11:N12)</f>
        <v>0.38627070650896178</v>
      </c>
      <c r="O13" s="59"/>
    </row>
    <row r="14" spans="1:15" x14ac:dyDescent="0.25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25">
      <c r="A15" s="178" t="s">
        <v>14</v>
      </c>
      <c r="B15" s="177" t="s">
        <v>31</v>
      </c>
      <c r="C15" s="177" t="s">
        <v>20</v>
      </c>
      <c r="D15" s="177" t="s">
        <v>21</v>
      </c>
      <c r="E15" s="177" t="s">
        <v>32</v>
      </c>
      <c r="F15" s="177" t="s">
        <v>17</v>
      </c>
      <c r="G15" s="177" t="s">
        <v>33</v>
      </c>
      <c r="H15" s="177" t="s">
        <v>34</v>
      </c>
      <c r="I15" s="177" t="s">
        <v>18</v>
      </c>
      <c r="J15" s="21"/>
      <c r="K15" s="21"/>
      <c r="L15" s="243"/>
      <c r="M15" s="21"/>
      <c r="N15" s="21"/>
      <c r="O15" s="59"/>
    </row>
    <row r="16" spans="1:15" s="22" customFormat="1" x14ac:dyDescent="0.25">
      <c r="A16" s="187">
        <v>10</v>
      </c>
      <c r="B16" s="214" t="s">
        <v>152</v>
      </c>
      <c r="C16" s="218"/>
      <c r="D16" s="216">
        <v>0.15</v>
      </c>
      <c r="E16" s="218" t="s">
        <v>46</v>
      </c>
      <c r="F16" s="219">
        <f>6*4.21+1*4.98</f>
        <v>30.24</v>
      </c>
      <c r="G16" s="186"/>
      <c r="H16" s="186"/>
      <c r="I16" s="185">
        <f t="shared" ref="I16:I18" si="0">IF(H16="",D16*F16,D16*F16*H16)</f>
        <v>4.5359999999999996</v>
      </c>
      <c r="J16" s="55"/>
      <c r="K16" s="55"/>
      <c r="L16" s="55"/>
      <c r="M16" s="55"/>
      <c r="N16" s="55"/>
      <c r="O16" s="66"/>
    </row>
    <row r="17" spans="1:15" ht="30" x14ac:dyDescent="0.25">
      <c r="A17" s="176">
        <v>20</v>
      </c>
      <c r="B17" s="214" t="s">
        <v>193</v>
      </c>
      <c r="C17" s="215"/>
      <c r="D17" s="216">
        <v>0.75</v>
      </c>
      <c r="E17" s="214" t="s">
        <v>194</v>
      </c>
      <c r="F17" s="215">
        <v>9</v>
      </c>
      <c r="G17" s="183"/>
      <c r="H17" s="182"/>
      <c r="I17" s="174">
        <f t="shared" si="0"/>
        <v>6.75</v>
      </c>
      <c r="J17" s="53"/>
      <c r="K17" s="53"/>
      <c r="L17" s="53"/>
      <c r="M17" s="53"/>
      <c r="N17" s="53"/>
      <c r="O17" s="59"/>
    </row>
    <row r="18" spans="1:15" s="17" customFormat="1" x14ac:dyDescent="0.25">
      <c r="A18" s="184">
        <v>30</v>
      </c>
      <c r="B18" s="214" t="s">
        <v>195</v>
      </c>
      <c r="C18" s="215"/>
      <c r="D18" s="216">
        <v>0.5</v>
      </c>
      <c r="E18" s="214" t="s">
        <v>46</v>
      </c>
      <c r="F18" s="227">
        <f>2*4.21+1*4.98+16.3/PI()</f>
        <v>18.588451144795791</v>
      </c>
      <c r="G18" s="182"/>
      <c r="H18" s="182"/>
      <c r="I18" s="174">
        <f t="shared" si="0"/>
        <v>9.2942255723978953</v>
      </c>
      <c r="J18" s="54"/>
      <c r="K18" s="54"/>
      <c r="L18" s="54"/>
      <c r="M18" s="54"/>
      <c r="N18" s="54"/>
      <c r="O18" s="63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SUM(I16:I18)</f>
        <v>20.580225572397893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78" t="s">
        <v>14</v>
      </c>
      <c r="B21" s="177" t="s">
        <v>39</v>
      </c>
      <c r="C21" s="177" t="s">
        <v>20</v>
      </c>
      <c r="D21" s="177" t="s">
        <v>21</v>
      </c>
      <c r="E21" s="177" t="s">
        <v>32</v>
      </c>
      <c r="F21" s="177" t="s">
        <v>17</v>
      </c>
      <c r="G21" s="177" t="s">
        <v>40</v>
      </c>
      <c r="H21" s="177" t="s">
        <v>175</v>
      </c>
      <c r="I21" s="17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76">
        <v>10</v>
      </c>
      <c r="B22" s="175" t="s">
        <v>42</v>
      </c>
      <c r="C22" s="175"/>
      <c r="D22" s="174">
        <v>500</v>
      </c>
      <c r="E22" s="175" t="s">
        <v>43</v>
      </c>
      <c r="F22" s="175">
        <v>9</v>
      </c>
      <c r="G22" s="175">
        <v>3000</v>
      </c>
      <c r="H22" s="175">
        <v>1</v>
      </c>
      <c r="I22" s="174">
        <f>D22*F22/G22*H22</f>
        <v>1.5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1.5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7C33D3D9-0AC9-4675-A038-B73A9018525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1F36-0F35-4C64-858C-C1B3E243CF3F}">
  <sheetPr>
    <tabColor theme="6" tint="0.39997558519241921"/>
    <pageSetUpPr fitToPage="1"/>
  </sheetPr>
  <dimension ref="A1:O24"/>
  <sheetViews>
    <sheetView topLeftCell="A7" zoomScale="75" zoomScaleNormal="75" workbookViewId="0">
      <selection activeCell="Q18" sqref="Q18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EN_02007_m+EN_02007_p+EN_02007_t</f>
        <v>12.90112506395198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208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12.90112506395198</v>
      </c>
      <c r="O5" s="59"/>
    </row>
    <row r="6" spans="1:15" x14ac:dyDescent="0.25">
      <c r="A6" s="120" t="s">
        <v>7</v>
      </c>
      <c r="B6" s="25" t="s">
        <v>209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0" customFormat="1" x14ac:dyDescent="0.25">
      <c r="A11" s="189">
        <v>10</v>
      </c>
      <c r="B11" s="239" t="s">
        <v>187</v>
      </c>
      <c r="C11" s="199" t="s">
        <v>206</v>
      </c>
      <c r="D11" s="246">
        <v>2.25</v>
      </c>
      <c r="E11" s="247"/>
      <c r="F11" s="247" t="s">
        <v>167</v>
      </c>
      <c r="G11" s="247"/>
      <c r="H11" s="223"/>
      <c r="I11" s="249" t="s">
        <v>207</v>
      </c>
      <c r="J11" s="234">
        <f>PI()*(0.051*0.051-0.0498*0.0498)/4</f>
        <v>9.5001761844555195E-5</v>
      </c>
      <c r="K11" s="242">
        <v>0.30599999999999999</v>
      </c>
      <c r="L11" s="237">
        <v>7850</v>
      </c>
      <c r="M11" s="238">
        <v>1</v>
      </c>
      <c r="N11" s="174">
        <f>IF(J11="",D11*M11,D11*J11*K11*L11*M11)</f>
        <v>0.51345839728531351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88" t="s">
        <v>18</v>
      </c>
      <c r="N12" s="124">
        <f>SUM(N11:N11)</f>
        <v>0.51345839728531351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78" t="s">
        <v>14</v>
      </c>
      <c r="B14" s="177" t="s">
        <v>31</v>
      </c>
      <c r="C14" s="177" t="s">
        <v>20</v>
      </c>
      <c r="D14" s="177" t="s">
        <v>21</v>
      </c>
      <c r="E14" s="177" t="s">
        <v>32</v>
      </c>
      <c r="F14" s="177" t="s">
        <v>17</v>
      </c>
      <c r="G14" s="177" t="s">
        <v>33</v>
      </c>
      <c r="H14" s="177" t="s">
        <v>34</v>
      </c>
      <c r="I14" s="177" t="s">
        <v>18</v>
      </c>
      <c r="J14" s="21"/>
      <c r="K14" s="21"/>
      <c r="L14" s="21"/>
      <c r="M14" s="21"/>
      <c r="N14" s="21"/>
      <c r="O14" s="59"/>
    </row>
    <row r="15" spans="1:15" s="22" customFormat="1" x14ac:dyDescent="0.25">
      <c r="A15" s="187">
        <v>10</v>
      </c>
      <c r="B15" s="229" t="s">
        <v>152</v>
      </c>
      <c r="C15" s="232"/>
      <c r="D15" s="231">
        <v>0.15</v>
      </c>
      <c r="E15" s="232" t="s">
        <v>192</v>
      </c>
      <c r="F15" s="233">
        <f>4.98*3</f>
        <v>14.940000000000001</v>
      </c>
      <c r="G15" s="186"/>
      <c r="H15" s="186"/>
      <c r="I15" s="174">
        <f t="shared" ref="I15:I18" si="0">IF(H15="",D15*F15,D15*F15*H15)</f>
        <v>2.2410000000000001</v>
      </c>
      <c r="J15" s="55"/>
      <c r="K15" s="55"/>
      <c r="L15" s="55"/>
      <c r="M15" s="55"/>
      <c r="N15" s="55"/>
      <c r="O15" s="66"/>
    </row>
    <row r="16" spans="1:15" x14ac:dyDescent="0.25">
      <c r="A16" s="176">
        <v>20</v>
      </c>
      <c r="B16" s="229" t="s">
        <v>190</v>
      </c>
      <c r="C16" s="230"/>
      <c r="D16" s="231">
        <v>0.75</v>
      </c>
      <c r="E16" s="229" t="s">
        <v>191</v>
      </c>
      <c r="F16" s="230">
        <v>2</v>
      </c>
      <c r="G16" s="183"/>
      <c r="H16" s="182"/>
      <c r="I16" s="174">
        <f t="shared" si="0"/>
        <v>1.5</v>
      </c>
      <c r="J16" s="53"/>
      <c r="K16" s="53"/>
      <c r="L16" s="53"/>
      <c r="M16" s="53"/>
      <c r="N16" s="53"/>
      <c r="O16" s="59"/>
    </row>
    <row r="17" spans="1:15" s="17" customFormat="1" ht="30" x14ac:dyDescent="0.25">
      <c r="A17" s="184">
        <v>30</v>
      </c>
      <c r="B17" s="229" t="s">
        <v>193</v>
      </c>
      <c r="C17" s="230"/>
      <c r="D17" s="231">
        <v>0.75</v>
      </c>
      <c r="E17" s="229" t="s">
        <v>194</v>
      </c>
      <c r="F17" s="230">
        <v>4</v>
      </c>
      <c r="G17" s="182"/>
      <c r="H17" s="182"/>
      <c r="I17" s="174">
        <f t="shared" si="0"/>
        <v>3</v>
      </c>
      <c r="J17" s="54"/>
      <c r="K17" s="54"/>
      <c r="L17" s="54"/>
      <c r="M17" s="54"/>
      <c r="N17" s="54"/>
      <c r="O17" s="63"/>
    </row>
    <row r="18" spans="1:15" x14ac:dyDescent="0.25">
      <c r="A18" s="176">
        <v>40</v>
      </c>
      <c r="B18" s="229" t="s">
        <v>195</v>
      </c>
      <c r="C18" s="230"/>
      <c r="D18" s="231">
        <v>0.5</v>
      </c>
      <c r="E18" s="229" t="s">
        <v>46</v>
      </c>
      <c r="F18" s="230">
        <f>4.98*2</f>
        <v>9.9600000000000009</v>
      </c>
      <c r="G18" s="183"/>
      <c r="H18" s="182"/>
      <c r="I18" s="174">
        <f t="shared" si="0"/>
        <v>4.9800000000000004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SUM(I15:I18)</f>
        <v>11.721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78" t="s">
        <v>14</v>
      </c>
      <c r="B21" s="177" t="s">
        <v>39</v>
      </c>
      <c r="C21" s="177" t="s">
        <v>20</v>
      </c>
      <c r="D21" s="177" t="s">
        <v>21</v>
      </c>
      <c r="E21" s="177" t="s">
        <v>32</v>
      </c>
      <c r="F21" s="177" t="s">
        <v>17</v>
      </c>
      <c r="G21" s="177" t="s">
        <v>40</v>
      </c>
      <c r="H21" s="177" t="s">
        <v>175</v>
      </c>
      <c r="I21" s="17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76">
        <v>10</v>
      </c>
      <c r="B22" s="175" t="s">
        <v>42</v>
      </c>
      <c r="C22" s="175"/>
      <c r="D22" s="174">
        <v>500</v>
      </c>
      <c r="E22" s="175" t="s">
        <v>43</v>
      </c>
      <c r="F22" s="175">
        <v>4</v>
      </c>
      <c r="G22" s="175">
        <v>3000</v>
      </c>
      <c r="H22" s="175">
        <v>1</v>
      </c>
      <c r="I22" s="174">
        <f>D22*F22/G22*H22</f>
        <v>0.66666666666666663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0.66666666666666663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B230BF60-14A4-4DE8-BE29-D728BD2A37E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92B-C62B-4C6B-B1E6-2F8A36073430}">
  <sheetPr>
    <tabColor theme="6" tint="0.39997558519241921"/>
    <pageSetUpPr fitToPage="1"/>
  </sheetPr>
  <dimension ref="A1:O23"/>
  <sheetViews>
    <sheetView zoomScale="75" zoomScaleNormal="75" workbookViewId="0">
      <selection activeCell="R18" sqref="R18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EN_02008_m+EN_02008_p</f>
        <v>40.144999999999996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150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40.144999999999996</v>
      </c>
      <c r="O5" s="59"/>
    </row>
    <row r="6" spans="1:15" x14ac:dyDescent="0.25">
      <c r="A6" s="120" t="s">
        <v>7</v>
      </c>
      <c r="B6" s="25" t="s">
        <v>210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251" t="s">
        <v>211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2" customFormat="1" x14ac:dyDescent="0.25">
      <c r="A11" s="252">
        <v>10</v>
      </c>
      <c r="B11" s="268" t="s">
        <v>219</v>
      </c>
      <c r="C11" s="268" t="s">
        <v>215</v>
      </c>
      <c r="D11" s="270">
        <v>22</v>
      </c>
      <c r="E11" s="271">
        <v>0.5</v>
      </c>
      <c r="F11" s="268" t="s">
        <v>167</v>
      </c>
      <c r="G11" s="268"/>
      <c r="H11" s="273"/>
      <c r="I11" s="272" t="s">
        <v>216</v>
      </c>
      <c r="J11" s="266">
        <v>0.2</v>
      </c>
      <c r="K11" s="274"/>
      <c r="L11" s="274">
        <v>4500</v>
      </c>
      <c r="M11" s="274">
        <v>1</v>
      </c>
      <c r="N11" s="253">
        <f>D11*M11*E11</f>
        <v>11</v>
      </c>
      <c r="O11" s="66"/>
    </row>
    <row r="12" spans="1:15" s="22" customFormat="1" x14ac:dyDescent="0.25">
      <c r="A12" s="252">
        <v>20</v>
      </c>
      <c r="B12" s="268" t="s">
        <v>183</v>
      </c>
      <c r="C12" s="268"/>
      <c r="D12" s="270">
        <v>2.25</v>
      </c>
      <c r="E12" s="271">
        <v>0.5</v>
      </c>
      <c r="F12" s="268" t="s">
        <v>167</v>
      </c>
      <c r="G12" s="268"/>
      <c r="H12" s="273"/>
      <c r="I12" s="272" t="s">
        <v>217</v>
      </c>
      <c r="J12" s="267">
        <f>0.5*0.15</f>
        <v>7.4999999999999997E-2</v>
      </c>
      <c r="K12" s="274"/>
      <c r="L12" s="274">
        <v>7850</v>
      </c>
      <c r="M12" s="274">
        <v>1</v>
      </c>
      <c r="N12" s="253">
        <f>D12*M12*E12</f>
        <v>1.125</v>
      </c>
      <c r="O12" s="66"/>
    </row>
    <row r="13" spans="1:15" s="22" customFormat="1" x14ac:dyDescent="0.25">
      <c r="A13" s="254">
        <v>30</v>
      </c>
      <c r="B13" s="268" t="s">
        <v>218</v>
      </c>
      <c r="C13" s="268"/>
      <c r="D13" s="275">
        <v>3.0000000000000001E-3</v>
      </c>
      <c r="E13" s="268">
        <v>4000</v>
      </c>
      <c r="F13" s="268" t="s">
        <v>173</v>
      </c>
      <c r="G13" s="268"/>
      <c r="H13" s="273"/>
      <c r="I13" s="269"/>
      <c r="J13" s="276"/>
      <c r="K13" s="274"/>
      <c r="L13" s="274"/>
      <c r="M13" s="274">
        <v>1</v>
      </c>
      <c r="N13" s="253">
        <f>D13*M13*E13</f>
        <v>12</v>
      </c>
      <c r="O13" s="66"/>
    </row>
    <row r="14" spans="1:15" x14ac:dyDescent="0.25">
      <c r="A14" s="6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88" t="s">
        <v>18</v>
      </c>
      <c r="N14" s="124">
        <f>SUM(N11:N13)</f>
        <v>24.125</v>
      </c>
      <c r="O14" s="59"/>
    </row>
    <row r="15" spans="1:15" x14ac:dyDescent="0.25">
      <c r="A15" s="60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9"/>
    </row>
    <row r="16" spans="1:15" x14ac:dyDescent="0.25">
      <c r="A16" s="178" t="s">
        <v>14</v>
      </c>
      <c r="B16" s="177" t="s">
        <v>31</v>
      </c>
      <c r="C16" s="177" t="s">
        <v>20</v>
      </c>
      <c r="D16" s="177" t="s">
        <v>21</v>
      </c>
      <c r="E16" s="177" t="s">
        <v>32</v>
      </c>
      <c r="F16" s="177" t="s">
        <v>17</v>
      </c>
      <c r="G16" s="177" t="s">
        <v>33</v>
      </c>
      <c r="H16" s="177" t="s">
        <v>34</v>
      </c>
      <c r="I16" s="177" t="s">
        <v>18</v>
      </c>
      <c r="J16" s="21"/>
      <c r="K16" s="21"/>
      <c r="L16" s="21"/>
      <c r="M16" s="21"/>
      <c r="N16" s="21"/>
      <c r="O16" s="59"/>
    </row>
    <row r="17" spans="1:15" s="22" customFormat="1" x14ac:dyDescent="0.25">
      <c r="A17" s="187">
        <v>10</v>
      </c>
      <c r="B17" s="289" t="s">
        <v>212</v>
      </c>
      <c r="C17" s="287"/>
      <c r="D17" s="288">
        <v>0.25</v>
      </c>
      <c r="E17" s="286" t="s">
        <v>191</v>
      </c>
      <c r="F17" s="286">
        <v>2</v>
      </c>
      <c r="G17" s="186"/>
      <c r="H17" s="186"/>
      <c r="I17" s="185">
        <f t="shared" ref="I17:I21" si="0">IF(H17="",D17*F17,D17*F17*H17)</f>
        <v>0.5</v>
      </c>
      <c r="J17" s="55"/>
      <c r="K17" s="55"/>
      <c r="L17" s="55"/>
      <c r="M17" s="55"/>
      <c r="N17" s="55"/>
      <c r="O17" s="66"/>
    </row>
    <row r="18" spans="1:15" s="257" customFormat="1" x14ac:dyDescent="0.25">
      <c r="A18" s="187">
        <v>30</v>
      </c>
      <c r="B18" s="293" t="s">
        <v>213</v>
      </c>
      <c r="C18" s="287"/>
      <c r="D18" s="288">
        <v>0.03</v>
      </c>
      <c r="E18" s="286" t="s">
        <v>220</v>
      </c>
      <c r="F18" s="286">
        <v>300</v>
      </c>
      <c r="G18" s="186"/>
      <c r="H18" s="186"/>
      <c r="I18" s="185">
        <f t="shared" si="0"/>
        <v>9</v>
      </c>
      <c r="J18" s="255"/>
      <c r="K18" s="255"/>
      <c r="L18" s="255"/>
      <c r="M18" s="255"/>
      <c r="N18" s="255"/>
      <c r="O18" s="256"/>
    </row>
    <row r="19" spans="1:15" s="22" customFormat="1" x14ac:dyDescent="0.25">
      <c r="A19" s="224">
        <v>40</v>
      </c>
      <c r="B19" s="293" t="s">
        <v>214</v>
      </c>
      <c r="C19" s="287"/>
      <c r="D19" s="288">
        <v>0.03</v>
      </c>
      <c r="E19" s="286" t="s">
        <v>220</v>
      </c>
      <c r="F19" s="286">
        <v>100</v>
      </c>
      <c r="G19" s="183"/>
      <c r="H19" s="186"/>
      <c r="I19" s="185">
        <f t="shared" si="0"/>
        <v>3</v>
      </c>
      <c r="J19" s="55"/>
      <c r="K19" s="55"/>
      <c r="L19" s="55"/>
      <c r="M19" s="55"/>
      <c r="N19" s="55"/>
      <c r="O19" s="66"/>
    </row>
    <row r="20" spans="1:15" s="20" customFormat="1" x14ac:dyDescent="0.25">
      <c r="A20" s="191">
        <v>50</v>
      </c>
      <c r="B20" s="285" t="s">
        <v>221</v>
      </c>
      <c r="C20" s="292"/>
      <c r="D20" s="291">
        <v>0.13</v>
      </c>
      <c r="E20" s="290" t="s">
        <v>35</v>
      </c>
      <c r="F20" s="290">
        <v>4</v>
      </c>
      <c r="G20" s="190"/>
      <c r="H20" s="190"/>
      <c r="I20" s="185">
        <f t="shared" si="0"/>
        <v>0.52</v>
      </c>
      <c r="J20" s="157"/>
      <c r="K20" s="157"/>
      <c r="L20" s="157"/>
      <c r="M20" s="157"/>
      <c r="N20" s="157"/>
      <c r="O20" s="64"/>
    </row>
    <row r="21" spans="1:15" s="22" customFormat="1" x14ac:dyDescent="0.25">
      <c r="A21" s="224">
        <v>60</v>
      </c>
      <c r="B21" s="289" t="s">
        <v>222</v>
      </c>
      <c r="C21" s="287"/>
      <c r="D21" s="288">
        <v>0.25</v>
      </c>
      <c r="E21" s="286" t="s">
        <v>35</v>
      </c>
      <c r="F21" s="286">
        <v>12</v>
      </c>
      <c r="G21" s="183"/>
      <c r="H21" s="186"/>
      <c r="I21" s="185">
        <f t="shared" si="0"/>
        <v>3</v>
      </c>
      <c r="J21" s="55"/>
      <c r="K21" s="55"/>
      <c r="L21" s="55"/>
      <c r="M21" s="55"/>
      <c r="N21" s="55"/>
      <c r="O21" s="66"/>
    </row>
    <row r="22" spans="1:15" x14ac:dyDescent="0.25">
      <c r="A22" s="65"/>
      <c r="B22" s="21"/>
      <c r="C22" s="21"/>
      <c r="D22" s="21"/>
      <c r="E22" s="21"/>
      <c r="F22" s="21"/>
      <c r="G22" s="21"/>
      <c r="H22" s="129" t="s">
        <v>18</v>
      </c>
      <c r="I22" s="124">
        <f>SUM(I17:I21)</f>
        <v>16.02</v>
      </c>
      <c r="J22" s="21"/>
      <c r="K22" s="21"/>
      <c r="L22" s="21"/>
      <c r="M22" s="21"/>
      <c r="N22" s="21"/>
      <c r="O22" s="59"/>
    </row>
    <row r="23" spans="1:15" ht="15.75" thickBot="1" x14ac:dyDescent="0.3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</row>
  </sheetData>
  <hyperlinks>
    <hyperlink ref="B4" location="EN_A0200" display="EN_A0200" xr:uid="{B8FB471A-BB84-456A-954B-D405403BFBAF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925C-189F-4B90-9FAE-A31B12038A30}">
  <sheetPr>
    <tabColor theme="6" tint="0.39997558519241921"/>
    <pageSetUpPr fitToPage="1"/>
  </sheetPr>
  <dimension ref="A1:R22"/>
  <sheetViews>
    <sheetView zoomScale="75" zoomScaleNormal="75" workbookViewId="0">
      <selection activeCell="P18" sqref="P18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8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EN_02009_m+EN_02009_p+EN_02009_t</f>
        <v>6.208613333333334</v>
      </c>
      <c r="O2" s="59"/>
    </row>
    <row r="3" spans="1:18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8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8" x14ac:dyDescent="0.25">
      <c r="A5" s="120" t="s">
        <v>15</v>
      </c>
      <c r="B5" s="18" t="s">
        <v>224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6.208613333333334</v>
      </c>
      <c r="O5" s="59"/>
    </row>
    <row r="6" spans="1:18" x14ac:dyDescent="0.25">
      <c r="A6" s="120" t="s">
        <v>7</v>
      </c>
      <c r="B6" s="25" t="s">
        <v>225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8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8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8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8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294" t="s">
        <v>23</v>
      </c>
      <c r="G10" s="294" t="s">
        <v>24</v>
      </c>
      <c r="H10" s="294" t="s">
        <v>25</v>
      </c>
      <c r="I10" s="294" t="s">
        <v>26</v>
      </c>
      <c r="J10" s="294" t="s">
        <v>27</v>
      </c>
      <c r="K10" s="294" t="s">
        <v>28</v>
      </c>
      <c r="L10" s="294" t="s">
        <v>29</v>
      </c>
      <c r="M10" s="294" t="s">
        <v>17</v>
      </c>
      <c r="N10" s="294" t="s">
        <v>18</v>
      </c>
      <c r="O10" s="59"/>
    </row>
    <row r="11" spans="1:18" s="20" customFormat="1" x14ac:dyDescent="0.25">
      <c r="A11" s="295">
        <v>10</v>
      </c>
      <c r="B11" s="307" t="s">
        <v>226</v>
      </c>
      <c r="C11" s="309" t="s">
        <v>227</v>
      </c>
      <c r="D11" s="306">
        <v>200</v>
      </c>
      <c r="E11" s="313">
        <v>2.7776400000000003E-2</v>
      </c>
      <c r="F11" s="309" t="s">
        <v>167</v>
      </c>
      <c r="G11" s="309"/>
      <c r="H11" s="310"/>
      <c r="I11" s="308"/>
      <c r="J11" s="311"/>
      <c r="K11" s="310"/>
      <c r="L11" s="305">
        <v>1580</v>
      </c>
      <c r="M11" s="312">
        <v>1</v>
      </c>
      <c r="N11" s="261">
        <f>D11*E11</f>
        <v>5.5552800000000007</v>
      </c>
      <c r="O11" s="64"/>
    </row>
    <row r="12" spans="1:18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96" t="s">
        <v>18</v>
      </c>
      <c r="N12" s="124">
        <f>SUM(N11:N11)</f>
        <v>5.5552800000000007</v>
      </c>
      <c r="O12" s="59"/>
      <c r="R12" s="314"/>
    </row>
    <row r="13" spans="1:18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8" x14ac:dyDescent="0.25">
      <c r="A14" s="297" t="s">
        <v>14</v>
      </c>
      <c r="B14" s="294" t="s">
        <v>31</v>
      </c>
      <c r="C14" s="294" t="s">
        <v>20</v>
      </c>
      <c r="D14" s="294" t="s">
        <v>21</v>
      </c>
      <c r="E14" s="294" t="s">
        <v>32</v>
      </c>
      <c r="F14" s="294" t="s">
        <v>17</v>
      </c>
      <c r="G14" s="294" t="s">
        <v>33</v>
      </c>
      <c r="H14" s="294" t="s">
        <v>34</v>
      </c>
      <c r="I14" s="294" t="s">
        <v>18</v>
      </c>
      <c r="J14" s="21"/>
      <c r="K14" s="21"/>
      <c r="L14" s="21"/>
      <c r="M14" s="21"/>
      <c r="N14" s="21"/>
      <c r="O14" s="59"/>
    </row>
    <row r="15" spans="1:18" s="22" customFormat="1" x14ac:dyDescent="0.25">
      <c r="A15" s="298">
        <v>10</v>
      </c>
      <c r="B15" s="316" t="s">
        <v>228</v>
      </c>
      <c r="C15" s="318"/>
      <c r="D15" s="320">
        <v>35</v>
      </c>
      <c r="E15" s="319" t="s">
        <v>229</v>
      </c>
      <c r="F15" s="319">
        <v>1.12E-2</v>
      </c>
      <c r="G15" s="300"/>
      <c r="H15" s="300"/>
      <c r="I15" s="301">
        <f t="shared" ref="I15:I16" si="0">IF(H15="",D15*F15,D15*F15*H15)</f>
        <v>0.39200000000000002</v>
      </c>
      <c r="J15" s="55"/>
      <c r="K15" s="55"/>
      <c r="L15" s="55"/>
      <c r="M15" s="55"/>
      <c r="N15" s="55"/>
      <c r="O15" s="66"/>
    </row>
    <row r="16" spans="1:18" x14ac:dyDescent="0.25">
      <c r="A16" s="302">
        <v>20</v>
      </c>
      <c r="B16" s="316" t="s">
        <v>230</v>
      </c>
      <c r="C16" s="318"/>
      <c r="D16" s="320">
        <v>20</v>
      </c>
      <c r="E16" s="319" t="s">
        <v>229</v>
      </c>
      <c r="F16" s="319">
        <v>1.12E-2</v>
      </c>
      <c r="G16" s="299"/>
      <c r="H16" s="303"/>
      <c r="I16" s="261">
        <f t="shared" si="0"/>
        <v>0.224</v>
      </c>
      <c r="J16" s="53"/>
      <c r="K16" s="53"/>
      <c r="L16" s="53"/>
      <c r="M16" s="53"/>
      <c r="N16" s="53"/>
      <c r="O16" s="59"/>
    </row>
    <row r="17" spans="1:15" x14ac:dyDescent="0.25">
      <c r="A17" s="65"/>
      <c r="B17" s="21"/>
      <c r="C17" s="21"/>
      <c r="D17" s="21"/>
      <c r="E17" s="21"/>
      <c r="F17" s="21"/>
      <c r="G17" s="21"/>
      <c r="H17" s="129" t="s">
        <v>18</v>
      </c>
      <c r="I17" s="124">
        <f>SUM(I15:I16)</f>
        <v>0.61599999999999999</v>
      </c>
      <c r="J17" s="21"/>
      <c r="K17" s="21"/>
      <c r="L17" s="21"/>
      <c r="M17" s="21"/>
      <c r="N17" s="21"/>
      <c r="O17" s="59"/>
    </row>
    <row r="18" spans="1:15" x14ac:dyDescent="0.25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x14ac:dyDescent="0.25">
      <c r="A19" s="297" t="s">
        <v>14</v>
      </c>
      <c r="B19" s="294" t="s">
        <v>39</v>
      </c>
      <c r="C19" s="294" t="s">
        <v>20</v>
      </c>
      <c r="D19" s="294" t="s">
        <v>21</v>
      </c>
      <c r="E19" s="294" t="s">
        <v>32</v>
      </c>
      <c r="F19" s="294" t="s">
        <v>17</v>
      </c>
      <c r="G19" s="294" t="s">
        <v>40</v>
      </c>
      <c r="H19" s="294" t="s">
        <v>175</v>
      </c>
      <c r="I19" s="294" t="s">
        <v>18</v>
      </c>
      <c r="J19" s="21"/>
      <c r="K19" s="53"/>
      <c r="L19" s="53"/>
      <c r="M19" s="53"/>
      <c r="N19" s="53"/>
      <c r="O19" s="59"/>
    </row>
    <row r="20" spans="1:15" s="17" customFormat="1" ht="15" customHeight="1" x14ac:dyDescent="0.25">
      <c r="A20" s="302">
        <v>10</v>
      </c>
      <c r="B20" s="325" t="s">
        <v>231</v>
      </c>
      <c r="C20" s="325"/>
      <c r="D20" s="321">
        <v>10000</v>
      </c>
      <c r="E20" s="316" t="s">
        <v>229</v>
      </c>
      <c r="F20" s="324">
        <v>1.12E-2</v>
      </c>
      <c r="G20" s="324">
        <v>3000</v>
      </c>
      <c r="H20" s="324">
        <v>1</v>
      </c>
      <c r="I20" s="261">
        <f>D20*F20/G20*H20</f>
        <v>3.7333333333333336E-2</v>
      </c>
      <c r="J20" s="54"/>
      <c r="K20" s="54"/>
      <c r="L20" s="54"/>
      <c r="M20" s="54"/>
      <c r="N20" s="54"/>
      <c r="O20" s="63"/>
    </row>
    <row r="21" spans="1:15" x14ac:dyDescent="0.25">
      <c r="A21" s="65"/>
      <c r="B21" s="21"/>
      <c r="C21" s="21"/>
      <c r="D21" s="21"/>
      <c r="E21" s="21"/>
      <c r="F21" s="21"/>
      <c r="G21" s="21"/>
      <c r="H21" s="129" t="s">
        <v>18</v>
      </c>
      <c r="I21" s="124">
        <f>SUM(I20:I20)</f>
        <v>3.7333333333333336E-2</v>
      </c>
      <c r="J21" s="21"/>
      <c r="K21" s="53"/>
      <c r="L21" s="53"/>
      <c r="M21" s="53"/>
      <c r="N21" s="53"/>
      <c r="O21" s="59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200" display="EN_A0200" xr:uid="{C22F8226-2861-4749-9CFC-3DC2D3C04AC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4" sqref="G4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9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9" t="s">
        <v>0</v>
      </c>
      <c r="B1" s="90" t="s">
        <v>44</v>
      </c>
      <c r="D1" s="40"/>
      <c r="M1" s="52" t="s">
        <v>47</v>
      </c>
      <c r="N1" s="41"/>
      <c r="O1" s="51" t="e">
        <f>#REF!</f>
        <v>#REF!</v>
      </c>
    </row>
    <row r="2" spans="1:15" s="15" customFormat="1" ht="15.75" thickBot="1" x14ac:dyDescent="0.3">
      <c r="A2" s="47" t="s">
        <v>48</v>
      </c>
      <c r="B2" s="89" t="s">
        <v>120</v>
      </c>
      <c r="C2" s="14"/>
      <c r="F2" s="35"/>
    </row>
    <row r="3" spans="1:15" s="15" customFormat="1" ht="16.5" thickTop="1" thickBot="1" x14ac:dyDescent="0.3">
      <c r="A3" s="48" t="s">
        <v>49</v>
      </c>
      <c r="B3" s="50">
        <v>2018</v>
      </c>
      <c r="C3" s="14"/>
      <c r="F3" s="35"/>
    </row>
    <row r="4" spans="1:15" s="15" customFormat="1" ht="16.5" thickTop="1" thickBot="1" x14ac:dyDescent="0.3">
      <c r="A4" s="46" t="s">
        <v>1</v>
      </c>
      <c r="B4" s="88">
        <v>81</v>
      </c>
      <c r="C4" s="14"/>
      <c r="D4" s="40" t="s">
        <v>50</v>
      </c>
      <c r="F4" s="35"/>
    </row>
    <row r="5" spans="1:15" s="33" customFormat="1" ht="15.75" thickTop="1" x14ac:dyDescent="0.25">
      <c r="A5" s="32"/>
      <c r="B5" s="36"/>
      <c r="C5" s="34"/>
      <c r="F5" s="37"/>
    </row>
    <row r="6" spans="1:15" s="31" customFormat="1" ht="49.5" customHeight="1" x14ac:dyDescent="0.25">
      <c r="A6" s="30" t="s">
        <v>51</v>
      </c>
      <c r="B6" s="43" t="s">
        <v>52</v>
      </c>
      <c r="C6" s="43" t="s">
        <v>53</v>
      </c>
      <c r="D6" s="43" t="s">
        <v>54</v>
      </c>
      <c r="E6" s="43" t="s">
        <v>55</v>
      </c>
      <c r="F6" s="43" t="s">
        <v>56</v>
      </c>
      <c r="G6" s="43" t="s">
        <v>57</v>
      </c>
      <c r="H6" s="45" t="s">
        <v>58</v>
      </c>
      <c r="I6" s="43" t="s">
        <v>17</v>
      </c>
      <c r="J6" s="43" t="s">
        <v>59</v>
      </c>
      <c r="K6" s="43" t="s">
        <v>60</v>
      </c>
      <c r="L6" s="43" t="s">
        <v>61</v>
      </c>
      <c r="M6" s="43" t="s">
        <v>62</v>
      </c>
      <c r="N6" s="44" t="s">
        <v>63</v>
      </c>
      <c r="O6" s="43" t="s">
        <v>64</v>
      </c>
    </row>
    <row r="7" spans="1:15" ht="15" x14ac:dyDescent="0.25">
      <c r="A7" s="93"/>
      <c r="B7" s="94" t="str">
        <f>'EN A0200'!B3</f>
        <v>Engine and Drivetrain</v>
      </c>
      <c r="C7" s="95" t="str">
        <f>EN_A0001</f>
        <v>EN A0001</v>
      </c>
      <c r="D7" s="95" t="s">
        <v>11</v>
      </c>
      <c r="E7" s="95"/>
      <c r="F7" s="96" t="str">
        <f>'[2]BR Assembly'!B4</f>
        <v>Nom de l'assemblage 1</v>
      </c>
      <c r="G7" s="95"/>
      <c r="H7" s="97">
        <f>SUM(J7:M7)</f>
        <v>94.542182346656517</v>
      </c>
      <c r="I7" s="98">
        <f>EN_A0200_q</f>
        <v>1</v>
      </c>
      <c r="J7" s="99">
        <f>EN_A0200_m</f>
        <v>6</v>
      </c>
      <c r="K7" s="99">
        <f>EN_A0200_p</f>
        <v>86.62884901332319</v>
      </c>
      <c r="L7" s="99">
        <f>EN_A0200_f</f>
        <v>0.58000000000000007</v>
      </c>
      <c r="M7" s="99">
        <f>EN_A0200_t</f>
        <v>1.3333333333333333</v>
      </c>
      <c r="N7" s="100">
        <f t="shared" ref="N7:N17" si="0">H7*I7</f>
        <v>94.542182346656517</v>
      </c>
      <c r="O7" s="101"/>
    </row>
    <row r="8" spans="1:15" ht="15" x14ac:dyDescent="0.25">
      <c r="A8" s="102"/>
      <c r="B8" s="103" t="str">
        <f>'EN A0200'!$B$3</f>
        <v>Engine and Drivetrain</v>
      </c>
      <c r="C8" s="104" t="e">
        <f>EN_01001</f>
        <v>#NAME?</v>
      </c>
      <c r="D8" s="105" t="s">
        <v>11</v>
      </c>
      <c r="E8" s="105" t="str">
        <f>F7</f>
        <v>Nom de l'assemblage 1</v>
      </c>
      <c r="F8" s="106" t="str">
        <f>EN_02001!B5</f>
        <v>Exhaust Tip</v>
      </c>
      <c r="G8" s="105"/>
      <c r="H8" s="107" t="e">
        <f t="shared" ref="H8:H17" si="1">SUM(J8:M8)</f>
        <v>#NAME?</v>
      </c>
      <c r="I8" s="108" t="e">
        <f>EN_A0001_q*EN_01001_q</f>
        <v>#NAME?</v>
      </c>
      <c r="J8" s="109" t="e">
        <f>EN_01001_m</f>
        <v>#NAME?</v>
      </c>
      <c r="K8" s="109" t="e">
        <f>EN_01001_p</f>
        <v>#NAME?</v>
      </c>
      <c r="L8" s="109" t="e">
        <f>EN_01001_f</f>
        <v>#NAME?</v>
      </c>
      <c r="M8" s="109" t="e">
        <f>EN_01001_t</f>
        <v>#NAME?</v>
      </c>
      <c r="N8" s="110" t="e">
        <f t="shared" si="0"/>
        <v>#NAME?</v>
      </c>
      <c r="O8" s="111"/>
    </row>
    <row r="9" spans="1:15" ht="14.25" x14ac:dyDescent="0.2">
      <c r="A9" s="102"/>
      <c r="B9" s="103" t="str">
        <f>'EN A0200'!$B$3</f>
        <v>Engine and Drivetrain</v>
      </c>
      <c r="C9" s="105"/>
      <c r="D9" s="105" t="s">
        <v>11</v>
      </c>
      <c r="E9" s="105"/>
      <c r="F9" s="103"/>
      <c r="G9" s="105"/>
      <c r="H9" s="107">
        <f t="shared" si="1"/>
        <v>0</v>
      </c>
      <c r="I9" s="112"/>
      <c r="J9" s="109"/>
      <c r="K9" s="109"/>
      <c r="L9" s="109"/>
      <c r="M9" s="109"/>
      <c r="N9" s="110">
        <f t="shared" si="0"/>
        <v>0</v>
      </c>
      <c r="O9" s="111"/>
    </row>
    <row r="10" spans="1:15" ht="14.25" x14ac:dyDescent="0.2">
      <c r="A10" s="102"/>
      <c r="B10" s="103" t="str">
        <f>'EN A0200'!$B$3</f>
        <v>Engine and Drivetrain</v>
      </c>
      <c r="C10" s="105"/>
      <c r="D10" s="105" t="s">
        <v>11</v>
      </c>
      <c r="E10" s="105"/>
      <c r="F10" s="103"/>
      <c r="G10" s="105"/>
      <c r="H10" s="107">
        <f t="shared" si="1"/>
        <v>0</v>
      </c>
      <c r="I10" s="112"/>
      <c r="J10" s="109"/>
      <c r="K10" s="109"/>
      <c r="L10" s="109"/>
      <c r="M10" s="109"/>
      <c r="N10" s="110">
        <f t="shared" si="0"/>
        <v>0</v>
      </c>
      <c r="O10" s="111"/>
    </row>
    <row r="11" spans="1:15" ht="14.25" x14ac:dyDescent="0.2">
      <c r="A11" s="102"/>
      <c r="B11" s="103" t="str">
        <f>'EN A0200'!$B$3</f>
        <v>Engine and Drivetrain</v>
      </c>
      <c r="C11" s="105"/>
      <c r="D11" s="105" t="s">
        <v>11</v>
      </c>
      <c r="E11" s="105"/>
      <c r="F11" s="103"/>
      <c r="G11" s="105"/>
      <c r="H11" s="107">
        <f t="shared" si="1"/>
        <v>0</v>
      </c>
      <c r="I11" s="112"/>
      <c r="J11" s="109"/>
      <c r="K11" s="109"/>
      <c r="L11" s="109"/>
      <c r="M11" s="109"/>
      <c r="N11" s="110">
        <f t="shared" si="0"/>
        <v>0</v>
      </c>
      <c r="O11" s="111"/>
    </row>
    <row r="12" spans="1:15" ht="14.25" x14ac:dyDescent="0.2">
      <c r="A12" s="102"/>
      <c r="B12" s="103" t="str">
        <f>'EN A0200'!$B$3</f>
        <v>Engine and Drivetrain</v>
      </c>
      <c r="C12" s="105"/>
      <c r="D12" s="105" t="s">
        <v>11</v>
      </c>
      <c r="E12" s="105"/>
      <c r="F12" s="103"/>
      <c r="G12" s="105"/>
      <c r="H12" s="107">
        <f t="shared" si="1"/>
        <v>0</v>
      </c>
      <c r="I12" s="112"/>
      <c r="J12" s="109"/>
      <c r="K12" s="109"/>
      <c r="L12" s="109"/>
      <c r="M12" s="109"/>
      <c r="N12" s="110">
        <f t="shared" si="0"/>
        <v>0</v>
      </c>
      <c r="O12" s="111"/>
    </row>
    <row r="13" spans="1:15" ht="14.25" x14ac:dyDescent="0.2">
      <c r="A13" s="102"/>
      <c r="B13" s="103" t="str">
        <f>'EN A0200'!$B$3</f>
        <v>Engine and Drivetrain</v>
      </c>
      <c r="C13" s="105"/>
      <c r="D13" s="105" t="s">
        <v>11</v>
      </c>
      <c r="E13" s="105"/>
      <c r="F13" s="103"/>
      <c r="G13" s="105"/>
      <c r="H13" s="107">
        <f t="shared" si="1"/>
        <v>0</v>
      </c>
      <c r="I13" s="112"/>
      <c r="J13" s="109"/>
      <c r="K13" s="109"/>
      <c r="L13" s="109"/>
      <c r="M13" s="109"/>
      <c r="N13" s="110">
        <f t="shared" si="0"/>
        <v>0</v>
      </c>
      <c r="O13" s="111"/>
    </row>
    <row r="14" spans="1:15" ht="14.25" x14ac:dyDescent="0.2">
      <c r="A14" s="102"/>
      <c r="B14" s="103" t="str">
        <f>'EN A0200'!$B$3</f>
        <v>Engine and Drivetrain</v>
      </c>
      <c r="C14" s="105"/>
      <c r="D14" s="105" t="s">
        <v>11</v>
      </c>
      <c r="E14" s="105"/>
      <c r="F14" s="103"/>
      <c r="G14" s="105"/>
      <c r="H14" s="107">
        <f t="shared" si="1"/>
        <v>0</v>
      </c>
      <c r="I14" s="112"/>
      <c r="J14" s="109"/>
      <c r="K14" s="109"/>
      <c r="L14" s="109"/>
      <c r="M14" s="109"/>
      <c r="N14" s="110">
        <f t="shared" si="0"/>
        <v>0</v>
      </c>
      <c r="O14" s="111"/>
    </row>
    <row r="15" spans="1:15" ht="14.25" x14ac:dyDescent="0.2">
      <c r="A15" s="102"/>
      <c r="B15" s="103" t="str">
        <f>'EN A0200'!$B$3</f>
        <v>Engine and Drivetrain</v>
      </c>
      <c r="C15" s="105"/>
      <c r="D15" s="105" t="s">
        <v>11</v>
      </c>
      <c r="E15" s="105"/>
      <c r="F15" s="103"/>
      <c r="G15" s="113"/>
      <c r="H15" s="107">
        <f t="shared" si="1"/>
        <v>0</v>
      </c>
      <c r="I15" s="112"/>
      <c r="J15" s="109"/>
      <c r="K15" s="109"/>
      <c r="L15" s="109"/>
      <c r="M15" s="109"/>
      <c r="N15" s="110">
        <f t="shared" si="0"/>
        <v>0</v>
      </c>
      <c r="O15" s="111"/>
    </row>
    <row r="16" spans="1:15" ht="14.25" x14ac:dyDescent="0.2">
      <c r="A16" s="102"/>
      <c r="B16" s="103" t="str">
        <f>'EN A0200'!$B$3</f>
        <v>Engine and Drivetrain</v>
      </c>
      <c r="C16" s="105"/>
      <c r="D16" s="105" t="s">
        <v>11</v>
      </c>
      <c r="E16" s="105"/>
      <c r="F16" s="103"/>
      <c r="G16" s="105"/>
      <c r="H16" s="107">
        <f t="shared" si="1"/>
        <v>0</v>
      </c>
      <c r="I16" s="112"/>
      <c r="J16" s="109"/>
      <c r="K16" s="109"/>
      <c r="L16" s="109"/>
      <c r="M16" s="109"/>
      <c r="N16" s="110">
        <f t="shared" si="0"/>
        <v>0</v>
      </c>
      <c r="O16" s="111"/>
    </row>
    <row r="17" spans="1:15" ht="15" thickBot="1" x14ac:dyDescent="0.25">
      <c r="A17" s="102"/>
      <c r="B17" s="103" t="str">
        <f>'EN A0200'!$B$3</f>
        <v>Engine and Drivetrain</v>
      </c>
      <c r="C17" s="105"/>
      <c r="D17" s="105" t="s">
        <v>11</v>
      </c>
      <c r="E17" s="105"/>
      <c r="F17" s="103"/>
      <c r="G17" s="105"/>
      <c r="H17" s="107">
        <f t="shared" si="1"/>
        <v>0</v>
      </c>
      <c r="I17" s="112"/>
      <c r="J17" s="109"/>
      <c r="K17" s="109"/>
      <c r="L17" s="109"/>
      <c r="M17" s="109"/>
      <c r="N17" s="110">
        <f t="shared" si="0"/>
        <v>0</v>
      </c>
      <c r="O17" s="111"/>
    </row>
    <row r="18" spans="1:15" s="12" customFormat="1" ht="15.75" thickTop="1" thickBot="1" x14ac:dyDescent="0.25">
      <c r="A18" s="5"/>
      <c r="B18" s="38" t="str">
        <f>'EN A0200'!B3</f>
        <v>Engine and Drivetrain</v>
      </c>
      <c r="C18" s="1"/>
      <c r="D18" s="1"/>
      <c r="E18" s="1"/>
      <c r="F18" s="38" t="s">
        <v>65</v>
      </c>
      <c r="G18" s="1"/>
      <c r="H18" s="3"/>
      <c r="I18" s="4"/>
      <c r="J18" s="92" t="e">
        <f>SUMPRODUCT($I7:$I17,J7:J17)</f>
        <v>#NAME?</v>
      </c>
      <c r="K18" s="92" t="e">
        <f>SUMPRODUCT($I7:$I17,K7:K17)</f>
        <v>#NAME?</v>
      </c>
      <c r="L18" s="92" t="e">
        <f>SUMPRODUCT($I7:$I17,L7:L17)</f>
        <v>#NAME?</v>
      </c>
      <c r="M18" s="92" t="e">
        <f>SUMPRODUCT($I7:$I17,M7:M17)</f>
        <v>#NAME?</v>
      </c>
      <c r="N18" s="92" t="e">
        <f>SUM(N7:N17)</f>
        <v>#NAME?</v>
      </c>
      <c r="O18" s="2"/>
    </row>
    <row r="19" spans="1:15" ht="13.5" thickTop="1" x14ac:dyDescent="0.2">
      <c r="A19" s="11"/>
      <c r="B19" s="39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9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2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2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9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9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9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9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9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9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9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9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9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9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9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9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9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9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9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9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9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9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9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9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9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9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9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9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9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9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9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9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9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9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9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9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9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9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9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9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9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9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9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9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9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9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9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9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9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9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9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9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9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9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9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9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9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9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9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9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9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9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9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9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9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9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9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9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9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9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9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9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9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9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9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9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9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9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9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9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9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9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9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9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9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9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9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9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9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9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9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9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9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9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9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9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9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9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9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9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9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9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9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9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9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9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9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9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9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9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9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9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9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9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9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9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9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9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9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9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  <ignoredErrors>
    <ignoredError sqref="H8:M8 H9:H17 C7:C8 H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59"/>
  <sheetViews>
    <sheetView tabSelected="1" topLeftCell="A25" zoomScale="70" zoomScaleNormal="70" zoomScaleSheetLayoutView="80" workbookViewId="0">
      <selection activeCell="C32" sqref="C32"/>
    </sheetView>
  </sheetViews>
  <sheetFormatPr baseColWidth="10" defaultColWidth="9.140625" defaultRowHeight="15" x14ac:dyDescent="0.25"/>
  <cols>
    <col min="1" max="1" width="11.42578125"/>
    <col min="2" max="2" width="30.42578125" customWidth="1"/>
    <col min="3" max="3" width="35.5703125"/>
    <col min="4" max="4" width="11.42578125"/>
    <col min="5" max="5" width="13.140625"/>
    <col min="6" max="6" width="11.42578125"/>
    <col min="7" max="7" width="16.28515625" customWidth="1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14" t="s">
        <v>0</v>
      </c>
      <c r="B2" s="16" t="s">
        <v>44</v>
      </c>
      <c r="C2" s="53"/>
      <c r="D2" s="53"/>
      <c r="E2" s="53" t="s">
        <v>121</v>
      </c>
      <c r="F2" s="53"/>
      <c r="G2" s="53"/>
      <c r="H2" s="53"/>
      <c r="I2" s="53"/>
      <c r="J2" s="114" t="s">
        <v>1</v>
      </c>
      <c r="K2" s="79">
        <v>81</v>
      </c>
      <c r="L2" s="53"/>
      <c r="M2" s="114" t="s">
        <v>2</v>
      </c>
      <c r="N2" s="91">
        <f>EN_A0200_pa+EN_A0200_m+EN_A0200_p+EN_A0200_f+EN_A0200_t</f>
        <v>364.47732043095084</v>
      </c>
      <c r="O2" s="59"/>
    </row>
    <row r="3" spans="1:15" x14ac:dyDescent="0.25">
      <c r="A3" s="114" t="s">
        <v>3</v>
      </c>
      <c r="B3" s="16" t="s">
        <v>135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114" t="s">
        <v>4</v>
      </c>
      <c r="N3" s="78">
        <v>1</v>
      </c>
      <c r="O3" s="59"/>
    </row>
    <row r="4" spans="1:15" x14ac:dyDescent="0.25">
      <c r="A4" s="114" t="s">
        <v>5</v>
      </c>
      <c r="B4" s="54" t="s">
        <v>138</v>
      </c>
      <c r="C4" s="53"/>
      <c r="D4" s="53"/>
      <c r="E4" s="53"/>
      <c r="F4" s="53"/>
      <c r="G4" s="53"/>
      <c r="H4" s="53"/>
      <c r="I4" s="53"/>
      <c r="J4" s="117" t="s">
        <v>6</v>
      </c>
      <c r="K4" s="53"/>
      <c r="L4" s="53"/>
      <c r="M4" s="53"/>
      <c r="N4" s="53"/>
      <c r="O4" s="59"/>
    </row>
    <row r="5" spans="1:15" x14ac:dyDescent="0.25">
      <c r="A5" s="114" t="s">
        <v>7</v>
      </c>
      <c r="B5" s="18" t="s">
        <v>137</v>
      </c>
      <c r="C5" s="53"/>
      <c r="D5" s="53"/>
      <c r="E5" s="53"/>
      <c r="F5" s="53"/>
      <c r="G5" s="53"/>
      <c r="H5" s="53"/>
      <c r="I5" s="53"/>
      <c r="J5" s="117" t="s">
        <v>8</v>
      </c>
      <c r="K5" s="53"/>
      <c r="L5" s="53"/>
      <c r="M5" s="114" t="s">
        <v>9</v>
      </c>
      <c r="N5" s="71">
        <f>N2*N3</f>
        <v>364.47732043095084</v>
      </c>
      <c r="O5" s="59"/>
    </row>
    <row r="6" spans="1:15" x14ac:dyDescent="0.25">
      <c r="A6" s="114" t="s">
        <v>10</v>
      </c>
      <c r="B6" s="16" t="s">
        <v>11</v>
      </c>
      <c r="C6" s="53"/>
      <c r="D6" s="53"/>
      <c r="E6" s="53"/>
      <c r="F6" s="53"/>
      <c r="G6" s="53"/>
      <c r="H6" s="53"/>
      <c r="I6" s="53"/>
      <c r="J6" s="117" t="s">
        <v>12</v>
      </c>
      <c r="K6" s="53"/>
      <c r="L6" s="53"/>
      <c r="M6" s="53"/>
      <c r="N6" s="53"/>
      <c r="O6" s="59"/>
    </row>
    <row r="7" spans="1:15" x14ac:dyDescent="0.25">
      <c r="A7" s="114" t="s">
        <v>13</v>
      </c>
      <c r="B7" s="16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114" t="s">
        <v>14</v>
      </c>
      <c r="B9" s="114" t="s">
        <v>15</v>
      </c>
      <c r="C9" s="114" t="s">
        <v>16</v>
      </c>
      <c r="D9" s="114" t="s">
        <v>17</v>
      </c>
      <c r="E9" s="114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284">
        <v>10</v>
      </c>
      <c r="B10" s="283" t="str">
        <f>EN_02001!B5</f>
        <v>Exhaust Tip</v>
      </c>
      <c r="C10" s="282">
        <f>EN_02001!N2</f>
        <v>4.3537375941950689</v>
      </c>
      <c r="D10" s="281">
        <f>EN_02001_q</f>
        <v>4</v>
      </c>
      <c r="E10" s="280">
        <f t="shared" ref="E10:E17" si="0">C10*D10</f>
        <v>17.414950376780276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25">
      <c r="A11" s="265">
        <v>20</v>
      </c>
      <c r="B11" s="264" t="str">
        <f>EN_02002!B5</f>
        <v>Exhaust Flange</v>
      </c>
      <c r="C11" s="263">
        <f>EN_02002!N2</f>
        <v>1.75075</v>
      </c>
      <c r="D11" s="262">
        <f>EN_02002_q</f>
        <v>4</v>
      </c>
      <c r="E11" s="261">
        <f t="shared" si="0"/>
        <v>7.0030000000000001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25">
      <c r="A12" s="130">
        <v>30</v>
      </c>
      <c r="B12" s="279" t="str">
        <f>EN_02003!B5</f>
        <v>Exhaust headers</v>
      </c>
      <c r="C12" s="278">
        <f>EN_02003!N2</f>
        <v>109.43393911329514</v>
      </c>
      <c r="D12" s="130">
        <f>EN_02003_q</f>
        <v>1</v>
      </c>
      <c r="E12" s="277">
        <f t="shared" si="0"/>
        <v>109.43393911329514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s="17" customFormat="1" x14ac:dyDescent="0.25">
      <c r="A13" s="70">
        <v>40</v>
      </c>
      <c r="B13" s="82" t="str">
        <f>EN_02004!B5</f>
        <v>Primary collector</v>
      </c>
      <c r="C13" s="91">
        <f>EN_02004!N2</f>
        <v>20.228377789788073</v>
      </c>
      <c r="D13" s="70">
        <f>EN_02004_q</f>
        <v>2</v>
      </c>
      <c r="E13" s="71">
        <f t="shared" si="0"/>
        <v>40.456755579576146</v>
      </c>
      <c r="F13" s="54"/>
      <c r="G13" s="54"/>
      <c r="H13" s="54"/>
      <c r="I13" s="54"/>
      <c r="J13" s="54"/>
      <c r="K13" s="54"/>
      <c r="L13" s="54"/>
      <c r="M13" s="54"/>
      <c r="N13" s="54"/>
      <c r="O13" s="62"/>
    </row>
    <row r="14" spans="1:15" s="17" customFormat="1" x14ac:dyDescent="0.25">
      <c r="A14" s="70">
        <v>50</v>
      </c>
      <c r="B14" s="82" t="str">
        <f>EN_02005!B5</f>
        <v>Primary collectors tubing</v>
      </c>
      <c r="C14" s="91">
        <f>EN_02005!N2</f>
        <v>13.905258338450619</v>
      </c>
      <c r="D14" s="70">
        <f>EN_02005_q</f>
        <v>1</v>
      </c>
      <c r="E14" s="71">
        <f t="shared" si="0"/>
        <v>13.905258338450619</v>
      </c>
      <c r="F14" s="54"/>
      <c r="G14" s="54"/>
      <c r="H14" s="54"/>
      <c r="I14" s="54"/>
      <c r="J14" s="54"/>
      <c r="K14" s="54"/>
      <c r="L14" s="54"/>
      <c r="M14" s="54"/>
      <c r="N14" s="54"/>
      <c r="O14" s="63"/>
    </row>
    <row r="15" spans="1:15" s="17" customFormat="1" x14ac:dyDescent="0.25">
      <c r="A15" s="70">
        <v>60</v>
      </c>
      <c r="B15" s="244" t="str">
        <f>EN_02006!B5</f>
        <v>Secondary collector</v>
      </c>
      <c r="C15" s="245">
        <f>EN_02006!N2</f>
        <v>22.466496278906856</v>
      </c>
      <c r="D15" s="70">
        <f>EN_02006_q</f>
        <v>1</v>
      </c>
      <c r="E15" s="71">
        <f t="shared" si="0"/>
        <v>22.466496278906856</v>
      </c>
      <c r="F15" s="54"/>
      <c r="G15" s="54"/>
      <c r="H15" s="54"/>
      <c r="I15" s="54"/>
      <c r="J15" s="54"/>
      <c r="K15" s="54"/>
      <c r="L15" s="54"/>
      <c r="M15" s="54"/>
      <c r="N15" s="54"/>
      <c r="O15" s="63"/>
    </row>
    <row r="16" spans="1:15" s="17" customFormat="1" x14ac:dyDescent="0.25">
      <c r="A16" s="70">
        <v>70</v>
      </c>
      <c r="B16" s="244" t="str">
        <f>EN_02007!B5</f>
        <v>Secondary collector tubing</v>
      </c>
      <c r="C16" s="250">
        <f>EN_02007!N2</f>
        <v>12.90112506395198</v>
      </c>
      <c r="D16" s="70">
        <f>EN_02007_q</f>
        <v>1</v>
      </c>
      <c r="E16" s="71">
        <f t="shared" si="0"/>
        <v>12.90112506395198</v>
      </c>
      <c r="F16" s="54"/>
      <c r="G16" s="54"/>
      <c r="H16" s="54"/>
      <c r="I16" s="54"/>
      <c r="J16" s="54"/>
      <c r="K16" s="54"/>
      <c r="L16" s="54"/>
      <c r="M16" s="54"/>
      <c r="N16" s="54"/>
      <c r="O16" s="63"/>
    </row>
    <row r="17" spans="1:15" x14ac:dyDescent="0.25">
      <c r="A17" s="284">
        <v>80</v>
      </c>
      <c r="B17" s="260" t="str">
        <f>EN_02008!B5</f>
        <v>Muffler</v>
      </c>
      <c r="C17" s="259">
        <f>EN_02008!N2</f>
        <v>40.144999999999996</v>
      </c>
      <c r="D17" s="284">
        <f>EN_02008_q</f>
        <v>1</v>
      </c>
      <c r="E17" s="280">
        <f t="shared" si="0"/>
        <v>40.144999999999996</v>
      </c>
      <c r="F17" s="53"/>
      <c r="G17" s="53"/>
      <c r="H17" s="53"/>
      <c r="I17" s="53"/>
      <c r="J17" s="53"/>
      <c r="K17" s="53"/>
      <c r="L17" s="53"/>
      <c r="M17" s="53"/>
      <c r="N17" s="53"/>
      <c r="O17" s="59"/>
    </row>
    <row r="18" spans="1:15" x14ac:dyDescent="0.25">
      <c r="A18" s="265">
        <v>90</v>
      </c>
      <c r="B18" s="264" t="str">
        <f>EN_02009!B5</f>
        <v>Muffler Collar</v>
      </c>
      <c r="C18" s="258">
        <f>EN_02009!N2</f>
        <v>6.208613333333334</v>
      </c>
      <c r="D18" s="265">
        <f>EN_02009_q</f>
        <v>1</v>
      </c>
      <c r="E18" s="261">
        <f>C18*D18</f>
        <v>6.208613333333334</v>
      </c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x14ac:dyDescent="0.25">
      <c r="A19" s="265">
        <v>100</v>
      </c>
      <c r="B19" s="264"/>
      <c r="C19" s="258"/>
      <c r="D19" s="265"/>
      <c r="E19" s="261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25">
      <c r="A20" s="265">
        <v>110</v>
      </c>
      <c r="B20" s="264"/>
      <c r="C20" s="258"/>
      <c r="D20" s="265"/>
      <c r="E20" s="261"/>
      <c r="F20" s="53"/>
      <c r="G20" s="53"/>
      <c r="H20" s="53"/>
      <c r="I20" s="53"/>
      <c r="J20" s="53"/>
      <c r="K20" s="53"/>
      <c r="L20" s="53"/>
      <c r="M20" s="53"/>
      <c r="N20" s="53"/>
      <c r="O20" s="59"/>
    </row>
    <row r="21" spans="1:15" x14ac:dyDescent="0.25">
      <c r="A21" s="60"/>
      <c r="B21" s="53"/>
      <c r="C21" s="53"/>
      <c r="D21" s="118" t="s">
        <v>18</v>
      </c>
      <c r="E21" s="119">
        <f>SUM(E10:E20)</f>
        <v>269.93513808429435</v>
      </c>
      <c r="F21" s="54"/>
      <c r="G21" s="54"/>
      <c r="H21" s="54"/>
      <c r="I21" s="54"/>
      <c r="J21" s="54"/>
      <c r="K21" s="54"/>
      <c r="L21" s="54"/>
      <c r="M21" s="54"/>
      <c r="N21" s="54"/>
      <c r="O21" s="59"/>
    </row>
    <row r="22" spans="1:15" x14ac:dyDescent="0.25">
      <c r="A22" s="60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9"/>
    </row>
    <row r="23" spans="1:15" x14ac:dyDescent="0.25">
      <c r="A23" s="114" t="s">
        <v>14</v>
      </c>
      <c r="B23" s="326" t="s">
        <v>19</v>
      </c>
      <c r="C23" s="114" t="s">
        <v>20</v>
      </c>
      <c r="D23" s="114" t="s">
        <v>21</v>
      </c>
      <c r="E23" s="114" t="s">
        <v>22</v>
      </c>
      <c r="F23" s="114" t="s">
        <v>23</v>
      </c>
      <c r="G23" s="114" t="s">
        <v>24</v>
      </c>
      <c r="H23" s="114" t="s">
        <v>25</v>
      </c>
      <c r="I23" s="114" t="s">
        <v>26</v>
      </c>
      <c r="J23" s="114" t="s">
        <v>27</v>
      </c>
      <c r="K23" s="114" t="s">
        <v>28</v>
      </c>
      <c r="L23" s="114" t="s">
        <v>29</v>
      </c>
      <c r="M23" s="114" t="s">
        <v>17</v>
      </c>
      <c r="N23" s="114" t="s">
        <v>18</v>
      </c>
      <c r="O23" s="59"/>
    </row>
    <row r="24" spans="1:15" x14ac:dyDescent="0.25">
      <c r="A24" s="328">
        <v>10</v>
      </c>
      <c r="B24" s="323" t="s">
        <v>232</v>
      </c>
      <c r="C24" s="327"/>
      <c r="D24" s="71">
        <v>1</v>
      </c>
      <c r="E24" s="70"/>
      <c r="F24" s="70"/>
      <c r="G24" s="70"/>
      <c r="H24" s="72"/>
      <c r="I24" s="73"/>
      <c r="J24" s="74"/>
      <c r="K24" s="72"/>
      <c r="L24" s="72"/>
      <c r="M24" s="75">
        <v>6</v>
      </c>
      <c r="N24" s="71">
        <f>M24*D24</f>
        <v>6</v>
      </c>
      <c r="O24" s="59"/>
    </row>
    <row r="25" spans="1:15" x14ac:dyDescent="0.25">
      <c r="A25" s="6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14" t="s">
        <v>18</v>
      </c>
      <c r="N25" s="116">
        <f>SUM(N24:N24)</f>
        <v>6</v>
      </c>
      <c r="O25" s="59"/>
    </row>
    <row r="26" spans="1:15" x14ac:dyDescent="0.25">
      <c r="A26" s="60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9"/>
    </row>
    <row r="27" spans="1:15" s="22" customFormat="1" x14ac:dyDescent="0.25">
      <c r="A27" s="114" t="s">
        <v>14</v>
      </c>
      <c r="B27" s="114" t="s">
        <v>31</v>
      </c>
      <c r="C27" s="114" t="s">
        <v>20</v>
      </c>
      <c r="D27" s="114" t="s">
        <v>21</v>
      </c>
      <c r="E27" s="114" t="s">
        <v>32</v>
      </c>
      <c r="F27" s="114" t="s">
        <v>17</v>
      </c>
      <c r="G27" s="114" t="s">
        <v>33</v>
      </c>
      <c r="H27" s="114" t="s">
        <v>34</v>
      </c>
      <c r="I27" s="114" t="s">
        <v>18</v>
      </c>
      <c r="J27" s="21"/>
      <c r="K27" s="21"/>
      <c r="L27" s="21"/>
      <c r="M27" s="21"/>
      <c r="N27" s="21"/>
      <c r="O27" s="66"/>
    </row>
    <row r="28" spans="1:15" x14ac:dyDescent="0.25">
      <c r="A28" s="70">
        <v>10</v>
      </c>
      <c r="B28" s="77" t="s">
        <v>142</v>
      </c>
      <c r="C28" s="70" t="s">
        <v>162</v>
      </c>
      <c r="D28" s="71">
        <v>0.06</v>
      </c>
      <c r="E28" s="70" t="s">
        <v>35</v>
      </c>
      <c r="F28" s="76">
        <v>4</v>
      </c>
      <c r="G28" s="70"/>
      <c r="H28" s="70"/>
      <c r="I28" s="71">
        <f>IF(H28="",D28*F28,D28*F28*H28)</f>
        <v>0.24</v>
      </c>
      <c r="J28" s="53"/>
      <c r="K28" s="53"/>
      <c r="L28" s="53"/>
      <c r="M28" s="53"/>
      <c r="N28" s="53"/>
      <c r="O28" s="59"/>
    </row>
    <row r="29" spans="1:15" x14ac:dyDescent="0.25">
      <c r="A29" s="70">
        <v>20</v>
      </c>
      <c r="B29" s="70" t="s">
        <v>141</v>
      </c>
      <c r="C29" s="70" t="s">
        <v>161</v>
      </c>
      <c r="D29" s="71">
        <v>0.15</v>
      </c>
      <c r="E29" s="77" t="s">
        <v>46</v>
      </c>
      <c r="F29" s="304">
        <f>4*3.4*PI()</f>
        <v>42.725660088821186</v>
      </c>
      <c r="G29" s="70"/>
      <c r="H29" s="70"/>
      <c r="I29" s="71">
        <f t="shared" ref="I29:I43" si="1">IF(H29="",D29*F29,D29*F29*H29)</f>
        <v>6.4088490133231781</v>
      </c>
      <c r="J29" s="53"/>
      <c r="K29" s="53"/>
      <c r="L29" s="53"/>
      <c r="M29" s="53"/>
      <c r="N29" s="53"/>
      <c r="O29" s="59"/>
    </row>
    <row r="30" spans="1:15" x14ac:dyDescent="0.25">
      <c r="A30" s="132">
        <v>30</v>
      </c>
      <c r="B30" s="133" t="s">
        <v>159</v>
      </c>
      <c r="C30" s="134" t="s">
        <v>163</v>
      </c>
      <c r="D30" s="135">
        <v>0.13</v>
      </c>
      <c r="E30" s="134" t="s">
        <v>35</v>
      </c>
      <c r="F30" s="136">
        <v>4</v>
      </c>
      <c r="G30" s="134"/>
      <c r="H30" s="134"/>
      <c r="I30" s="137">
        <f t="shared" si="1"/>
        <v>0.52</v>
      </c>
      <c r="J30" s="53"/>
      <c r="K30" s="53"/>
      <c r="L30" s="53"/>
      <c r="M30" s="53"/>
      <c r="N30" s="53"/>
      <c r="O30" s="59"/>
    </row>
    <row r="31" spans="1:15" x14ac:dyDescent="0.25">
      <c r="A31" s="132">
        <v>40</v>
      </c>
      <c r="B31" s="133" t="s">
        <v>144</v>
      </c>
      <c r="C31" s="134" t="s">
        <v>145</v>
      </c>
      <c r="D31" s="135">
        <v>0.19</v>
      </c>
      <c r="E31" s="134" t="s">
        <v>35</v>
      </c>
      <c r="F31" s="136">
        <v>1</v>
      </c>
      <c r="G31" s="134"/>
      <c r="H31" s="134"/>
      <c r="I31" s="137">
        <f>IF(H31="",D31*F31,D31*F31*H31)</f>
        <v>0.19</v>
      </c>
      <c r="J31" s="53"/>
      <c r="K31" s="53"/>
      <c r="L31" s="53"/>
      <c r="M31" s="53"/>
      <c r="N31" s="53"/>
      <c r="O31" s="59"/>
    </row>
    <row r="32" spans="1:15" x14ac:dyDescent="0.25">
      <c r="A32" s="132">
        <v>50</v>
      </c>
      <c r="B32" s="133" t="s">
        <v>143</v>
      </c>
      <c r="C32" s="134" t="s">
        <v>164</v>
      </c>
      <c r="D32" s="135">
        <v>0.75</v>
      </c>
      <c r="E32" s="134" t="s">
        <v>35</v>
      </c>
      <c r="F32" s="136">
        <v>8</v>
      </c>
      <c r="G32" s="134"/>
      <c r="H32" s="134"/>
      <c r="I32" s="137">
        <f>IF(H32="",D32*F32,D32*F32*H32)</f>
        <v>6</v>
      </c>
      <c r="J32" s="53"/>
      <c r="K32" s="53"/>
      <c r="L32" s="53"/>
      <c r="M32" s="53"/>
      <c r="N32" s="53"/>
      <c r="O32" s="59"/>
    </row>
    <row r="33" spans="1:15" x14ac:dyDescent="0.25">
      <c r="A33" s="132">
        <v>60</v>
      </c>
      <c r="B33" s="133" t="s">
        <v>144</v>
      </c>
      <c r="C33" s="134" t="s">
        <v>146</v>
      </c>
      <c r="D33" s="135">
        <v>0.19</v>
      </c>
      <c r="E33" s="134" t="s">
        <v>35</v>
      </c>
      <c r="F33" s="136">
        <v>2</v>
      </c>
      <c r="G33" s="134"/>
      <c r="H33" s="134"/>
      <c r="I33" s="137">
        <f t="shared" si="1"/>
        <v>0.38</v>
      </c>
      <c r="J33" s="53"/>
      <c r="K33" s="53"/>
      <c r="L33" s="53"/>
      <c r="M33" s="53"/>
      <c r="N33" s="53"/>
      <c r="O33" s="59"/>
    </row>
    <row r="34" spans="1:15" ht="30" x14ac:dyDescent="0.25">
      <c r="A34" s="132">
        <v>70</v>
      </c>
      <c r="B34" s="133" t="s">
        <v>144</v>
      </c>
      <c r="C34" s="138" t="s">
        <v>147</v>
      </c>
      <c r="D34" s="135">
        <v>0.19</v>
      </c>
      <c r="E34" s="134" t="s">
        <v>35</v>
      </c>
      <c r="F34" s="136">
        <v>2</v>
      </c>
      <c r="G34" s="134"/>
      <c r="H34" s="134"/>
      <c r="I34" s="137">
        <f t="shared" si="1"/>
        <v>0.38</v>
      </c>
      <c r="J34" s="53"/>
      <c r="K34" s="53"/>
      <c r="L34" s="53"/>
      <c r="M34" s="53"/>
      <c r="N34" s="53"/>
      <c r="O34" s="59"/>
    </row>
    <row r="35" spans="1:15" ht="30" x14ac:dyDescent="0.25">
      <c r="A35" s="132">
        <v>80</v>
      </c>
      <c r="B35" s="133" t="s">
        <v>144</v>
      </c>
      <c r="C35" s="138" t="s">
        <v>148</v>
      </c>
      <c r="D35" s="135">
        <v>0.19</v>
      </c>
      <c r="E35" s="134" t="s">
        <v>35</v>
      </c>
      <c r="F35" s="136">
        <v>1</v>
      </c>
      <c r="G35" s="134"/>
      <c r="H35" s="134"/>
      <c r="I35" s="137">
        <f t="shared" si="1"/>
        <v>0.19</v>
      </c>
      <c r="J35" s="53"/>
      <c r="K35" s="53"/>
      <c r="L35" s="53"/>
      <c r="M35" s="53"/>
      <c r="N35" s="53"/>
      <c r="O35" s="59"/>
    </row>
    <row r="36" spans="1:15" x14ac:dyDescent="0.25">
      <c r="A36" s="132">
        <v>90</v>
      </c>
      <c r="B36" s="133" t="s">
        <v>144</v>
      </c>
      <c r="C36" s="134" t="s">
        <v>149</v>
      </c>
      <c r="D36" s="135">
        <v>0.19</v>
      </c>
      <c r="E36" s="134" t="s">
        <v>35</v>
      </c>
      <c r="F36" s="136">
        <v>1</v>
      </c>
      <c r="G36" s="134"/>
      <c r="H36" s="134"/>
      <c r="I36" s="137">
        <f t="shared" si="1"/>
        <v>0.19</v>
      </c>
      <c r="J36" s="53"/>
      <c r="K36" s="53"/>
      <c r="L36" s="53"/>
      <c r="M36" s="53"/>
      <c r="N36" s="53"/>
      <c r="O36" s="59"/>
    </row>
    <row r="37" spans="1:15" x14ac:dyDescent="0.25">
      <c r="A37" s="132">
        <v>100</v>
      </c>
      <c r="B37" s="133" t="s">
        <v>160</v>
      </c>
      <c r="C37" s="134" t="s">
        <v>150</v>
      </c>
      <c r="D37" s="135">
        <v>0.38</v>
      </c>
      <c r="E37" s="134" t="s">
        <v>35</v>
      </c>
      <c r="F37" s="136">
        <v>1</v>
      </c>
      <c r="G37" s="134"/>
      <c r="H37" s="134"/>
      <c r="I37" s="139">
        <f t="shared" si="1"/>
        <v>0.38</v>
      </c>
      <c r="J37" s="53"/>
      <c r="K37" s="53"/>
      <c r="L37" s="53"/>
      <c r="M37" s="53"/>
      <c r="N37" s="53"/>
      <c r="O37" s="59"/>
    </row>
    <row r="38" spans="1:15" x14ac:dyDescent="0.25">
      <c r="A38" s="140">
        <v>110</v>
      </c>
      <c r="B38" s="141" t="s">
        <v>143</v>
      </c>
      <c r="C38" s="134" t="s">
        <v>151</v>
      </c>
      <c r="D38" s="142">
        <v>0.75</v>
      </c>
      <c r="E38" s="134" t="s">
        <v>35</v>
      </c>
      <c r="F38" s="144">
        <v>3</v>
      </c>
      <c r="G38" s="143"/>
      <c r="H38" s="143"/>
      <c r="I38" s="145">
        <f t="shared" si="1"/>
        <v>2.25</v>
      </c>
      <c r="J38" s="53"/>
      <c r="K38" s="53"/>
      <c r="L38" s="53"/>
      <c r="M38" s="53"/>
      <c r="N38" s="53"/>
      <c r="O38" s="59"/>
    </row>
    <row r="39" spans="1:15" x14ac:dyDescent="0.25">
      <c r="A39" s="140">
        <v>120</v>
      </c>
      <c r="B39" s="141" t="s">
        <v>152</v>
      </c>
      <c r="C39" s="134" t="s">
        <v>153</v>
      </c>
      <c r="D39" s="142">
        <v>0.15</v>
      </c>
      <c r="E39" s="143" t="s">
        <v>46</v>
      </c>
      <c r="F39" s="144">
        <v>0.8</v>
      </c>
      <c r="G39" s="143"/>
      <c r="H39" s="143"/>
      <c r="I39" s="145">
        <f t="shared" si="1"/>
        <v>0.12</v>
      </c>
      <c r="J39" s="53"/>
      <c r="K39" s="53"/>
      <c r="L39" s="53"/>
      <c r="M39" s="53"/>
      <c r="N39" s="53"/>
      <c r="O39" s="59"/>
    </row>
    <row r="40" spans="1:15" x14ac:dyDescent="0.25">
      <c r="A40" s="140">
        <v>130</v>
      </c>
      <c r="B40" s="133" t="s">
        <v>159</v>
      </c>
      <c r="C40" s="134" t="s">
        <v>154</v>
      </c>
      <c r="D40" s="142">
        <v>0.13</v>
      </c>
      <c r="E40" s="143" t="s">
        <v>35</v>
      </c>
      <c r="F40" s="144">
        <v>1</v>
      </c>
      <c r="G40" s="143"/>
      <c r="H40" s="143"/>
      <c r="I40" s="145">
        <f t="shared" si="1"/>
        <v>0.13</v>
      </c>
      <c r="J40" s="53"/>
      <c r="K40" s="53"/>
      <c r="L40" s="53"/>
      <c r="M40" s="53"/>
      <c r="N40" s="53"/>
      <c r="O40" s="59"/>
    </row>
    <row r="41" spans="1:15" ht="45" x14ac:dyDescent="0.25">
      <c r="A41" s="140">
        <v>140</v>
      </c>
      <c r="B41" s="133" t="s">
        <v>155</v>
      </c>
      <c r="C41" s="134" t="s">
        <v>156</v>
      </c>
      <c r="D41" s="135">
        <v>0.5</v>
      </c>
      <c r="E41" s="143" t="s">
        <v>35</v>
      </c>
      <c r="F41" s="136">
        <v>3</v>
      </c>
      <c r="G41" s="146" t="s">
        <v>157</v>
      </c>
      <c r="H41" s="134">
        <v>1.5</v>
      </c>
      <c r="I41" s="145">
        <f t="shared" si="1"/>
        <v>2.25</v>
      </c>
      <c r="J41" s="53"/>
      <c r="K41" s="53"/>
      <c r="L41" s="53"/>
      <c r="M41" s="53"/>
      <c r="N41" s="53"/>
      <c r="O41" s="59"/>
    </row>
    <row r="42" spans="1:15" x14ac:dyDescent="0.25">
      <c r="A42" s="147">
        <v>150</v>
      </c>
      <c r="B42" s="133" t="s">
        <v>158</v>
      </c>
      <c r="C42" s="134" t="s">
        <v>156</v>
      </c>
      <c r="D42" s="135">
        <v>0.25</v>
      </c>
      <c r="E42" s="134" t="s">
        <v>35</v>
      </c>
      <c r="F42" s="136">
        <v>3</v>
      </c>
      <c r="G42" s="134"/>
      <c r="H42" s="134"/>
      <c r="I42" s="145">
        <f t="shared" si="1"/>
        <v>0.75</v>
      </c>
      <c r="J42" s="53"/>
      <c r="K42" s="53"/>
      <c r="L42" s="53"/>
      <c r="M42" s="53"/>
      <c r="N42" s="53"/>
      <c r="O42" s="59"/>
    </row>
    <row r="43" spans="1:15" s="22" customFormat="1" x14ac:dyDescent="0.25">
      <c r="A43" s="328">
        <v>160</v>
      </c>
      <c r="B43" s="333" t="s">
        <v>139</v>
      </c>
      <c r="C43" s="322"/>
      <c r="D43" s="317">
        <v>25</v>
      </c>
      <c r="E43" s="333" t="s">
        <v>140</v>
      </c>
      <c r="F43" s="315">
        <v>2.65</v>
      </c>
      <c r="G43" s="131"/>
      <c r="H43" s="131"/>
      <c r="I43" s="71">
        <f t="shared" si="1"/>
        <v>66.25</v>
      </c>
      <c r="J43" s="54"/>
      <c r="K43" s="54"/>
      <c r="L43" s="54"/>
      <c r="M43" s="54"/>
      <c r="N43" s="54"/>
      <c r="O43" s="66"/>
    </row>
    <row r="44" spans="1:15" x14ac:dyDescent="0.25">
      <c r="A44" s="65"/>
      <c r="B44" s="21"/>
      <c r="C44" s="21"/>
      <c r="D44" s="21"/>
      <c r="E44" s="21"/>
      <c r="F44" s="21"/>
      <c r="G44" s="21"/>
      <c r="H44" s="115" t="s">
        <v>18</v>
      </c>
      <c r="I44" s="116">
        <f>SUM(I28:I43)</f>
        <v>86.62884901332319</v>
      </c>
      <c r="J44" s="53"/>
      <c r="K44" s="53"/>
      <c r="L44" s="53"/>
      <c r="M44" s="53"/>
      <c r="N44" s="53"/>
      <c r="O44" s="59"/>
    </row>
    <row r="45" spans="1:15" x14ac:dyDescent="0.25">
      <c r="A45" s="6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9"/>
    </row>
    <row r="46" spans="1:15" x14ac:dyDescent="0.25">
      <c r="A46" s="114" t="s">
        <v>14</v>
      </c>
      <c r="B46" s="114" t="s">
        <v>36</v>
      </c>
      <c r="C46" s="114" t="s">
        <v>20</v>
      </c>
      <c r="D46" s="114" t="s">
        <v>21</v>
      </c>
      <c r="E46" s="114" t="s">
        <v>22</v>
      </c>
      <c r="F46" s="114" t="s">
        <v>23</v>
      </c>
      <c r="G46" s="114" t="s">
        <v>24</v>
      </c>
      <c r="H46" s="114" t="s">
        <v>25</v>
      </c>
      <c r="I46" s="114" t="s">
        <v>17</v>
      </c>
      <c r="J46" s="114" t="s">
        <v>18</v>
      </c>
      <c r="K46" s="53"/>
      <c r="L46" s="53"/>
      <c r="M46" s="53"/>
      <c r="N46" s="53"/>
      <c r="O46" s="59"/>
    </row>
    <row r="47" spans="1:15" x14ac:dyDescent="0.25">
      <c r="A47" s="70">
        <v>10</v>
      </c>
      <c r="B47" s="334" t="s">
        <v>38</v>
      </c>
      <c r="C47" s="330" t="s">
        <v>233</v>
      </c>
      <c r="D47" s="336">
        <v>0.04</v>
      </c>
      <c r="E47" s="330">
        <v>8</v>
      </c>
      <c r="F47" s="330" t="s">
        <v>30</v>
      </c>
      <c r="G47" s="330"/>
      <c r="H47" s="330"/>
      <c r="I47" s="330">
        <v>8</v>
      </c>
      <c r="J47" s="71">
        <f>I47*D47</f>
        <v>0.32</v>
      </c>
      <c r="K47" s="53"/>
      <c r="L47" s="53"/>
      <c r="M47" s="53"/>
      <c r="N47" s="53"/>
      <c r="O47" s="59"/>
    </row>
    <row r="48" spans="1:15" x14ac:dyDescent="0.25">
      <c r="A48" s="70"/>
      <c r="B48" s="335" t="s">
        <v>37</v>
      </c>
      <c r="C48" s="335" t="s">
        <v>239</v>
      </c>
      <c r="D48" s="336">
        <v>0.01</v>
      </c>
      <c r="E48" s="335">
        <v>40</v>
      </c>
      <c r="F48" s="335" t="s">
        <v>30</v>
      </c>
      <c r="G48" s="335"/>
      <c r="H48" s="335"/>
      <c r="I48" s="335">
        <v>4</v>
      </c>
      <c r="J48" s="71">
        <f>I48*D48</f>
        <v>0.04</v>
      </c>
      <c r="K48" s="53"/>
      <c r="L48" s="53"/>
      <c r="M48" s="53"/>
      <c r="N48" s="53"/>
      <c r="O48" s="59"/>
    </row>
    <row r="49" spans="1:15" x14ac:dyDescent="0.25">
      <c r="A49" s="70">
        <v>30</v>
      </c>
      <c r="B49" s="330" t="s">
        <v>37</v>
      </c>
      <c r="C49" s="330" t="s">
        <v>234</v>
      </c>
      <c r="D49" s="336">
        <v>0.01</v>
      </c>
      <c r="E49" s="330">
        <v>8</v>
      </c>
      <c r="F49" s="330" t="s">
        <v>30</v>
      </c>
      <c r="G49" s="330"/>
      <c r="H49" s="338"/>
      <c r="I49" s="330">
        <v>2</v>
      </c>
      <c r="J49" s="71">
        <f>I49*D49</f>
        <v>0.02</v>
      </c>
      <c r="K49" s="53"/>
      <c r="L49" s="53"/>
      <c r="M49" s="53"/>
      <c r="N49" s="53"/>
      <c r="O49" s="59"/>
    </row>
    <row r="50" spans="1:15" x14ac:dyDescent="0.25">
      <c r="A50" s="70">
        <v>40</v>
      </c>
      <c r="B50" s="331" t="s">
        <v>235</v>
      </c>
      <c r="C50" s="330" t="s">
        <v>236</v>
      </c>
      <c r="D50" s="336">
        <v>0.1</v>
      </c>
      <c r="E50" s="330">
        <v>8</v>
      </c>
      <c r="F50" s="330" t="s">
        <v>30</v>
      </c>
      <c r="G50" s="339">
        <v>25</v>
      </c>
      <c r="H50" s="330" t="s">
        <v>30</v>
      </c>
      <c r="I50" s="330">
        <v>1</v>
      </c>
      <c r="J50" s="71">
        <f>I50*D50</f>
        <v>0.1</v>
      </c>
      <c r="K50" s="53"/>
      <c r="L50" s="53"/>
      <c r="M50" s="53"/>
      <c r="N50" s="53"/>
      <c r="O50" s="59"/>
    </row>
    <row r="51" spans="1:15" x14ac:dyDescent="0.25">
      <c r="A51" s="70">
        <v>50</v>
      </c>
      <c r="B51" s="332" t="s">
        <v>38</v>
      </c>
      <c r="C51" s="330" t="s">
        <v>237</v>
      </c>
      <c r="D51" s="336">
        <v>0.02</v>
      </c>
      <c r="E51" s="330">
        <v>5</v>
      </c>
      <c r="F51" s="337" t="s">
        <v>30</v>
      </c>
      <c r="G51" s="330"/>
      <c r="H51" s="329"/>
      <c r="I51" s="340">
        <v>2</v>
      </c>
      <c r="J51" s="71">
        <f>I51*D51</f>
        <v>0.04</v>
      </c>
      <c r="K51" s="55"/>
      <c r="L51" s="55"/>
      <c r="M51" s="55"/>
      <c r="N51" s="55"/>
      <c r="O51" s="59"/>
    </row>
    <row r="52" spans="1:15" x14ac:dyDescent="0.25">
      <c r="A52" s="70">
        <v>60</v>
      </c>
      <c r="B52" s="331" t="s">
        <v>235</v>
      </c>
      <c r="C52" s="330" t="s">
        <v>238</v>
      </c>
      <c r="D52" s="336">
        <v>0.03</v>
      </c>
      <c r="E52" s="330">
        <v>5</v>
      </c>
      <c r="F52" s="337" t="s">
        <v>30</v>
      </c>
      <c r="G52" s="330">
        <v>20</v>
      </c>
      <c r="H52" s="329" t="s">
        <v>30</v>
      </c>
      <c r="I52" s="340">
        <v>2</v>
      </c>
      <c r="J52" s="71">
        <f>I52*D52</f>
        <v>0.06</v>
      </c>
      <c r="K52" s="55"/>
      <c r="L52" s="55"/>
      <c r="M52" s="55"/>
      <c r="N52" s="55"/>
      <c r="O52" s="59"/>
    </row>
    <row r="53" spans="1:15" x14ac:dyDescent="0.25">
      <c r="A53" s="65"/>
      <c r="B53" s="21"/>
      <c r="C53" s="21"/>
      <c r="D53" s="21"/>
      <c r="E53" s="21"/>
      <c r="F53" s="21"/>
      <c r="G53" s="21"/>
      <c r="H53" s="21"/>
      <c r="I53" s="115" t="s">
        <v>18</v>
      </c>
      <c r="J53" s="116">
        <f>SUM(J47:J52)</f>
        <v>0.58000000000000007</v>
      </c>
      <c r="K53" s="53"/>
      <c r="L53" s="53"/>
      <c r="M53" s="53"/>
      <c r="N53" s="53"/>
      <c r="O53" s="59"/>
    </row>
    <row r="54" spans="1:15" x14ac:dyDescent="0.25">
      <c r="A54" s="6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9"/>
    </row>
    <row r="55" spans="1:15" x14ac:dyDescent="0.25">
      <c r="A55" s="114" t="s">
        <v>14</v>
      </c>
      <c r="B55" s="114" t="s">
        <v>39</v>
      </c>
      <c r="C55" s="114" t="s">
        <v>20</v>
      </c>
      <c r="D55" s="114" t="s">
        <v>21</v>
      </c>
      <c r="E55" s="114" t="s">
        <v>32</v>
      </c>
      <c r="F55" s="114" t="s">
        <v>17</v>
      </c>
      <c r="G55" s="114" t="s">
        <v>40</v>
      </c>
      <c r="H55" s="114" t="s">
        <v>41</v>
      </c>
      <c r="I55" s="114" t="s">
        <v>18</v>
      </c>
      <c r="J55" s="21"/>
      <c r="K55" s="53"/>
      <c r="L55" s="53"/>
      <c r="M55" s="53"/>
      <c r="N55" s="53"/>
      <c r="O55" s="59"/>
    </row>
    <row r="56" spans="1:15" x14ac:dyDescent="0.25">
      <c r="A56" s="70">
        <v>10</v>
      </c>
      <c r="B56" s="70" t="s">
        <v>42</v>
      </c>
      <c r="C56" s="70"/>
      <c r="D56" s="71">
        <v>500</v>
      </c>
      <c r="E56" s="70" t="s">
        <v>43</v>
      </c>
      <c r="F56" s="70">
        <v>8</v>
      </c>
      <c r="G56" s="70">
        <v>3000</v>
      </c>
      <c r="H56" s="70">
        <v>1</v>
      </c>
      <c r="I56" s="71">
        <f>D56*F56/G56*H56</f>
        <v>1.3333333333333333</v>
      </c>
      <c r="J56" s="21"/>
      <c r="K56" s="53"/>
      <c r="L56" s="53"/>
      <c r="M56" s="53"/>
      <c r="N56" s="53"/>
      <c r="O56" s="59"/>
    </row>
    <row r="57" spans="1:15" x14ac:dyDescent="0.25">
      <c r="A57" s="65"/>
      <c r="B57" s="21"/>
      <c r="C57" s="21"/>
      <c r="D57" s="21"/>
      <c r="E57" s="21"/>
      <c r="F57" s="21"/>
      <c r="G57" s="21"/>
      <c r="H57" s="118" t="s">
        <v>18</v>
      </c>
      <c r="I57" s="119">
        <f>SUM(I56:I56)</f>
        <v>1.3333333333333333</v>
      </c>
      <c r="J57" s="21"/>
      <c r="K57" s="53"/>
      <c r="L57" s="53"/>
      <c r="M57" s="53"/>
      <c r="N57" s="53"/>
      <c r="O57" s="59"/>
    </row>
    <row r="58" spans="1:15" ht="15.75" thickBot="1" x14ac:dyDescent="0.3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9"/>
    </row>
    <row r="59" spans="1:15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</row>
  </sheetData>
  <hyperlinks>
    <hyperlink ref="B10" location="BR_01001" display="BR_01001" xr:uid="{00000000-0004-0000-0200-000000000000}"/>
    <hyperlink ref="B12" location="EN_02003" display="EN_02003" xr:uid="{137EE0DB-805D-4615-A65C-4ED97C5D9992}"/>
    <hyperlink ref="B13" location="EN_02004" display="EN_02004" xr:uid="{C8A249C9-1B75-45D4-8A79-6CCE8A081FDC}"/>
    <hyperlink ref="B14" location="EN_02005" display="EN_02005" xr:uid="{7E50FA7F-5AE3-4A8E-92F5-8C5204A17BC1}"/>
    <hyperlink ref="B15" location="EN_02006" display="EN_02006" xr:uid="{46A91444-B390-49AD-8CAD-991BB0FE1923}"/>
    <hyperlink ref="B16" location="EN_02007" display="EN_02007" xr:uid="{43988BD2-7B04-48A3-95DE-CAA5293CD7C9}"/>
    <hyperlink ref="B17" location="EN_02008" display="EN_02008" xr:uid="{399E42AE-6152-4C2D-ACA5-7ACA8154CC60}"/>
    <hyperlink ref="B11" location="EN_02002" display="EN_02002" xr:uid="{7EF9A4A9-46CC-407C-B2A7-A0BDA4AFC08D}"/>
    <hyperlink ref="B18" location="EN_02009" display="EN_02009" xr:uid="{BFA08FBD-C506-4FB2-B2DF-BDEA70B1620E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21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17.85546875" customWidth="1"/>
    <col min="4" max="6" width="10.5703125"/>
    <col min="7" max="7" width="23.7109375" customWidth="1"/>
    <col min="8" max="8" width="10.5703125"/>
    <col min="9" max="9" width="18.42578125" customWidth="1"/>
    <col min="10" max="11" width="10.5703125"/>
    <col min="12" max="12" width="12" customWidth="1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EN_02001_m+EN_02001_p</f>
        <v>4.3537375941950689</v>
      </c>
      <c r="O2" s="59"/>
    </row>
    <row r="3" spans="1:15" x14ac:dyDescent="0.25">
      <c r="A3" s="120" t="s">
        <v>3</v>
      </c>
      <c r="B3" s="16" t="str">
        <f>'EN A0200'!B3</f>
        <v>Engine and Drivetrain</v>
      </c>
      <c r="C3" s="53"/>
      <c r="D3" s="120" t="s">
        <v>6</v>
      </c>
      <c r="E3" s="85" t="s">
        <v>92</v>
      </c>
      <c r="F3" s="53"/>
      <c r="G3" s="53"/>
      <c r="H3" s="53"/>
      <c r="I3" s="53"/>
      <c r="J3" s="53"/>
      <c r="K3" s="53"/>
      <c r="L3" s="53"/>
      <c r="M3" s="120" t="s">
        <v>4</v>
      </c>
      <c r="N3" s="78">
        <v>4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222"/>
      <c r="O4" s="59"/>
    </row>
    <row r="5" spans="1:15" x14ac:dyDescent="0.25">
      <c r="A5" s="120" t="s">
        <v>15</v>
      </c>
      <c r="B5" s="18" t="s">
        <v>165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17.414950376780276</v>
      </c>
      <c r="O5" s="59"/>
    </row>
    <row r="6" spans="1:15" x14ac:dyDescent="0.25">
      <c r="A6" s="120" t="s">
        <v>7</v>
      </c>
      <c r="B6" s="25" t="s">
        <v>166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27" t="s">
        <v>23</v>
      </c>
      <c r="G10" s="127" t="s">
        <v>24</v>
      </c>
      <c r="H10" s="127" t="s">
        <v>25</v>
      </c>
      <c r="I10" s="127" t="s">
        <v>26</v>
      </c>
      <c r="J10" s="127" t="s">
        <v>27</v>
      </c>
      <c r="K10" s="127" t="s">
        <v>28</v>
      </c>
      <c r="L10" s="127" t="s">
        <v>29</v>
      </c>
      <c r="M10" s="127" t="s">
        <v>17</v>
      </c>
      <c r="N10" s="127" t="s">
        <v>18</v>
      </c>
      <c r="O10" s="59"/>
    </row>
    <row r="11" spans="1:15" s="20" customFormat="1" x14ac:dyDescent="0.25">
      <c r="A11" s="150">
        <v>10</v>
      </c>
      <c r="B11" s="195" t="s">
        <v>183</v>
      </c>
      <c r="C11" s="156" t="s">
        <v>178</v>
      </c>
      <c r="D11" s="148">
        <v>2.25</v>
      </c>
      <c r="E11" s="153">
        <f>PRODUCT(L11,J11,K11)</f>
        <v>0.28499448630891927</v>
      </c>
      <c r="F11" s="149" t="s">
        <v>167</v>
      </c>
      <c r="G11" s="149"/>
      <c r="H11" s="151"/>
      <c r="I11" s="152" t="s">
        <v>168</v>
      </c>
      <c r="J11" s="163">
        <f>PI()*(43/1000/2)^2</f>
        <v>1.4522012041218817E-3</v>
      </c>
      <c r="K11" s="155">
        <v>2.5000000000000001E-2</v>
      </c>
      <c r="L11" s="154">
        <v>7850</v>
      </c>
      <c r="M11" s="154">
        <v>1</v>
      </c>
      <c r="N11" s="148">
        <f>PRODUCT(D11,E11)</f>
        <v>0.64123759419506832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3" t="s">
        <v>18</v>
      </c>
      <c r="N12" s="124">
        <f>SUM(N11:N11)</f>
        <v>0.64123759419506832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28" t="s">
        <v>14</v>
      </c>
      <c r="B14" s="127" t="s">
        <v>31</v>
      </c>
      <c r="C14" s="127" t="s">
        <v>20</v>
      </c>
      <c r="D14" s="127" t="s">
        <v>21</v>
      </c>
      <c r="E14" s="127" t="s">
        <v>32</v>
      </c>
      <c r="F14" s="127" t="s">
        <v>17</v>
      </c>
      <c r="G14" s="127" t="s">
        <v>33</v>
      </c>
      <c r="H14" s="127" t="s">
        <v>34</v>
      </c>
      <c r="I14" s="127" t="s">
        <v>18</v>
      </c>
      <c r="J14" s="21"/>
      <c r="K14" s="21"/>
      <c r="L14" s="21"/>
      <c r="M14" s="21"/>
      <c r="N14" s="21"/>
      <c r="O14" s="59"/>
    </row>
    <row r="15" spans="1:15" s="20" customFormat="1" ht="30" x14ac:dyDescent="0.25">
      <c r="A15" s="160">
        <v>10</v>
      </c>
      <c r="B15" s="159" t="s">
        <v>45</v>
      </c>
      <c r="C15" s="158"/>
      <c r="D15" s="170">
        <v>1.3</v>
      </c>
      <c r="E15" s="171" t="s">
        <v>35</v>
      </c>
      <c r="F15" s="158">
        <v>0.25</v>
      </c>
      <c r="G15" s="196" t="s">
        <v>180</v>
      </c>
      <c r="H15" s="158"/>
      <c r="I15" s="27">
        <f t="shared" ref="I15:I18" si="0">IF(H15="",D15*F15,D15*F15*H15)</f>
        <v>0.32500000000000001</v>
      </c>
      <c r="J15" s="157"/>
      <c r="K15" s="157"/>
      <c r="L15" s="157"/>
      <c r="M15" s="157"/>
      <c r="N15" s="157"/>
      <c r="O15" s="64"/>
    </row>
    <row r="16" spans="1:15" s="22" customFormat="1" x14ac:dyDescent="0.25">
      <c r="A16" s="165">
        <v>20</v>
      </c>
      <c r="B16" s="168" t="s">
        <v>169</v>
      </c>
      <c r="C16" s="164" t="s">
        <v>171</v>
      </c>
      <c r="D16" s="170">
        <v>0.04</v>
      </c>
      <c r="E16" s="171" t="s">
        <v>173</v>
      </c>
      <c r="F16" s="169">
        <v>20.5</v>
      </c>
      <c r="G16" s="24" t="s">
        <v>174</v>
      </c>
      <c r="H16" s="28">
        <v>3</v>
      </c>
      <c r="I16" s="29">
        <f t="shared" si="0"/>
        <v>2.46</v>
      </c>
      <c r="J16" s="55"/>
      <c r="K16" s="55"/>
      <c r="L16" s="55"/>
      <c r="M16" s="55"/>
      <c r="N16" s="55"/>
      <c r="O16" s="66"/>
    </row>
    <row r="17" spans="1:15" s="17" customFormat="1" ht="30" x14ac:dyDescent="0.25">
      <c r="A17" s="81">
        <v>30</v>
      </c>
      <c r="B17" s="167" t="s">
        <v>170</v>
      </c>
      <c r="C17" s="23"/>
      <c r="D17" s="173">
        <v>0.65</v>
      </c>
      <c r="E17" s="172" t="s">
        <v>35</v>
      </c>
      <c r="F17" s="23">
        <v>0.25</v>
      </c>
      <c r="G17" s="196" t="s">
        <v>181</v>
      </c>
      <c r="H17" s="23"/>
      <c r="I17" s="27">
        <f t="shared" si="0"/>
        <v>0.16250000000000001</v>
      </c>
      <c r="J17" s="54"/>
      <c r="K17" s="54"/>
      <c r="L17" s="54"/>
      <c r="M17" s="54"/>
      <c r="N17" s="54"/>
      <c r="O17" s="63"/>
    </row>
    <row r="18" spans="1:15" x14ac:dyDescent="0.25">
      <c r="A18" s="61">
        <v>40</v>
      </c>
      <c r="B18" s="166" t="s">
        <v>169</v>
      </c>
      <c r="C18" s="19" t="s">
        <v>172</v>
      </c>
      <c r="D18" s="173">
        <v>0.04</v>
      </c>
      <c r="E18" s="172" t="s">
        <v>173</v>
      </c>
      <c r="F18" s="162">
        <v>6.375</v>
      </c>
      <c r="G18" s="24" t="s">
        <v>174</v>
      </c>
      <c r="H18" s="23">
        <v>3</v>
      </c>
      <c r="I18" s="27">
        <f t="shared" si="0"/>
        <v>0.76500000000000001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SUM(I15:I18)</f>
        <v>3.7125000000000004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161"/>
      <c r="G20" s="53"/>
      <c r="H20" s="53"/>
      <c r="I20" s="54"/>
      <c r="J20" s="53"/>
      <c r="K20" s="53"/>
      <c r="L20" s="53"/>
      <c r="M20" s="53"/>
      <c r="N20" s="53"/>
      <c r="O20" s="59"/>
    </row>
    <row r="21" spans="1:15" ht="15.75" thickBot="1" x14ac:dyDescent="0.3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9"/>
    </row>
  </sheetData>
  <hyperlinks>
    <hyperlink ref="B4" location="EN_A0200" display="EN_A0200" xr:uid="{00000000-0004-0000-0300-000000000000}"/>
    <hyperlink ref="E3" location="dEN_02001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85" t="s">
        <v>91</v>
      </c>
      <c r="B1" s="85" t="str">
        <f>EN_02001</f>
        <v>EN 02001</v>
      </c>
    </row>
  </sheetData>
  <hyperlinks>
    <hyperlink ref="B1" location="EN_02001" display="EN_02001" xr:uid="{00000000-0004-0000-0400-000000000000}"/>
    <hyperlink ref="A1" location="EL_01001" display="Drawing part :" xr:uid="{00000000-0004-0000-0400-000001000000}"/>
    <hyperlink ref="A1:B1" location="EN_02001" display="Drawing part :" xr:uid="{3DA26943-A771-4315-B979-6A7365C3648B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D32E-9E51-4271-9256-F28C38D47CC0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EN_02002_m+EN_02002_p</f>
        <v>1.75075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 t="s">
        <v>92</v>
      </c>
      <c r="F3" s="53"/>
      <c r="G3" s="53"/>
      <c r="H3" s="53"/>
      <c r="I3" s="53"/>
      <c r="J3" s="53"/>
      <c r="K3" s="53"/>
      <c r="L3" s="53"/>
      <c r="M3" s="120" t="s">
        <v>4</v>
      </c>
      <c r="N3" s="78">
        <v>4</v>
      </c>
      <c r="O3" s="59"/>
    </row>
    <row r="4" spans="1:15" x14ac:dyDescent="0.25">
      <c r="A4" s="120" t="s">
        <v>5</v>
      </c>
      <c r="B4" s="85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177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7.0030000000000001</v>
      </c>
      <c r="O5" s="59"/>
    </row>
    <row r="6" spans="1:15" x14ac:dyDescent="0.25">
      <c r="A6" s="120" t="s">
        <v>7</v>
      </c>
      <c r="B6" s="25" t="s">
        <v>223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0" customFormat="1" x14ac:dyDescent="0.25">
      <c r="A11" s="189">
        <v>10</v>
      </c>
      <c r="B11" s="195" t="s">
        <v>183</v>
      </c>
      <c r="C11" s="156" t="s">
        <v>178</v>
      </c>
      <c r="D11" s="148">
        <v>2.25</v>
      </c>
      <c r="E11" s="153">
        <f>PRODUCT(L11,J11,K11)</f>
        <v>0.157</v>
      </c>
      <c r="F11" s="149" t="s">
        <v>167</v>
      </c>
      <c r="G11" s="149"/>
      <c r="H11" s="151"/>
      <c r="I11" s="193" t="s">
        <v>179</v>
      </c>
      <c r="J11" s="163">
        <f>0.08*0.05</f>
        <v>4.0000000000000001E-3</v>
      </c>
      <c r="K11" s="155">
        <v>5.0000000000000001E-3</v>
      </c>
      <c r="L11" s="154">
        <v>7850</v>
      </c>
      <c r="M11" s="154">
        <v>1</v>
      </c>
      <c r="N11" s="148">
        <f>PRODUCT(D11,E11)</f>
        <v>0.35325000000000001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88" t="s">
        <v>18</v>
      </c>
      <c r="N12" s="124">
        <f>SUM(N11:N11)</f>
        <v>0.35325000000000001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78" t="s">
        <v>14</v>
      </c>
      <c r="B14" s="177" t="s">
        <v>31</v>
      </c>
      <c r="C14" s="177" t="s">
        <v>20</v>
      </c>
      <c r="D14" s="177" t="s">
        <v>21</v>
      </c>
      <c r="E14" s="177" t="s">
        <v>32</v>
      </c>
      <c r="F14" s="177" t="s">
        <v>17</v>
      </c>
      <c r="G14" s="177" t="s">
        <v>33</v>
      </c>
      <c r="H14" s="177" t="s">
        <v>34</v>
      </c>
      <c r="I14" s="177" t="s">
        <v>18</v>
      </c>
      <c r="J14" s="21"/>
      <c r="K14" s="21"/>
      <c r="L14" s="21"/>
      <c r="M14" s="21"/>
      <c r="N14" s="21"/>
      <c r="O14" s="59"/>
    </row>
    <row r="15" spans="1:15" s="20" customFormat="1" ht="30" x14ac:dyDescent="0.25">
      <c r="A15" s="191">
        <v>10</v>
      </c>
      <c r="B15" s="183" t="s">
        <v>45</v>
      </c>
      <c r="C15" s="190"/>
      <c r="D15" s="174">
        <v>1.3</v>
      </c>
      <c r="E15" s="192" t="s">
        <v>35</v>
      </c>
      <c r="F15" s="190">
        <v>0.25</v>
      </c>
      <c r="G15" s="196" t="s">
        <v>180</v>
      </c>
      <c r="H15" s="190"/>
      <c r="I15" s="174">
        <f t="shared" ref="I15:I16" si="0">IF(H15="",D15*F15,D15*F15*H15)</f>
        <v>0.32500000000000001</v>
      </c>
      <c r="J15" s="157"/>
      <c r="K15" s="157"/>
      <c r="L15" s="157"/>
      <c r="M15" s="157"/>
      <c r="N15" s="157"/>
      <c r="O15" s="64"/>
    </row>
    <row r="16" spans="1:15" x14ac:dyDescent="0.25">
      <c r="A16" s="176">
        <v>20</v>
      </c>
      <c r="B16" s="183" t="s">
        <v>176</v>
      </c>
      <c r="C16" s="175" t="s">
        <v>182</v>
      </c>
      <c r="D16" s="174">
        <v>0.01</v>
      </c>
      <c r="E16" s="175" t="s">
        <v>46</v>
      </c>
      <c r="F16" s="194">
        <v>35.75</v>
      </c>
      <c r="G16" s="183" t="s">
        <v>174</v>
      </c>
      <c r="H16" s="182">
        <v>3</v>
      </c>
      <c r="I16" s="174">
        <f t="shared" si="0"/>
        <v>1.0725</v>
      </c>
      <c r="J16" s="53"/>
      <c r="K16" s="53"/>
      <c r="L16" s="53"/>
      <c r="M16" s="53"/>
      <c r="N16" s="53"/>
      <c r="O16" s="59"/>
    </row>
    <row r="17" spans="1:15" x14ac:dyDescent="0.25">
      <c r="A17" s="65"/>
      <c r="B17" s="21"/>
      <c r="C17" s="21"/>
      <c r="D17" s="21"/>
      <c r="E17" s="21"/>
      <c r="F17" s="21"/>
      <c r="G17" s="21"/>
      <c r="H17" s="129" t="s">
        <v>18</v>
      </c>
      <c r="I17" s="124">
        <f>SUM(I15:I16)</f>
        <v>1.3975</v>
      </c>
      <c r="J17" s="21"/>
      <c r="K17" s="21"/>
      <c r="L17" s="21"/>
      <c r="M17" s="21"/>
      <c r="N17" s="21"/>
      <c r="O17" s="59"/>
    </row>
    <row r="18" spans="1:15" ht="15.75" thickBot="1" x14ac:dyDescent="0.3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E3" location="dEN_02002!A1" display="Drawing" xr:uid="{ABFBEDB4-054F-4F63-93CC-D9CF6D911518}"/>
    <hyperlink ref="B4" location="EN_A0200" display="EN_A0200" xr:uid="{55E56DD1-F002-46D7-8A2D-2D33FBE0751F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E63-32B9-47E2-B2B9-4C35DDE08AC4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85" t="s">
        <v>91</v>
      </c>
      <c r="B1" s="85" t="str">
        <f>EN_02002</f>
        <v>EN 02002</v>
      </c>
    </row>
  </sheetData>
  <hyperlinks>
    <hyperlink ref="A1:B1" location="EN_02002" display="Drawing part :" xr:uid="{B9D23241-DB3F-4F43-9C21-024D63C415C7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9143-23A4-4F21-8CDA-98BA399E4CA1}">
  <sheetPr>
    <tabColor theme="6" tint="0.39997558519241921"/>
    <pageSetUpPr fitToPage="1"/>
  </sheetPr>
  <dimension ref="A1:O25"/>
  <sheetViews>
    <sheetView zoomScale="75" zoomScaleNormal="75" workbookViewId="0">
      <selection activeCell="K11" sqref="K11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EN_02003_m+EN_02003_p+EN_02003_t</f>
        <v>109.43393911329514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1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184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109.43393911329514</v>
      </c>
      <c r="O5" s="59"/>
    </row>
    <row r="6" spans="1:15" x14ac:dyDescent="0.25">
      <c r="A6" s="120" t="s">
        <v>7</v>
      </c>
      <c r="B6" s="25" t="s">
        <v>185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 t="s">
        <v>186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0" customFormat="1" x14ac:dyDescent="0.25">
      <c r="A11" s="197">
        <v>10</v>
      </c>
      <c r="B11" s="209" t="s">
        <v>187</v>
      </c>
      <c r="C11" s="199" t="s">
        <v>188</v>
      </c>
      <c r="D11" s="200">
        <v>2.25</v>
      </c>
      <c r="E11" s="212"/>
      <c r="F11" s="197" t="s">
        <v>167</v>
      </c>
      <c r="G11" s="197"/>
      <c r="H11" s="201"/>
      <c r="I11" s="210" t="s">
        <v>189</v>
      </c>
      <c r="J11" s="234">
        <f>PI()*((0.034+0.0012)*(0.034+0.0012)-0.034*0.034)/4</f>
        <v>6.521946348852405E-5</v>
      </c>
      <c r="K11" s="241">
        <v>1.43</v>
      </c>
      <c r="L11" s="237">
        <v>7850</v>
      </c>
      <c r="M11" s="211">
        <v>1</v>
      </c>
      <c r="N11" s="203">
        <f>IF(J11="",D11*M11,D11*J11*K11*L11*M11)</f>
        <v>1.6472724466284603</v>
      </c>
      <c r="O11" s="64"/>
    </row>
    <row r="12" spans="1:15" x14ac:dyDescent="0.25">
      <c r="A12" s="6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88" t="s">
        <v>18</v>
      </c>
      <c r="N12" s="124">
        <f>SUM(N11:N11)</f>
        <v>1.6472724466284603</v>
      </c>
      <c r="O12" s="59"/>
    </row>
    <row r="13" spans="1:15" x14ac:dyDescent="0.25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25">
      <c r="A14" s="178" t="s">
        <v>14</v>
      </c>
      <c r="B14" s="177" t="s">
        <v>31</v>
      </c>
      <c r="C14" s="177" t="s">
        <v>20</v>
      </c>
      <c r="D14" s="177" t="s">
        <v>21</v>
      </c>
      <c r="E14" s="177" t="s">
        <v>32</v>
      </c>
      <c r="F14" s="177" t="s">
        <v>17</v>
      </c>
      <c r="G14" s="177" t="s">
        <v>33</v>
      </c>
      <c r="H14" s="177" t="s">
        <v>34</v>
      </c>
      <c r="I14" s="177" t="s">
        <v>18</v>
      </c>
      <c r="J14" s="21"/>
      <c r="K14" s="21"/>
      <c r="L14" s="21"/>
      <c r="M14" s="21"/>
      <c r="N14" s="21"/>
      <c r="O14" s="59"/>
    </row>
    <row r="15" spans="1:15" s="22" customFormat="1" x14ac:dyDescent="0.25">
      <c r="A15" s="213">
        <v>10</v>
      </c>
      <c r="B15" s="214" t="s">
        <v>152</v>
      </c>
      <c r="C15" s="218"/>
      <c r="D15" s="216">
        <v>0.15</v>
      </c>
      <c r="E15" s="218" t="s">
        <v>46</v>
      </c>
      <c r="F15" s="219">
        <f>27*3.4</f>
        <v>91.8</v>
      </c>
      <c r="G15" s="183"/>
      <c r="H15" s="182"/>
      <c r="I15" s="174">
        <f>IF(H15="",D15*F15,D15*F15*H15)</f>
        <v>13.77</v>
      </c>
      <c r="J15" s="55"/>
      <c r="K15" s="55"/>
      <c r="L15" s="55"/>
      <c r="M15" s="55"/>
      <c r="N15" s="55"/>
      <c r="O15" s="66"/>
    </row>
    <row r="16" spans="1:15" x14ac:dyDescent="0.25">
      <c r="A16" s="217">
        <v>20</v>
      </c>
      <c r="B16" s="214" t="s">
        <v>190</v>
      </c>
      <c r="C16" s="215"/>
      <c r="D16" s="216">
        <v>0.75</v>
      </c>
      <c r="E16" s="214" t="s">
        <v>191</v>
      </c>
      <c r="F16" s="215">
        <v>17</v>
      </c>
      <c r="G16" s="186"/>
      <c r="H16" s="186"/>
      <c r="I16" s="185">
        <f>IF(H16="",D16*F16,D16*F16*H16)</f>
        <v>12.75</v>
      </c>
      <c r="J16" s="53"/>
      <c r="K16" s="53"/>
      <c r="L16" s="53"/>
      <c r="M16" s="53"/>
      <c r="N16" s="53"/>
      <c r="O16" s="59"/>
    </row>
    <row r="17" spans="1:15" s="17" customFormat="1" ht="30" x14ac:dyDescent="0.25">
      <c r="A17" s="213">
        <v>30</v>
      </c>
      <c r="B17" s="214" t="s">
        <v>193</v>
      </c>
      <c r="C17" s="215"/>
      <c r="D17" s="216">
        <v>0.75</v>
      </c>
      <c r="E17" s="214" t="s">
        <v>194</v>
      </c>
      <c r="F17" s="215">
        <v>46</v>
      </c>
      <c r="G17" s="182"/>
      <c r="H17" s="182"/>
      <c r="I17" s="174">
        <f t="shared" ref="I17:I18" si="0">IF(H17="",D17*F17,D17*F17*H17)</f>
        <v>34.5</v>
      </c>
      <c r="J17" s="54"/>
      <c r="K17" s="54"/>
      <c r="L17" s="54"/>
      <c r="M17" s="54"/>
      <c r="N17" s="54"/>
      <c r="O17" s="63"/>
    </row>
    <row r="18" spans="1:15" x14ac:dyDescent="0.25">
      <c r="A18" s="217">
        <v>40</v>
      </c>
      <c r="B18" s="214" t="s">
        <v>195</v>
      </c>
      <c r="C18" s="215"/>
      <c r="D18" s="216">
        <v>0.5</v>
      </c>
      <c r="E18" s="214" t="s">
        <v>46</v>
      </c>
      <c r="F18" s="215">
        <f>23*3.4</f>
        <v>78.2</v>
      </c>
      <c r="G18" s="183"/>
      <c r="H18" s="182"/>
      <c r="I18" s="174">
        <f t="shared" si="0"/>
        <v>39.1</v>
      </c>
      <c r="J18" s="53"/>
      <c r="K18" s="53"/>
      <c r="L18" s="53"/>
      <c r="M18" s="53"/>
      <c r="N18" s="53"/>
      <c r="O18" s="59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SUM(I15:I18)</f>
        <v>100.12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81"/>
      <c r="B21" s="54"/>
      <c r="C21" s="54"/>
      <c r="D21" s="54"/>
      <c r="E21" s="54"/>
      <c r="F21" s="54"/>
      <c r="G21" s="54"/>
      <c r="H21" s="180"/>
      <c r="I21" s="179"/>
      <c r="J21" s="54"/>
      <c r="K21" s="53"/>
      <c r="L21" s="53"/>
      <c r="M21" s="53"/>
      <c r="N21" s="53"/>
      <c r="O21" s="59"/>
    </row>
    <row r="22" spans="1:15" x14ac:dyDescent="0.25">
      <c r="A22" s="178" t="s">
        <v>14</v>
      </c>
      <c r="B22" s="177" t="s">
        <v>39</v>
      </c>
      <c r="C22" s="177" t="s">
        <v>20</v>
      </c>
      <c r="D22" s="177" t="s">
        <v>21</v>
      </c>
      <c r="E22" s="177" t="s">
        <v>32</v>
      </c>
      <c r="F22" s="177" t="s">
        <v>17</v>
      </c>
      <c r="G22" s="177" t="s">
        <v>40</v>
      </c>
      <c r="H22" s="177" t="s">
        <v>175</v>
      </c>
      <c r="I22" s="177" t="s">
        <v>18</v>
      </c>
      <c r="J22" s="21"/>
      <c r="K22" s="53"/>
      <c r="L22" s="53"/>
      <c r="M22" s="53"/>
      <c r="N22" s="53"/>
      <c r="O22" s="59"/>
    </row>
    <row r="23" spans="1:15" s="17" customFormat="1" x14ac:dyDescent="0.25">
      <c r="A23" s="218">
        <v>10</v>
      </c>
      <c r="B23" s="220" t="s">
        <v>42</v>
      </c>
      <c r="C23" s="218"/>
      <c r="D23" s="221">
        <v>500</v>
      </c>
      <c r="E23" s="218" t="s">
        <v>43</v>
      </c>
      <c r="F23" s="218">
        <v>46</v>
      </c>
      <c r="G23" s="218">
        <v>3000</v>
      </c>
      <c r="H23" s="218">
        <v>1</v>
      </c>
      <c r="I23" s="174">
        <f>D23*F23/G23*H23</f>
        <v>7.666666666666667</v>
      </c>
      <c r="J23" s="54"/>
      <c r="K23" s="54"/>
      <c r="L23" s="54"/>
      <c r="M23" s="54"/>
      <c r="N23" s="54"/>
      <c r="O23" s="63"/>
    </row>
    <row r="24" spans="1:15" x14ac:dyDescent="0.25">
      <c r="A24" s="65"/>
      <c r="B24" s="21"/>
      <c r="C24" s="21"/>
      <c r="D24" s="21"/>
      <c r="E24" s="21"/>
      <c r="F24" s="21"/>
      <c r="G24" s="21"/>
      <c r="H24" s="129" t="s">
        <v>18</v>
      </c>
      <c r="I24" s="124">
        <f>SUM(I23:I23)</f>
        <v>7.666666666666667</v>
      </c>
      <c r="J24" s="21"/>
      <c r="K24" s="53"/>
      <c r="L24" s="53"/>
      <c r="M24" s="53"/>
      <c r="N24" s="53"/>
      <c r="O24" s="59"/>
    </row>
    <row r="25" spans="1:15" ht="15.75" thickBot="1" x14ac:dyDescent="0.3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9"/>
    </row>
  </sheetData>
  <hyperlinks>
    <hyperlink ref="B4" location="EN_A0200" display="EN_A0200" xr:uid="{16605A01-0B85-40A6-B883-AFE5486CE52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D5CC-E45B-4785-AA75-C6A8C96C3F49}">
  <sheetPr>
    <tabColor theme="6" tint="0.39997558519241921"/>
    <pageSetUpPr fitToPage="1"/>
  </sheetPr>
  <dimension ref="A1:O24"/>
  <sheetViews>
    <sheetView topLeftCell="A4"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25">
      <c r="A2" s="120" t="s">
        <v>0</v>
      </c>
      <c r="B2" s="16" t="s">
        <v>44</v>
      </c>
      <c r="C2" s="53"/>
      <c r="D2" s="53"/>
      <c r="E2" s="53"/>
      <c r="F2" s="53"/>
      <c r="G2" s="53" t="s">
        <v>121</v>
      </c>
      <c r="H2" s="53"/>
      <c r="I2" s="53"/>
      <c r="J2" s="121" t="s">
        <v>1</v>
      </c>
      <c r="K2" s="79">
        <v>81</v>
      </c>
      <c r="L2" s="53"/>
      <c r="M2" s="120" t="s">
        <v>16</v>
      </c>
      <c r="N2" s="71">
        <f>EN_02004_m+EN_02004_p+EN_02004_t</f>
        <v>20.228377789788073</v>
      </c>
      <c r="O2" s="59"/>
    </row>
    <row r="3" spans="1:15" x14ac:dyDescent="0.25">
      <c r="A3" s="120" t="s">
        <v>3</v>
      </c>
      <c r="B3" s="16" t="str">
        <f>'[1]EN Assembly'!B3</f>
        <v>Engine and Drivetrain</v>
      </c>
      <c r="C3" s="53"/>
      <c r="D3" s="120" t="s">
        <v>6</v>
      </c>
      <c r="E3" s="85"/>
      <c r="F3" s="53"/>
      <c r="G3" s="53"/>
      <c r="H3" s="53"/>
      <c r="I3" s="53"/>
      <c r="J3" s="53"/>
      <c r="K3" s="53"/>
      <c r="L3" s="53"/>
      <c r="M3" s="120" t="s">
        <v>4</v>
      </c>
      <c r="N3" s="78">
        <v>2</v>
      </c>
      <c r="O3" s="59"/>
    </row>
    <row r="4" spans="1:15" x14ac:dyDescent="0.25">
      <c r="A4" s="120" t="s">
        <v>5</v>
      </c>
      <c r="B4" s="84" t="str">
        <f>'EN A0200'!B4</f>
        <v>Exhaust System</v>
      </c>
      <c r="C4" s="53"/>
      <c r="D4" s="120" t="s">
        <v>8</v>
      </c>
      <c r="E4" s="53"/>
      <c r="F4" s="53"/>
      <c r="G4" s="53"/>
      <c r="H4" s="53"/>
      <c r="I4" s="53"/>
      <c r="J4" s="122" t="s">
        <v>6</v>
      </c>
      <c r="K4" s="53"/>
      <c r="L4" s="53"/>
      <c r="M4" s="53"/>
      <c r="N4" s="53"/>
      <c r="O4" s="59"/>
    </row>
    <row r="5" spans="1:15" x14ac:dyDescent="0.25">
      <c r="A5" s="120" t="s">
        <v>15</v>
      </c>
      <c r="B5" s="18" t="s">
        <v>197</v>
      </c>
      <c r="C5" s="53"/>
      <c r="D5" s="120" t="s">
        <v>12</v>
      </c>
      <c r="E5" s="53"/>
      <c r="F5" s="53"/>
      <c r="G5" s="53"/>
      <c r="H5" s="53"/>
      <c r="I5" s="53"/>
      <c r="J5" s="122" t="s">
        <v>8</v>
      </c>
      <c r="K5" s="53"/>
      <c r="L5" s="53"/>
      <c r="M5" s="120" t="s">
        <v>9</v>
      </c>
      <c r="N5" s="71">
        <f>N3*N2</f>
        <v>40.456755579576146</v>
      </c>
      <c r="O5" s="59"/>
    </row>
    <row r="6" spans="1:15" x14ac:dyDescent="0.25">
      <c r="A6" s="120" t="s">
        <v>7</v>
      </c>
      <c r="B6" s="25" t="s">
        <v>196</v>
      </c>
      <c r="C6" s="53"/>
      <c r="D6" s="53"/>
      <c r="E6" s="53"/>
      <c r="F6" s="53"/>
      <c r="G6" s="53"/>
      <c r="H6" s="53"/>
      <c r="I6" s="53"/>
      <c r="J6" s="122" t="s">
        <v>12</v>
      </c>
      <c r="K6" s="53"/>
      <c r="L6" s="53"/>
      <c r="M6" s="53"/>
      <c r="N6" s="53"/>
      <c r="O6" s="59"/>
    </row>
    <row r="7" spans="1:15" x14ac:dyDescent="0.25">
      <c r="A7" s="120" t="s">
        <v>10</v>
      </c>
      <c r="B7" s="16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25">
      <c r="A8" s="120" t="s">
        <v>13</v>
      </c>
      <c r="B8" s="16" t="s">
        <v>198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25">
      <c r="A9" s="80"/>
      <c r="B9" s="26"/>
      <c r="C9" s="26"/>
      <c r="D9" s="26"/>
      <c r="E9" s="26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25">
      <c r="A10" s="125" t="s">
        <v>14</v>
      </c>
      <c r="B10" s="126" t="s">
        <v>19</v>
      </c>
      <c r="C10" s="126" t="s">
        <v>20</v>
      </c>
      <c r="D10" s="126" t="s">
        <v>21</v>
      </c>
      <c r="E10" s="126" t="s">
        <v>22</v>
      </c>
      <c r="F10" s="177" t="s">
        <v>23</v>
      </c>
      <c r="G10" s="177" t="s">
        <v>24</v>
      </c>
      <c r="H10" s="177" t="s">
        <v>25</v>
      </c>
      <c r="I10" s="177" t="s">
        <v>26</v>
      </c>
      <c r="J10" s="177" t="s">
        <v>27</v>
      </c>
      <c r="K10" s="177" t="s">
        <v>28</v>
      </c>
      <c r="L10" s="177" t="s">
        <v>29</v>
      </c>
      <c r="M10" s="177" t="s">
        <v>17</v>
      </c>
      <c r="N10" s="177" t="s">
        <v>18</v>
      </c>
      <c r="O10" s="59"/>
    </row>
    <row r="11" spans="1:15" s="22" customFormat="1" x14ac:dyDescent="0.25">
      <c r="A11" s="224">
        <v>10</v>
      </c>
      <c r="B11" s="198" t="s">
        <v>187</v>
      </c>
      <c r="C11" s="205" t="s">
        <v>199</v>
      </c>
      <c r="D11" s="206">
        <v>2.25</v>
      </c>
      <c r="E11" s="204"/>
      <c r="F11" s="204" t="s">
        <v>167</v>
      </c>
      <c r="G11" s="204"/>
      <c r="H11" s="207"/>
      <c r="I11" s="202" t="s">
        <v>189</v>
      </c>
      <c r="J11" s="234">
        <f>PI()*((0.034+0.0012)*(0.034+0.0012)-0.034*0.034)/4</f>
        <v>6.521946348852405E-5</v>
      </c>
      <c r="K11" s="248">
        <f>2*(0.0825+0.02)</f>
        <v>0.20500000000000002</v>
      </c>
      <c r="L11" s="235">
        <v>7850</v>
      </c>
      <c r="M11" s="208">
        <v>1</v>
      </c>
      <c r="N11" s="185">
        <f>IF(J11="",D11*M11,D11*J11*K11*L11*M11)</f>
        <v>0.23614744864254153</v>
      </c>
      <c r="O11" s="66"/>
    </row>
    <row r="12" spans="1:15" s="22" customFormat="1" ht="14.25" customHeight="1" x14ac:dyDescent="0.25">
      <c r="A12" s="225">
        <v>20</v>
      </c>
      <c r="B12" s="198" t="s">
        <v>187</v>
      </c>
      <c r="C12" s="205" t="s">
        <v>199</v>
      </c>
      <c r="D12" s="206">
        <v>2.25</v>
      </c>
      <c r="E12" s="204"/>
      <c r="F12" s="204" t="s">
        <v>167</v>
      </c>
      <c r="G12" s="204"/>
      <c r="H12" s="207"/>
      <c r="I12" s="202" t="s">
        <v>200</v>
      </c>
      <c r="J12" s="234">
        <f>PI()*((0.0421+0.0015)*(0.0421+0.0015)-0.0421*0.0421)/4</f>
        <v>1.0096293390474202E-4</v>
      </c>
      <c r="K12" s="226">
        <v>0.03</v>
      </c>
      <c r="L12" s="235">
        <v>7850</v>
      </c>
      <c r="M12" s="208">
        <v>1</v>
      </c>
      <c r="N12" s="185">
        <f>IF(J12="",D12*M12,D12*J12*K12*L12*M12)</f>
        <v>5.3497734602775175E-2</v>
      </c>
      <c r="O12" s="66"/>
    </row>
    <row r="13" spans="1:15" x14ac:dyDescent="0.25">
      <c r="A13" s="6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88" t="s">
        <v>18</v>
      </c>
      <c r="N13" s="124">
        <f>SUM(N11:N12)</f>
        <v>0.28964518324531668</v>
      </c>
      <c r="O13" s="59"/>
    </row>
    <row r="14" spans="1:15" x14ac:dyDescent="0.25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25">
      <c r="A15" s="178" t="s">
        <v>14</v>
      </c>
      <c r="B15" s="177" t="s">
        <v>31</v>
      </c>
      <c r="C15" s="177" t="s">
        <v>20</v>
      </c>
      <c r="D15" s="177" t="s">
        <v>21</v>
      </c>
      <c r="E15" s="177" t="s">
        <v>32</v>
      </c>
      <c r="F15" s="177" t="s">
        <v>17</v>
      </c>
      <c r="G15" s="177" t="s">
        <v>33</v>
      </c>
      <c r="H15" s="177" t="s">
        <v>34</v>
      </c>
      <c r="I15" s="177" t="s">
        <v>18</v>
      </c>
      <c r="J15" s="21"/>
      <c r="K15" s="21"/>
      <c r="L15" s="21"/>
      <c r="M15" s="21"/>
      <c r="N15" s="21"/>
      <c r="O15" s="59"/>
    </row>
    <row r="16" spans="1:15" s="22" customFormat="1" x14ac:dyDescent="0.25">
      <c r="A16" s="187">
        <v>10</v>
      </c>
      <c r="B16" s="214" t="s">
        <v>152</v>
      </c>
      <c r="C16" s="218"/>
      <c r="D16" s="216">
        <v>0.15</v>
      </c>
      <c r="E16" s="218" t="s">
        <v>46</v>
      </c>
      <c r="F16" s="219">
        <f>6*3.4+1*4.2</f>
        <v>24.599999999999998</v>
      </c>
      <c r="G16" s="186"/>
      <c r="H16" s="186"/>
      <c r="I16" s="185">
        <f t="shared" ref="I16:I18" si="0">IF(H16="",D16*F16,D16*F16*H16)</f>
        <v>3.6899999999999995</v>
      </c>
      <c r="J16" s="55"/>
      <c r="K16" s="55"/>
      <c r="L16" s="55"/>
      <c r="M16" s="55"/>
      <c r="N16" s="55"/>
      <c r="O16" s="66"/>
    </row>
    <row r="17" spans="1:15" ht="30" x14ac:dyDescent="0.25">
      <c r="A17" s="176">
        <v>20</v>
      </c>
      <c r="B17" s="214" t="s">
        <v>193</v>
      </c>
      <c r="C17" s="215"/>
      <c r="D17" s="216">
        <v>0.75</v>
      </c>
      <c r="E17" s="214" t="s">
        <v>194</v>
      </c>
      <c r="F17" s="215">
        <v>9</v>
      </c>
      <c r="G17" s="183"/>
      <c r="H17" s="182"/>
      <c r="I17" s="174">
        <f t="shared" si="0"/>
        <v>6.75</v>
      </c>
      <c r="J17" s="53"/>
      <c r="K17" s="53"/>
      <c r="L17" s="53"/>
      <c r="M17" s="53"/>
      <c r="N17" s="53"/>
      <c r="O17" s="59"/>
    </row>
    <row r="18" spans="1:15" s="17" customFormat="1" x14ac:dyDescent="0.25">
      <c r="A18" s="184">
        <v>30</v>
      </c>
      <c r="B18" s="214" t="s">
        <v>195</v>
      </c>
      <c r="C18" s="215"/>
      <c r="D18" s="216">
        <v>0.5</v>
      </c>
      <c r="E18" s="214" t="s">
        <v>46</v>
      </c>
      <c r="F18" s="227">
        <f>2*3.4+1*4.2+15.7/PI()</f>
        <v>15.997465213085514</v>
      </c>
      <c r="G18" s="182"/>
      <c r="H18" s="182"/>
      <c r="I18" s="174">
        <f t="shared" si="0"/>
        <v>7.9987326065427569</v>
      </c>
      <c r="J18" s="54"/>
      <c r="K18" s="54"/>
      <c r="L18" s="54"/>
      <c r="M18" s="54"/>
      <c r="N18" s="54"/>
      <c r="O18" s="63"/>
    </row>
    <row r="19" spans="1:15" x14ac:dyDescent="0.25">
      <c r="A19" s="65"/>
      <c r="B19" s="21"/>
      <c r="C19" s="21"/>
      <c r="D19" s="21"/>
      <c r="E19" s="21"/>
      <c r="F19" s="21"/>
      <c r="G19" s="21"/>
      <c r="H19" s="129" t="s">
        <v>18</v>
      </c>
      <c r="I19" s="124">
        <f>SUM(I16:I18)</f>
        <v>18.438732606542757</v>
      </c>
      <c r="J19" s="21"/>
      <c r="K19" s="21"/>
      <c r="L19" s="21"/>
      <c r="M19" s="21"/>
      <c r="N19" s="21"/>
      <c r="O19" s="59"/>
    </row>
    <row r="20" spans="1:15" x14ac:dyDescent="0.25">
      <c r="A20" s="60"/>
      <c r="B20" s="53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9"/>
    </row>
    <row r="21" spans="1:15" x14ac:dyDescent="0.25">
      <c r="A21" s="178" t="s">
        <v>14</v>
      </c>
      <c r="B21" s="177" t="s">
        <v>39</v>
      </c>
      <c r="C21" s="177" t="s">
        <v>20</v>
      </c>
      <c r="D21" s="177" t="s">
        <v>21</v>
      </c>
      <c r="E21" s="177" t="s">
        <v>32</v>
      </c>
      <c r="F21" s="177" t="s">
        <v>17</v>
      </c>
      <c r="G21" s="177" t="s">
        <v>40</v>
      </c>
      <c r="H21" s="177" t="s">
        <v>175</v>
      </c>
      <c r="I21" s="177" t="s">
        <v>18</v>
      </c>
      <c r="J21" s="21"/>
      <c r="K21" s="53"/>
      <c r="L21" s="53"/>
      <c r="M21" s="53"/>
      <c r="N21" s="53"/>
      <c r="O21" s="59"/>
    </row>
    <row r="22" spans="1:15" s="17" customFormat="1" x14ac:dyDescent="0.25">
      <c r="A22" s="176">
        <v>10</v>
      </c>
      <c r="B22" s="175" t="s">
        <v>42</v>
      </c>
      <c r="C22" s="175"/>
      <c r="D22" s="174">
        <v>500</v>
      </c>
      <c r="E22" s="175" t="s">
        <v>43</v>
      </c>
      <c r="F22" s="175">
        <v>9</v>
      </c>
      <c r="G22" s="175">
        <v>3000</v>
      </c>
      <c r="H22" s="175">
        <v>1</v>
      </c>
      <c r="I22" s="174">
        <f>D22*F22/G22*H22</f>
        <v>1.5</v>
      </c>
      <c r="J22" s="54"/>
      <c r="K22" s="54"/>
      <c r="L22" s="54"/>
      <c r="M22" s="54"/>
      <c r="N22" s="54"/>
      <c r="O22" s="63"/>
    </row>
    <row r="23" spans="1:15" x14ac:dyDescent="0.25">
      <c r="A23" s="65"/>
      <c r="B23" s="21"/>
      <c r="C23" s="21"/>
      <c r="D23" s="21"/>
      <c r="E23" s="21"/>
      <c r="F23" s="21"/>
      <c r="G23" s="21"/>
      <c r="H23" s="129" t="s">
        <v>18</v>
      </c>
      <c r="I23" s="124">
        <f>SUM(I22:I22)</f>
        <v>1.5</v>
      </c>
      <c r="J23" s="21"/>
      <c r="K23" s="53"/>
      <c r="L23" s="53"/>
      <c r="M23" s="53"/>
      <c r="N23" s="53"/>
      <c r="O23" s="59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200" display="EN_A0200" xr:uid="{AD3E9CC2-A923-4A26-9CD6-E1274A9EA86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55</vt:i4>
      </vt:variant>
    </vt:vector>
  </HeadingPairs>
  <TitlesOfParts>
    <vt:vector size="69" baseType="lpstr">
      <vt:lpstr>Instructions</vt:lpstr>
      <vt:lpstr>BOM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EN_02005_t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EN_A0001_f</vt:lpstr>
      <vt:lpstr>EN_A0001_m</vt:lpstr>
      <vt:lpstr>EN_A0001_p</vt:lpstr>
      <vt:lpstr>EN_A0001_pa</vt:lpstr>
      <vt:lpstr>EN_A0001_q</vt:lpstr>
      <vt:lpstr>EN_A0001_t</vt:lpstr>
      <vt:lpstr>EN_A0200</vt:lpstr>
      <vt:lpstr>EN_A0200_f</vt:lpstr>
      <vt:lpstr>EN_A0200_m</vt:lpstr>
      <vt:lpstr>EN_A0200_p</vt:lpstr>
      <vt:lpstr>EN_A0200_pa</vt:lpstr>
      <vt:lpstr>EN_A0200_q</vt:lpstr>
      <vt:lpstr>EN_A0200_t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2018-04-16T18:35:14Z</dcterms:modified>
  <dc:language>fr-FR</dc:language>
</cp:coreProperties>
</file>