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quette_EPSA\SU - Suspension\Cost\"/>
    </mc:Choice>
  </mc:AlternateContent>
  <bookViews>
    <workbookView xWindow="0" yWindow="0" windowWidth="20496" windowHeight="7548" firstSheet="3" activeTab="11"/>
  </bookViews>
  <sheets>
    <sheet name="Instructions" sheetId="7" r:id="rId1"/>
    <sheet name="BOM" sheetId="8" r:id="rId2"/>
    <sheet name="SU A0100" sheetId="20" r:id="rId3"/>
    <sheet name="SU 01001" sheetId="21" r:id="rId4"/>
    <sheet name="dSU 01001" sheetId="27" r:id="rId5"/>
    <sheet name="SU 01002" sheetId="22" r:id="rId6"/>
    <sheet name="dSU 01002" sheetId="28" r:id="rId7"/>
    <sheet name="SU 01003" sheetId="23" r:id="rId8"/>
    <sheet name="SU 01004" sheetId="24" r:id="rId9"/>
    <sheet name="SU 01005" sheetId="25" r:id="rId10"/>
    <sheet name="dSU 01005" sheetId="29" r:id="rId11"/>
    <sheet name="SU 01006" sheetId="26" r:id="rId12"/>
    <sheet name="dSU 01006" sheetId="30" r:id="rId13"/>
  </sheets>
  <externalReferences>
    <externalReference r:id="rId14"/>
    <externalReference r:id="rId15"/>
  </externalReferences>
  <definedNames>
    <definedName name="dSU_01001">'dSU 01001'!$A$1</definedName>
    <definedName name="dSU_01002">'dSU 01002'!$A$1</definedName>
    <definedName name="dSU_01005">'dSU 01005'!$A$1</definedName>
    <definedName name="dSU_01006">'dSU 01006'!$A$1</definedName>
    <definedName name="FR_01001_q">'[2]FR 01001'!$N$3</definedName>
    <definedName name="FR_01002_q">'[2]FR 01002'!$N$3</definedName>
    <definedName name="FR_01003_q">'[2]FR 01003'!$N$3</definedName>
    <definedName name="FR_01004_q">'[2]FR 01004'!$N$3</definedName>
    <definedName name="FR_A0001_q">'[2]FR A0100'!$N$3</definedName>
    <definedName name="SU_01001">'SU 01001'!$B$6</definedName>
    <definedName name="SU_01001_m">'SU 01001'!$N$12</definedName>
    <definedName name="SU_01001_p">'SU 01001'!$I$21</definedName>
    <definedName name="SU_01001_q">'SU 01001'!$N$3</definedName>
    <definedName name="SU_01002">'SU 01002'!$B$6</definedName>
    <definedName name="SU_01002_m">'SU 01002'!$N$12</definedName>
    <definedName name="SU_01002_p">'SU 01002'!$I$21</definedName>
    <definedName name="SU_01002_q">'SU 01002'!$N$3</definedName>
    <definedName name="SU_01003">'SU 01003'!$B$6</definedName>
    <definedName name="SU_01003_m">'SU 01003'!$N$12</definedName>
    <definedName name="SU_01003_p">'SU 01003'!$I$16</definedName>
    <definedName name="SU_01003_q">'SU 01003'!$N$3</definedName>
    <definedName name="SU_01004">'SU 01004'!$B$6</definedName>
    <definedName name="SU_01004_m">'SU 01004'!$N$12</definedName>
    <definedName name="SU_01004_p">'SU 01004'!$I$16</definedName>
    <definedName name="SU_01004_q">'SU 01004'!$N$3</definedName>
    <definedName name="SU_01005">'SU 01005'!$B$6</definedName>
    <definedName name="SU_01005_m">'SU 01005'!$N$12</definedName>
    <definedName name="SU_01005_p">'SU 01005'!$I$21</definedName>
    <definedName name="SU_01005_q">'SU 01005'!$N$3</definedName>
    <definedName name="SU_01006">'SU 01006'!$B$6</definedName>
    <definedName name="SU_01006_m">'SU 01006'!$N$12</definedName>
    <definedName name="SU_01006_p">'SU 01006'!$I$19</definedName>
    <definedName name="SU_01006_q">'SU 01006'!$N$3</definedName>
    <definedName name="SU_A0100">'SU A0100'!$B$5</definedName>
    <definedName name="SU_A0100_BOM">BOM!$C$7</definedName>
    <definedName name="SU_A0100_f">'SU A0100'!$J$50</definedName>
    <definedName name="SU_A0100_m">'SU A0100'!$N$22</definedName>
    <definedName name="SU_A0100_p">'SU A0100'!$I$43</definedName>
    <definedName name="SU_A0100_pa">'SU A0100'!$E$16</definedName>
    <definedName name="SU_A0100_q">'SU A0100'!$N$3</definedName>
  </definedNames>
  <calcPr calcId="162913" concurrentCalc="0"/>
</workbook>
</file>

<file path=xl/calcChain.xml><?xml version="1.0" encoding="utf-8"?>
<calcChain xmlns="http://schemas.openxmlformats.org/spreadsheetml/2006/main">
  <c r="I19" i="26" l="1"/>
  <c r="I21" i="25"/>
  <c r="N2" i="22"/>
  <c r="I16" i="23"/>
  <c r="I21" i="22"/>
  <c r="I21" i="21"/>
  <c r="L7" i="8"/>
  <c r="K13" i="8"/>
  <c r="K12" i="8"/>
  <c r="K11" i="8"/>
  <c r="K10" i="8"/>
  <c r="K9" i="8"/>
  <c r="K8" i="8"/>
  <c r="K7" i="8"/>
  <c r="F13" i="8"/>
  <c r="F12" i="8"/>
  <c r="F11" i="8"/>
  <c r="F10" i="8"/>
  <c r="F9" i="8"/>
  <c r="F8" i="8"/>
  <c r="J13" i="8"/>
  <c r="J12" i="8"/>
  <c r="J11" i="8"/>
  <c r="J10" i="8"/>
  <c r="J9" i="8"/>
  <c r="J8" i="8"/>
  <c r="J7" i="8"/>
  <c r="I7" i="8"/>
  <c r="I13" i="8"/>
  <c r="I12" i="8"/>
  <c r="I11" i="8"/>
  <c r="I10" i="8"/>
  <c r="I9" i="8"/>
  <c r="I8" i="8"/>
  <c r="E9" i="8"/>
  <c r="E10" i="8"/>
  <c r="E11" i="8"/>
  <c r="E12" i="8"/>
  <c r="E13" i="8"/>
  <c r="E8" i="8"/>
  <c r="F7" i="8"/>
  <c r="C13" i="8"/>
  <c r="C12" i="8"/>
  <c r="C11" i="8"/>
  <c r="C10" i="8"/>
  <c r="C9" i="8"/>
  <c r="C8" i="8"/>
  <c r="C7" i="8"/>
  <c r="N2" i="21"/>
  <c r="C10" i="20"/>
  <c r="E10" i="20"/>
  <c r="C11" i="20"/>
  <c r="E11" i="20"/>
  <c r="N2" i="23"/>
  <c r="C12" i="20"/>
  <c r="E12" i="20"/>
  <c r="N2" i="25"/>
  <c r="C14" i="20"/>
  <c r="E14" i="20"/>
  <c r="N2" i="26"/>
  <c r="C15" i="20"/>
  <c r="E15" i="20"/>
  <c r="E16" i="20"/>
  <c r="J50" i="20"/>
  <c r="N22" i="20"/>
  <c r="I43" i="20"/>
  <c r="B1" i="27"/>
  <c r="N2" i="20"/>
  <c r="J11" i="23"/>
  <c r="E11" i="23"/>
  <c r="N11" i="23"/>
  <c r="N12" i="23"/>
  <c r="I15" i="23"/>
  <c r="J11" i="21"/>
  <c r="L58" i="30"/>
  <c r="I18" i="26"/>
  <c r="I17" i="26"/>
  <c r="I16" i="26"/>
  <c r="I15" i="26"/>
  <c r="J11" i="26"/>
  <c r="E11" i="26"/>
  <c r="D11" i="26"/>
  <c r="N11" i="26"/>
  <c r="N12" i="26"/>
  <c r="B4" i="26"/>
  <c r="B3" i="26"/>
  <c r="I20" i="25"/>
  <c r="I19" i="25"/>
  <c r="I18" i="25"/>
  <c r="I17" i="25"/>
  <c r="I16" i="25"/>
  <c r="I15" i="25"/>
  <c r="J11" i="25"/>
  <c r="E11" i="25"/>
  <c r="N11" i="25"/>
  <c r="N12" i="25"/>
  <c r="B4" i="25"/>
  <c r="B3" i="25"/>
  <c r="I15" i="24"/>
  <c r="I16" i="24"/>
  <c r="J11" i="24"/>
  <c r="E11" i="24"/>
  <c r="N11" i="24"/>
  <c r="N12" i="24"/>
  <c r="N2" i="24"/>
  <c r="B4" i="24"/>
  <c r="B3" i="24"/>
  <c r="B4" i="23"/>
  <c r="B3" i="23"/>
  <c r="I20" i="22"/>
  <c r="I19" i="22"/>
  <c r="I18" i="22"/>
  <c r="I17" i="22"/>
  <c r="I16" i="22"/>
  <c r="I15" i="22"/>
  <c r="J11" i="22"/>
  <c r="E11" i="22"/>
  <c r="D11" i="22"/>
  <c r="N11" i="22"/>
  <c r="N12" i="22"/>
  <c r="B4" i="22"/>
  <c r="B3" i="22"/>
  <c r="I20" i="21"/>
  <c r="I19" i="21"/>
  <c r="I18" i="21"/>
  <c r="I17" i="21"/>
  <c r="I16" i="21"/>
  <c r="I15" i="21"/>
  <c r="D11" i="21"/>
  <c r="N11" i="21"/>
  <c r="N12" i="21"/>
  <c r="B4" i="21"/>
  <c r="B3" i="21"/>
  <c r="J49" i="20"/>
  <c r="D48" i="20"/>
  <c r="J48" i="20"/>
  <c r="D47" i="20"/>
  <c r="J47" i="20"/>
  <c r="D46" i="20"/>
  <c r="J46" i="20"/>
  <c r="I42" i="20"/>
  <c r="I41" i="20"/>
  <c r="I40" i="20"/>
  <c r="I39" i="20"/>
  <c r="I38" i="20"/>
  <c r="I37" i="20"/>
  <c r="I36" i="20"/>
  <c r="I35" i="20"/>
  <c r="F34" i="20"/>
  <c r="I34" i="20"/>
  <c r="F33" i="20"/>
  <c r="I33" i="20"/>
  <c r="I32" i="20"/>
  <c r="I31" i="20"/>
  <c r="I30" i="20"/>
  <c r="I29" i="20"/>
  <c r="I28" i="20"/>
  <c r="I27" i="20"/>
  <c r="I26" i="20"/>
  <c r="F25" i="20"/>
  <c r="I25" i="20"/>
  <c r="N21" i="20"/>
  <c r="N20" i="20"/>
  <c r="D19" i="20"/>
  <c r="N19" i="20"/>
  <c r="B15" i="20"/>
  <c r="B14" i="20"/>
  <c r="B13" i="20"/>
  <c r="B12" i="20"/>
  <c r="B11" i="20"/>
  <c r="B10" i="20"/>
  <c r="N5" i="21"/>
  <c r="N5" i="22"/>
  <c r="N5" i="25"/>
  <c r="C13" i="20"/>
  <c r="E13" i="20"/>
  <c r="N5" i="24"/>
  <c r="N5" i="26"/>
  <c r="N5" i="23"/>
  <c r="N5" i="20"/>
  <c r="B8" i="8"/>
  <c r="B18" i="8"/>
  <c r="B9" i="8"/>
  <c r="B10" i="8"/>
  <c r="B11" i="8"/>
  <c r="B12" i="8"/>
  <c r="B13" i="8"/>
  <c r="B14" i="8"/>
  <c r="B15" i="8"/>
  <c r="B16" i="8"/>
  <c r="B17" i="8"/>
  <c r="B7" i="8"/>
  <c r="H9" i="8"/>
  <c r="N9" i="8"/>
  <c r="H10" i="8"/>
  <c r="N10" i="8"/>
  <c r="H11" i="8"/>
  <c r="N11" i="8"/>
  <c r="H12" i="8"/>
  <c r="N12" i="8"/>
  <c r="H13" i="8"/>
  <c r="N13" i="8"/>
  <c r="H14" i="8"/>
  <c r="N14" i="8"/>
  <c r="H15" i="8"/>
  <c r="N15" i="8"/>
  <c r="H16" i="8"/>
  <c r="N16" i="8"/>
  <c r="H17" i="8"/>
  <c r="N17" i="8"/>
  <c r="L18" i="8"/>
  <c r="M18" i="8"/>
  <c r="K18" i="8"/>
  <c r="H7" i="8"/>
  <c r="N7" i="8"/>
  <c r="O1" i="8"/>
  <c r="H8" i="8"/>
  <c r="N8" i="8"/>
  <c r="J18" i="8"/>
  <c r="N18" i="8"/>
</calcChain>
</file>

<file path=xl/sharedStrings.xml><?xml version="1.0" encoding="utf-8"?>
<sst xmlns="http://schemas.openxmlformats.org/spreadsheetml/2006/main" count="628" uniqueCount="206">
  <si>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</si>
  <si>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</si>
  <si>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</si>
  <si>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</si>
  <si>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</si>
  <si>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</si>
  <si>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</si>
  <si>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</si>
  <si>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</si>
  <si>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</si>
  <si>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</si>
  <si>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</si>
  <si>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</si>
  <si>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</si>
  <si>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</si>
  <si>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</si>
  <si>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</si>
  <si>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</si>
  <si>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</si>
  <si>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</si>
  <si>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</si>
  <si>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</si>
  <si>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</si>
  <si>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</si>
  <si>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</si>
  <si>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</si>
  <si>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</si>
  <si>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</si>
  <si>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</si>
  <si>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</si>
  <si>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</si>
  <si>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</si>
  <si>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</si>
  <si>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</si>
  <si>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</si>
  <si>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</si>
  <si>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</si>
  <si>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Ecole Centrale de Lyon</t>
  </si>
  <si>
    <t>Stock material for part</t>
  </si>
  <si>
    <t>Machining Setup, Install and remove</t>
  </si>
  <si>
    <t>Cutout shape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</si>
  <si>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</si>
  <si>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</si>
  <si>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</si>
  <si>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</si>
  <si>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</si>
  <si>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</si>
  <si>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</si>
  <si>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</si>
  <si>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</si>
  <si>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</si>
  <si>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</si>
  <si>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</si>
  <si>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</si>
  <si>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</si>
  <si>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</si>
  <si>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</si>
  <si>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</si>
  <si>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</si>
  <si>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</si>
  <si>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</si>
  <si>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</si>
  <si>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</si>
  <si>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</si>
  <si>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</si>
  <si>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</si>
  <si>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</si>
  <si>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</si>
  <si>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</si>
  <si>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</si>
  <si>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</si>
  <si>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</si>
  <si>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</si>
  <si>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</si>
  <si>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</si>
  <si>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</si>
  <si>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</si>
  <si>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</si>
  <si>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</si>
  <si>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</si>
  <si>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</si>
  <si>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</si>
  <si>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</si>
  <si>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</si>
  <si>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</si>
  <si>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</si>
  <si>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</si>
  <si>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</si>
  <si>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</si>
  <si>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</si>
  <si>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</si>
  <si>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</si>
  <si>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</si>
  <si>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</si>
  <si>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</si>
  <si>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</si>
  <si>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</si>
  <si>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</si>
  <si>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</si>
  <si>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</si>
  <si>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</si>
  <si>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</si>
  <si>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</si>
  <si>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</si>
  <si>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</si>
  <si>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</si>
  <si>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</si>
  <si>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</si>
  <si>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</si>
  <si>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</si>
  <si>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</si>
  <si>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</si>
  <si>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</si>
  <si>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</si>
  <si>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</si>
  <si>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</si>
  <si>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</si>
  <si>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</si>
  <si>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</si>
  <si>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</si>
  <si>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</si>
  <si>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</si>
  <si>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</si>
  <si>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</si>
  <si>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</si>
  <si>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</si>
  <si>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</si>
  <si>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</si>
  <si>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</si>
  <si>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</si>
  <si>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Suspension &amp; Shocks</t>
  </si>
  <si>
    <t>SU A0100</t>
  </si>
  <si>
    <t>Sperical bearing</t>
  </si>
  <si>
    <t>Aluminum, Premium</t>
  </si>
  <si>
    <t>Upper face</t>
  </si>
  <si>
    <t>Setup for machining</t>
  </si>
  <si>
    <t>Outboard A-arm Insert</t>
  </si>
  <si>
    <t>Adhesive</t>
  </si>
  <si>
    <t>Glue for Ball Joint – Cost Included in Processes</t>
  </si>
  <si>
    <t>Epoxy resin for Tube/insert assembly – Cost Included in Processes</t>
  </si>
  <si>
    <t>Brush Apply</t>
  </si>
  <si>
    <t xml:space="preserve">Glue Applying on Ball Joint Bores </t>
  </si>
  <si>
    <t>cm²</t>
  </si>
  <si>
    <t>Assemble, 1kg, Line on line</t>
  </si>
  <si>
    <t>Ball Joints in Bores Installation</t>
  </si>
  <si>
    <t>Hand Finish - Surface Preperation</t>
  </si>
  <si>
    <t>Sanding of the inside of the tube (gluing preparation)</t>
  </si>
  <si>
    <t>Sanding of the inserts  (gluing preparation)</t>
  </si>
  <si>
    <t>Liquid Applicator Gun</t>
  </si>
  <si>
    <t>Epoxy resin applaying on inserts</t>
  </si>
  <si>
    <t>Inserting Parts 30 and 40 on Parts 70</t>
  </si>
  <si>
    <t>Inserting Parts 70 in Part 10</t>
  </si>
  <si>
    <t>Inserting Parts 20 in Parts 30 and 40</t>
  </si>
  <si>
    <t>Cure, Room Temperature</t>
  </si>
  <si>
    <t>m²</t>
  </si>
  <si>
    <t>Epoxy resin curing (24h at room temperature)</t>
  </si>
  <si>
    <t>Epoxy resin curing (1h at 80°C)</t>
  </si>
  <si>
    <t>Cure, Oven</t>
  </si>
  <si>
    <r>
      <t>Assembl</t>
    </r>
    <r>
      <rPr>
        <sz val="11"/>
        <color rgb="FF000000"/>
        <rFont val="Calibri"/>
        <family val="2"/>
        <charset val="1"/>
      </rPr>
      <t xml:space="preserve">e,1kg, </t>
    </r>
    <r>
      <rPr>
        <sz val="11"/>
        <rFont val="Calibri"/>
        <family val="2"/>
      </rPr>
      <t>Loose</t>
    </r>
  </si>
  <si>
    <t>A-Arm Positioning on Mounts</t>
  </si>
  <si>
    <t>Assemble, 1kg, Line on Line</t>
  </si>
  <si>
    <t>Spacers Installation on Mounts</t>
  </si>
  <si>
    <t>Washers Installation on Mounts</t>
  </si>
  <si>
    <t>A-Arm Positioning on Upside</t>
  </si>
  <si>
    <t>Spacers Installation on Upside</t>
  </si>
  <si>
    <t>Washers Installation on Upside</t>
  </si>
  <si>
    <t>Ratchet &lt;= 25,4mm</t>
  </si>
  <si>
    <t>M8 Bolts Installation</t>
  </si>
  <si>
    <t>Reaction tool &lt;=25,4mm</t>
  </si>
  <si>
    <t>M8 Nuts Blocking</t>
  </si>
  <si>
    <r>
      <t>Bo</t>
    </r>
    <r>
      <rPr>
        <sz val="11"/>
        <color rgb="FF000000"/>
        <rFont val="Calibri"/>
        <family val="2"/>
        <charset val="1"/>
      </rPr>
      <t>lt, Grade 8,8 (SAE 5)</t>
    </r>
  </si>
  <si>
    <t>A-Arm Fixing Bolts on Frame Side</t>
  </si>
  <si>
    <t>A-Arm Fixing Bolts on Upright Side</t>
  </si>
  <si>
    <r>
      <t>Nut,</t>
    </r>
    <r>
      <rPr>
        <sz val="11"/>
        <color rgb="FF000000"/>
        <rFont val="Calibri"/>
        <family val="2"/>
        <charset val="1"/>
      </rPr>
      <t xml:space="preserve"> Grade 8,8 (SAE 5)</t>
    </r>
  </si>
  <si>
    <t>A-Arm Fixing Nuts</t>
  </si>
  <si>
    <r>
      <t>Washe</t>
    </r>
    <r>
      <rPr>
        <sz val="11"/>
        <color rgb="FF000000"/>
        <rFont val="Calibri"/>
        <family val="2"/>
        <charset val="1"/>
      </rPr>
      <t>r, Grade 8,8 (SAE 5)</t>
    </r>
  </si>
  <si>
    <t>A-Arm Fixing Washers</t>
  </si>
  <si>
    <t>Assemble, 1kg, Loose</t>
  </si>
  <si>
    <t>Upper Front A-arm tube (Back)  Carbon Fiber Tube</t>
  </si>
  <si>
    <t>Upper Front A-arm tube (Front)  Carbon Fiber Tube</t>
  </si>
  <si>
    <t>Upper Front A-arm</t>
  </si>
  <si>
    <t>Upper Front Bearing Support</t>
  </si>
  <si>
    <t>Inner Bearing Support</t>
  </si>
  <si>
    <t>Machining Setup, Change</t>
  </si>
  <si>
    <t>Machining</t>
  </si>
  <si>
    <t>Change for new operation</t>
  </si>
  <si>
    <t>cm^3</t>
  </si>
  <si>
    <t>Kg</t>
  </si>
  <si>
    <t>Cylinder face area</t>
  </si>
  <si>
    <t>Non-metallic cutting &lt;= 25.4 mm</t>
  </si>
  <si>
    <t>Cut the carbon fiber reinforced epoxy tube to length</t>
  </si>
  <si>
    <t>mm^3</t>
  </si>
  <si>
    <t>tube face</t>
  </si>
  <si>
    <t>Spacer</t>
  </si>
  <si>
    <t>Cylinder face</t>
  </si>
  <si>
    <t>Mild Steel</t>
  </si>
  <si>
    <t>Turning</t>
  </si>
  <si>
    <t xml:space="preserve">Cuting part from stock cylinder </t>
  </si>
  <si>
    <t>Drilling</t>
  </si>
  <si>
    <t xml:space="preserve">Drawing part : </t>
  </si>
  <si>
    <t>SU_01002</t>
  </si>
  <si>
    <t>SU_01005</t>
  </si>
  <si>
    <t>SU_01006</t>
  </si>
  <si>
    <t>SU_01001</t>
  </si>
  <si>
    <t>SU_01004</t>
  </si>
  <si>
    <t>SU_01003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</si>
</sst>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&quot;$&quot;#,##0.00"/>
    <numFmt numFmtId="175" formatCode="0.0"/>
    <numFmt numFmtId="176" formatCode="_-* #,##0.0000\ _€_-;\-* #,##0.0000\ _€_-;_-* &quot;-&quot;????\ _€_-;_-@_-"/>
    <numFmt numFmtId="177" formatCode="_(&quot;$&quot;* #,##0.0000_);_(&quot;$&quot;* \(#,##0.0000\);_(&quot;$&quot;* &quot;-&quot;??_);_(@_)"/>
    <numFmt numFmtId="178" formatCode="_(\$* #,##0.000_);_(\$* \(#,##0.000\);_(\$* \-??_);_(@_)"/>
    <numFmt numFmtId="179" formatCode="_(\$* #,##0.000000_);_(\$* \(#,##0.000000\);_(\$* \-??_);_(@_)"/>
  </numFmts>
  <fonts count="3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10"/>
      <name val="MS Sans Serif"/>
    </font>
    <font>
      <sz val="11"/>
      <name val="Calibri"/>
      <family val="2"/>
    </font>
    <font>
      <sz val="11"/>
      <color indexed="17"/>
      <name val="Calibri"/>
      <family val="2"/>
    </font>
    <font>
      <sz val="10"/>
      <name val="MS Sans Serif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2">
    <xf numFmtId="0" fontId="0" fillId="0" borderId="0"/>
    <xf numFmtId="0" fontId="9" fillId="0" borderId="0"/>
    <xf numFmtId="170" fontId="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8" fillId="2" borderId="6">
      <alignment vertical="center" wrapText="1"/>
    </xf>
    <xf numFmtId="171" fontId="9" fillId="0" borderId="0" applyFont="0" applyFill="0" applyBorder="0" applyAlignment="0" applyProtection="0"/>
    <xf numFmtId="0" fontId="4" fillId="0" borderId="0"/>
    <xf numFmtId="166" fontId="7" fillId="0" borderId="1">
      <alignment vertical="center" wrapText="1"/>
    </xf>
    <xf numFmtId="0" fontId="20" fillId="0" borderId="0" applyNumberFormat="0" applyFill="0" applyBorder="0" applyAlignment="0" applyProtection="0"/>
    <xf numFmtId="0" fontId="27" fillId="0" borderId="0"/>
    <xf numFmtId="170" fontId="32" fillId="13" borderId="1">
      <alignment vertical="center" wrapText="1"/>
    </xf>
    <xf numFmtId="170" fontId="26" fillId="11" borderId="6">
      <alignment vertical="center" wrapText="1"/>
    </xf>
    <xf numFmtId="170" fontId="2" fillId="0" borderId="0" applyFont="0" applyFill="0" applyBorder="0" applyAlignment="0" applyProtection="0"/>
    <xf numFmtId="0" fontId="29" fillId="12" borderId="0" applyNumberFormat="0" applyBorder="0" applyAlignment="0" applyProtection="0"/>
    <xf numFmtId="170" fontId="9" fillId="0" borderId="0" applyFont="0" applyFill="0" applyBorder="0" applyAlignment="0" applyProtection="0"/>
    <xf numFmtId="0" fontId="31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0" fillId="0" borderId="0"/>
    <xf numFmtId="174" fontId="32" fillId="0" borderId="1">
      <alignment vertical="center" wrapText="1"/>
    </xf>
    <xf numFmtId="165" fontId="17" fillId="0" borderId="0" applyFill="0" applyBorder="0" applyAlignment="0" applyProtection="0"/>
    <xf numFmtId="0" fontId="34" fillId="0" borderId="0"/>
    <xf numFmtId="0" fontId="1" fillId="0" borderId="0"/>
  </cellStyleXfs>
  <cellXfs count="174">
    <xf numFmtId="0" fontId="0" fillId="0" borderId="0" xfId="0"/>
    <xf numFmtId="18" fontId="13" fillId="0" borderId="7" xfId="1" applyNumberFormat="1" applyFont="1" applyFill="1" applyBorder="1" applyAlignment="1" applyProtection="1">
      <protection locked="0"/>
    </xf>
    <xf numFmtId="0" fontId="13" fillId="0" borderId="7" xfId="1" applyFont="1" applyFill="1" applyBorder="1" applyAlignment="1">
      <alignment horizontal="center"/>
    </xf>
    <xf numFmtId="171" fontId="13" fillId="0" borderId="7" xfId="5" applyFont="1" applyFill="1" applyBorder="1" applyProtection="1">
      <protection locked="0"/>
    </xf>
    <xf numFmtId="0" fontId="13" fillId="0" borderId="7" xfId="1" applyFont="1" applyFill="1" applyBorder="1" applyAlignment="1" applyProtection="1">
      <alignment horizontal="center"/>
      <protection locked="0"/>
    </xf>
    <xf numFmtId="0" fontId="13" fillId="0" borderId="7" xfId="1" applyFont="1" applyFill="1" applyBorder="1" applyProtection="1">
      <protection locked="0"/>
    </xf>
    <xf numFmtId="171" fontId="10" fillId="0" borderId="0" xfId="5" applyFont="1"/>
    <xf numFmtId="0" fontId="10" fillId="0" borderId="0" xfId="1" applyFont="1" applyProtection="1">
      <protection locked="0"/>
    </xf>
    <xf numFmtId="171" fontId="9" fillId="0" borderId="0" xfId="5" applyFont="1"/>
    <xf numFmtId="0" fontId="10" fillId="0" borderId="0" xfId="1" applyFont="1"/>
    <xf numFmtId="0" fontId="12" fillId="0" borderId="0" xfId="1" applyFont="1"/>
    <xf numFmtId="0" fontId="9" fillId="0" borderId="0" xfId="1" applyFont="1" applyProtection="1">
      <protection locked="0"/>
    </xf>
    <xf numFmtId="0" fontId="9" fillId="0" borderId="0" xfId="1" applyFont="1" applyFill="1"/>
    <xf numFmtId="0" fontId="9" fillId="0" borderId="0" xfId="1" applyFont="1"/>
    <xf numFmtId="0" fontId="4" fillId="0" borderId="0" xfId="6" applyBorder="1"/>
    <xf numFmtId="0" fontId="4" fillId="0" borderId="0" xfId="6"/>
    <xf numFmtId="0" fontId="6" fillId="0" borderId="0" xfId="0" applyFont="1" applyBorder="1"/>
    <xf numFmtId="0" fontId="0" fillId="0" borderId="0" xfId="0" applyFont="1"/>
    <xf numFmtId="0" fontId="6" fillId="0" borderId="0" xfId="0" applyFont="1" applyBorder="1" applyAlignment="1">
      <alignment horizontal="left"/>
    </xf>
    <xf numFmtId="0" fontId="6" fillId="0" borderId="3" xfId="0" applyFont="1" applyBorder="1"/>
    <xf numFmtId="164" fontId="6" fillId="0" borderId="3" xfId="7" applyNumberFormat="1" applyFont="1" applyBorder="1" applyAlignment="1" applyProtection="1"/>
    <xf numFmtId="0" fontId="6" fillId="0" borderId="3" xfId="0" applyFont="1" applyBorder="1" applyAlignment="1"/>
    <xf numFmtId="11" fontId="6" fillId="0" borderId="3" xfId="0" applyNumberFormat="1" applyFont="1" applyBorder="1" applyAlignment="1"/>
    <xf numFmtId="0" fontId="0" fillId="0" borderId="0" xfId="0" applyAlignment="1"/>
    <xf numFmtId="2" fontId="6" fillId="0" borderId="3" xfId="7" applyNumberFormat="1" applyFont="1" applyBorder="1" applyAlignment="1" applyProtection="1"/>
    <xf numFmtId="0" fontId="5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6" fillId="0" borderId="0" xfId="0" applyNumberFormat="1" applyFont="1" applyBorder="1" applyAlignment="1">
      <alignment horizontal="left"/>
    </xf>
    <xf numFmtId="0" fontId="5" fillId="0" borderId="4" xfId="0" applyFont="1" applyBorder="1"/>
    <xf numFmtId="165" fontId="6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6" fillId="0" borderId="3" xfId="7" applyNumberFormat="1" applyFont="1" applyBorder="1" applyAlignment="1" applyProtection="1">
      <alignment wrapText="1"/>
    </xf>
    <xf numFmtId="1" fontId="6" fillId="0" borderId="3" xfId="0" applyNumberFormat="1" applyFont="1" applyBorder="1"/>
    <xf numFmtId="0" fontId="14" fillId="0" borderId="0" xfId="1" applyFont="1" applyAlignment="1">
      <alignment horizontal="center"/>
    </xf>
    <xf numFmtId="0" fontId="15" fillId="0" borderId="0" xfId="1" applyFont="1"/>
    <xf numFmtId="0" fontId="18" fillId="0" borderId="0" xfId="6" applyFont="1" applyFill="1" applyBorder="1"/>
    <xf numFmtId="0" fontId="4" fillId="0" borderId="0" xfId="6" applyFill="1"/>
    <xf numFmtId="0" fontId="4" fillId="0" borderId="0" xfId="6" applyFill="1" applyBorder="1"/>
    <xf numFmtId="0" fontId="4" fillId="0" borderId="0" xfId="6" applyFont="1"/>
    <xf numFmtId="0" fontId="4" fillId="0" borderId="0" xfId="6" applyFont="1" applyFill="1" applyBorder="1"/>
    <xf numFmtId="0" fontId="4" fillId="0" borderId="0" xfId="6" applyFont="1" applyFill="1"/>
    <xf numFmtId="0" fontId="13" fillId="0" borderId="7" xfId="1" applyFont="1" applyFill="1" applyBorder="1" applyAlignment="1">
      <alignment horizontal="left"/>
    </xf>
    <xf numFmtId="0" fontId="11" fillId="0" borderId="0" xfId="1" applyFont="1"/>
    <xf numFmtId="0" fontId="16" fillId="0" borderId="0" xfId="1" applyFont="1"/>
    <xf numFmtId="0" fontId="18" fillId="3" borderId="0" xfId="6" applyFont="1" applyFill="1" applyBorder="1" applyAlignment="1"/>
    <xf numFmtId="171" fontId="9" fillId="0" borderId="0" xfId="1" applyNumberFormat="1" applyFont="1"/>
    <xf numFmtId="0" fontId="14" fillId="0" borderId="8" xfId="1" applyFont="1" applyBorder="1" applyAlignment="1">
      <alignment horizontal="center" wrapText="1"/>
    </xf>
    <xf numFmtId="2" fontId="14" fillId="0" borderId="8" xfId="1" applyNumberFormat="1" applyFont="1" applyBorder="1" applyAlignment="1">
      <alignment horizontal="center" wrapText="1"/>
    </xf>
    <xf numFmtId="171" fontId="14" fillId="0" borderId="8" xfId="5" applyFont="1" applyBorder="1" applyAlignment="1">
      <alignment horizontal="center" wrapText="1"/>
    </xf>
    <xf numFmtId="0" fontId="19" fillId="4" borderId="9" xfId="6" applyFont="1" applyFill="1" applyBorder="1"/>
    <xf numFmtId="0" fontId="19" fillId="4" borderId="11" xfId="6" applyFont="1" applyFill="1" applyBorder="1"/>
    <xf numFmtId="0" fontId="19" fillId="4" borderId="10" xfId="6" applyFont="1" applyFill="1" applyBorder="1"/>
    <xf numFmtId="0" fontId="19" fillId="4" borderId="12" xfId="6" applyFont="1" applyFill="1" applyBorder="1"/>
    <xf numFmtId="0" fontId="4" fillId="5" borderId="14" xfId="6" quotePrefix="1" applyFill="1" applyBorder="1" applyAlignment="1">
      <alignment horizontal="left"/>
    </xf>
    <xf numFmtId="2" fontId="4" fillId="6" borderId="15" xfId="6" quotePrefix="1" applyNumberFormat="1" applyFill="1" applyBorder="1" applyAlignment="1">
      <alignment horizontal="right"/>
    </xf>
    <xf numFmtId="0" fontId="19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22" xfId="0" applyFont="1" applyBorder="1"/>
    <xf numFmtId="0" fontId="6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5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16" xfId="0" applyFont="1" applyBorder="1"/>
    <xf numFmtId="0" fontId="6" fillId="0" borderId="16" xfId="7" applyNumberFormat="1" applyFont="1" applyBorder="1" applyAlignment="1" applyProtection="1"/>
    <xf numFmtId="165" fontId="6" fillId="0" borderId="16" xfId="7" applyNumberFormat="1" applyFont="1" applyBorder="1" applyAlignment="1" applyProtection="1"/>
    <xf numFmtId="164" fontId="6" fillId="0" borderId="16" xfId="7" applyNumberFormat="1" applyFont="1" applyBorder="1" applyAlignment="1" applyProtection="1"/>
    <xf numFmtId="11" fontId="6" fillId="0" borderId="16" xfId="0" applyNumberFormat="1" applyFont="1" applyBorder="1"/>
    <xf numFmtId="167" fontId="6" fillId="0" borderId="16" xfId="7" applyNumberFormat="1" applyFont="1" applyBorder="1" applyAlignment="1" applyProtection="1"/>
    <xf numFmtId="0" fontId="6" fillId="0" borderId="16" xfId="0" applyFont="1" applyBorder="1" applyAlignment="1"/>
    <xf numFmtId="11" fontId="6" fillId="0" borderId="16" xfId="0" applyNumberFormat="1" applyFont="1" applyBorder="1" applyAlignment="1"/>
    <xf numFmtId="168" fontId="6" fillId="0" borderId="16" xfId="7" applyNumberFormat="1" applyFont="1" applyBorder="1" applyAlignment="1" applyProtection="1"/>
    <xf numFmtId="0" fontId="0" fillId="0" borderId="16" xfId="0" applyBorder="1" applyAlignment="1"/>
    <xf numFmtId="2" fontId="6" fillId="0" borderId="16" xfId="7" applyNumberFormat="1" applyFont="1" applyBorder="1" applyAlignment="1" applyProtection="1"/>
    <xf numFmtId="169" fontId="6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37" fontId="6" fillId="0" borderId="16" xfId="7" applyNumberFormat="1" applyFont="1" applyBorder="1" applyAlignment="1" applyProtection="1"/>
    <xf numFmtId="0" fontId="6" fillId="0" borderId="16" xfId="0" applyFont="1" applyBorder="1" applyAlignment="1">
      <alignment horizontal="right"/>
    </xf>
    <xf numFmtId="0" fontId="5" fillId="0" borderId="26" xfId="0" applyFont="1" applyBorder="1"/>
    <xf numFmtId="0" fontId="6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20" fillId="0" borderId="16" xfId="8" applyNumberFormat="1" applyBorder="1" applyAlignment="1" applyProtection="1"/>
    <xf numFmtId="0" fontId="21" fillId="0" borderId="0" xfId="0" applyFont="1"/>
    <xf numFmtId="0" fontId="20" fillId="0" borderId="0" xfId="8" applyBorder="1"/>
    <xf numFmtId="0" fontId="20" fillId="0" borderId="0" xfId="8"/>
    <xf numFmtId="0" fontId="23" fillId="0" borderId="0" xfId="0" applyFont="1"/>
    <xf numFmtId="0" fontId="24" fillId="0" borderId="0" xfId="0" applyFont="1"/>
    <xf numFmtId="0" fontId="4" fillId="5" borderId="14" xfId="6" quotePrefix="1" applyFont="1" applyFill="1" applyBorder="1" applyAlignment="1">
      <alignment horizontal="left"/>
    </xf>
    <xf numFmtId="0" fontId="3" fillId="5" borderId="14" xfId="6" applyFont="1" applyFill="1" applyBorder="1"/>
    <xf numFmtId="0" fontId="3" fillId="5" borderId="13" xfId="6" applyFont="1" applyFill="1" applyBorder="1"/>
    <xf numFmtId="172" fontId="6" fillId="0" borderId="16" xfId="7" applyNumberFormat="1" applyFont="1" applyBorder="1" applyAlignment="1" applyProtection="1"/>
    <xf numFmtId="172" fontId="13" fillId="0" borderId="7" xfId="1" applyNumberFormat="1" applyFont="1" applyFill="1" applyBorder="1" applyAlignment="1">
      <alignment horizontal="right"/>
    </xf>
    <xf numFmtId="173" fontId="6" fillId="0" borderId="16" xfId="7" applyNumberFormat="1" applyFont="1" applyBorder="1" applyAlignment="1" applyProtection="1"/>
    <xf numFmtId="0" fontId="5" fillId="7" borderId="16" xfId="0" applyFont="1" applyFill="1" applyBorder="1"/>
    <xf numFmtId="0" fontId="5" fillId="7" borderId="0" xfId="0" applyFont="1" applyFill="1" applyBorder="1"/>
    <xf numFmtId="165" fontId="5" fillId="7" borderId="16" xfId="0" applyNumberFormat="1" applyFont="1" applyFill="1" applyBorder="1"/>
    <xf numFmtId="0" fontId="5" fillId="7" borderId="16" xfId="0" applyFont="1" applyFill="1" applyBorder="1" applyAlignment="1">
      <alignment horizontal="right"/>
    </xf>
    <xf numFmtId="0" fontId="5" fillId="8" borderId="16" xfId="0" applyFont="1" applyFill="1" applyBorder="1"/>
    <xf numFmtId="0" fontId="5" fillId="8" borderId="16" xfId="0" applyFont="1" applyFill="1" applyBorder="1" applyAlignment="1">
      <alignment horizontal="left"/>
    </xf>
    <xf numFmtId="0" fontId="5" fillId="8" borderId="2" xfId="0" applyFont="1" applyFill="1" applyBorder="1"/>
    <xf numFmtId="0" fontId="5" fillId="8" borderId="27" xfId="0" applyFont="1" applyFill="1" applyBorder="1"/>
    <xf numFmtId="0" fontId="5" fillId="8" borderId="5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right"/>
    </xf>
    <xf numFmtId="165" fontId="5" fillId="8" borderId="5" xfId="0" applyNumberFormat="1" applyFont="1" applyFill="1" applyBorder="1"/>
    <xf numFmtId="0" fontId="5" fillId="8" borderId="22" xfId="0" applyFont="1" applyFill="1" applyBorder="1"/>
    <xf numFmtId="0" fontId="5" fillId="8" borderId="5" xfId="0" applyFont="1" applyFill="1" applyBorder="1" applyAlignment="1">
      <alignment horizontal="right"/>
    </xf>
    <xf numFmtId="0" fontId="13" fillId="9" borderId="3" xfId="1" applyFont="1" applyFill="1" applyBorder="1" applyProtection="1">
      <protection locked="0"/>
    </xf>
    <xf numFmtId="0" fontId="13" fillId="9" borderId="3" xfId="1" applyFont="1" applyFill="1" applyBorder="1" applyAlignment="1">
      <alignment horizontal="left"/>
    </xf>
    <xf numFmtId="18" fontId="13" fillId="9" borderId="3" xfId="1" applyNumberFormat="1" applyFont="1" applyFill="1" applyBorder="1" applyAlignment="1" applyProtection="1">
      <protection locked="0"/>
    </xf>
    <xf numFmtId="172" fontId="13" fillId="9" borderId="3" xfId="5" applyNumberFormat="1" applyFont="1" applyFill="1" applyBorder="1" applyProtection="1">
      <protection locked="0"/>
    </xf>
    <xf numFmtId="172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>
      <alignment horizontal="right"/>
    </xf>
    <xf numFmtId="0" fontId="13" fillId="9" borderId="3" xfId="1" applyFont="1" applyFill="1" applyBorder="1" applyAlignment="1">
      <alignment horizontal="center"/>
    </xf>
    <xf numFmtId="0" fontId="13" fillId="10" borderId="3" xfId="1" applyFont="1" applyFill="1" applyBorder="1" applyProtection="1">
      <protection locked="0"/>
    </xf>
    <xf numFmtId="0" fontId="13" fillId="10" borderId="3" xfId="1" applyFont="1" applyFill="1" applyBorder="1" applyAlignment="1">
      <alignment horizontal="left"/>
    </xf>
    <xf numFmtId="18" fontId="13" fillId="10" borderId="3" xfId="1" applyNumberFormat="1" applyFont="1" applyFill="1" applyBorder="1" applyAlignment="1" applyProtection="1">
      <protection locked="0"/>
    </xf>
    <xf numFmtId="0" fontId="20" fillId="10" borderId="3" xfId="8" applyFill="1" applyBorder="1" applyAlignment="1">
      <alignment horizontal="left"/>
    </xf>
    <xf numFmtId="172" fontId="13" fillId="10" borderId="3" xfId="5" applyNumberFormat="1" applyFont="1" applyFill="1" applyBorder="1" applyProtection="1">
      <protection locked="0"/>
    </xf>
    <xf numFmtId="172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>
      <alignment horizontal="right"/>
    </xf>
    <xf numFmtId="0" fontId="13" fillId="10" borderId="3" xfId="1" applyFont="1" applyFill="1" applyBorder="1" applyAlignment="1">
      <alignment horizontal="center"/>
    </xf>
    <xf numFmtId="0" fontId="13" fillId="10" borderId="3" xfId="1" applyFont="1" applyFill="1" applyBorder="1" applyAlignment="1" applyProtection="1">
      <alignment horizontal="center"/>
      <protection locked="0"/>
    </xf>
    <xf numFmtId="11" fontId="13" fillId="10" borderId="3" xfId="1" applyNumberFormat="1" applyFont="1" applyFill="1" applyBorder="1" applyAlignment="1" applyProtection="1">
      <protection locked="0"/>
    </xf>
    <xf numFmtId="170" fontId="33" fillId="0" borderId="0" xfId="11" applyFont="1" applyFill="1" applyBorder="1">
      <alignment vertical="center" wrapText="1"/>
    </xf>
    <xf numFmtId="0" fontId="6" fillId="0" borderId="0" xfId="0" applyFont="1" applyFill="1" applyBorder="1"/>
    <xf numFmtId="0" fontId="6" fillId="0" borderId="16" xfId="0" applyNumberFormat="1" applyFont="1" applyBorder="1"/>
    <xf numFmtId="165" fontId="28" fillId="0" borderId="28" xfId="29" applyFont="1" applyFill="1" applyBorder="1" applyAlignment="1" applyProtection="1"/>
    <xf numFmtId="166" fontId="7" fillId="0" borderId="1" xfId="7">
      <alignment vertical="center" wrapText="1"/>
    </xf>
    <xf numFmtId="165" fontId="28" fillId="0" borderId="29" xfId="29" applyFont="1" applyFill="1" applyBorder="1" applyAlignment="1" applyProtection="1"/>
    <xf numFmtId="165" fontId="28" fillId="0" borderId="3" xfId="29" applyFont="1" applyFill="1" applyBorder="1" applyAlignment="1" applyProtection="1"/>
    <xf numFmtId="39" fontId="28" fillId="0" borderId="28" xfId="29" applyNumberFormat="1" applyFont="1" applyFill="1" applyBorder="1" applyAlignment="1" applyProtection="1"/>
    <xf numFmtId="37" fontId="28" fillId="0" borderId="30" xfId="29" applyNumberFormat="1" applyFont="1" applyFill="1" applyBorder="1" applyAlignment="1" applyProtection="1"/>
    <xf numFmtId="165" fontId="28" fillId="0" borderId="30" xfId="29" applyFont="1" applyFill="1" applyBorder="1" applyAlignment="1" applyProtection="1"/>
    <xf numFmtId="37" fontId="28" fillId="0" borderId="28" xfId="29" applyNumberFormat="1" applyFont="1" applyFill="1" applyBorder="1" applyAlignment="1" applyProtection="1"/>
    <xf numFmtId="0" fontId="17" fillId="0" borderId="6" xfId="30" applyFont="1" applyFill="1" applyBorder="1" applyAlignment="1">
      <alignment wrapText="1"/>
    </xf>
    <xf numFmtId="176" fontId="0" fillId="0" borderId="0" xfId="0" applyNumberFormat="1"/>
    <xf numFmtId="176" fontId="0" fillId="0" borderId="0" xfId="0" applyNumberFormat="1" applyFont="1"/>
    <xf numFmtId="176" fontId="6" fillId="0" borderId="3" xfId="0" applyNumberFormat="1" applyFont="1" applyBorder="1" applyAlignment="1"/>
    <xf numFmtId="176" fontId="0" fillId="0" borderId="0" xfId="0" applyNumberFormat="1" applyAlignment="1">
      <alignment wrapText="1"/>
    </xf>
    <xf numFmtId="177" fontId="33" fillId="0" borderId="0" xfId="11" applyNumberFormat="1" applyFont="1" applyFill="1" applyBorder="1">
      <alignment vertical="center" wrapText="1"/>
    </xf>
    <xf numFmtId="0" fontId="6" fillId="0" borderId="3" xfId="0" applyNumberFormat="1" applyFont="1" applyBorder="1"/>
    <xf numFmtId="178" fontId="6" fillId="0" borderId="3" xfId="7" applyNumberFormat="1" applyFont="1" applyBorder="1" applyAlignment="1" applyProtection="1"/>
    <xf numFmtId="179" fontId="6" fillId="0" borderId="3" xfId="7" applyNumberFormat="1" applyFont="1" applyBorder="1" applyAlignment="1" applyProtection="1"/>
    <xf numFmtId="0" fontId="0" fillId="10" borderId="0" xfId="0" applyFill="1"/>
    <xf numFmtId="0" fontId="28" fillId="0" borderId="28" xfId="31" applyFont="1" applyFill="1" applyBorder="1"/>
    <xf numFmtId="0" fontId="28" fillId="0" borderId="28" xfId="31" applyFont="1" applyFill="1" applyBorder="1" applyAlignment="1">
      <alignment wrapText="1"/>
    </xf>
    <xf numFmtId="0" fontId="28" fillId="0" borderId="28" xfId="31" applyNumberFormat="1" applyFont="1" applyFill="1" applyBorder="1"/>
    <xf numFmtId="175" fontId="28" fillId="0" borderId="28" xfId="31" applyNumberFormat="1" applyFont="1" applyFill="1" applyBorder="1"/>
    <xf numFmtId="0" fontId="28" fillId="0" borderId="29" xfId="31" applyNumberFormat="1" applyFont="1" applyFill="1" applyBorder="1"/>
    <xf numFmtId="0" fontId="28" fillId="0" borderId="29" xfId="31" applyFont="1" applyFill="1" applyBorder="1"/>
    <xf numFmtId="0" fontId="28" fillId="0" borderId="3" xfId="31" applyNumberFormat="1" applyFont="1" applyFill="1" applyBorder="1"/>
    <xf numFmtId="0" fontId="28" fillId="0" borderId="3" xfId="31" applyFont="1" applyFill="1" applyBorder="1"/>
    <xf numFmtId="0" fontId="28" fillId="0" borderId="3" xfId="31" applyFont="1" applyBorder="1"/>
    <xf numFmtId="0" fontId="1" fillId="0" borderId="3" xfId="31" applyBorder="1"/>
    <xf numFmtId="4" fontId="28" fillId="0" borderId="28" xfId="31" applyNumberFormat="1" applyFont="1" applyFill="1" applyBorder="1"/>
    <xf numFmtId="0" fontId="17" fillId="0" borderId="28" xfId="31" applyFont="1" applyFill="1" applyBorder="1"/>
    <xf numFmtId="2" fontId="28" fillId="0" borderId="28" xfId="31" applyNumberFormat="1" applyFont="1" applyFill="1" applyBorder="1"/>
    <xf numFmtId="1" fontId="6" fillId="0" borderId="16" xfId="7" applyNumberFormat="1" applyFont="1" applyBorder="1" applyAlignment="1" applyProtection="1"/>
    <xf numFmtId="18" fontId="20" fillId="9" borderId="3" xfId="8" applyNumberFormat="1" applyFill="1" applyBorder="1" applyAlignment="1" applyProtection="1">
      <protection locked="0"/>
    </xf>
  </cellXfs>
  <cellStyles count="32">
    <cellStyle name="Comma 2" xfId="5"/>
    <cellStyle name="Cost Table Plain" xfId="10"/>
    <cellStyle name="Cost_Green" xfId="4"/>
    <cellStyle name="Cost_Yellow" xfId="11"/>
    <cellStyle name="Currency 2" xfId="2"/>
    <cellStyle name="Currency 2 2" xfId="12"/>
    <cellStyle name="Good 2" xfId="13"/>
    <cellStyle name="Lien hypertexte" xfId="8" builtinId="8"/>
    <cellStyle name="Monétaire 10 2" xfId="29"/>
    <cellStyle name="Monétaire 2" xfId="3"/>
    <cellStyle name="Monétaire 3" xfId="14"/>
    <cellStyle name="Normal" xfId="0" builtinId="0"/>
    <cellStyle name="Normal 2" xfId="1"/>
    <cellStyle name="Normal 2 2" xfId="15"/>
    <cellStyle name="Normal 2 2 2" xfId="16"/>
    <cellStyle name="Normal 2 2 2 2" xfId="17"/>
    <cellStyle name="Normal 2 2 2 2 2" xfId="18"/>
    <cellStyle name="Normal 2 2 2 3" xfId="19"/>
    <cellStyle name="Normal 2 2 3" xfId="20"/>
    <cellStyle name="Normal 2 2 4" xfId="21"/>
    <cellStyle name="Normal 2 2 4 2" xfId="22"/>
    <cellStyle name="Normal 2 3" xfId="23"/>
    <cellStyle name="Normal 2 4" xfId="24"/>
    <cellStyle name="Normal 3" xfId="6"/>
    <cellStyle name="Normal 3 2" xfId="26"/>
    <cellStyle name="Normal 3 3" xfId="25"/>
    <cellStyle name="Normal 3 4" xfId="31"/>
    <cellStyle name="Normal 4" xfId="9"/>
    <cellStyle name="Normal 5" xfId="27"/>
    <cellStyle name="Normal_Sheet1" xfId="30"/>
    <cellStyle name="Style 1" xfId="28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00"/>
      <color rgb="FFFFFF66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SU_01002!B5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395007</xdr:colOff>
      <xdr:row>23</xdr:row>
      <xdr:rowOff>126066</xdr:rowOff>
    </xdr:from>
    <xdr:to>
      <xdr:col>13</xdr:col>
      <xdr:colOff>760304</xdr:colOff>
      <xdr:row>42</xdr:row>
      <xdr:rowOff>123265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867154" y="4249831"/>
          <a:ext cx="2875415" cy="34149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59532</xdr:colOff>
      <xdr:row>13</xdr:row>
      <xdr:rowOff>168672</xdr:rowOff>
    </xdr:from>
    <xdr:to>
      <xdr:col>14</xdr:col>
      <xdr:colOff>166289</xdr:colOff>
      <xdr:row>18</xdr:row>
      <xdr:rowOff>92471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38516" y="2619375"/>
          <a:ext cx="3192461" cy="23943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76200</xdr:rowOff>
    </xdr:from>
    <xdr:to>
      <xdr:col>10</xdr:col>
      <xdr:colOff>644169</xdr:colOff>
      <xdr:row>32</xdr:row>
      <xdr:rowOff>101630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68D1A18-0015-46D2-8028-9BDAF1374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" y="266700"/>
          <a:ext cx="8387994" cy="59309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626969</xdr:colOff>
      <xdr:row>12</xdr:row>
      <xdr:rowOff>49306</xdr:rowOff>
    </xdr:from>
    <xdr:to>
      <xdr:col>14</xdr:col>
      <xdr:colOff>17369</xdr:colOff>
      <xdr:row>21</xdr:row>
      <xdr:rowOff>165287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41734" y="2335306"/>
          <a:ext cx="3200400" cy="24019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99061</xdr:colOff>
      <xdr:row>1</xdr:row>
      <xdr:rowOff>121920</xdr:rowOff>
    </xdr:from>
    <xdr:ext cx="8751358" cy="414538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061" y="304800"/>
          <a:ext cx="8751358" cy="414538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83820</xdr:rowOff>
    </xdr:from>
    <xdr:ext cx="9112263" cy="3963000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66700"/>
          <a:ext cx="9112263" cy="39630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685799</xdr:colOff>
      <xdr:row>12</xdr:row>
      <xdr:rowOff>97971</xdr:rowOff>
    </xdr:from>
    <xdr:to>
      <xdr:col>12</xdr:col>
      <xdr:colOff>242723</xdr:colOff>
      <xdr:row>19</xdr:row>
      <xdr:rowOff>76200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15216" t="9023" r="10549"/>
        <a:stretch/>
      </xdr:blipFill>
      <xdr:spPr>
        <a:xfrm>
          <a:off x="10145485" y="2318657"/>
          <a:ext cx="1940895" cy="14586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1</xdr:row>
      <xdr:rowOff>82476</xdr:rowOff>
    </xdr:from>
    <xdr:ext cx="9029700" cy="3717144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265356"/>
          <a:ext cx="9029700" cy="371714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quette_EPSA/FR%20-%20Frame%20&amp;%20Body/Cost/Cost_F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_A0200"/>
      <sheetName val="SU_02001"/>
      <sheetName val="SU_02002"/>
      <sheetName val="SU_02003"/>
      <sheetName val="SU_02004"/>
      <sheetName val="SU_02005"/>
      <sheetName val="SU_02006"/>
      <sheetName val="SU Drawing Part 1"/>
      <sheetName val="SU Drawing Part 2"/>
      <sheetName val="SU Drawing Part 5"/>
      <sheetName val="SU Drawing Part 6"/>
    </sheetNames>
    <sheetDataSet>
      <sheetData sheetId="0">
        <row r="3">
          <cell r="B3" t="str">
            <v>Suspension &amp; Shocks</v>
          </cell>
        </row>
      </sheetData>
      <sheetData sheetId="1">
        <row r="5">
          <cell r="B5" t="str">
            <v>Lower Front Bearing Support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FR A0100"/>
      <sheetName val="FR 01001"/>
      <sheetName val="FR 01002"/>
      <sheetName val="FR 01003"/>
      <sheetName val="FR 01004"/>
      <sheetName val="dFR 01004"/>
      <sheetName val="FR A0200"/>
      <sheetName val="FR 02001"/>
      <sheetName val="FR A0300"/>
      <sheetName val="FR_03001"/>
      <sheetName val="dFR_03001"/>
      <sheetName val="FR_03002"/>
      <sheetName val="dFR_03002"/>
      <sheetName val="FR_03003"/>
      <sheetName val="dFR_03003"/>
      <sheetName val="FR_03004"/>
      <sheetName val="dFR_03004"/>
      <sheetName val="FR_03005"/>
      <sheetName val="dFR_03005"/>
      <sheetName val="FR_03006"/>
      <sheetName val="dFR_03006"/>
      <sheetName val="FR_03007"/>
      <sheetName val="dFR_03007"/>
      <sheetName val="FR_03008"/>
      <sheetName val="dFR_03008"/>
      <sheetName val="FR_03009"/>
      <sheetName val="dFR_03009"/>
      <sheetName val="FR_03010"/>
      <sheetName val="dFR_03010"/>
      <sheetName val="FR_03011"/>
      <sheetName val="dFR_03011"/>
      <sheetName val="FR_03012"/>
      <sheetName val="dFR_03012"/>
      <sheetName val="FR_03013"/>
      <sheetName val="dFR_03013"/>
      <sheetName val="FR_03014"/>
      <sheetName val="dFR_03014"/>
      <sheetName val="FR A0400"/>
      <sheetName val="FR_04001"/>
      <sheetName val="dFR_04001"/>
      <sheetName val="FR_04002"/>
      <sheetName val="dFR_04002"/>
      <sheetName val="FR_04003"/>
      <sheetName val="dFR_04003"/>
      <sheetName val="FR A0500"/>
      <sheetName val="FR 05001"/>
      <sheetName val="dFR 05001"/>
      <sheetName val="FR 05002"/>
      <sheetName val="FR 05003"/>
      <sheetName val="FR 05004"/>
      <sheetName val="FR 05005"/>
      <sheetName val="FR A0600"/>
      <sheetName val="FR 06001"/>
      <sheetName val="FR 06002"/>
      <sheetName val="FR 06003"/>
      <sheetName val="FR 06004"/>
      <sheetName val="dFR 06004"/>
      <sheetName val="FR 06005"/>
      <sheetName val="dFR 06005"/>
      <sheetName val="FR 06006"/>
      <sheetName val="FR A0700"/>
      <sheetName val="FR_07001"/>
      <sheetName val="dFR_07001"/>
      <sheetName val="FR_07002"/>
      <sheetName val="dFR_07002"/>
      <sheetName val="FR_07003"/>
      <sheetName val="dFR_07003"/>
      <sheetName val="FR_07004"/>
      <sheetName val="dFR_07004"/>
      <sheetName val="FR_07005"/>
      <sheetName val="dFR_07005"/>
      <sheetName val="FR_07006"/>
      <sheetName val="dFR_07006"/>
      <sheetName val="FR_07007"/>
      <sheetName val="dFR_07007"/>
      <sheetName val="FR_07008"/>
      <sheetName val="dFR_07008"/>
      <sheetName val="FR A0800"/>
      <sheetName val="FR 08001"/>
      <sheetName val="FR 08002"/>
      <sheetName val="FR 08003"/>
    </sheetNames>
    <sheetDataSet>
      <sheetData sheetId="0"/>
      <sheetData sheetId="1">
        <row r="3">
          <cell r="N3">
            <v>1</v>
          </cell>
        </row>
      </sheetData>
      <sheetData sheetId="2">
        <row r="3">
          <cell r="N3">
            <v>1</v>
          </cell>
        </row>
      </sheetData>
      <sheetData sheetId="3">
        <row r="3">
          <cell r="N3">
            <v>1</v>
          </cell>
        </row>
      </sheetData>
      <sheetData sheetId="4">
        <row r="3">
          <cell r="N3">
            <v>1</v>
          </cell>
        </row>
      </sheetData>
      <sheetData sheetId="5">
        <row r="3">
          <cell r="N3">
            <v>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28" workbookViewId="0">
      <selection activeCell="C43" sqref="C43"/>
    </sheetView>
  </sheetViews>
  <sheetFormatPr baseColWidth="10" defaultRowHeight="14.4" x14ac:dyDescent="0.3"/>
  <sheetData>
    <row r="1" spans="1:2" x14ac:dyDescent="0.3">
      <c r="A1" s="100" t="s">
        <v>128</v>
      </c>
    </row>
    <row r="3" spans="1:2" x14ac:dyDescent="0.3">
      <c r="A3" s="99" t="s">
        <v>61</v>
      </c>
      <c r="B3" s="96" t="s">
        <v>62</v>
      </c>
    </row>
    <row r="5" spans="1:2" x14ac:dyDescent="0.3">
      <c r="A5" t="s">
        <v>96</v>
      </c>
    </row>
    <row r="6" spans="1:2" x14ac:dyDescent="0.3">
      <c r="A6" t="s">
        <v>97</v>
      </c>
    </row>
    <row r="7" spans="1:2" x14ac:dyDescent="0.3">
      <c r="A7" t="s">
        <v>104</v>
      </c>
    </row>
    <row r="8" spans="1:2" x14ac:dyDescent="0.3">
      <c r="A8" t="s">
        <v>101</v>
      </c>
    </row>
    <row r="9" spans="1:2" x14ac:dyDescent="0.3">
      <c r="A9" t="s">
        <v>63</v>
      </c>
    </row>
    <row r="10" spans="1:2" x14ac:dyDescent="0.3">
      <c r="A10" s="96" t="s">
        <v>92</v>
      </c>
    </row>
    <row r="11" spans="1:2" x14ac:dyDescent="0.3">
      <c r="A11" t="s">
        <v>64</v>
      </c>
    </row>
    <row r="12" spans="1:2" x14ac:dyDescent="0.3">
      <c r="A12" t="s">
        <v>65</v>
      </c>
    </row>
    <row r="14" spans="1:2" x14ac:dyDescent="0.3">
      <c r="A14" t="s">
        <v>95</v>
      </c>
    </row>
    <row r="15" spans="1:2" x14ac:dyDescent="0.3">
      <c r="A15" t="s">
        <v>109</v>
      </c>
    </row>
    <row r="16" spans="1:2" x14ac:dyDescent="0.3">
      <c r="A16" t="s">
        <v>113</v>
      </c>
    </row>
    <row r="18" spans="1:3" x14ac:dyDescent="0.3">
      <c r="A18" s="99" t="s">
        <v>66</v>
      </c>
      <c r="B18" s="96" t="s">
        <v>99</v>
      </c>
      <c r="C18" s="96"/>
    </row>
    <row r="20" spans="1:3" x14ac:dyDescent="0.3">
      <c r="A20" t="s">
        <v>110</v>
      </c>
    </row>
    <row r="21" spans="1:3" x14ac:dyDescent="0.3">
      <c r="A21" t="s">
        <v>129</v>
      </c>
    </row>
    <row r="23" spans="1:3" x14ac:dyDescent="0.3">
      <c r="A23" s="99" t="s">
        <v>68</v>
      </c>
      <c r="B23" s="96" t="s">
        <v>69</v>
      </c>
    </row>
    <row r="25" spans="1:3" x14ac:dyDescent="0.3">
      <c r="A25" t="s">
        <v>121</v>
      </c>
    </row>
    <row r="26" spans="1:3" x14ac:dyDescent="0.3">
      <c r="A26" t="s">
        <v>75</v>
      </c>
    </row>
    <row r="27" spans="1:3" x14ac:dyDescent="0.3">
      <c r="A27" t="s">
        <v>70</v>
      </c>
    </row>
    <row r="28" spans="1:3" x14ac:dyDescent="0.3">
      <c r="A28" t="s">
        <v>105</v>
      </c>
    </row>
    <row r="29" spans="1:3" x14ac:dyDescent="0.3">
      <c r="A29" t="s">
        <v>102</v>
      </c>
    </row>
    <row r="30" spans="1:3" x14ac:dyDescent="0.3">
      <c r="A30" t="s">
        <v>71</v>
      </c>
    </row>
    <row r="31" spans="1:3" x14ac:dyDescent="0.3">
      <c r="A31" s="96" t="s">
        <v>92</v>
      </c>
    </row>
    <row r="32" spans="1:3" x14ac:dyDescent="0.3">
      <c r="A32" t="s">
        <v>103</v>
      </c>
    </row>
    <row r="33" spans="1:2" x14ac:dyDescent="0.3">
      <c r="A33" t="s">
        <v>106</v>
      </c>
    </row>
    <row r="35" spans="1:2" x14ac:dyDescent="0.3">
      <c r="A35" t="s">
        <v>107</v>
      </c>
    </row>
    <row r="36" spans="1:2" x14ac:dyDescent="0.3">
      <c r="A36" t="s">
        <v>108</v>
      </c>
    </row>
    <row r="37" spans="1:2" x14ac:dyDescent="0.3">
      <c r="A37" t="s">
        <v>114</v>
      </c>
    </row>
    <row r="39" spans="1:2" x14ac:dyDescent="0.3">
      <c r="A39" s="99" t="s">
        <v>72</v>
      </c>
      <c r="B39" s="96" t="s">
        <v>67</v>
      </c>
    </row>
    <row r="41" spans="1:2" x14ac:dyDescent="0.3">
      <c r="A41" t="s">
        <v>119</v>
      </c>
    </row>
    <row r="42" spans="1:2" x14ac:dyDescent="0.3">
      <c r="A42" t="s">
        <v>120</v>
      </c>
    </row>
    <row r="43" spans="1:2" x14ac:dyDescent="0.3">
      <c r="A43" t="s">
        <v>98</v>
      </c>
    </row>
    <row r="45" spans="1:2" x14ac:dyDescent="0.3">
      <c r="A45" s="99" t="s">
        <v>73</v>
      </c>
      <c r="B45" s="96" t="s">
        <v>89</v>
      </c>
    </row>
    <row r="47" spans="1:2" x14ac:dyDescent="0.3">
      <c r="A47" t="s">
        <v>122</v>
      </c>
    </row>
    <row r="48" spans="1:2" x14ac:dyDescent="0.3">
      <c r="A48" t="s">
        <v>90</v>
      </c>
    </row>
    <row r="49" spans="1:2" x14ac:dyDescent="0.3">
      <c r="A49" t="s">
        <v>91</v>
      </c>
    </row>
    <row r="50" spans="1:2" x14ac:dyDescent="0.3">
      <c r="A50" t="s">
        <v>111</v>
      </c>
    </row>
    <row r="51" spans="1:2" x14ac:dyDescent="0.3">
      <c r="A51" t="s">
        <v>123</v>
      </c>
    </row>
    <row r="52" spans="1:2" x14ac:dyDescent="0.3">
      <c r="A52" t="s">
        <v>124</v>
      </c>
    </row>
    <row r="53" spans="1:2" x14ac:dyDescent="0.3">
      <c r="A53" t="s">
        <v>93</v>
      </c>
    </row>
    <row r="55" spans="1:2" x14ac:dyDescent="0.3">
      <c r="A55" t="s">
        <v>115</v>
      </c>
    </row>
    <row r="57" spans="1:2" x14ac:dyDescent="0.3">
      <c r="A57" s="99" t="s">
        <v>77</v>
      </c>
      <c r="B57" s="96" t="s">
        <v>74</v>
      </c>
    </row>
    <row r="59" spans="1:2" x14ac:dyDescent="0.3">
      <c r="A59" t="s">
        <v>76</v>
      </c>
    </row>
    <row r="60" spans="1:2" x14ac:dyDescent="0.3">
      <c r="A60" t="s">
        <v>116</v>
      </c>
    </row>
    <row r="61" spans="1:2" x14ac:dyDescent="0.3">
      <c r="A61" t="s">
        <v>112</v>
      </c>
    </row>
    <row r="63" spans="1:2" x14ac:dyDescent="0.3">
      <c r="A63" s="99" t="s">
        <v>88</v>
      </c>
      <c r="B63" s="96" t="s">
        <v>78</v>
      </c>
    </row>
    <row r="65" spans="1:1" x14ac:dyDescent="0.3">
      <c r="A65" t="s">
        <v>79</v>
      </c>
    </row>
    <row r="66" spans="1:1" x14ac:dyDescent="0.3">
      <c r="A66" t="s">
        <v>81</v>
      </c>
    </row>
    <row r="67" spans="1:1" x14ac:dyDescent="0.3">
      <c r="A67" t="s">
        <v>80</v>
      </c>
    </row>
    <row r="68" spans="1:1" x14ac:dyDescent="0.3">
      <c r="A68" t="s">
        <v>82</v>
      </c>
    </row>
    <row r="69" spans="1:1" x14ac:dyDescent="0.3">
      <c r="A69" t="s">
        <v>83</v>
      </c>
    </row>
    <row r="70" spans="1:1" x14ac:dyDescent="0.3">
      <c r="A70" t="s">
        <v>84</v>
      </c>
    </row>
    <row r="71" spans="1:1" x14ac:dyDescent="0.3">
      <c r="A71" t="s">
        <v>117</v>
      </c>
    </row>
    <row r="72" spans="1:1" x14ac:dyDescent="0.3">
      <c r="A72" t="s">
        <v>118</v>
      </c>
    </row>
    <row r="74" spans="1:1" x14ac:dyDescent="0.3">
      <c r="A74" t="s">
        <v>125</v>
      </c>
    </row>
    <row r="75" spans="1:1" x14ac:dyDescent="0.3">
      <c r="A75" t="s">
        <v>85</v>
      </c>
    </row>
    <row r="76" spans="1:1" x14ac:dyDescent="0.3">
      <c r="A76" t="s">
        <v>86</v>
      </c>
    </row>
    <row r="77" spans="1:1" x14ac:dyDescent="0.3">
      <c r="A77" t="s">
        <v>117</v>
      </c>
    </row>
    <row r="78" spans="1:1" x14ac:dyDescent="0.3">
      <c r="A78" t="s">
        <v>118</v>
      </c>
    </row>
    <row r="80" spans="1:1" x14ac:dyDescent="0.3">
      <c r="A80" s="96" t="s">
        <v>94</v>
      </c>
    </row>
    <row r="82" spans="1:1" x14ac:dyDescent="0.3">
      <c r="A82" s="100" t="s">
        <v>100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2"/>
  <sheetViews>
    <sheetView workbookViewId="0">
      <selection activeCell="I22" sqref="I22"/>
    </sheetView>
  </sheetViews>
  <sheetFormatPr baseColWidth="10" defaultRowHeight="14.4" x14ac:dyDescent="0.3"/>
  <cols>
    <col min="2" max="2" width="25.109375" customWidth="1"/>
    <col min="3" max="3" width="30.5546875" customWidth="1"/>
    <col min="9" max="9" width="14" customWidth="1"/>
    <col min="17" max="17" width="12.88671875" bestFit="1" customWidth="1"/>
  </cols>
  <sheetData>
    <row r="1" spans="1:17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7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N12+I21</f>
        <v>2.6754945600000002</v>
      </c>
      <c r="O2" s="64"/>
    </row>
    <row r="3" spans="1:17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12</v>
      </c>
      <c r="O3" s="64"/>
    </row>
    <row r="4" spans="1:17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7" x14ac:dyDescent="0.3">
      <c r="A5" s="111" t="s">
        <v>15</v>
      </c>
      <c r="B5" s="18" t="s">
        <v>193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32.10593472</v>
      </c>
      <c r="O5" s="64"/>
    </row>
    <row r="6" spans="1:17" x14ac:dyDescent="0.3">
      <c r="A6" s="111" t="s">
        <v>7</v>
      </c>
      <c r="B6" s="29" t="s">
        <v>201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7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7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7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7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7" x14ac:dyDescent="0.3">
      <c r="A11" s="92">
        <v>10</v>
      </c>
      <c r="B11" s="27" t="s">
        <v>195</v>
      </c>
      <c r="C11" s="21" t="s">
        <v>38</v>
      </c>
      <c r="D11" s="31">
        <v>2.25</v>
      </c>
      <c r="E11" s="152">
        <f>J11*K11*L11/1000000000</f>
        <v>1.5775360000000002E-2</v>
      </c>
      <c r="F11" s="21" t="s">
        <v>187</v>
      </c>
      <c r="G11" s="21"/>
      <c r="H11" s="20"/>
      <c r="I11" s="22" t="s">
        <v>194</v>
      </c>
      <c r="J11" s="106">
        <f>3.14*8*8</f>
        <v>200.96</v>
      </c>
      <c r="K11" s="83">
        <v>10</v>
      </c>
      <c r="L11" s="84">
        <v>7850</v>
      </c>
      <c r="M11" s="24">
        <v>1</v>
      </c>
      <c r="N11" s="31">
        <f>D11*E11</f>
        <v>3.5494560000000008E-2</v>
      </c>
      <c r="O11" s="69"/>
      <c r="Q11" s="150"/>
    </row>
    <row r="12" spans="1:17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3.5494560000000008E-2</v>
      </c>
      <c r="O12" s="64"/>
    </row>
    <row r="13" spans="1:17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7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7" ht="28.8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</row>
    <row r="16" spans="1:17" x14ac:dyDescent="0.3">
      <c r="A16" s="66">
        <v>20</v>
      </c>
      <c r="B16" s="149" t="s">
        <v>184</v>
      </c>
      <c r="C16" s="19" t="s">
        <v>196</v>
      </c>
      <c r="D16" s="31">
        <v>0.04</v>
      </c>
      <c r="E16" s="28" t="s">
        <v>186</v>
      </c>
      <c r="F16" s="155">
        <v>0.4</v>
      </c>
      <c r="G16" s="28"/>
      <c r="H16" s="27"/>
      <c r="I16" s="31">
        <f t="shared" si="0"/>
        <v>1.6E-2</v>
      </c>
      <c r="J16" s="58"/>
      <c r="K16" s="58"/>
      <c r="L16" s="58"/>
      <c r="M16" s="58"/>
      <c r="N16" s="58"/>
      <c r="O16" s="64"/>
    </row>
    <row r="17" spans="1:15" x14ac:dyDescent="0.3">
      <c r="A17" s="94">
        <v>30</v>
      </c>
      <c r="B17" s="149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</row>
    <row r="18" spans="1:15" x14ac:dyDescent="0.3">
      <c r="A18" s="66">
        <v>40</v>
      </c>
      <c r="B18" s="149" t="s">
        <v>184</v>
      </c>
      <c r="C18" s="19" t="s">
        <v>198</v>
      </c>
      <c r="D18" s="31">
        <v>0.04</v>
      </c>
      <c r="E18" s="28" t="s">
        <v>186</v>
      </c>
      <c r="F18" s="155">
        <v>0.56000000000000005</v>
      </c>
      <c r="G18" s="28"/>
      <c r="H18" s="27"/>
      <c r="I18" s="31">
        <f t="shared" si="0"/>
        <v>2.2400000000000003E-2</v>
      </c>
      <c r="J18" s="58"/>
      <c r="K18" s="58"/>
      <c r="L18" s="58"/>
      <c r="M18" s="58"/>
      <c r="N18" s="58"/>
      <c r="O18" s="64"/>
    </row>
    <row r="19" spans="1:15" x14ac:dyDescent="0.3">
      <c r="A19" s="94">
        <v>50</v>
      </c>
      <c r="B19" s="149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</row>
    <row r="20" spans="1:15" x14ac:dyDescent="0.3">
      <c r="A20" s="94">
        <v>60</v>
      </c>
      <c r="B20" s="149" t="s">
        <v>184</v>
      </c>
      <c r="C20" s="19" t="s">
        <v>197</v>
      </c>
      <c r="D20" s="31">
        <v>0.04</v>
      </c>
      <c r="E20" s="28" t="s">
        <v>186</v>
      </c>
      <c r="F20" s="27">
        <v>0.04</v>
      </c>
      <c r="G20" s="27"/>
      <c r="H20" s="27"/>
      <c r="I20" s="31">
        <f t="shared" si="0"/>
        <v>1.6000000000000001E-3</v>
      </c>
      <c r="J20" s="58"/>
      <c r="K20" s="58"/>
      <c r="L20" s="58"/>
      <c r="M20" s="58"/>
      <c r="N20" s="58"/>
      <c r="O20" s="64"/>
    </row>
    <row r="21" spans="1:15" x14ac:dyDescent="0.3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2.64</v>
      </c>
      <c r="J21" s="25"/>
      <c r="K21" s="25"/>
      <c r="L21" s="25"/>
      <c r="M21" s="25"/>
      <c r="N21" s="25"/>
      <c r="O21" s="64"/>
    </row>
    <row r="22" spans="1:15" ht="15" thickBot="1" x14ac:dyDescent="0.35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'SU A0100'!A1" display="'SU A0100'!A1"/>
    <hyperlink ref="E3" location="dSU_01005" display="Drawing"/>
    <hyperlink ref="G2" location="SU_A0100_BOM" display="Back to BOM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22.5546875" customWidth="1"/>
  </cols>
  <sheetData>
    <row r="1" spans="1:2" x14ac:dyDescent="0.3">
      <c r="A1" t="s">
        <v>199</v>
      </c>
      <c r="B1" s="98" t="s">
        <v>201</v>
      </c>
    </row>
  </sheetData>
  <hyperlinks>
    <hyperlink ref="B1" location="SU_01005" display="SU_01005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0"/>
  <sheetViews>
    <sheetView tabSelected="1" zoomScale="70" zoomScaleNormal="70" workbookViewId="0">
      <selection activeCell="M39" sqref="M39"/>
    </sheetView>
  </sheetViews>
  <sheetFormatPr baseColWidth="10" defaultRowHeight="14.4" x14ac:dyDescent="0.3"/>
  <cols>
    <col min="2" max="2" width="28.6640625" customWidth="1"/>
    <col min="3" max="3" width="24.33203125" customWidth="1"/>
    <col min="9" max="9" width="15.33203125" customWidth="1"/>
    <col min="17" max="17" width="12.88671875" bestFit="1" customWidth="1"/>
  </cols>
  <sheetData>
    <row r="1" spans="1:17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7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N12+I19</f>
        <v>2.015803399168</v>
      </c>
      <c r="O2" s="64"/>
    </row>
    <row r="3" spans="1:17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4</v>
      </c>
      <c r="O3" s="64"/>
    </row>
    <row r="4" spans="1:17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7" x14ac:dyDescent="0.3">
      <c r="A5" s="111" t="s">
        <v>15</v>
      </c>
      <c r="B5" s="75" t="s">
        <v>136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8.063213596672</v>
      </c>
      <c r="O5" s="64"/>
    </row>
    <row r="6" spans="1:17" x14ac:dyDescent="0.3">
      <c r="A6" s="111" t="s">
        <v>7</v>
      </c>
      <c r="B6" s="29" t="s">
        <v>202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7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7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7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7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7" x14ac:dyDescent="0.3">
      <c r="A11" s="92">
        <v>10</v>
      </c>
      <c r="B11" s="27" t="s">
        <v>133</v>
      </c>
      <c r="C11" s="21" t="s">
        <v>38</v>
      </c>
      <c r="D11" s="156">
        <f>4.2</f>
        <v>4.2</v>
      </c>
      <c r="E11" s="152">
        <f>J11*K11*L11/1000000000</f>
        <v>1.4715095040000001E-2</v>
      </c>
      <c r="F11" s="21" t="s">
        <v>187</v>
      </c>
      <c r="G11" s="21"/>
      <c r="H11" s="20"/>
      <c r="I11" s="22" t="s">
        <v>194</v>
      </c>
      <c r="J11" s="106">
        <f>3.14*6*6</f>
        <v>113.03999999999999</v>
      </c>
      <c r="K11" s="83">
        <v>48</v>
      </c>
      <c r="L11" s="84">
        <v>2712</v>
      </c>
      <c r="M11" s="24">
        <v>1</v>
      </c>
      <c r="N11" s="157">
        <f>D11*E11</f>
        <v>6.1803399168000005E-2</v>
      </c>
      <c r="O11" s="69"/>
    </row>
    <row r="12" spans="1:17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6.1803399168000005E-2</v>
      </c>
      <c r="O12" s="64"/>
    </row>
    <row r="13" spans="1:17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Q13" s="150"/>
    </row>
    <row r="14" spans="1:17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7" ht="28.8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>IF(H15="",D15*F15,D15*F15*H15)</f>
        <v>1.3</v>
      </c>
      <c r="J15" s="60"/>
      <c r="K15" s="60"/>
      <c r="L15" s="60"/>
      <c r="M15" s="60"/>
      <c r="N15" s="60"/>
      <c r="O15" s="71"/>
    </row>
    <row r="16" spans="1:17" x14ac:dyDescent="0.3">
      <c r="A16" s="66">
        <v>20</v>
      </c>
      <c r="B16" s="149" t="s">
        <v>184</v>
      </c>
      <c r="C16" s="19" t="s">
        <v>196</v>
      </c>
      <c r="D16" s="31">
        <v>0.04</v>
      </c>
      <c r="E16" s="28" t="s">
        <v>186</v>
      </c>
      <c r="F16" s="155">
        <v>0.05</v>
      </c>
      <c r="G16" s="28"/>
      <c r="H16" s="27"/>
      <c r="I16" s="31">
        <f>IF(H16="",D16*F16,D16*F16*H16)</f>
        <v>2E-3</v>
      </c>
      <c r="J16" s="58"/>
      <c r="K16" s="58"/>
      <c r="L16" s="58"/>
      <c r="M16" s="58"/>
      <c r="N16" s="58"/>
      <c r="O16" s="64"/>
    </row>
    <row r="17" spans="1:15" x14ac:dyDescent="0.3">
      <c r="A17" s="94">
        <v>30</v>
      </c>
      <c r="B17" s="149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>IF(H17="",D17*F17,D17*F17*H17)</f>
        <v>0.65</v>
      </c>
      <c r="J17" s="59"/>
      <c r="K17" s="59"/>
      <c r="L17" s="59"/>
      <c r="M17" s="59"/>
      <c r="N17" s="59"/>
      <c r="O17" s="68"/>
    </row>
    <row r="18" spans="1:15" x14ac:dyDescent="0.3">
      <c r="A18" s="66">
        <v>40</v>
      </c>
      <c r="B18" s="149" t="s">
        <v>184</v>
      </c>
      <c r="C18" s="19" t="s">
        <v>197</v>
      </c>
      <c r="D18" s="31">
        <v>0.04</v>
      </c>
      <c r="E18" s="28" t="s">
        <v>186</v>
      </c>
      <c r="F18" s="155">
        <v>0.05</v>
      </c>
      <c r="G18" s="28"/>
      <c r="H18" s="27"/>
      <c r="I18" s="31">
        <f>IF(H18="",D18*F18,D18*F18*H18)</f>
        <v>2E-3</v>
      </c>
      <c r="J18" s="58"/>
      <c r="K18" s="58"/>
      <c r="L18" s="58"/>
      <c r="M18" s="58"/>
      <c r="N18" s="58"/>
      <c r="O18" s="64"/>
    </row>
    <row r="19" spans="1:15" x14ac:dyDescent="0.3">
      <c r="A19" s="70"/>
      <c r="B19" s="25"/>
      <c r="C19" s="25"/>
      <c r="D19" s="25"/>
      <c r="E19" s="25"/>
      <c r="F19" s="25"/>
      <c r="G19" s="25"/>
      <c r="H19" s="120" t="s">
        <v>18</v>
      </c>
      <c r="I19" s="118">
        <f>SUM(I15:I18)</f>
        <v>1.954</v>
      </c>
      <c r="J19" s="25"/>
      <c r="K19" s="25"/>
      <c r="L19" s="25"/>
      <c r="M19" s="25"/>
      <c r="N19" s="25"/>
      <c r="O19" s="64"/>
    </row>
    <row r="20" spans="1:15" ht="15" thickBot="1" x14ac:dyDescent="0.35">
      <c r="A20" s="72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4"/>
    </row>
  </sheetData>
  <hyperlinks>
    <hyperlink ref="B4" location="'SU A0100'!A1" display="'SU A0100'!A1"/>
    <hyperlink ref="E3" location="dSU_01006" display="Drawing"/>
    <hyperlink ref="G2" location="SU_A0100_BOM" display="Back to BOM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58"/>
  <sheetViews>
    <sheetView workbookViewId="0">
      <selection activeCell="B1" sqref="B1"/>
    </sheetView>
  </sheetViews>
  <sheetFormatPr baseColWidth="10" defaultRowHeight="14.4" x14ac:dyDescent="0.3"/>
  <cols>
    <col min="1" max="1" width="20" customWidth="1"/>
  </cols>
  <sheetData>
    <row r="1" spans="1:2" x14ac:dyDescent="0.3">
      <c r="A1" t="s">
        <v>199</v>
      </c>
      <c r="B1" s="98" t="s">
        <v>202</v>
      </c>
    </row>
    <row r="58" spans="12:12" x14ac:dyDescent="0.3">
      <c r="L58" s="95">
        <f>'SU 01002'!L52</f>
        <v>0</v>
      </c>
    </row>
  </sheetData>
  <hyperlinks>
    <hyperlink ref="B1" location="SU_01006" display="SU_01006"/>
    <hyperlink ref="L58" location="BR_01001" display="BR_01001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zoomScaleNormal="100" workbookViewId="0">
      <pane xSplit="3" ySplit="6" topLeftCell="F7" activePane="bottomRight" state="frozen"/>
      <selection activeCell="H10" sqref="H10"/>
      <selection pane="topRight" activeCell="H10" sqref="H10"/>
      <selection pane="bottomLeft" activeCell="H10" sqref="H10"/>
      <selection pane="bottomRight" activeCell="N7" sqref="N7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13.5546875" style="9" customWidth="1"/>
    <col min="4" max="4" width="10" style="9" bestFit="1" customWidth="1"/>
    <col min="5" max="5" width="23" style="9" customWidth="1"/>
    <col min="6" max="6" width="39.109375" style="44" customWidth="1"/>
    <col min="7" max="7" width="14" style="9" customWidth="1"/>
    <col min="8" max="8" width="11" style="9" bestFit="1" customWidth="1"/>
    <col min="9" max="13" width="10.44140625" style="6" customWidth="1"/>
    <col min="14" max="14" width="9.6640625" style="9" bestFit="1" customWidth="1"/>
    <col min="15" max="15" width="11.109375" style="13" customWidth="1"/>
    <col min="16" max="16384" width="9.109375" style="13"/>
  </cols>
  <sheetData>
    <row r="1" spans="1:15" ht="15" thickBot="1" x14ac:dyDescent="0.35">
      <c r="A1" s="54" t="s">
        <v>0</v>
      </c>
      <c r="B1" s="103" t="s">
        <v>37</v>
      </c>
      <c r="D1" s="45"/>
      <c r="M1" s="57" t="s">
        <v>42</v>
      </c>
      <c r="N1" s="46"/>
      <c r="O1" s="56" t="e">
        <f>#REF!</f>
        <v>#REF!</v>
      </c>
    </row>
    <row r="2" spans="1:15" s="15" customFormat="1" ht="15" thickBot="1" x14ac:dyDescent="0.35">
      <c r="A2" s="52" t="s">
        <v>43</v>
      </c>
      <c r="B2" s="102" t="s">
        <v>126</v>
      </c>
      <c r="C2" s="14"/>
      <c r="F2" s="40"/>
    </row>
    <row r="3" spans="1:15" s="15" customFormat="1" ht="15.6" thickTop="1" thickBot="1" x14ac:dyDescent="0.35">
      <c r="A3" s="53" t="s">
        <v>44</v>
      </c>
      <c r="B3" s="55">
        <v>2018</v>
      </c>
      <c r="C3" s="14"/>
      <c r="F3" s="40"/>
    </row>
    <row r="4" spans="1:15" s="15" customFormat="1" ht="15.6" thickTop="1" thickBot="1" x14ac:dyDescent="0.35">
      <c r="A4" s="51" t="s">
        <v>1</v>
      </c>
      <c r="B4" s="101">
        <v>81</v>
      </c>
      <c r="C4" s="14"/>
      <c r="D4" s="45" t="s">
        <v>45</v>
      </c>
      <c r="F4" s="40"/>
    </row>
    <row r="5" spans="1:15" s="38" customFormat="1" ht="15" thickTop="1" x14ac:dyDescent="0.3">
      <c r="A5" s="37"/>
      <c r="B5" s="41"/>
      <c r="C5" s="39"/>
      <c r="F5" s="42"/>
    </row>
    <row r="6" spans="1:15" s="36" customFormat="1" ht="49.5" customHeight="1" x14ac:dyDescent="0.25">
      <c r="A6" s="35" t="s">
        <v>46</v>
      </c>
      <c r="B6" s="48" t="s">
        <v>47</v>
      </c>
      <c r="C6" s="48" t="s">
        <v>48</v>
      </c>
      <c r="D6" s="48" t="s">
        <v>49</v>
      </c>
      <c r="E6" s="48" t="s">
        <v>50</v>
      </c>
      <c r="F6" s="48" t="s">
        <v>51</v>
      </c>
      <c r="G6" s="48" t="s">
        <v>52</v>
      </c>
      <c r="H6" s="50" t="s">
        <v>53</v>
      </c>
      <c r="I6" s="48" t="s">
        <v>17</v>
      </c>
      <c r="J6" s="48" t="s">
        <v>54</v>
      </c>
      <c r="K6" s="48" t="s">
        <v>55</v>
      </c>
      <c r="L6" s="48" t="s">
        <v>56</v>
      </c>
      <c r="M6" s="48" t="s">
        <v>57</v>
      </c>
      <c r="N6" s="49" t="s">
        <v>58</v>
      </c>
      <c r="O6" s="48" t="s">
        <v>59</v>
      </c>
    </row>
    <row r="7" spans="1:15" ht="14.4" x14ac:dyDescent="0.3">
      <c r="A7" s="121"/>
      <c r="B7" s="122" t="str">
        <f>[1]SU_A0200!B3</f>
        <v>Suspension &amp; Shocks</v>
      </c>
      <c r="C7" s="130" t="str">
        <f>SU_A0100</f>
        <v>SU A0100</v>
      </c>
      <c r="D7" s="123" t="s">
        <v>11</v>
      </c>
      <c r="E7" s="123"/>
      <c r="F7" s="173" t="str">
        <f>'SU A0100'!B4</f>
        <v>Upper Front A-arm</v>
      </c>
      <c r="G7" s="123"/>
      <c r="H7" s="124">
        <f t="shared" ref="H7:H17" si="0">SUM(J7:M7)</f>
        <v>30.137392541559642</v>
      </c>
      <c r="I7" s="136">
        <f>SU_A0100_q</f>
        <v>2</v>
      </c>
      <c r="J7" s="125">
        <f>SU_A0100_m</f>
        <v>20.759999999999998</v>
      </c>
      <c r="K7" s="125">
        <f>SU_A0100_p</f>
        <v>8.595516447372308</v>
      </c>
      <c r="L7" s="125">
        <f>SU_A0100_f</f>
        <v>0.78187609418733417</v>
      </c>
      <c r="M7" s="125">
        <v>0</v>
      </c>
      <c r="N7" s="126">
        <f t="shared" ref="N7:N17" si="1">H7*I7</f>
        <v>60.274785083119284</v>
      </c>
      <c r="O7" s="127"/>
    </row>
    <row r="8" spans="1:15" ht="14.4" x14ac:dyDescent="0.3">
      <c r="A8" s="128"/>
      <c r="B8" s="129" t="str">
        <f>[1]SU_A0200!B3</f>
        <v>Suspension &amp; Shocks</v>
      </c>
      <c r="C8" s="130" t="str">
        <f>SU_01001</f>
        <v>SU_01001</v>
      </c>
      <c r="D8" s="130" t="s">
        <v>11</v>
      </c>
      <c r="E8" s="130" t="str">
        <f>$F$7</f>
        <v>Upper Front A-arm</v>
      </c>
      <c r="F8" s="131" t="str">
        <f>'SU 01001'!B5</f>
        <v>Upper Front Bearing Support</v>
      </c>
      <c r="G8" s="130"/>
      <c r="H8" s="132">
        <f t="shared" si="0"/>
        <v>19.08406304</v>
      </c>
      <c r="I8" s="136">
        <f>SU_A0100_q*SU_01001_q</f>
        <v>4</v>
      </c>
      <c r="J8" s="133">
        <f>SU_01001_m</f>
        <v>4.2440630400000003</v>
      </c>
      <c r="K8" s="133">
        <f>SU_01001_p</f>
        <v>14.84</v>
      </c>
      <c r="L8" s="133">
        <v>0</v>
      </c>
      <c r="M8" s="125">
        <v>0</v>
      </c>
      <c r="N8" s="134">
        <f t="shared" si="1"/>
        <v>76.336252160000001</v>
      </c>
      <c r="O8" s="135"/>
    </row>
    <row r="9" spans="1:15" ht="14.4" x14ac:dyDescent="0.3">
      <c r="A9" s="128"/>
      <c r="B9" s="129" t="str">
        <f>[1]SU_A0200!$B$3</f>
        <v>Suspension &amp; Shocks</v>
      </c>
      <c r="C9" s="130" t="str">
        <f>SU_01002</f>
        <v>SU_01002</v>
      </c>
      <c r="D9" s="130" t="s">
        <v>11</v>
      </c>
      <c r="E9" s="130" t="str">
        <f t="shared" ref="E9:E13" si="2">$F$7</f>
        <v>Upper Front A-arm</v>
      </c>
      <c r="F9" s="131" t="str">
        <f>'SU 01002'!B5</f>
        <v>Inner Bearing Support</v>
      </c>
      <c r="G9" s="130"/>
      <c r="H9" s="132">
        <f t="shared" si="0"/>
        <v>4.6183805439999999</v>
      </c>
      <c r="I9" s="136">
        <f>SU_A0100_q*SU_01002_q</f>
        <v>8</v>
      </c>
      <c r="J9" s="133">
        <f>SU_01002_m</f>
        <v>0.85838054400000008</v>
      </c>
      <c r="K9" s="133">
        <f>SU_01002_p</f>
        <v>3.76</v>
      </c>
      <c r="L9" s="133">
        <v>0</v>
      </c>
      <c r="M9" s="125">
        <v>0</v>
      </c>
      <c r="N9" s="134">
        <f t="shared" si="1"/>
        <v>36.947044351999999</v>
      </c>
      <c r="O9" s="135"/>
    </row>
    <row r="10" spans="1:15" ht="14.4" x14ac:dyDescent="0.3">
      <c r="A10" s="128"/>
      <c r="B10" s="129" t="str">
        <f>[1]SU_A0200!$B$3</f>
        <v>Suspension &amp; Shocks</v>
      </c>
      <c r="C10" s="130" t="str">
        <f>SU_01003</f>
        <v>SU_01003</v>
      </c>
      <c r="D10" s="130" t="s">
        <v>11</v>
      </c>
      <c r="E10" s="130" t="str">
        <f t="shared" si="2"/>
        <v>Upper Front A-arm</v>
      </c>
      <c r="F10" s="131" t="str">
        <f>'SU 01003'!B5</f>
        <v>Upper Front A-arm tube (Front)  Carbon Fiber Tube</v>
      </c>
      <c r="G10" s="130"/>
      <c r="H10" s="132">
        <f t="shared" si="0"/>
        <v>230.06737599999997</v>
      </c>
      <c r="I10" s="136">
        <f>SU_A0100_q*SU_01003_q</f>
        <v>4</v>
      </c>
      <c r="J10" s="133">
        <f>SU_01003_m</f>
        <v>229.71737599999997</v>
      </c>
      <c r="K10" s="133">
        <f>SU_01003_p</f>
        <v>0.35</v>
      </c>
      <c r="L10" s="133">
        <v>0</v>
      </c>
      <c r="M10" s="125">
        <v>0</v>
      </c>
      <c r="N10" s="134">
        <f t="shared" si="1"/>
        <v>920.26950399999987</v>
      </c>
      <c r="O10" s="135"/>
    </row>
    <row r="11" spans="1:15" ht="14.4" x14ac:dyDescent="0.3">
      <c r="A11" s="128"/>
      <c r="B11" s="129" t="str">
        <f>[1]SU_A0200!$B$3</f>
        <v>Suspension &amp; Shocks</v>
      </c>
      <c r="C11" s="130" t="str">
        <f>SU_01004</f>
        <v>SU_01004</v>
      </c>
      <c r="D11" s="130" t="s">
        <v>11</v>
      </c>
      <c r="E11" s="130" t="str">
        <f t="shared" si="2"/>
        <v>Upper Front A-arm</v>
      </c>
      <c r="F11" s="131" t="str">
        <f>'SU 01004'!B5</f>
        <v>Upper Front A-arm tube (Back)  Carbon Fiber Tube</v>
      </c>
      <c r="G11" s="130"/>
      <c r="H11" s="132">
        <f t="shared" si="0"/>
        <v>186.38872000000001</v>
      </c>
      <c r="I11" s="136">
        <f>SU_A0100_q*SU_01004_q</f>
        <v>4</v>
      </c>
      <c r="J11" s="133">
        <f>SU_01004_m</f>
        <v>186.03872000000001</v>
      </c>
      <c r="K11" s="133">
        <f>SU_01004_p</f>
        <v>0.35</v>
      </c>
      <c r="L11" s="133">
        <v>0</v>
      </c>
      <c r="M11" s="125">
        <v>0</v>
      </c>
      <c r="N11" s="134">
        <f t="shared" si="1"/>
        <v>745.55488000000003</v>
      </c>
      <c r="O11" s="135"/>
    </row>
    <row r="12" spans="1:15" ht="14.4" x14ac:dyDescent="0.3">
      <c r="A12" s="128"/>
      <c r="B12" s="129" t="str">
        <f>[1]SU_A0200!$B$3</f>
        <v>Suspension &amp; Shocks</v>
      </c>
      <c r="C12" s="130" t="str">
        <f>SU_01005</f>
        <v>SU_01005</v>
      </c>
      <c r="D12" s="130" t="s">
        <v>11</v>
      </c>
      <c r="E12" s="130" t="str">
        <f t="shared" si="2"/>
        <v>Upper Front A-arm</v>
      </c>
      <c r="F12" s="131" t="str">
        <f>'SU 01005'!B5</f>
        <v>Spacer</v>
      </c>
      <c r="G12" s="130"/>
      <c r="H12" s="132">
        <f t="shared" si="0"/>
        <v>2.6754945600000002</v>
      </c>
      <c r="I12" s="136">
        <f>SU_A0100_q*SU_01005_q</f>
        <v>24</v>
      </c>
      <c r="J12" s="133">
        <f>SU_01005_m</f>
        <v>3.5494560000000008E-2</v>
      </c>
      <c r="K12" s="133">
        <f>SU_01005_p</f>
        <v>2.64</v>
      </c>
      <c r="L12" s="133">
        <v>0</v>
      </c>
      <c r="M12" s="125">
        <v>0</v>
      </c>
      <c r="N12" s="134">
        <f t="shared" si="1"/>
        <v>64.211869440000001</v>
      </c>
      <c r="O12" s="135"/>
    </row>
    <row r="13" spans="1:15" ht="14.4" x14ac:dyDescent="0.3">
      <c r="A13" s="128"/>
      <c r="B13" s="129" t="str">
        <f>[1]SU_A0200!$B$3</f>
        <v>Suspension &amp; Shocks</v>
      </c>
      <c r="C13" s="130" t="str">
        <f>SU_01006</f>
        <v>SU_01006</v>
      </c>
      <c r="D13" s="130" t="s">
        <v>11</v>
      </c>
      <c r="E13" s="130" t="str">
        <f t="shared" si="2"/>
        <v>Upper Front A-arm</v>
      </c>
      <c r="F13" s="131" t="str">
        <f>'SU 01006'!$B$5</f>
        <v>Outboard A-arm Insert</v>
      </c>
      <c r="G13" s="130"/>
      <c r="H13" s="132">
        <f t="shared" si="0"/>
        <v>2.015803399168</v>
      </c>
      <c r="I13" s="136">
        <f>SU_A0100_q*SU_01006_q</f>
        <v>8</v>
      </c>
      <c r="J13" s="133">
        <f>SU_01006_m</f>
        <v>6.1803399168000005E-2</v>
      </c>
      <c r="K13" s="133">
        <f>SU_01006_p</f>
        <v>1.954</v>
      </c>
      <c r="L13" s="133">
        <v>0</v>
      </c>
      <c r="M13" s="125">
        <v>0</v>
      </c>
      <c r="N13" s="134">
        <f t="shared" si="1"/>
        <v>16.126427193344</v>
      </c>
      <c r="O13" s="135"/>
    </row>
    <row r="14" spans="1:15" ht="13.8" x14ac:dyDescent="0.25">
      <c r="A14" s="128"/>
      <c r="B14" s="129" t="str">
        <f>[1]SU_A0200!$B$3</f>
        <v>Suspension &amp; Shocks</v>
      </c>
      <c r="C14" s="130"/>
      <c r="D14" s="130" t="s">
        <v>11</v>
      </c>
      <c r="E14" s="130"/>
      <c r="F14" s="129"/>
      <c r="G14" s="130"/>
      <c r="H14" s="132">
        <f t="shared" si="0"/>
        <v>0</v>
      </c>
      <c r="I14" s="136"/>
      <c r="J14" s="133"/>
      <c r="K14" s="133"/>
      <c r="L14" s="133"/>
      <c r="M14" s="133"/>
      <c r="N14" s="134">
        <f t="shared" si="1"/>
        <v>0</v>
      </c>
      <c r="O14" s="135"/>
    </row>
    <row r="15" spans="1:15" ht="13.8" x14ac:dyDescent="0.25">
      <c r="A15" s="128"/>
      <c r="B15" s="129" t="str">
        <f>[1]SU_A0200!$B$3</f>
        <v>Suspension &amp; Shocks</v>
      </c>
      <c r="C15" s="130"/>
      <c r="D15" s="130" t="s">
        <v>11</v>
      </c>
      <c r="E15" s="130"/>
      <c r="F15" s="129"/>
      <c r="G15" s="137"/>
      <c r="H15" s="132">
        <f t="shared" si="0"/>
        <v>0</v>
      </c>
      <c r="I15" s="136"/>
      <c r="J15" s="133"/>
      <c r="K15" s="133"/>
      <c r="L15" s="133"/>
      <c r="M15" s="133"/>
      <c r="N15" s="134">
        <f t="shared" si="1"/>
        <v>0</v>
      </c>
      <c r="O15" s="135"/>
    </row>
    <row r="16" spans="1:15" ht="13.8" x14ac:dyDescent="0.25">
      <c r="A16" s="128"/>
      <c r="B16" s="129" t="str">
        <f>[1]SU_A0200!$B$3</f>
        <v>Suspension &amp; Shocks</v>
      </c>
      <c r="C16" s="130"/>
      <c r="D16" s="130" t="s">
        <v>11</v>
      </c>
      <c r="E16" s="130"/>
      <c r="F16" s="129"/>
      <c r="G16" s="130"/>
      <c r="H16" s="132">
        <f t="shared" si="0"/>
        <v>0</v>
      </c>
      <c r="I16" s="136"/>
      <c r="J16" s="133"/>
      <c r="K16" s="133"/>
      <c r="L16" s="133"/>
      <c r="M16" s="133"/>
      <c r="N16" s="134">
        <f t="shared" si="1"/>
        <v>0</v>
      </c>
      <c r="O16" s="135"/>
    </row>
    <row r="17" spans="1:15" ht="14.4" thickBot="1" x14ac:dyDescent="0.3">
      <c r="A17" s="128"/>
      <c r="B17" s="129" t="str">
        <f>[1]SU_A0200!$B$3</f>
        <v>Suspension &amp; Shocks</v>
      </c>
      <c r="C17" s="130"/>
      <c r="D17" s="130" t="s">
        <v>11</v>
      </c>
      <c r="E17" s="130"/>
      <c r="F17" s="129"/>
      <c r="G17" s="130"/>
      <c r="H17" s="132">
        <f t="shared" si="0"/>
        <v>0</v>
      </c>
      <c r="I17" s="136"/>
      <c r="J17" s="133"/>
      <c r="K17" s="133"/>
      <c r="L17" s="133"/>
      <c r="M17" s="133"/>
      <c r="N17" s="134">
        <f t="shared" si="1"/>
        <v>0</v>
      </c>
      <c r="O17" s="135"/>
    </row>
    <row r="18" spans="1:15" s="12" customFormat="1" ht="15" thickTop="1" thickBot="1" x14ac:dyDescent="0.3">
      <c r="A18" s="5"/>
      <c r="B18" s="43" t="str">
        <f>[1]SU_A0200!B3</f>
        <v>Suspension &amp; Shocks</v>
      </c>
      <c r="C18" s="1"/>
      <c r="D18" s="1"/>
      <c r="E18" s="1"/>
      <c r="F18" s="43" t="s">
        <v>60</v>
      </c>
      <c r="G18" s="1"/>
      <c r="H18" s="3"/>
      <c r="I18" s="4"/>
      <c r="J18" s="105">
        <f>SUMPRODUCT($I7:$I17,J7:J17)</f>
        <v>1729.7339771453439</v>
      </c>
      <c r="K18" s="105">
        <f>SUMPRODUCT($I7:$I17,K7:K17)</f>
        <v>188.42303289474464</v>
      </c>
      <c r="L18" s="105">
        <f>SUMPRODUCT($I7:$I17,L7:L17)</f>
        <v>1.5637521883746683</v>
      </c>
      <c r="M18" s="105">
        <f>SUMPRODUCT($I7:$I17,M7:M17)</f>
        <v>0</v>
      </c>
      <c r="N18" s="105">
        <f>SUM(N7:N17)</f>
        <v>1919.7207622284634</v>
      </c>
      <c r="O18" s="2"/>
    </row>
    <row r="19" spans="1:15" ht="13.8" thickTop="1" x14ac:dyDescent="0.25">
      <c r="A19" s="11"/>
      <c r="B19" s="44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5">
      <c r="A20" s="11"/>
      <c r="B20" s="44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5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5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47"/>
    </row>
    <row r="23" spans="1:15" x14ac:dyDescent="0.25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5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47"/>
    </row>
    <row r="25" spans="1:15" x14ac:dyDescent="0.25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5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5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5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5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5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5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5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5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5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5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5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5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5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5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5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5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5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5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5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5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5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5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5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5">
      <c r="A49" s="7"/>
      <c r="B49" s="11"/>
      <c r="F49" s="44"/>
      <c r="I49" s="6"/>
      <c r="J49" s="6"/>
      <c r="K49" s="6"/>
      <c r="L49" s="6"/>
      <c r="M49" s="6"/>
    </row>
    <row r="50" spans="1:14" s="9" customFormat="1" x14ac:dyDescent="0.25">
      <c r="A50" s="7"/>
      <c r="B50" s="11"/>
      <c r="F50" s="44"/>
      <c r="I50" s="6"/>
      <c r="J50" s="6"/>
      <c r="K50" s="6"/>
      <c r="L50" s="6"/>
      <c r="M50" s="6"/>
    </row>
    <row r="51" spans="1:14" s="9" customFormat="1" x14ac:dyDescent="0.25">
      <c r="A51" s="7"/>
      <c r="B51" s="11"/>
      <c r="F51" s="44"/>
      <c r="I51" s="6"/>
      <c r="J51" s="6"/>
      <c r="K51" s="6"/>
      <c r="L51" s="6"/>
      <c r="M51" s="6"/>
    </row>
    <row r="52" spans="1:14" s="9" customFormat="1" x14ac:dyDescent="0.25">
      <c r="A52" s="7"/>
      <c r="B52" s="11"/>
      <c r="F52" s="44"/>
      <c r="I52" s="6"/>
      <c r="J52" s="6"/>
      <c r="K52" s="6"/>
      <c r="L52" s="6"/>
      <c r="M52" s="6"/>
    </row>
    <row r="53" spans="1:14" s="9" customFormat="1" x14ac:dyDescent="0.25">
      <c r="A53" s="7"/>
      <c r="B53" s="11"/>
      <c r="F53" s="44"/>
      <c r="I53" s="6"/>
      <c r="J53" s="6"/>
      <c r="K53" s="6"/>
      <c r="L53" s="6"/>
      <c r="M53" s="6"/>
    </row>
    <row r="54" spans="1:14" s="9" customFormat="1" x14ac:dyDescent="0.25">
      <c r="A54" s="7"/>
      <c r="B54" s="11"/>
      <c r="F54" s="44"/>
      <c r="I54" s="6"/>
      <c r="J54" s="6"/>
      <c r="K54" s="6"/>
      <c r="L54" s="6"/>
      <c r="M54" s="6"/>
    </row>
    <row r="55" spans="1:14" s="9" customFormat="1" x14ac:dyDescent="0.25">
      <c r="A55" s="7"/>
      <c r="B55" s="11"/>
      <c r="F55" s="44"/>
      <c r="I55" s="6"/>
      <c r="J55" s="6"/>
      <c r="K55" s="6"/>
      <c r="L55" s="6"/>
      <c r="M55" s="6"/>
    </row>
    <row r="56" spans="1:14" s="9" customFormat="1" x14ac:dyDescent="0.25">
      <c r="A56" s="7"/>
      <c r="B56" s="11"/>
      <c r="F56" s="44"/>
      <c r="I56" s="6"/>
      <c r="J56" s="6"/>
      <c r="K56" s="6"/>
      <c r="L56" s="6"/>
      <c r="M56" s="6"/>
    </row>
    <row r="57" spans="1:14" s="9" customFormat="1" x14ac:dyDescent="0.25">
      <c r="A57" s="7"/>
      <c r="B57" s="11"/>
      <c r="F57" s="44"/>
      <c r="I57" s="6"/>
      <c r="J57" s="6"/>
      <c r="K57" s="6"/>
      <c r="L57" s="6"/>
      <c r="M57" s="6"/>
    </row>
    <row r="58" spans="1:14" s="9" customFormat="1" x14ac:dyDescent="0.25">
      <c r="A58" s="7"/>
      <c r="B58" s="11"/>
      <c r="F58" s="44"/>
      <c r="I58" s="6"/>
      <c r="J58" s="6"/>
      <c r="K58" s="6"/>
      <c r="L58" s="6"/>
      <c r="M58" s="6"/>
    </row>
    <row r="59" spans="1:14" s="10" customFormat="1" x14ac:dyDescent="0.25">
      <c r="A59" s="7"/>
      <c r="B59" s="11"/>
      <c r="C59" s="9"/>
      <c r="D59" s="9"/>
      <c r="E59" s="9"/>
      <c r="F59" s="44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5">
      <c r="A60" s="7"/>
      <c r="B60" s="11"/>
      <c r="C60" s="9"/>
      <c r="D60" s="9"/>
      <c r="E60" s="9"/>
      <c r="F60" s="44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5">
      <c r="A61" s="7"/>
      <c r="B61" s="11"/>
      <c r="C61" s="9"/>
      <c r="D61" s="9"/>
      <c r="E61" s="9"/>
      <c r="F61" s="44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5">
      <c r="A62" s="7"/>
      <c r="B62" s="11"/>
      <c r="C62" s="9"/>
      <c r="D62" s="9"/>
      <c r="E62" s="9"/>
      <c r="F62" s="44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5">
      <c r="A63" s="7"/>
      <c r="B63" s="11"/>
      <c r="C63" s="9"/>
      <c r="D63" s="9"/>
      <c r="E63" s="9"/>
      <c r="F63" s="44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5">
      <c r="A64" s="7"/>
      <c r="B64" s="11"/>
      <c r="C64" s="9"/>
      <c r="D64" s="9"/>
      <c r="E64" s="9"/>
      <c r="F64" s="44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5">
      <c r="A65" s="7"/>
      <c r="B65" s="11"/>
      <c r="C65" s="9"/>
      <c r="D65" s="9"/>
      <c r="E65" s="9"/>
      <c r="F65" s="44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5">
      <c r="A66" s="7"/>
      <c r="B66" s="11"/>
      <c r="C66" s="9"/>
      <c r="D66" s="9"/>
      <c r="E66" s="9"/>
      <c r="F66" s="44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5">
      <c r="A67" s="7"/>
      <c r="B67" s="11"/>
      <c r="C67" s="9"/>
      <c r="D67" s="9"/>
      <c r="E67" s="9"/>
      <c r="F67" s="44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5">
      <c r="A68" s="7"/>
      <c r="B68" s="11"/>
      <c r="C68" s="9"/>
      <c r="D68" s="9"/>
      <c r="E68" s="9"/>
      <c r="F68" s="44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5">
      <c r="A69" s="7"/>
      <c r="B69" s="11"/>
      <c r="C69" s="9"/>
      <c r="D69" s="9"/>
      <c r="E69" s="9"/>
      <c r="F69" s="44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5">
      <c r="A70" s="7"/>
      <c r="B70" s="11"/>
      <c r="C70" s="9"/>
      <c r="D70" s="9"/>
      <c r="E70" s="9"/>
      <c r="F70" s="44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5">
      <c r="A71" s="7"/>
      <c r="B71" s="11"/>
      <c r="C71" s="9"/>
      <c r="D71" s="9"/>
      <c r="E71" s="9"/>
      <c r="F71" s="44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5">
      <c r="A72" s="7"/>
      <c r="B72" s="11"/>
      <c r="C72" s="9"/>
      <c r="D72" s="9"/>
      <c r="E72" s="9"/>
      <c r="F72" s="44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5">
      <c r="A73" s="7"/>
      <c r="B73" s="11"/>
      <c r="C73" s="9"/>
      <c r="D73" s="9"/>
      <c r="E73" s="9"/>
      <c r="F73" s="44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5">
      <c r="A74" s="7"/>
      <c r="B74" s="11"/>
      <c r="C74" s="9"/>
      <c r="D74" s="9"/>
      <c r="E74" s="9"/>
      <c r="F74" s="44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5">
      <c r="A75" s="7"/>
      <c r="B75" s="11"/>
      <c r="C75" s="9"/>
      <c r="D75" s="9"/>
      <c r="E75" s="9"/>
      <c r="F75" s="44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5">
      <c r="A76" s="7"/>
      <c r="B76" s="11"/>
      <c r="C76" s="9"/>
      <c r="D76" s="9"/>
      <c r="E76" s="9"/>
      <c r="F76" s="44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5">
      <c r="A77" s="7"/>
      <c r="B77" s="11"/>
      <c r="C77" s="9"/>
      <c r="D77" s="9"/>
      <c r="E77" s="9"/>
      <c r="F77" s="44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5">
      <c r="A78" s="7"/>
      <c r="B78" s="11"/>
      <c r="C78" s="9"/>
      <c r="D78" s="9"/>
      <c r="E78" s="9"/>
      <c r="F78" s="44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5">
      <c r="A79" s="7"/>
      <c r="B79" s="11"/>
      <c r="C79" s="9"/>
      <c r="D79" s="9"/>
      <c r="E79" s="9"/>
      <c r="F79" s="44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5">
      <c r="A80" s="7"/>
      <c r="B80" s="11"/>
      <c r="C80" s="9"/>
      <c r="D80" s="9"/>
      <c r="E80" s="9"/>
      <c r="F80" s="44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9"/>
      <c r="F81" s="44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9"/>
      <c r="F82" s="44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9"/>
      <c r="F83" s="44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9"/>
      <c r="F84" s="44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9"/>
      <c r="F85" s="44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9"/>
      <c r="F86" s="44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9"/>
      <c r="F87" s="44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9"/>
      <c r="F88" s="44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9"/>
      <c r="F89" s="44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9"/>
      <c r="F90" s="44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9"/>
      <c r="F91" s="44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9"/>
      <c r="F92" s="44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9"/>
      <c r="F93" s="44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9"/>
      <c r="F94" s="44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9"/>
      <c r="F95" s="44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9"/>
      <c r="F96" s="44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9"/>
      <c r="F97" s="44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9"/>
      <c r="F98" s="44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9"/>
      <c r="F99" s="44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9"/>
      <c r="F100" s="44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9"/>
      <c r="F101" s="44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9"/>
      <c r="F102" s="44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9"/>
      <c r="F103" s="44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9"/>
      <c r="F104" s="44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9"/>
      <c r="F105" s="44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9"/>
      <c r="F106" s="44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44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44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44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44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44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44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44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44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44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44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44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44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44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44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44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44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44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44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44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44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44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44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44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44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44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44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44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44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44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44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44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44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44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44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44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44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44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44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44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44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44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44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44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44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44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44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44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44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44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44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5">
      <c r="A157" s="7"/>
      <c r="B157" s="11"/>
      <c r="C157" s="9"/>
      <c r="D157" s="9"/>
      <c r="E157" s="9"/>
      <c r="F157" s="44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5">
      <c r="A158" s="7"/>
      <c r="B158" s="11"/>
      <c r="C158" s="9"/>
      <c r="D158" s="9"/>
      <c r="E158" s="9"/>
      <c r="F158" s="44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5">
      <c r="A159" s="7"/>
      <c r="B159" s="11"/>
      <c r="C159" s="9"/>
      <c r="D159" s="9"/>
      <c r="E159" s="9"/>
      <c r="F159" s="44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5">
      <c r="A160" s="7"/>
      <c r="B160" s="11"/>
      <c r="C160" s="9"/>
      <c r="D160" s="9"/>
      <c r="E160" s="9"/>
      <c r="F160" s="44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5">
      <c r="A161" s="7"/>
      <c r="B161" s="11"/>
      <c r="C161" s="9"/>
      <c r="D161" s="9"/>
      <c r="E161" s="9"/>
      <c r="F161" s="44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5">
      <c r="A162" s="7"/>
      <c r="B162" s="11"/>
      <c r="C162" s="9"/>
      <c r="D162" s="9"/>
      <c r="E162" s="9"/>
      <c r="F162" s="44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5">
      <c r="A163" s="7"/>
      <c r="B163" s="11"/>
      <c r="C163" s="9"/>
      <c r="D163" s="9"/>
      <c r="E163" s="9"/>
      <c r="F163" s="44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5">
      <c r="A164" s="7"/>
      <c r="B164" s="11"/>
      <c r="C164" s="9"/>
      <c r="D164" s="9"/>
      <c r="E164" s="9"/>
      <c r="F164" s="44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'SU A0100'!A1" display="'SU A0100'!A1"/>
    <hyperlink ref="F8" location="SU_01001" display="SU_01001"/>
    <hyperlink ref="F9" location="SU_01002" display="SU_01002"/>
    <hyperlink ref="F10" location="SU_01003" display="SU_01003"/>
    <hyperlink ref="F11" location="SU_01004" display="SU_01004"/>
    <hyperlink ref="F12" location="SU_01005" display="SU_01005"/>
    <hyperlink ref="F13" location="SU_01006" display="SU_01006"/>
  </hyperlinks>
  <pageMargins left="0.41" right="0.22" top="0.72" bottom="0.57999999999999996" header="0.5" footer="0.26"/>
  <pageSetup scale="57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53"/>
  <sheetViews>
    <sheetView topLeftCell="A7" zoomScale="68" zoomScaleNormal="68" zoomScaleSheetLayoutView="80" workbookViewId="0">
      <selection activeCell="N2" sqref="N2"/>
    </sheetView>
  </sheetViews>
  <sheetFormatPr baseColWidth="10" defaultColWidth="9.109375" defaultRowHeight="14.4" x14ac:dyDescent="0.3"/>
  <cols>
    <col min="2" max="2" width="57.109375" customWidth="1"/>
    <col min="3" max="3" width="48.21875" customWidth="1"/>
    <col min="5" max="5" width="14.109375" customWidth="1"/>
    <col min="14" max="14" width="13.77734375" customWidth="1"/>
    <col min="15" max="15" width="5.33203125" customWidth="1"/>
  </cols>
  <sheetData>
    <row r="1" spans="1:15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3">
      <c r="A2" s="107" t="s">
        <v>0</v>
      </c>
      <c r="B2" s="16" t="s">
        <v>37</v>
      </c>
      <c r="C2" s="58"/>
      <c r="D2" s="58"/>
      <c r="E2" s="97" t="s">
        <v>127</v>
      </c>
      <c r="F2" s="58"/>
      <c r="G2" s="58"/>
      <c r="H2" s="58"/>
      <c r="I2" s="58"/>
      <c r="J2" s="107" t="s">
        <v>1</v>
      </c>
      <c r="K2" s="90">
        <v>81</v>
      </c>
      <c r="L2" s="58"/>
      <c r="M2" s="107" t="s">
        <v>2</v>
      </c>
      <c r="N2" s="104">
        <f>SU_A0100_pa+SU_A0100_m+SU_A0100_p+SU_A0100_f</f>
        <v>494.99888682789566</v>
      </c>
      <c r="O2" s="64"/>
    </row>
    <row r="3" spans="1:15" x14ac:dyDescent="0.3">
      <c r="A3" s="107" t="s">
        <v>3</v>
      </c>
      <c r="B3" s="16" t="s">
        <v>130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107" t="s">
        <v>4</v>
      </c>
      <c r="N3" s="89">
        <v>2</v>
      </c>
      <c r="O3" s="64"/>
    </row>
    <row r="4" spans="1:15" x14ac:dyDescent="0.3">
      <c r="A4" s="107" t="s">
        <v>5</v>
      </c>
      <c r="B4" s="59" t="s">
        <v>180</v>
      </c>
      <c r="C4" s="58"/>
      <c r="D4" s="58"/>
      <c r="E4" s="58"/>
      <c r="F4" s="58"/>
      <c r="G4" s="58"/>
      <c r="H4" s="58"/>
      <c r="I4" s="58"/>
      <c r="J4" s="108" t="s">
        <v>6</v>
      </c>
      <c r="K4" s="58"/>
      <c r="L4" s="58"/>
      <c r="M4" s="58"/>
      <c r="N4" s="58"/>
      <c r="O4" s="64"/>
    </row>
    <row r="5" spans="1:15" x14ac:dyDescent="0.3">
      <c r="A5" s="107" t="s">
        <v>7</v>
      </c>
      <c r="B5" s="18" t="s">
        <v>131</v>
      </c>
      <c r="C5" s="58"/>
      <c r="D5" s="58"/>
      <c r="E5" s="58"/>
      <c r="F5" s="58"/>
      <c r="G5" s="58"/>
      <c r="H5" s="58"/>
      <c r="I5" s="58"/>
      <c r="J5" s="108" t="s">
        <v>8</v>
      </c>
      <c r="K5" s="58"/>
      <c r="L5" s="58"/>
      <c r="M5" s="107" t="s">
        <v>9</v>
      </c>
      <c r="N5" s="77">
        <f>N2*N3</f>
        <v>989.99777365579132</v>
      </c>
      <c r="O5" s="64"/>
    </row>
    <row r="6" spans="1:15" x14ac:dyDescent="0.3">
      <c r="A6" s="107" t="s">
        <v>10</v>
      </c>
      <c r="B6" s="16"/>
      <c r="C6" s="58"/>
      <c r="D6" s="58"/>
      <c r="E6" s="58"/>
      <c r="F6" s="58"/>
      <c r="G6" s="58"/>
      <c r="H6" s="58"/>
      <c r="I6" s="58"/>
      <c r="J6" s="108" t="s">
        <v>12</v>
      </c>
      <c r="K6" s="58"/>
      <c r="L6" s="58"/>
      <c r="M6" s="58"/>
      <c r="N6" s="58"/>
      <c r="O6" s="64"/>
    </row>
    <row r="7" spans="1:15" x14ac:dyDescent="0.3">
      <c r="A7" s="107" t="s">
        <v>13</v>
      </c>
      <c r="B7" s="1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3">
      <c r="A8" s="65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3">
      <c r="A9" s="107" t="s">
        <v>14</v>
      </c>
      <c r="B9" s="107" t="s">
        <v>15</v>
      </c>
      <c r="C9" s="107" t="s">
        <v>16</v>
      </c>
      <c r="D9" s="107" t="s">
        <v>17</v>
      </c>
      <c r="E9" s="107" t="s">
        <v>18</v>
      </c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3">
      <c r="A10" s="75">
        <v>10</v>
      </c>
      <c r="B10" s="95" t="str">
        <f>'SU 01001'!B5</f>
        <v>Upper Front Bearing Support</v>
      </c>
      <c r="C10" s="77">
        <f>'SU 01001'!N2</f>
        <v>19.08406304</v>
      </c>
      <c r="D10" s="140">
        <v>1</v>
      </c>
      <c r="E10" s="77">
        <f>C10*D10</f>
        <v>19.08406304</v>
      </c>
      <c r="F10" s="58"/>
      <c r="G10" s="58"/>
      <c r="H10" s="58"/>
      <c r="I10" s="58"/>
      <c r="J10" s="58"/>
      <c r="K10" s="58"/>
      <c r="L10" s="58"/>
      <c r="M10" s="58"/>
      <c r="N10" s="58"/>
      <c r="O10" s="64"/>
    </row>
    <row r="11" spans="1:15" x14ac:dyDescent="0.3">
      <c r="A11" s="75">
        <v>20</v>
      </c>
      <c r="B11" s="95" t="str">
        <f>'SU 01002'!B5</f>
        <v>Inner Bearing Support</v>
      </c>
      <c r="C11" s="77">
        <f>'SU 01002'!N2</f>
        <v>4.6183805439999999</v>
      </c>
      <c r="D11" s="75">
        <v>2</v>
      </c>
      <c r="E11" s="77">
        <f t="shared" ref="E11:E15" si="0">C11*D11</f>
        <v>9.2367610879999997</v>
      </c>
      <c r="F11" s="59"/>
      <c r="G11" s="59"/>
      <c r="H11" s="59"/>
      <c r="I11" s="59"/>
      <c r="J11" s="59"/>
      <c r="K11" s="59"/>
      <c r="L11" s="59"/>
      <c r="M11" s="59"/>
      <c r="N11" s="59"/>
      <c r="O11" s="64"/>
    </row>
    <row r="12" spans="1:15" x14ac:dyDescent="0.3">
      <c r="A12" s="75">
        <v>30</v>
      </c>
      <c r="B12" s="95" t="str">
        <f>'SU 01003'!B5</f>
        <v>Upper Front A-arm tube (Front)  Carbon Fiber Tube</v>
      </c>
      <c r="C12" s="77">
        <f>'SU 01003'!N2</f>
        <v>230.06737599999997</v>
      </c>
      <c r="D12" s="75">
        <v>1</v>
      </c>
      <c r="E12" s="77">
        <f t="shared" si="0"/>
        <v>230.06737599999997</v>
      </c>
      <c r="F12" s="59"/>
      <c r="G12" s="59"/>
      <c r="H12" s="59"/>
      <c r="I12" s="59"/>
      <c r="J12" s="59"/>
      <c r="K12" s="59"/>
      <c r="L12" s="59"/>
      <c r="M12" s="59"/>
      <c r="N12" s="59"/>
      <c r="O12" s="67"/>
    </row>
    <row r="13" spans="1:15" s="17" customFormat="1" x14ac:dyDescent="0.3">
      <c r="A13" s="75">
        <v>40</v>
      </c>
      <c r="B13" s="95" t="str">
        <f>'SU 01004'!B5</f>
        <v>Upper Front A-arm tube (Back)  Carbon Fiber Tube</v>
      </c>
      <c r="C13" s="77">
        <f>'SU 01004'!N2</f>
        <v>186.38872000000001</v>
      </c>
      <c r="D13" s="75">
        <v>1</v>
      </c>
      <c r="E13" s="77">
        <f t="shared" si="0"/>
        <v>186.38872000000001</v>
      </c>
      <c r="F13" s="59"/>
      <c r="G13" s="59"/>
      <c r="H13" s="59"/>
      <c r="I13" s="59"/>
      <c r="J13" s="59"/>
      <c r="K13" s="59"/>
      <c r="L13" s="59"/>
      <c r="M13" s="59"/>
      <c r="N13" s="59"/>
      <c r="O13" s="67"/>
    </row>
    <row r="14" spans="1:15" s="17" customFormat="1" x14ac:dyDescent="0.3">
      <c r="A14" s="75">
        <v>50</v>
      </c>
      <c r="B14" s="95" t="str">
        <f>'SU 01005'!B5</f>
        <v>Spacer</v>
      </c>
      <c r="C14" s="77">
        <f>'SU 01005'!N2</f>
        <v>2.6754945600000002</v>
      </c>
      <c r="D14">
        <v>6</v>
      </c>
      <c r="E14" s="77">
        <f t="shared" si="0"/>
        <v>16.05296736</v>
      </c>
      <c r="F14" s="59"/>
      <c r="G14" s="59"/>
      <c r="H14" s="59"/>
      <c r="I14" s="59"/>
      <c r="J14" s="59"/>
      <c r="K14" s="59"/>
      <c r="L14" s="59"/>
      <c r="M14" s="59"/>
      <c r="N14" s="59"/>
      <c r="O14" s="68"/>
    </row>
    <row r="15" spans="1:15" s="17" customFormat="1" x14ac:dyDescent="0.3">
      <c r="A15" s="75">
        <v>60</v>
      </c>
      <c r="B15" s="95" t="str">
        <f>'SU 01006'!B5</f>
        <v>Outboard A-arm Insert</v>
      </c>
      <c r="C15" s="77">
        <f>'SU 01006'!N2</f>
        <v>2.015803399168</v>
      </c>
      <c r="D15" s="139">
        <v>2</v>
      </c>
      <c r="E15" s="77">
        <f t="shared" si="0"/>
        <v>4.031606798336</v>
      </c>
      <c r="F15" s="59"/>
      <c r="G15" s="59"/>
      <c r="H15" s="59"/>
      <c r="I15" s="59"/>
      <c r="J15" s="59"/>
      <c r="K15" s="59"/>
      <c r="L15" s="59"/>
      <c r="M15" s="59"/>
      <c r="N15" s="59"/>
      <c r="O15" s="68"/>
    </row>
    <row r="16" spans="1:15" x14ac:dyDescent="0.3">
      <c r="A16" s="65"/>
      <c r="B16" s="58"/>
      <c r="C16" s="58"/>
      <c r="D16" s="110" t="s">
        <v>18</v>
      </c>
      <c r="E16" s="109">
        <f>SUM(E10:E15)</f>
        <v>464.86149428633604</v>
      </c>
      <c r="F16" s="59"/>
      <c r="G16" s="59"/>
      <c r="H16" s="59"/>
      <c r="I16" s="59"/>
      <c r="J16" s="59"/>
      <c r="K16" s="59"/>
      <c r="L16" s="59"/>
      <c r="M16" s="59"/>
      <c r="N16" s="59"/>
      <c r="O16" s="64"/>
    </row>
    <row r="17" spans="1:15" x14ac:dyDescent="0.3">
      <c r="A17" s="65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64"/>
    </row>
    <row r="18" spans="1:15" x14ac:dyDescent="0.3">
      <c r="A18" s="107" t="s">
        <v>14</v>
      </c>
      <c r="B18" s="107" t="s">
        <v>19</v>
      </c>
      <c r="C18" s="107" t="s">
        <v>20</v>
      </c>
      <c r="D18" s="107" t="s">
        <v>21</v>
      </c>
      <c r="E18" s="107" t="s">
        <v>22</v>
      </c>
      <c r="F18" s="107" t="s">
        <v>23</v>
      </c>
      <c r="G18" s="107" t="s">
        <v>24</v>
      </c>
      <c r="H18" s="107" t="s">
        <v>25</v>
      </c>
      <c r="I18" s="107" t="s">
        <v>26</v>
      </c>
      <c r="J18" s="107" t="s">
        <v>27</v>
      </c>
      <c r="K18" s="107" t="s">
        <v>28</v>
      </c>
      <c r="L18" s="107" t="s">
        <v>29</v>
      </c>
      <c r="M18" s="107" t="s">
        <v>17</v>
      </c>
      <c r="N18" s="107" t="s">
        <v>18</v>
      </c>
      <c r="O18" s="64"/>
    </row>
    <row r="19" spans="1:15" ht="14.4" customHeight="1" x14ac:dyDescent="0.3">
      <c r="A19" s="75">
        <v>10</v>
      </c>
      <c r="B19" s="75" t="s">
        <v>132</v>
      </c>
      <c r="C19" s="75"/>
      <c r="D19" s="138">
        <f>0.03*E19^2+5</f>
        <v>6.92</v>
      </c>
      <c r="E19" s="75">
        <v>8</v>
      </c>
      <c r="F19" s="75" t="s">
        <v>30</v>
      </c>
      <c r="G19" s="75"/>
      <c r="H19" s="78"/>
      <c r="I19" s="79"/>
      <c r="J19" s="80"/>
      <c r="K19" s="78"/>
      <c r="L19" s="78"/>
      <c r="M19" s="78">
        <v>3</v>
      </c>
      <c r="N19" s="77">
        <f>M19*D19</f>
        <v>20.759999999999998</v>
      </c>
      <c r="O19" s="64"/>
    </row>
    <row r="20" spans="1:15" s="23" customFormat="1" ht="14.4" customHeight="1" x14ac:dyDescent="0.3">
      <c r="A20" s="75">
        <v>20</v>
      </c>
      <c r="B20" s="159" t="s">
        <v>137</v>
      </c>
      <c r="C20" s="160" t="s">
        <v>138</v>
      </c>
      <c r="D20" s="77"/>
      <c r="E20" s="81"/>
      <c r="F20" s="81">
        <v>95</v>
      </c>
      <c r="G20" s="81"/>
      <c r="H20" s="78"/>
      <c r="I20" s="82"/>
      <c r="J20" s="106"/>
      <c r="K20" s="83"/>
      <c r="L20" s="84"/>
      <c r="M20" s="85"/>
      <c r="N20" s="77">
        <f>M20*D20</f>
        <v>0</v>
      </c>
      <c r="O20" s="69"/>
    </row>
    <row r="21" spans="1:15" ht="29.4" customHeight="1" x14ac:dyDescent="0.3">
      <c r="A21" s="75">
        <v>30</v>
      </c>
      <c r="B21" s="159" t="s">
        <v>137</v>
      </c>
      <c r="C21" s="160" t="s">
        <v>139</v>
      </c>
      <c r="D21" s="77"/>
      <c r="E21" s="75"/>
      <c r="F21" s="75"/>
      <c r="G21" s="75"/>
      <c r="H21" s="78"/>
      <c r="I21" s="85"/>
      <c r="J21" s="86"/>
      <c r="K21" s="78"/>
      <c r="L21" s="84"/>
      <c r="M21" s="78"/>
      <c r="N21" s="77">
        <f>M21*D21</f>
        <v>0</v>
      </c>
      <c r="O21" s="64"/>
    </row>
    <row r="22" spans="1:15" x14ac:dyDescent="0.3">
      <c r="A22" s="70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107" t="s">
        <v>18</v>
      </c>
      <c r="N22" s="109">
        <f>SUM(N19:N21)</f>
        <v>20.759999999999998</v>
      </c>
      <c r="O22" s="64"/>
    </row>
    <row r="23" spans="1:15" x14ac:dyDescent="0.3">
      <c r="A23" s="65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64"/>
    </row>
    <row r="24" spans="1:15" s="26" customFormat="1" x14ac:dyDescent="0.3">
      <c r="A24" s="107" t="s">
        <v>14</v>
      </c>
      <c r="B24" s="107" t="s">
        <v>31</v>
      </c>
      <c r="C24" s="107" t="s">
        <v>20</v>
      </c>
      <c r="D24" s="107" t="s">
        <v>21</v>
      </c>
      <c r="E24" s="107" t="s">
        <v>32</v>
      </c>
      <c r="F24" s="107" t="s">
        <v>17</v>
      </c>
      <c r="G24" s="107" t="s">
        <v>33</v>
      </c>
      <c r="H24" s="107" t="s">
        <v>34</v>
      </c>
      <c r="I24" s="107" t="s">
        <v>18</v>
      </c>
      <c r="J24" s="25"/>
      <c r="K24" s="25"/>
      <c r="L24" s="25"/>
      <c r="M24" s="25"/>
      <c r="N24" s="25"/>
      <c r="O24" s="71"/>
    </row>
    <row r="25" spans="1:15" x14ac:dyDescent="0.3">
      <c r="A25" s="159">
        <v>10</v>
      </c>
      <c r="B25" s="161" t="s">
        <v>140</v>
      </c>
      <c r="C25" s="161" t="s">
        <v>141</v>
      </c>
      <c r="D25" s="141">
        <v>0.02</v>
      </c>
      <c r="E25" s="159" t="s">
        <v>142</v>
      </c>
      <c r="F25" s="162">
        <f>3*2*PI()*0.8*0.5</f>
        <v>7.5398223686155035</v>
      </c>
      <c r="G25" s="159"/>
      <c r="H25" s="159"/>
      <c r="I25" s="141">
        <f>D25*F25</f>
        <v>0.15079644737231007</v>
      </c>
      <c r="J25" s="58"/>
      <c r="K25" s="58"/>
      <c r="L25" s="58"/>
      <c r="M25" s="58"/>
      <c r="N25" s="58"/>
      <c r="O25" s="64"/>
    </row>
    <row r="26" spans="1:15" x14ac:dyDescent="0.3">
      <c r="A26" s="75">
        <v>20</v>
      </c>
      <c r="B26" s="88" t="s">
        <v>143</v>
      </c>
      <c r="C26" s="161" t="s">
        <v>144</v>
      </c>
      <c r="D26" s="77">
        <v>0.13</v>
      </c>
      <c r="E26" s="88" t="s">
        <v>35</v>
      </c>
      <c r="F26" s="87">
        <v>3</v>
      </c>
      <c r="G26" s="75"/>
      <c r="H26" s="75"/>
      <c r="I26" s="77">
        <f t="shared" ref="I26:I42" si="1">IF(H26="",D26*F26,D26*F26*H26)</f>
        <v>0.39</v>
      </c>
      <c r="J26" s="58"/>
      <c r="K26" s="58"/>
      <c r="L26" s="58"/>
      <c r="M26" s="58"/>
      <c r="N26" s="58"/>
      <c r="O26" s="64"/>
    </row>
    <row r="27" spans="1:15" ht="15" customHeight="1" x14ac:dyDescent="0.3">
      <c r="A27" s="75">
        <v>30</v>
      </c>
      <c r="B27" s="142" t="s">
        <v>145</v>
      </c>
      <c r="C27" s="75" t="s">
        <v>146</v>
      </c>
      <c r="D27" s="77">
        <v>0.02</v>
      </c>
      <c r="E27" s="75" t="s">
        <v>35</v>
      </c>
      <c r="F27" s="87">
        <v>4</v>
      </c>
      <c r="G27" s="75"/>
      <c r="H27" s="75"/>
      <c r="I27" s="77">
        <f t="shared" si="1"/>
        <v>0.08</v>
      </c>
      <c r="J27" s="58"/>
      <c r="K27" s="58"/>
      <c r="L27" s="58"/>
      <c r="M27" s="58"/>
      <c r="N27" s="58"/>
      <c r="O27" s="64"/>
    </row>
    <row r="28" spans="1:15" s="17" customFormat="1" x14ac:dyDescent="0.3">
      <c r="A28" s="75">
        <v>40</v>
      </c>
      <c r="B28" s="142" t="s">
        <v>145</v>
      </c>
      <c r="C28" s="75" t="s">
        <v>147</v>
      </c>
      <c r="D28" s="77">
        <v>0.02</v>
      </c>
      <c r="E28" s="75" t="s">
        <v>35</v>
      </c>
      <c r="F28" s="87">
        <v>6</v>
      </c>
      <c r="G28" s="75"/>
      <c r="H28" s="75"/>
      <c r="I28" s="77">
        <f t="shared" si="1"/>
        <v>0.12</v>
      </c>
      <c r="J28" s="59"/>
      <c r="K28" s="59"/>
      <c r="L28" s="59"/>
      <c r="M28" s="59"/>
      <c r="N28" s="59"/>
      <c r="O28" s="68"/>
    </row>
    <row r="29" spans="1:15" s="17" customFormat="1" x14ac:dyDescent="0.3">
      <c r="A29" s="75">
        <v>50</v>
      </c>
      <c r="B29" s="142" t="s">
        <v>148</v>
      </c>
      <c r="C29" s="75" t="s">
        <v>149</v>
      </c>
      <c r="D29" s="77">
        <v>0.02</v>
      </c>
      <c r="E29" s="75" t="s">
        <v>41</v>
      </c>
      <c r="F29" s="87">
        <v>18</v>
      </c>
      <c r="G29" s="75"/>
      <c r="H29" s="75"/>
      <c r="I29" s="77">
        <f t="shared" si="1"/>
        <v>0.36</v>
      </c>
      <c r="J29" s="59"/>
      <c r="K29" s="59"/>
      <c r="L29" s="59"/>
      <c r="M29" s="59"/>
      <c r="N29" s="59"/>
      <c r="O29" s="68"/>
    </row>
    <row r="30" spans="1:15" s="17" customFormat="1" x14ac:dyDescent="0.3">
      <c r="A30" s="75">
        <v>60</v>
      </c>
      <c r="B30" s="88" t="s">
        <v>177</v>
      </c>
      <c r="C30" s="75" t="s">
        <v>151</v>
      </c>
      <c r="D30" s="77">
        <v>0.13</v>
      </c>
      <c r="E30" s="88" t="s">
        <v>35</v>
      </c>
      <c r="F30" s="87">
        <v>2</v>
      </c>
      <c r="G30" s="75"/>
      <c r="H30" s="75"/>
      <c r="I30" s="77">
        <f t="shared" si="1"/>
        <v>0.26</v>
      </c>
      <c r="J30" s="59"/>
      <c r="K30" s="59"/>
      <c r="L30" s="59"/>
      <c r="M30" s="59"/>
      <c r="N30" s="59"/>
      <c r="O30" s="68"/>
    </row>
    <row r="31" spans="1:15" s="17" customFormat="1" x14ac:dyDescent="0.3">
      <c r="A31" s="159">
        <v>70</v>
      </c>
      <c r="B31" s="88" t="s">
        <v>177</v>
      </c>
      <c r="C31" s="75" t="s">
        <v>150</v>
      </c>
      <c r="D31" s="77">
        <v>0.13</v>
      </c>
      <c r="E31" s="88" t="s">
        <v>35</v>
      </c>
      <c r="F31" s="87">
        <v>2</v>
      </c>
      <c r="G31" s="75"/>
      <c r="H31" s="75"/>
      <c r="I31" s="77">
        <f t="shared" si="1"/>
        <v>0.26</v>
      </c>
      <c r="J31" s="59"/>
      <c r="K31" s="59"/>
      <c r="L31" s="59"/>
      <c r="M31" s="59"/>
      <c r="N31" s="59"/>
      <c r="O31" s="68"/>
    </row>
    <row r="32" spans="1:15" s="17" customFormat="1" x14ac:dyDescent="0.3">
      <c r="A32" s="75">
        <v>80</v>
      </c>
      <c r="B32" s="88" t="s">
        <v>177</v>
      </c>
      <c r="C32" s="75" t="s">
        <v>152</v>
      </c>
      <c r="D32" s="77">
        <v>0.13</v>
      </c>
      <c r="E32" s="88" t="s">
        <v>35</v>
      </c>
      <c r="F32" s="87">
        <v>2</v>
      </c>
      <c r="G32" s="75"/>
      <c r="H32" s="75"/>
      <c r="I32" s="77">
        <f t="shared" si="1"/>
        <v>0.26</v>
      </c>
      <c r="J32" s="59"/>
      <c r="K32" s="59"/>
      <c r="L32" s="59"/>
      <c r="M32" s="59"/>
      <c r="N32" s="59"/>
      <c r="O32" s="68"/>
    </row>
    <row r="33" spans="1:15" s="17" customFormat="1" x14ac:dyDescent="0.3">
      <c r="A33" s="75">
        <v>90</v>
      </c>
      <c r="B33" s="88" t="s">
        <v>153</v>
      </c>
      <c r="C33" s="75" t="s">
        <v>155</v>
      </c>
      <c r="D33" s="77">
        <v>10</v>
      </c>
      <c r="E33" s="75" t="s">
        <v>154</v>
      </c>
      <c r="F33" s="87">
        <f>6*0.03*2*3.14*0.06</f>
        <v>6.7823999999999995E-2</v>
      </c>
      <c r="G33" s="75"/>
      <c r="H33" s="75"/>
      <c r="I33" s="77">
        <f t="shared" si="1"/>
        <v>0.67823999999999995</v>
      </c>
      <c r="J33" s="59"/>
      <c r="K33" s="59"/>
      <c r="L33" s="59"/>
      <c r="M33" s="59"/>
      <c r="N33" s="59"/>
      <c r="O33" s="68"/>
    </row>
    <row r="34" spans="1:15" s="17" customFormat="1" x14ac:dyDescent="0.3">
      <c r="A34" s="75">
        <v>100</v>
      </c>
      <c r="B34" s="88" t="s">
        <v>157</v>
      </c>
      <c r="C34" s="75" t="s">
        <v>156</v>
      </c>
      <c r="D34" s="77">
        <v>20</v>
      </c>
      <c r="E34" s="75" t="s">
        <v>154</v>
      </c>
      <c r="F34" s="87">
        <f>6*0.03*2*3.14*0.06</f>
        <v>6.7823999999999995E-2</v>
      </c>
      <c r="G34" s="75"/>
      <c r="H34" s="75"/>
      <c r="I34" s="77">
        <f t="shared" si="1"/>
        <v>1.3564799999999999</v>
      </c>
      <c r="J34" s="59"/>
      <c r="K34" s="59"/>
      <c r="L34" s="59"/>
      <c r="M34" s="59"/>
      <c r="N34" s="59"/>
      <c r="O34" s="68"/>
    </row>
    <row r="35" spans="1:15" s="17" customFormat="1" x14ac:dyDescent="0.3">
      <c r="A35" s="75">
        <v>110</v>
      </c>
      <c r="B35" s="161" t="s">
        <v>158</v>
      </c>
      <c r="C35" s="161" t="s">
        <v>159</v>
      </c>
      <c r="D35" s="141">
        <v>0.06</v>
      </c>
      <c r="E35" s="159" t="s">
        <v>32</v>
      </c>
      <c r="F35" s="159">
        <v>1</v>
      </c>
      <c r="G35" s="75"/>
      <c r="H35" s="75"/>
      <c r="I35" s="77">
        <f t="shared" si="1"/>
        <v>0.06</v>
      </c>
      <c r="J35" s="59"/>
      <c r="K35" s="59"/>
      <c r="L35" s="59"/>
      <c r="M35" s="59"/>
      <c r="N35" s="59"/>
      <c r="O35" s="68"/>
    </row>
    <row r="36" spans="1:15" s="17" customFormat="1" x14ac:dyDescent="0.3">
      <c r="A36" s="75">
        <v>120</v>
      </c>
      <c r="B36" s="163" t="s">
        <v>160</v>
      </c>
      <c r="C36" s="163" t="s">
        <v>161</v>
      </c>
      <c r="D36" s="143">
        <v>0.13</v>
      </c>
      <c r="E36" s="164" t="s">
        <v>32</v>
      </c>
      <c r="F36" s="164">
        <v>4</v>
      </c>
      <c r="G36" s="75"/>
      <c r="H36" s="75"/>
      <c r="I36" s="77">
        <f t="shared" si="1"/>
        <v>0.52</v>
      </c>
      <c r="J36" s="59"/>
      <c r="K36" s="59"/>
      <c r="L36" s="59"/>
      <c r="M36" s="59"/>
      <c r="N36" s="59"/>
      <c r="O36" s="68"/>
    </row>
    <row r="37" spans="1:15" s="17" customFormat="1" x14ac:dyDescent="0.3">
      <c r="A37" s="75">
        <v>130</v>
      </c>
      <c r="B37" s="165" t="s">
        <v>160</v>
      </c>
      <c r="C37" s="165" t="s">
        <v>162</v>
      </c>
      <c r="D37" s="144">
        <v>0.13</v>
      </c>
      <c r="E37" s="166" t="s">
        <v>32</v>
      </c>
      <c r="F37" s="166">
        <v>4</v>
      </c>
      <c r="G37" s="75"/>
      <c r="H37" s="75"/>
      <c r="I37" s="77">
        <f t="shared" si="1"/>
        <v>0.52</v>
      </c>
      <c r="J37" s="59"/>
      <c r="K37" s="59"/>
      <c r="L37" s="59"/>
      <c r="M37" s="59"/>
      <c r="N37" s="59"/>
      <c r="O37" s="68"/>
    </row>
    <row r="38" spans="1:15" s="17" customFormat="1" x14ac:dyDescent="0.3">
      <c r="A38" s="75">
        <v>140</v>
      </c>
      <c r="B38" s="165" t="s">
        <v>158</v>
      </c>
      <c r="C38" s="165" t="s">
        <v>163</v>
      </c>
      <c r="D38" s="144">
        <v>0.06</v>
      </c>
      <c r="E38" s="166" t="s">
        <v>32</v>
      </c>
      <c r="F38" s="166">
        <v>1</v>
      </c>
      <c r="G38" s="75"/>
      <c r="H38" s="75"/>
      <c r="I38" s="77">
        <f t="shared" si="1"/>
        <v>0.06</v>
      </c>
      <c r="J38" s="59"/>
      <c r="K38" s="59"/>
      <c r="L38" s="59"/>
      <c r="M38" s="59"/>
      <c r="N38" s="59"/>
      <c r="O38" s="68"/>
    </row>
    <row r="39" spans="1:15" s="17" customFormat="1" x14ac:dyDescent="0.3">
      <c r="A39" s="75">
        <v>150</v>
      </c>
      <c r="B39" s="165" t="s">
        <v>160</v>
      </c>
      <c r="C39" s="165" t="s">
        <v>164</v>
      </c>
      <c r="D39" s="144">
        <v>0.13</v>
      </c>
      <c r="E39" s="166" t="s">
        <v>32</v>
      </c>
      <c r="F39" s="166">
        <v>2</v>
      </c>
      <c r="G39" s="75"/>
      <c r="H39" s="75"/>
      <c r="I39" s="77">
        <f t="shared" si="1"/>
        <v>0.26</v>
      </c>
      <c r="J39" s="59"/>
      <c r="K39" s="59"/>
      <c r="L39" s="59"/>
      <c r="M39" s="59"/>
      <c r="N39" s="59"/>
      <c r="O39" s="68"/>
    </row>
    <row r="40" spans="1:15" s="17" customFormat="1" x14ac:dyDescent="0.3">
      <c r="A40" s="75">
        <v>160</v>
      </c>
      <c r="B40" s="165" t="s">
        <v>160</v>
      </c>
      <c r="C40" s="165" t="s">
        <v>165</v>
      </c>
      <c r="D40" s="144">
        <v>0.13</v>
      </c>
      <c r="E40" s="166" t="s">
        <v>32</v>
      </c>
      <c r="F40" s="166">
        <v>2</v>
      </c>
      <c r="G40" s="75"/>
      <c r="H40" s="75"/>
      <c r="I40" s="77">
        <f t="shared" si="1"/>
        <v>0.26</v>
      </c>
      <c r="J40" s="59"/>
      <c r="K40" s="59"/>
      <c r="L40" s="59"/>
      <c r="M40" s="59"/>
      <c r="N40" s="59"/>
      <c r="O40" s="68"/>
    </row>
    <row r="41" spans="1:15" s="26" customFormat="1" x14ac:dyDescent="0.3">
      <c r="A41" s="75">
        <v>170</v>
      </c>
      <c r="B41" s="167" t="s">
        <v>166</v>
      </c>
      <c r="C41" s="168" t="s">
        <v>167</v>
      </c>
      <c r="D41" s="144">
        <v>0.75</v>
      </c>
      <c r="E41" s="166" t="s">
        <v>32</v>
      </c>
      <c r="F41" s="166">
        <v>3</v>
      </c>
      <c r="G41" s="87"/>
      <c r="H41" s="87"/>
      <c r="I41" s="77">
        <f t="shared" si="1"/>
        <v>2.25</v>
      </c>
      <c r="J41" s="59"/>
      <c r="K41" s="59"/>
      <c r="L41" s="59"/>
      <c r="M41" s="59"/>
      <c r="N41" s="59"/>
      <c r="O41" s="71"/>
    </row>
    <row r="42" spans="1:15" s="17" customFormat="1" x14ac:dyDescent="0.3">
      <c r="A42" s="75">
        <v>180</v>
      </c>
      <c r="B42" s="167" t="s">
        <v>168</v>
      </c>
      <c r="C42" s="168" t="s">
        <v>169</v>
      </c>
      <c r="D42" s="144">
        <v>0.25</v>
      </c>
      <c r="E42" s="168" t="s">
        <v>32</v>
      </c>
      <c r="F42" s="166">
        <v>3</v>
      </c>
      <c r="G42" s="75"/>
      <c r="H42" s="75"/>
      <c r="I42" s="77">
        <f t="shared" si="1"/>
        <v>0.75</v>
      </c>
      <c r="J42" s="59"/>
      <c r="K42" s="59"/>
      <c r="L42" s="59"/>
      <c r="M42" s="59"/>
      <c r="N42" s="59"/>
      <c r="O42" s="68"/>
    </row>
    <row r="43" spans="1:15" x14ac:dyDescent="0.3">
      <c r="A43" s="70"/>
      <c r="B43" s="25"/>
      <c r="C43" s="25"/>
      <c r="D43" s="25"/>
      <c r="E43" s="25"/>
      <c r="F43" s="25"/>
      <c r="G43" s="25"/>
      <c r="H43" s="110" t="s">
        <v>18</v>
      </c>
      <c r="I43" s="109">
        <f>SUM(I25:I42)</f>
        <v>8.595516447372308</v>
      </c>
      <c r="J43" s="58"/>
      <c r="K43" s="58"/>
      <c r="L43" s="58"/>
      <c r="M43" s="58"/>
      <c r="N43" s="58"/>
      <c r="O43" s="64"/>
    </row>
    <row r="44" spans="1:15" x14ac:dyDescent="0.3">
      <c r="A44" s="65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64"/>
    </row>
    <row r="45" spans="1:15" x14ac:dyDescent="0.3">
      <c r="A45" s="107" t="s">
        <v>14</v>
      </c>
      <c r="B45" s="107" t="s">
        <v>36</v>
      </c>
      <c r="C45" s="107" t="s">
        <v>20</v>
      </c>
      <c r="D45" s="107" t="s">
        <v>21</v>
      </c>
      <c r="E45" s="107" t="s">
        <v>22</v>
      </c>
      <c r="F45" s="107" t="s">
        <v>23</v>
      </c>
      <c r="G45" s="107" t="s">
        <v>24</v>
      </c>
      <c r="H45" s="107" t="s">
        <v>25</v>
      </c>
      <c r="I45" s="107" t="s">
        <v>17</v>
      </c>
      <c r="J45" s="107" t="s">
        <v>18</v>
      </c>
      <c r="K45" s="58"/>
      <c r="L45" s="58"/>
      <c r="M45" s="58"/>
      <c r="N45" s="58"/>
      <c r="O45" s="64"/>
    </row>
    <row r="46" spans="1:15" x14ac:dyDescent="0.3">
      <c r="A46" s="159">
        <v>10</v>
      </c>
      <c r="B46" s="159" t="s">
        <v>170</v>
      </c>
      <c r="C46" s="159" t="s">
        <v>171</v>
      </c>
      <c r="D46" s="169">
        <f>0.8/105154*E46^2*G46*SQRT(G46)+(0.003*EXP(0.319*E46))</f>
        <v>0.16167651505774214</v>
      </c>
      <c r="E46" s="159">
        <v>8</v>
      </c>
      <c r="F46" s="145" t="s">
        <v>30</v>
      </c>
      <c r="G46" s="170">
        <v>40</v>
      </c>
      <c r="H46" s="161" t="s">
        <v>30</v>
      </c>
      <c r="I46" s="146">
        <v>2</v>
      </c>
      <c r="J46" s="147">
        <f>D46*I46</f>
        <v>0.32335303011548427</v>
      </c>
      <c r="K46" s="58"/>
      <c r="L46" s="58"/>
      <c r="M46" s="58"/>
      <c r="N46" s="58"/>
      <c r="O46" s="64"/>
    </row>
    <row r="47" spans="1:15" x14ac:dyDescent="0.3">
      <c r="A47" s="159">
        <v>20</v>
      </c>
      <c r="B47" s="159" t="s">
        <v>170</v>
      </c>
      <c r="C47" s="159" t="s">
        <v>172</v>
      </c>
      <c r="D47" s="169">
        <f>0.8/105154*E47^2*G47*SQRT(G47)+(0.003*EXP(0.319*E47))</f>
        <v>0.26479118861318168</v>
      </c>
      <c r="E47" s="159">
        <v>8</v>
      </c>
      <c r="F47" s="145" t="s">
        <v>30</v>
      </c>
      <c r="G47" s="170">
        <v>60</v>
      </c>
      <c r="H47" s="161" t="s">
        <v>30</v>
      </c>
      <c r="I47" s="148">
        <v>1</v>
      </c>
      <c r="J47" s="141">
        <f>D47*I47</f>
        <v>0.26479118861318168</v>
      </c>
      <c r="K47" s="58"/>
      <c r="L47" s="58"/>
      <c r="M47" s="58"/>
      <c r="N47" s="58"/>
      <c r="O47" s="64"/>
    </row>
    <row r="48" spans="1:15" x14ac:dyDescent="0.3">
      <c r="A48" s="159">
        <v>30</v>
      </c>
      <c r="B48" s="159" t="s">
        <v>173</v>
      </c>
      <c r="C48" s="159" t="s">
        <v>174</v>
      </c>
      <c r="D48" s="171">
        <f>(0.009*EXP(0.2*E48))</f>
        <v>4.4577291819556032E-2</v>
      </c>
      <c r="E48" s="159">
        <v>8</v>
      </c>
      <c r="F48" s="145" t="s">
        <v>30</v>
      </c>
      <c r="G48" s="159"/>
      <c r="H48" s="161"/>
      <c r="I48" s="148">
        <v>3</v>
      </c>
      <c r="J48" s="141">
        <f>D48*I48</f>
        <v>0.1337318754586681</v>
      </c>
      <c r="K48" s="58"/>
      <c r="L48" s="58"/>
      <c r="M48" s="58"/>
      <c r="N48" s="58"/>
      <c r="O48" s="64"/>
    </row>
    <row r="49" spans="1:15" x14ac:dyDescent="0.3">
      <c r="A49" s="159">
        <v>40</v>
      </c>
      <c r="B49" s="159" t="s">
        <v>175</v>
      </c>
      <c r="C49" s="159" t="s">
        <v>176</v>
      </c>
      <c r="D49" s="159">
        <v>0.01</v>
      </c>
      <c r="E49" s="159">
        <v>8</v>
      </c>
      <c r="F49" s="145" t="s">
        <v>30</v>
      </c>
      <c r="G49" s="159"/>
      <c r="H49" s="161"/>
      <c r="I49" s="148">
        <v>6</v>
      </c>
      <c r="J49" s="141">
        <f>D49*I49</f>
        <v>0.06</v>
      </c>
      <c r="K49" s="60"/>
      <c r="L49" s="60"/>
      <c r="M49" s="60"/>
      <c r="N49" s="60"/>
      <c r="O49" s="64"/>
    </row>
    <row r="50" spans="1:15" x14ac:dyDescent="0.3">
      <c r="A50" s="70"/>
      <c r="B50" s="25"/>
      <c r="C50" s="25"/>
      <c r="D50" s="25"/>
      <c r="E50" s="25"/>
      <c r="F50" s="25"/>
      <c r="G50" s="25"/>
      <c r="H50" s="25"/>
      <c r="I50" s="110" t="s">
        <v>18</v>
      </c>
      <c r="J50" s="109">
        <f>SUM(J46:J49)</f>
        <v>0.78187609418733417</v>
      </c>
      <c r="K50" s="58"/>
      <c r="L50" s="58"/>
      <c r="M50" s="58"/>
      <c r="N50" s="58"/>
      <c r="O50" s="64"/>
    </row>
    <row r="51" spans="1:15" x14ac:dyDescent="0.3">
      <c r="A51" s="65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64"/>
    </row>
    <row r="52" spans="1:15" ht="15" thickBot="1" x14ac:dyDescent="0.3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4"/>
    </row>
    <row r="53" spans="1:15" x14ac:dyDescent="0.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</row>
  </sheetData>
  <hyperlinks>
    <hyperlink ref="B10" location="SU_01001" display="SU_01001"/>
    <hyperlink ref="B11:B13" location="BR_01001" display="BR_01001"/>
    <hyperlink ref="B14" location="SU_01005" display="SU_01005"/>
    <hyperlink ref="B15" location="SU_01006" display="SU_01006"/>
    <hyperlink ref="B11" location="SU_01002" display="SU_01002"/>
    <hyperlink ref="B12" location="SU_01003" display="SU_01003"/>
    <hyperlink ref="B13" location="SU_01004" display="SU_01004"/>
    <hyperlink ref="E2" location="SU_A0100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2"/>
  <sheetViews>
    <sheetView zoomScale="96" zoomScaleNormal="96" workbookViewId="0">
      <selection activeCell="N2" sqref="N2"/>
    </sheetView>
  </sheetViews>
  <sheetFormatPr baseColWidth="10" defaultColWidth="9.109375" defaultRowHeight="14.4" x14ac:dyDescent="0.3"/>
  <cols>
    <col min="3" max="3" width="24.5546875" customWidth="1"/>
    <col min="10" max="10" width="10" bestFit="1" customWidth="1"/>
    <col min="15" max="15" width="3.109375" customWidth="1"/>
    <col min="18" max="19" width="16.33203125" bestFit="1" customWidth="1"/>
  </cols>
  <sheetData>
    <row r="1" spans="1:19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9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SU_01001_m+SU_01001_p</f>
        <v>19.08406304</v>
      </c>
      <c r="O2" s="64"/>
    </row>
    <row r="3" spans="1:19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2</v>
      </c>
      <c r="O3" s="64"/>
    </row>
    <row r="4" spans="1:19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9" x14ac:dyDescent="0.3">
      <c r="A5" s="111" t="s">
        <v>15</v>
      </c>
      <c r="B5" s="18" t="s">
        <v>181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38.16812608</v>
      </c>
      <c r="O5" s="64"/>
    </row>
    <row r="6" spans="1:19" x14ac:dyDescent="0.3">
      <c r="A6" s="111" t="s">
        <v>7</v>
      </c>
      <c r="B6" s="29" t="s">
        <v>203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9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9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9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9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9" s="23" customFormat="1" x14ac:dyDescent="0.3">
      <c r="A11" s="92">
        <v>10</v>
      </c>
      <c r="B11" s="27" t="s">
        <v>133</v>
      </c>
      <c r="C11" s="21" t="s">
        <v>38</v>
      </c>
      <c r="D11" s="31">
        <f>J11*K11*L11*4.2/1000000000</f>
        <v>4.2440630400000003</v>
      </c>
      <c r="E11" s="21"/>
      <c r="F11" s="21"/>
      <c r="G11" s="21"/>
      <c r="H11" s="20"/>
      <c r="I11" s="22" t="s">
        <v>134</v>
      </c>
      <c r="J11" s="172">
        <f>90*90</f>
        <v>8100</v>
      </c>
      <c r="K11" s="83">
        <v>46</v>
      </c>
      <c r="L11" s="84">
        <v>2712</v>
      </c>
      <c r="M11" s="24">
        <v>1</v>
      </c>
      <c r="N11" s="31">
        <f>D11*M11</f>
        <v>4.2440630400000003</v>
      </c>
      <c r="O11" s="69"/>
    </row>
    <row r="12" spans="1:19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4.2440630400000003</v>
      </c>
      <c r="O12" s="64"/>
    </row>
    <row r="13" spans="1:19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S13" s="150"/>
    </row>
    <row r="14" spans="1:19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  <c r="R14" s="150"/>
    </row>
    <row r="15" spans="1:19" s="26" customFormat="1" ht="72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</row>
    <row r="16" spans="1:19" ht="28.8" x14ac:dyDescent="0.3">
      <c r="A16" s="66">
        <v>20</v>
      </c>
      <c r="B16" s="149" t="s">
        <v>184</v>
      </c>
      <c r="C16" s="19" t="s">
        <v>40</v>
      </c>
      <c r="D16" s="31">
        <v>0.04</v>
      </c>
      <c r="E16" s="28" t="s">
        <v>186</v>
      </c>
      <c r="F16" s="34">
        <v>153</v>
      </c>
      <c r="G16" s="28"/>
      <c r="H16" s="27"/>
      <c r="I16" s="31">
        <f t="shared" si="0"/>
        <v>6.12</v>
      </c>
      <c r="J16" s="58"/>
      <c r="K16" s="58"/>
      <c r="L16" s="58"/>
      <c r="M16" s="58"/>
      <c r="N16" s="58"/>
      <c r="O16" s="64"/>
      <c r="R16" s="150"/>
    </row>
    <row r="17" spans="1:18" s="17" customFormat="1" ht="43.2" x14ac:dyDescent="0.3">
      <c r="A17" s="94">
        <v>30</v>
      </c>
      <c r="B17" s="149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  <c r="R17" s="151"/>
    </row>
    <row r="18" spans="1:18" ht="28.8" x14ac:dyDescent="0.3">
      <c r="A18" s="66">
        <v>40</v>
      </c>
      <c r="B18" s="149" t="s">
        <v>184</v>
      </c>
      <c r="C18" s="19" t="s">
        <v>40</v>
      </c>
      <c r="D18" s="31">
        <v>0.04</v>
      </c>
      <c r="E18" s="28" t="s">
        <v>186</v>
      </c>
      <c r="F18" s="34">
        <v>51</v>
      </c>
      <c r="G18" s="28"/>
      <c r="H18" s="27"/>
      <c r="I18" s="31">
        <f t="shared" si="0"/>
        <v>2.04</v>
      </c>
      <c r="J18" s="58"/>
      <c r="K18" s="58"/>
      <c r="L18" s="58"/>
      <c r="M18" s="58"/>
      <c r="N18" s="58"/>
      <c r="O18" s="64"/>
      <c r="R18" s="150"/>
    </row>
    <row r="19" spans="1:18" ht="43.2" x14ac:dyDescent="0.3">
      <c r="A19" s="94">
        <v>50</v>
      </c>
      <c r="B19" s="149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  <c r="R19" s="150"/>
    </row>
    <row r="20" spans="1:18" ht="28.8" x14ac:dyDescent="0.3">
      <c r="A20" s="94">
        <v>60</v>
      </c>
      <c r="B20" s="149" t="s">
        <v>184</v>
      </c>
      <c r="C20" s="19" t="s">
        <v>40</v>
      </c>
      <c r="D20" s="31">
        <v>0.04</v>
      </c>
      <c r="E20" s="28" t="s">
        <v>186</v>
      </c>
      <c r="F20" s="27">
        <v>102</v>
      </c>
      <c r="G20" s="27"/>
      <c r="H20" s="27"/>
      <c r="I20" s="31">
        <f t="shared" si="0"/>
        <v>4.08</v>
      </c>
      <c r="J20" s="58"/>
      <c r="K20" s="58"/>
      <c r="L20" s="58"/>
      <c r="M20" s="58"/>
      <c r="N20" s="58"/>
      <c r="O20" s="64"/>
    </row>
    <row r="21" spans="1:18" x14ac:dyDescent="0.3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14.84</v>
      </c>
      <c r="J21" s="25"/>
      <c r="K21" s="25"/>
      <c r="L21" s="25"/>
      <c r="M21" s="25"/>
      <c r="N21" s="25"/>
      <c r="O21" s="64"/>
    </row>
    <row r="22" spans="1:18" ht="15" thickBot="1" x14ac:dyDescent="0.35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'SU A0100'!A1" display="'SU A0100'!A1"/>
    <hyperlink ref="E3" location="dSU_01001" display="Drawing"/>
    <hyperlink ref="G2" location="SU_A01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2" x14ac:dyDescent="0.3">
      <c r="A1" t="s">
        <v>199</v>
      </c>
      <c r="B1" s="98" t="str">
        <f>SU_01001</f>
        <v>SU_01001</v>
      </c>
    </row>
  </sheetData>
  <hyperlinks>
    <hyperlink ref="B1" location="SU_01001" display="SU_01001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zoomScale="85" zoomScaleNormal="85" workbookViewId="0">
      <selection activeCell="N3" sqref="N3"/>
    </sheetView>
  </sheetViews>
  <sheetFormatPr baseColWidth="10" defaultRowHeight="14.4" x14ac:dyDescent="0.3"/>
  <cols>
    <col min="2" max="2" width="23.109375" customWidth="1"/>
    <col min="9" max="9" width="21.44140625" customWidth="1"/>
    <col min="18" max="18" width="13.88671875" bestFit="1" customWidth="1"/>
  </cols>
  <sheetData>
    <row r="1" spans="1:19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9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N12+I21</f>
        <v>4.6183805439999999</v>
      </c>
      <c r="O2" s="64"/>
    </row>
    <row r="3" spans="1:19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4</v>
      </c>
      <c r="O3" s="64"/>
    </row>
    <row r="4" spans="1:19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9" x14ac:dyDescent="0.3">
      <c r="A5" s="111" t="s">
        <v>15</v>
      </c>
      <c r="B5" s="76" t="s">
        <v>182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18.473522175999999</v>
      </c>
      <c r="O5" s="64"/>
    </row>
    <row r="6" spans="1:19" x14ac:dyDescent="0.3">
      <c r="A6" s="111" t="s">
        <v>7</v>
      </c>
      <c r="B6" s="29" t="s">
        <v>200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9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9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9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9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9" x14ac:dyDescent="0.3">
      <c r="A11" s="92">
        <v>10</v>
      </c>
      <c r="B11" s="27" t="s">
        <v>133</v>
      </c>
      <c r="C11" s="21" t="s">
        <v>38</v>
      </c>
      <c r="D11" s="31">
        <f>4.2</f>
        <v>4.2</v>
      </c>
      <c r="E11" s="152">
        <f>J11*K11*L11/1000000000</f>
        <v>0.20437632</v>
      </c>
      <c r="F11" s="21" t="s">
        <v>187</v>
      </c>
      <c r="G11" s="21"/>
      <c r="H11" s="20"/>
      <c r="I11" s="22" t="s">
        <v>188</v>
      </c>
      <c r="J11" s="106">
        <f>3.14*20*20</f>
        <v>1256</v>
      </c>
      <c r="K11" s="83">
        <v>60</v>
      </c>
      <c r="L11" s="84">
        <v>2712</v>
      </c>
      <c r="M11" s="24">
        <v>1</v>
      </c>
      <c r="N11" s="31">
        <f>D11*E11</f>
        <v>0.85838054400000008</v>
      </c>
      <c r="O11" s="69"/>
      <c r="P11" s="23"/>
      <c r="Q11" s="23"/>
      <c r="R11" s="23"/>
      <c r="S11" s="23"/>
    </row>
    <row r="12" spans="1:19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0.85838054400000008</v>
      </c>
      <c r="O12" s="64"/>
    </row>
    <row r="13" spans="1:19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R13" s="150"/>
      <c r="S13" s="150"/>
    </row>
    <row r="14" spans="1:19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  <c r="R14" s="150"/>
    </row>
    <row r="15" spans="1:19" ht="28.8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  <c r="P15" s="26"/>
      <c r="Q15" s="26"/>
      <c r="R15" s="153"/>
      <c r="S15" s="26"/>
    </row>
    <row r="16" spans="1:19" x14ac:dyDescent="0.3">
      <c r="A16" s="66">
        <v>20</v>
      </c>
      <c r="B16" s="149" t="s">
        <v>184</v>
      </c>
      <c r="C16" s="19" t="s">
        <v>40</v>
      </c>
      <c r="D16" s="31">
        <v>0.04</v>
      </c>
      <c r="E16" s="28" t="s">
        <v>186</v>
      </c>
      <c r="F16" s="34">
        <v>19</v>
      </c>
      <c r="G16" s="28"/>
      <c r="H16" s="27"/>
      <c r="I16" s="31">
        <f t="shared" si="0"/>
        <v>0.76</v>
      </c>
      <c r="J16" s="58"/>
      <c r="K16" s="58"/>
      <c r="L16" s="58"/>
      <c r="M16" s="58"/>
      <c r="N16" s="58"/>
      <c r="O16" s="64"/>
      <c r="R16" s="150"/>
    </row>
    <row r="17" spans="1:19" x14ac:dyDescent="0.3">
      <c r="A17" s="94">
        <v>30</v>
      </c>
      <c r="B17" s="149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  <c r="P17" s="17"/>
      <c r="Q17" s="17"/>
      <c r="R17" s="151"/>
      <c r="S17" s="17"/>
    </row>
    <row r="18" spans="1:19" x14ac:dyDescent="0.3">
      <c r="A18" s="66">
        <v>40</v>
      </c>
      <c r="B18" s="149" t="s">
        <v>184</v>
      </c>
      <c r="C18" s="19" t="s">
        <v>40</v>
      </c>
      <c r="D18" s="31">
        <v>0.04</v>
      </c>
      <c r="E18" s="28" t="s">
        <v>186</v>
      </c>
      <c r="F18" s="34">
        <v>8</v>
      </c>
      <c r="G18" s="28"/>
      <c r="H18" s="27"/>
      <c r="I18" s="31">
        <f t="shared" si="0"/>
        <v>0.32</v>
      </c>
      <c r="J18" s="58"/>
      <c r="K18" s="58"/>
      <c r="L18" s="58"/>
      <c r="M18" s="58"/>
      <c r="N18" s="58"/>
      <c r="O18" s="64"/>
      <c r="R18" s="150"/>
    </row>
    <row r="19" spans="1:19" x14ac:dyDescent="0.3">
      <c r="A19" s="94">
        <v>50</v>
      </c>
      <c r="B19" s="149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  <c r="R19" s="150"/>
    </row>
    <row r="20" spans="1:19" x14ac:dyDescent="0.3">
      <c r="A20" s="94">
        <v>60</v>
      </c>
      <c r="B20" s="149" t="s">
        <v>184</v>
      </c>
      <c r="C20" s="19" t="s">
        <v>40</v>
      </c>
      <c r="D20" s="31">
        <v>0.04</v>
      </c>
      <c r="E20" s="28" t="s">
        <v>186</v>
      </c>
      <c r="F20" s="27">
        <v>2</v>
      </c>
      <c r="G20" s="27"/>
      <c r="H20" s="27"/>
      <c r="I20" s="31">
        <f t="shared" si="0"/>
        <v>0.08</v>
      </c>
      <c r="J20" s="58"/>
      <c r="K20" s="58"/>
      <c r="L20" s="58"/>
      <c r="M20" s="58"/>
      <c r="N20" s="58"/>
      <c r="O20" s="64"/>
    </row>
    <row r="21" spans="1:19" x14ac:dyDescent="0.3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3.76</v>
      </c>
      <c r="J21" s="25"/>
      <c r="K21" s="25"/>
      <c r="L21" s="25"/>
      <c r="M21" s="25"/>
      <c r="N21" s="25"/>
      <c r="O21" s="64"/>
    </row>
    <row r="22" spans="1:19" ht="15" thickBot="1" x14ac:dyDescent="0.35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'SU A0100'!A1" display="'SU A0100'!A1"/>
    <hyperlink ref="E3" location="dSU_01002" display="Drawing"/>
    <hyperlink ref="G2" location="SU_A0100_BOM" display="Back to BOM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"/>
  <sheetViews>
    <sheetView workbookViewId="0">
      <selection activeCell="B1" sqref="B1"/>
    </sheetView>
  </sheetViews>
  <sheetFormatPr baseColWidth="10" defaultRowHeight="14.4" x14ac:dyDescent="0.3"/>
  <cols>
    <col min="1" max="1" width="18.88671875" customWidth="1"/>
  </cols>
  <sheetData>
    <row r="1" spans="1:2" x14ac:dyDescent="0.3">
      <c r="A1" t="s">
        <v>199</v>
      </c>
      <c r="B1" s="98" t="s">
        <v>200</v>
      </c>
    </row>
    <row r="6" spans="1:2" x14ac:dyDescent="0.3">
      <c r="B6" s="158"/>
    </row>
  </sheetData>
  <hyperlinks>
    <hyperlink ref="B1" location="SU_01002" display="SU_01002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85" zoomScaleNormal="85" workbookViewId="0">
      <selection activeCell="I17" sqref="I17"/>
    </sheetView>
  </sheetViews>
  <sheetFormatPr baseColWidth="10" defaultRowHeight="14.4" x14ac:dyDescent="0.3"/>
  <cols>
    <col min="2" max="2" width="19.44140625" customWidth="1"/>
    <col min="3" max="3" width="33" customWidth="1"/>
    <col min="5" max="5" width="13.88671875" bestFit="1" customWidth="1"/>
  </cols>
  <sheetData>
    <row r="1" spans="1:15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N12+I16</f>
        <v>230.06737599999997</v>
      </c>
      <c r="O2" s="64"/>
    </row>
    <row r="3" spans="1:15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2</v>
      </c>
      <c r="O3" s="64"/>
    </row>
    <row r="4" spans="1:15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5" x14ac:dyDescent="0.3">
      <c r="A5" s="111" t="s">
        <v>15</v>
      </c>
      <c r="B5" s="76" t="s">
        <v>179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460.13475199999993</v>
      </c>
      <c r="O5" s="64"/>
    </row>
    <row r="6" spans="1:15" x14ac:dyDescent="0.3">
      <c r="A6" s="111" t="s">
        <v>7</v>
      </c>
      <c r="B6" s="29" t="s">
        <v>205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5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5" x14ac:dyDescent="0.3">
      <c r="A11" s="92">
        <v>10</v>
      </c>
      <c r="B11" s="27" t="s">
        <v>133</v>
      </c>
      <c r="C11" s="21" t="s">
        <v>38</v>
      </c>
      <c r="D11" s="154">
        <v>9.1999999999999998E-3</v>
      </c>
      <c r="E11" s="152">
        <f>J11*K11</f>
        <v>24969.279999999999</v>
      </c>
      <c r="F11" s="21" t="s">
        <v>191</v>
      </c>
      <c r="G11" s="21"/>
      <c r="H11" s="20"/>
      <c r="I11" s="22" t="s">
        <v>192</v>
      </c>
      <c r="J11" s="106">
        <f>3.14*(8*8-6*6)</f>
        <v>87.92</v>
      </c>
      <c r="K11" s="83">
        <v>284</v>
      </c>
      <c r="L11" s="84"/>
      <c r="M11" s="24">
        <v>1</v>
      </c>
      <c r="N11" s="31">
        <f>D11*E11</f>
        <v>229.71737599999997</v>
      </c>
      <c r="O11" s="69"/>
    </row>
    <row r="12" spans="1:15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229.71737599999997</v>
      </c>
      <c r="O12" s="64"/>
    </row>
    <row r="13" spans="1:15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5" ht="28.8" x14ac:dyDescent="0.3">
      <c r="A15" s="93">
        <v>10</v>
      </c>
      <c r="B15" s="149" t="s">
        <v>189</v>
      </c>
      <c r="C15" s="32" t="s">
        <v>190</v>
      </c>
      <c r="D15" s="33">
        <v>0.35</v>
      </c>
      <c r="E15" s="28" t="s">
        <v>35</v>
      </c>
      <c r="F15" s="32">
        <v>1</v>
      </c>
      <c r="G15" s="32"/>
      <c r="H15" s="32"/>
      <c r="I15" s="33">
        <f>IF(H15="",D15*F15,D15*F15*H15)</f>
        <v>0.35</v>
      </c>
      <c r="J15" s="60"/>
      <c r="K15" s="60"/>
      <c r="L15" s="60"/>
      <c r="M15" s="60"/>
      <c r="N15" s="60"/>
      <c r="O15" s="71"/>
    </row>
    <row r="16" spans="1:15" x14ac:dyDescent="0.3">
      <c r="A16" s="70"/>
      <c r="B16" s="25"/>
      <c r="C16" s="25"/>
      <c r="D16" s="25"/>
      <c r="E16" s="25"/>
      <c r="F16" s="25"/>
      <c r="G16" s="25"/>
      <c r="H16" s="120" t="s">
        <v>18</v>
      </c>
      <c r="I16" s="118">
        <f>SUM(I15:I15)</f>
        <v>0.35</v>
      </c>
      <c r="J16" s="25"/>
      <c r="K16" s="25"/>
      <c r="L16" s="25"/>
      <c r="M16" s="25"/>
      <c r="N16" s="25"/>
      <c r="O16" s="64"/>
    </row>
    <row r="17" spans="1:15" ht="15" thickBot="1" x14ac:dyDescent="0.35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4"/>
    </row>
  </sheetData>
  <hyperlinks>
    <hyperlink ref="B4" location="'SU A0100'!A1" display="'SU A0100'!A1"/>
    <hyperlink ref="G2" location="SU_A0100_BOM" display="Back to BOM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70" zoomScaleNormal="70" workbookViewId="0">
      <selection activeCell="G2" sqref="G2"/>
    </sheetView>
  </sheetViews>
  <sheetFormatPr baseColWidth="10" defaultRowHeight="14.4" x14ac:dyDescent="0.3"/>
  <cols>
    <col min="2" max="2" width="33.88671875" customWidth="1"/>
    <col min="3" max="3" width="46.6640625" customWidth="1"/>
    <col min="5" max="5" width="13.88671875" bestFit="1" customWidth="1"/>
  </cols>
  <sheetData>
    <row r="1" spans="1:15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3">
      <c r="A2" s="111" t="s">
        <v>0</v>
      </c>
      <c r="B2" s="16" t="s">
        <v>37</v>
      </c>
      <c r="C2" s="58"/>
      <c r="D2" s="58"/>
      <c r="E2" s="58"/>
      <c r="F2" s="58"/>
      <c r="G2" s="97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N12+I16</f>
        <v>186.38872000000001</v>
      </c>
      <c r="O2" s="64"/>
    </row>
    <row r="3" spans="1:15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2</v>
      </c>
      <c r="O3" s="64"/>
    </row>
    <row r="4" spans="1:15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5" x14ac:dyDescent="0.3">
      <c r="A5" s="111" t="s">
        <v>15</v>
      </c>
      <c r="B5" s="76" t="s">
        <v>178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372.77744000000001</v>
      </c>
      <c r="O5" s="64"/>
    </row>
    <row r="6" spans="1:15" x14ac:dyDescent="0.3">
      <c r="A6" s="111" t="s">
        <v>7</v>
      </c>
      <c r="B6" s="29" t="s">
        <v>204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5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5" x14ac:dyDescent="0.3">
      <c r="A11" s="92">
        <v>10</v>
      </c>
      <c r="B11" s="27" t="s">
        <v>133</v>
      </c>
      <c r="C11" s="21" t="s">
        <v>38</v>
      </c>
      <c r="D11" s="154">
        <v>9.1999999999999998E-3</v>
      </c>
      <c r="E11" s="152">
        <f>J11*K11</f>
        <v>20221.600000000002</v>
      </c>
      <c r="F11" s="21" t="s">
        <v>191</v>
      </c>
      <c r="G11" s="21"/>
      <c r="H11" s="20"/>
      <c r="I11" s="22" t="s">
        <v>192</v>
      </c>
      <c r="J11" s="106">
        <f>3.14*(8*8-6*6)</f>
        <v>87.92</v>
      </c>
      <c r="K11" s="83">
        <v>230</v>
      </c>
      <c r="L11" s="84"/>
      <c r="M11" s="24">
        <v>1</v>
      </c>
      <c r="N11" s="31">
        <f>D11*E11</f>
        <v>186.03872000000001</v>
      </c>
      <c r="O11" s="69"/>
    </row>
    <row r="12" spans="1:15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186.03872000000001</v>
      </c>
      <c r="O12" s="64"/>
    </row>
    <row r="13" spans="1:15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5" x14ac:dyDescent="0.3">
      <c r="A15" s="93">
        <v>10</v>
      </c>
      <c r="B15" s="149" t="s">
        <v>189</v>
      </c>
      <c r="C15" s="32" t="s">
        <v>190</v>
      </c>
      <c r="D15" s="33">
        <v>0.35</v>
      </c>
      <c r="E15" s="28" t="s">
        <v>35</v>
      </c>
      <c r="F15" s="32">
        <v>1</v>
      </c>
      <c r="G15" s="32"/>
      <c r="H15" s="32"/>
      <c r="I15" s="33">
        <f>IF(H15="",D15*F15,D15*F15*H15)</f>
        <v>0.35</v>
      </c>
      <c r="J15" s="60"/>
      <c r="K15" s="60"/>
      <c r="L15" s="60"/>
      <c r="M15" s="60"/>
      <c r="N15" s="60"/>
      <c r="O15" s="71"/>
    </row>
    <row r="16" spans="1:15" x14ac:dyDescent="0.3">
      <c r="A16" s="70"/>
      <c r="B16" s="25"/>
      <c r="C16" s="25"/>
      <c r="D16" s="25"/>
      <c r="E16" s="25"/>
      <c r="F16" s="25"/>
      <c r="G16" s="25"/>
      <c r="H16" s="120" t="s">
        <v>18</v>
      </c>
      <c r="I16" s="118">
        <f>SUM(I15:I15)</f>
        <v>0.35</v>
      </c>
      <c r="J16" s="25"/>
      <c r="K16" s="25"/>
      <c r="L16" s="25"/>
      <c r="M16" s="25"/>
      <c r="N16" s="25"/>
      <c r="O16" s="64"/>
    </row>
    <row r="17" spans="1:15" ht="15" thickBot="1" x14ac:dyDescent="0.35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4"/>
    </row>
  </sheetData>
  <hyperlinks>
    <hyperlink ref="B4" location="'SU A0100'!A1" display="'SU A0100'!A1"/>
    <hyperlink ref="G2" location="SU_A0100_BOM" display="Back to B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35</vt:i4>
      </vt:variant>
    </vt:vector>
  </HeadingPairs>
  <TitlesOfParts>
    <vt:vector size="48" baseType="lpstr">
      <vt:lpstr>Instructions</vt:lpstr>
      <vt:lpstr>BOM</vt:lpstr>
      <vt:lpstr>SU A0100</vt:lpstr>
      <vt:lpstr>SU 01001</vt:lpstr>
      <vt:lpstr>dSU 01001</vt:lpstr>
      <vt:lpstr>SU 01002</vt:lpstr>
      <vt:lpstr>dSU 01002</vt:lpstr>
      <vt:lpstr>SU 01003</vt:lpstr>
      <vt:lpstr>SU 01004</vt:lpstr>
      <vt:lpstr>SU 01005</vt:lpstr>
      <vt:lpstr>dSU 01005</vt:lpstr>
      <vt:lpstr>SU 01006</vt:lpstr>
      <vt:lpstr>dSU 01006</vt:lpstr>
      <vt:lpstr>dSU_01001</vt:lpstr>
      <vt:lpstr>dSU_01002</vt:lpstr>
      <vt:lpstr>dSU_01005</vt:lpstr>
      <vt:lpstr>dSU_01006</vt:lpstr>
      <vt:lpstr>SU_01001</vt:lpstr>
      <vt:lpstr>SU_01001_m</vt:lpstr>
      <vt:lpstr>SU_01001_p</vt:lpstr>
      <vt:lpstr>SU_01001_q</vt:lpstr>
      <vt:lpstr>SU_01002</vt:lpstr>
      <vt:lpstr>SU_01002_m</vt:lpstr>
      <vt:lpstr>SU_01002_p</vt:lpstr>
      <vt:lpstr>SU_01002_q</vt:lpstr>
      <vt:lpstr>SU_01003</vt:lpstr>
      <vt:lpstr>SU_01003_m</vt:lpstr>
      <vt:lpstr>SU_01003_p</vt:lpstr>
      <vt:lpstr>SU_01003_q</vt:lpstr>
      <vt:lpstr>SU_01004</vt:lpstr>
      <vt:lpstr>SU_01004_m</vt:lpstr>
      <vt:lpstr>SU_01004_p</vt:lpstr>
      <vt:lpstr>SU_01004_q</vt:lpstr>
      <vt:lpstr>SU_01005</vt:lpstr>
      <vt:lpstr>SU_01005_m</vt:lpstr>
      <vt:lpstr>SU_01005_p</vt:lpstr>
      <vt:lpstr>SU_01005_q</vt:lpstr>
      <vt:lpstr>SU_01006</vt:lpstr>
      <vt:lpstr>SU_01006_m</vt:lpstr>
      <vt:lpstr>SU_01006_p</vt:lpstr>
      <vt:lpstr>SU_01006_q</vt:lpstr>
      <vt:lpstr>SU_A0100</vt:lpstr>
      <vt:lpstr>SU_A0100_BOM</vt:lpstr>
      <vt:lpstr>SU_A0100_f</vt:lpstr>
      <vt:lpstr>SU_A0100_m</vt:lpstr>
      <vt:lpstr>SU_A0100_p</vt:lpstr>
      <vt:lpstr>SU_A0100_pa</vt:lpstr>
      <vt:lpstr>SU_A0100_q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Aurélien</cp:lastModifiedBy>
  <cp:revision>0</cp:revision>
  <dcterms:created xsi:type="dcterms:W3CDTF">2015-05-29T18:57:13Z</dcterms:created>
  <dcterms:modified xsi:type="dcterms:W3CDTF">2018-05-03T11:12:55Z</dcterms:modified>
  <dc:language>fr-FR</dc:language>
</cp:coreProperties>
</file>