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68296CDC-0AE2-4D99-87AC-1AFFA2171113}" xr6:coauthVersionLast="32" xr6:coauthVersionMax="32" xr10:uidLastSave="{00000000-0000-0000-0000-000000000000}"/>
  <bookViews>
    <workbookView xWindow="0" yWindow="0" windowWidth="22260" windowHeight="12645" tabRatio="660" firstSheet="18" activeTab="21" xr2:uid="{00000000-000D-0000-FFFF-FFFF00000000}"/>
  </bookViews>
  <sheets>
    <sheet name="BOM" sheetId="2" r:id="rId1"/>
    <sheet name="EL_A0100" sheetId="3" r:id="rId2"/>
    <sheet name="EL_01001" sheetId="4" r:id="rId3"/>
    <sheet name="dEL_01001" sheetId="5" r:id="rId4"/>
    <sheet name="EL_01002" sheetId="6" r:id="rId5"/>
    <sheet name="dEL_01002" sheetId="7" r:id="rId6"/>
    <sheet name="EL_01003" sheetId="8" r:id="rId7"/>
    <sheet name="dEL_01003" sheetId="9" r:id="rId8"/>
    <sheet name="EL_01004" sheetId="10" r:id="rId9"/>
    <sheet name="EL_01005" sheetId="12" r:id="rId10"/>
    <sheet name="dEL_01005" sheetId="13" r:id="rId11"/>
    <sheet name="EL_01006" sheetId="14" r:id="rId12"/>
    <sheet name="dEL_01006" sheetId="15" r:id="rId13"/>
    <sheet name="EL A0200" sheetId="16" r:id="rId14"/>
    <sheet name="EL 02001" sheetId="17" r:id="rId15"/>
    <sheet name="EL 02002" sheetId="19" r:id="rId16"/>
    <sheet name="EL 02003" sheetId="21" r:id="rId17"/>
    <sheet name="dEL 02003" sheetId="22" r:id="rId18"/>
    <sheet name="EL_02004" sheetId="23" r:id="rId19"/>
    <sheet name="dEL 02004" sheetId="24" r:id="rId20"/>
    <sheet name="EL_A0300" sheetId="25" r:id="rId21"/>
    <sheet name="EL_03001" sheetId="26" r:id="rId22"/>
    <sheet name="dEL_03001" sheetId="27" r:id="rId23"/>
    <sheet name="EL_03002" sheetId="28" r:id="rId24"/>
    <sheet name="dEL_03002" sheetId="29" r:id="rId25"/>
    <sheet name="EL_03003" sheetId="30" r:id="rId26"/>
    <sheet name="dEL_03003" sheetId="31" r:id="rId27"/>
  </sheets>
  <externalReferences>
    <externalReference r:id="rId28"/>
  </externalReferences>
  <definedNames>
    <definedName name="dEL_01001" localSheetId="3">dEL_01001!$B$1</definedName>
    <definedName name="dEL_01002">dEL_01002!$B$1</definedName>
    <definedName name="dEL_01003">dEL_01003!$B$1</definedName>
    <definedName name="dEL_01005">dEL_01005!$B$1</definedName>
    <definedName name="dEL_01006">dEL_01006!$B$1</definedName>
    <definedName name="dEL_02004">'dEL 02004'!$B$1</definedName>
    <definedName name="dEL_03001">dEL_03001!$B$1</definedName>
    <definedName name="dEL_03002">dEL_03002!$B$1</definedName>
    <definedName name="dEL_03003">dEL_03003!$B$1</definedName>
    <definedName name="EL_01001">EL_01001!$B$6</definedName>
    <definedName name="EL_01001_m">EL_01001!$N$12</definedName>
    <definedName name="EL_01001_p">EL_01001!$I$17</definedName>
    <definedName name="EL_01001_q">EL_01001!$N$3</definedName>
    <definedName name="EL_01002">EL_01002!$B$6</definedName>
    <definedName name="EL_01002_m">EL_01002!$N$12</definedName>
    <definedName name="EL_01002_p">EL_01002!$I$17</definedName>
    <definedName name="EL_01002_q">EL_01002!$N$3</definedName>
    <definedName name="EL_01003">EL_01003!$B$6</definedName>
    <definedName name="EL_01003_m">EL_01003!$N$12</definedName>
    <definedName name="EL_01003_p">EL_01003!$I$17</definedName>
    <definedName name="EL_01003_q">EL_01003!$N$3</definedName>
    <definedName name="EL_01004">EL_01004!$B$6</definedName>
    <definedName name="EL_01004_m">EL_01004!$N$12</definedName>
    <definedName name="EL_01004_p">EL_01004!$I$17</definedName>
    <definedName name="EL_01004_q">EL_01004!$N$3</definedName>
    <definedName name="EL_01005">EL_01005!$B$6</definedName>
    <definedName name="EL_01005_m">EL_01005!$N$12</definedName>
    <definedName name="EL_01005_p">EL_01005!$I$17</definedName>
    <definedName name="EL_01005_q">EL_01005!$N$3</definedName>
    <definedName name="EL_01006">EL_01006!$B$6</definedName>
    <definedName name="EL_01006_m">EL_01006!$N$12</definedName>
    <definedName name="EL_01006_p">EL_01006!$I$17</definedName>
    <definedName name="EL_01006_q">EL_01006!$N$3</definedName>
    <definedName name="EL_02001">'EL 02001'!$B$6</definedName>
    <definedName name="EL_02001_m">'EL 02001'!$N$12</definedName>
    <definedName name="EL_02001_p">'EL 02001'!$I$23</definedName>
    <definedName name="EL_02001_q">'EL 02001'!$N$3</definedName>
    <definedName name="EL_02001_t">'EL 02001'!$I$27</definedName>
    <definedName name="EL_02002">'EL 02002'!$B$6</definedName>
    <definedName name="EL_02002_f">'EL 02002'!$J$35</definedName>
    <definedName name="EL_02002_m">'EL 02002'!$N$20</definedName>
    <definedName name="EL_02002_p">'EL 02002'!$I$31</definedName>
    <definedName name="EL_02002_q">'EL 02002'!$N$3</definedName>
    <definedName name="EL_02003">'EL 02003'!$B$6</definedName>
    <definedName name="EL_02003_m">'EL 02003'!$N$12</definedName>
    <definedName name="EL_02003_p">'EL 02003'!$I$18</definedName>
    <definedName name="EL_02003_q">'EL 02003'!$N$3</definedName>
    <definedName name="EL_02004">EL_02004!$B$6</definedName>
    <definedName name="EL_02004_m">EL_02004!$N$12</definedName>
    <definedName name="EL_02004_p">EL_02004!$I$17</definedName>
    <definedName name="EL_02004_q">EL_02004!$N$3</definedName>
    <definedName name="EL_03001">EL_03001!$B$6</definedName>
    <definedName name="EL_03001_m">EL_03001!$N$12</definedName>
    <definedName name="EL_03001_p">EL_03001!$I$18</definedName>
    <definedName name="EL_03001_q">EL_03001!$N$3</definedName>
    <definedName name="EL_03002">EL_03002!$B$6</definedName>
    <definedName name="EL_03002_m">EL_03002!$N$12</definedName>
    <definedName name="EL_03002_p">EL_03002!$I$18</definedName>
    <definedName name="EL_03002_q">EL_03002!$N$3</definedName>
    <definedName name="EL_03003">EL_03003!$B$6</definedName>
    <definedName name="EL_03003_m">EL_03003!$N$12</definedName>
    <definedName name="EL_03003_p">EL_03003!$I$17</definedName>
    <definedName name="EL_03003_q">EL_03003!$N$3</definedName>
    <definedName name="EL_A0001">EL_A0100!$B$5</definedName>
    <definedName name="EL_A0001_BOM">BOM!$C$7</definedName>
    <definedName name="EL_A0001_f">EL_A0100!$J$110</definedName>
    <definedName name="EL_A0001_m">EL_A0100!$N$66</definedName>
    <definedName name="EL_A0001_p">EL_A0100!$I$86</definedName>
    <definedName name="EL_A0001_pa">EL_A0100!$E$16</definedName>
    <definedName name="EL_A0001_q">EL_A0100!$N$3</definedName>
    <definedName name="EL_A0001_t">EL_A0100!$I$114</definedName>
    <definedName name="EL_A0002">'EL A0200'!$B$5</definedName>
    <definedName name="EL_A0002_BOM">BOM!$C$14</definedName>
    <definedName name="EL_A0002_f">'EL A0200'!$J$61</definedName>
    <definedName name="EL_A0002_m">'EL A0200'!$N$43</definedName>
    <definedName name="EL_A0002_p">'EL A0200'!$I$56</definedName>
    <definedName name="EL_A0002_pa">'EL A0200'!$E$14</definedName>
    <definedName name="EL_A0002_q">'EL A0200'!$N$3</definedName>
    <definedName name="EL_A0002_t">'EL A0200'!$I$65</definedName>
    <definedName name="EL_A0003">EL_A0300!$B$5</definedName>
    <definedName name="EL_A0003_BOM">BOM!$C$19</definedName>
    <definedName name="EL_A0003_f">EL_A0300!$J$35</definedName>
    <definedName name="EL_A0003_m">EL_A0300!$N$18</definedName>
    <definedName name="EL_A0003_p">EL_A0300!$I$29</definedName>
    <definedName name="EL_A0003_pa">EL_A0300!$E$13</definedName>
    <definedName name="EL_A0003_q">EL_A0300!$N$3</definedName>
    <definedName name="EL_A0003_t">EL_A0300!$I$39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0" l="1"/>
  <c r="K21" i="2"/>
  <c r="J21" i="2"/>
  <c r="K20" i="2"/>
  <c r="J20" i="2"/>
  <c r="M15" i="2"/>
  <c r="L16" i="2"/>
  <c r="K18" i="2"/>
  <c r="K17" i="2"/>
  <c r="K16" i="2"/>
  <c r="J18" i="2"/>
  <c r="J17" i="2"/>
  <c r="J16" i="2"/>
  <c r="K15" i="2"/>
  <c r="J15" i="2"/>
  <c r="K13" i="2"/>
  <c r="K12" i="2"/>
  <c r="K10" i="2"/>
  <c r="J13" i="2"/>
  <c r="J12" i="2"/>
  <c r="J10" i="2"/>
  <c r="M19" i="2"/>
  <c r="L19" i="2"/>
  <c r="K19" i="2"/>
  <c r="J19" i="2"/>
  <c r="M14" i="2"/>
  <c r="L14" i="2"/>
  <c r="K14" i="2"/>
  <c r="J14" i="2"/>
  <c r="I22" i="2"/>
  <c r="I20" i="2"/>
  <c r="I21" i="2"/>
  <c r="I18" i="2"/>
  <c r="I17" i="2"/>
  <c r="I16" i="2"/>
  <c r="I15" i="2"/>
  <c r="I13" i="2"/>
  <c r="I12" i="2"/>
  <c r="I11" i="2"/>
  <c r="I10" i="2"/>
  <c r="I9" i="2"/>
  <c r="I8" i="2"/>
  <c r="I19" i="2"/>
  <c r="I14" i="2"/>
  <c r="F14" i="2"/>
  <c r="F22" i="2"/>
  <c r="F21" i="2"/>
  <c r="F20" i="2"/>
  <c r="F18" i="2"/>
  <c r="F17" i="2"/>
  <c r="F16" i="2"/>
  <c r="F15" i="2"/>
  <c r="F13" i="2" l="1"/>
  <c r="F12" i="2"/>
  <c r="F11" i="2"/>
  <c r="F10" i="2"/>
  <c r="F9" i="2"/>
  <c r="F8" i="2"/>
  <c r="E21" i="2"/>
  <c r="E22" i="2"/>
  <c r="E20" i="2"/>
  <c r="F19" i="2"/>
  <c r="E16" i="2"/>
  <c r="E17" i="2"/>
  <c r="E18" i="2"/>
  <c r="E15" i="2"/>
  <c r="E9" i="2"/>
  <c r="E10" i="2"/>
  <c r="E11" i="2"/>
  <c r="E12" i="2"/>
  <c r="E13" i="2"/>
  <c r="E8" i="2"/>
  <c r="F7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L23" i="2"/>
  <c r="M23" i="2"/>
  <c r="H17" i="2"/>
  <c r="N17" i="2" s="1"/>
  <c r="H18" i="2"/>
  <c r="N18" i="2" s="1"/>
  <c r="H19" i="2"/>
  <c r="N19" i="2" s="1"/>
  <c r="H20" i="2"/>
  <c r="N20" i="2" s="1"/>
  <c r="H21" i="2"/>
  <c r="N21" i="2" s="1"/>
  <c r="B21" i="2"/>
  <c r="B20" i="2"/>
  <c r="B19" i="2"/>
  <c r="B17" i="2"/>
  <c r="B18" i="2"/>
  <c r="E14" i="16" l="1"/>
  <c r="D12" i="25"/>
  <c r="D11" i="25"/>
  <c r="D10" i="25"/>
  <c r="N2" i="28"/>
  <c r="N2" i="23"/>
  <c r="N2" i="26"/>
  <c r="D15" i="3"/>
  <c r="D14" i="3"/>
  <c r="D13" i="3"/>
  <c r="D12" i="3"/>
  <c r="D11" i="3"/>
  <c r="D10" i="3"/>
  <c r="C13" i="16"/>
  <c r="D13" i="16"/>
  <c r="D12" i="16"/>
  <c r="D11" i="16"/>
  <c r="D10" i="16"/>
  <c r="N2" i="17"/>
  <c r="N2" i="19"/>
  <c r="N2" i="21"/>
  <c r="N5" i="21" s="1"/>
  <c r="N2" i="14"/>
  <c r="N2" i="12"/>
  <c r="N2" i="8"/>
  <c r="I17" i="30"/>
  <c r="K22" i="2" s="1"/>
  <c r="I18" i="28"/>
  <c r="I18" i="26"/>
  <c r="J35" i="25"/>
  <c r="I29" i="25"/>
  <c r="N18" i="25"/>
  <c r="I17" i="23"/>
  <c r="N20" i="19"/>
  <c r="I31" i="19"/>
  <c r="I18" i="21"/>
  <c r="I65" i="16"/>
  <c r="J61" i="16"/>
  <c r="I56" i="16"/>
  <c r="N43" i="16"/>
  <c r="I17" i="14"/>
  <c r="I17" i="12"/>
  <c r="I17" i="8"/>
  <c r="I114" i="3"/>
  <c r="J110" i="3"/>
  <c r="I86" i="3"/>
  <c r="N66" i="3"/>
  <c r="B1" i="31"/>
  <c r="B3" i="30"/>
  <c r="B4" i="30"/>
  <c r="J11" i="30"/>
  <c r="N11" i="30"/>
  <c r="N12" i="30" s="1"/>
  <c r="J22" i="2" s="1"/>
  <c r="H22" i="2" s="1"/>
  <c r="N22" i="2" s="1"/>
  <c r="H15" i="30"/>
  <c r="I15" i="30" s="1"/>
  <c r="I16" i="30"/>
  <c r="B1" i="29"/>
  <c r="B3" i="28"/>
  <c r="B4" i="28"/>
  <c r="N11" i="28"/>
  <c r="N12" i="28" s="1"/>
  <c r="I15" i="28"/>
  <c r="I16" i="28"/>
  <c r="I17" i="28"/>
  <c r="B1" i="27"/>
  <c r="B3" i="26"/>
  <c r="B4" i="26"/>
  <c r="N11" i="26"/>
  <c r="N12" i="26"/>
  <c r="I15" i="26"/>
  <c r="I16" i="26"/>
  <c r="I17" i="26"/>
  <c r="B10" i="25"/>
  <c r="B11" i="25"/>
  <c r="B12" i="25"/>
  <c r="N16" i="25"/>
  <c r="N17" i="25"/>
  <c r="I21" i="25"/>
  <c r="I22" i="25"/>
  <c r="I23" i="25"/>
  <c r="I24" i="25"/>
  <c r="I25" i="25"/>
  <c r="I26" i="25"/>
  <c r="I27" i="25"/>
  <c r="I28" i="25"/>
  <c r="J32" i="25"/>
  <c r="J33" i="25"/>
  <c r="J34" i="25"/>
  <c r="I38" i="25"/>
  <c r="I39" i="25"/>
  <c r="B1" i="24"/>
  <c r="B3" i="23"/>
  <c r="B4" i="23"/>
  <c r="J11" i="23"/>
  <c r="E11" i="23" s="1"/>
  <c r="H15" i="23"/>
  <c r="I15" i="23"/>
  <c r="I16" i="23"/>
  <c r="B3" i="21"/>
  <c r="B4" i="21"/>
  <c r="N11" i="21"/>
  <c r="N12" i="21" s="1"/>
  <c r="I15" i="21"/>
  <c r="I16" i="21"/>
  <c r="I17" i="21"/>
  <c r="N5" i="19"/>
  <c r="B3" i="19"/>
  <c r="B4" i="19"/>
  <c r="N11" i="19"/>
  <c r="N12" i="19"/>
  <c r="N13" i="19"/>
  <c r="N14" i="19"/>
  <c r="N15" i="19"/>
  <c r="N16" i="19"/>
  <c r="N17" i="19"/>
  <c r="N18" i="19"/>
  <c r="N19" i="19"/>
  <c r="I23" i="19"/>
  <c r="I24" i="19"/>
  <c r="I25" i="19"/>
  <c r="I26" i="19"/>
  <c r="I27" i="19"/>
  <c r="I28" i="19"/>
  <c r="I29" i="19"/>
  <c r="I30" i="19"/>
  <c r="J34" i="19"/>
  <c r="J35" i="19" s="1"/>
  <c r="N5" i="17"/>
  <c r="B3" i="17"/>
  <c r="B4" i="17"/>
  <c r="E11" i="17"/>
  <c r="N11" i="17" s="1"/>
  <c r="N12" i="17" s="1"/>
  <c r="I15" i="17"/>
  <c r="I16" i="17"/>
  <c r="I17" i="17"/>
  <c r="I18" i="17"/>
  <c r="I19" i="17"/>
  <c r="I20" i="17"/>
  <c r="I21" i="17"/>
  <c r="I22" i="17"/>
  <c r="I26" i="17"/>
  <c r="I27" i="17" s="1"/>
  <c r="B10" i="16"/>
  <c r="B11" i="16"/>
  <c r="B12" i="16"/>
  <c r="B13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I47" i="16"/>
  <c r="I48" i="16"/>
  <c r="I49" i="16"/>
  <c r="I50" i="16"/>
  <c r="I51" i="16"/>
  <c r="I52" i="16"/>
  <c r="I53" i="16"/>
  <c r="I54" i="16"/>
  <c r="I55" i="16"/>
  <c r="J59" i="16"/>
  <c r="J60" i="16"/>
  <c r="I64" i="16"/>
  <c r="B1" i="15"/>
  <c r="B3" i="14"/>
  <c r="B4" i="14"/>
  <c r="J11" i="14"/>
  <c r="E11" i="14" s="1"/>
  <c r="I15" i="14"/>
  <c r="I16" i="14"/>
  <c r="B1" i="13"/>
  <c r="B3" i="12"/>
  <c r="B4" i="12"/>
  <c r="J11" i="12"/>
  <c r="E11" i="12" s="1"/>
  <c r="I15" i="12"/>
  <c r="I16" i="12"/>
  <c r="B3" i="10"/>
  <c r="B4" i="10"/>
  <c r="N11" i="10"/>
  <c r="N12" i="10"/>
  <c r="J11" i="2" s="1"/>
  <c r="I15" i="10"/>
  <c r="I16" i="10"/>
  <c r="K11" i="2" s="1"/>
  <c r="H11" i="2" s="1"/>
  <c r="N11" i="2" s="1"/>
  <c r="B1" i="9"/>
  <c r="B3" i="8"/>
  <c r="B4" i="8"/>
  <c r="J11" i="8"/>
  <c r="E11" i="8" s="1"/>
  <c r="I15" i="8"/>
  <c r="I16" i="8"/>
  <c r="B1" i="7"/>
  <c r="B3" i="6"/>
  <c r="B4" i="6"/>
  <c r="J11" i="6"/>
  <c r="E11" i="6" s="1"/>
  <c r="H15" i="6"/>
  <c r="I15" i="6"/>
  <c r="I16" i="6"/>
  <c r="I17" i="6" s="1"/>
  <c r="K9" i="2" s="1"/>
  <c r="B1" i="5"/>
  <c r="B3" i="4"/>
  <c r="B4" i="4"/>
  <c r="J11" i="4"/>
  <c r="E11" i="4" s="1"/>
  <c r="I15" i="4"/>
  <c r="I17" i="4" s="1"/>
  <c r="K8" i="2" s="1"/>
  <c r="I16" i="4"/>
  <c r="B10" i="3"/>
  <c r="B11" i="3"/>
  <c r="B12" i="3"/>
  <c r="B13" i="3"/>
  <c r="B14" i="3"/>
  <c r="B15" i="3"/>
  <c r="N19" i="3"/>
  <c r="N20" i="3"/>
  <c r="J7" i="2" s="1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I69" i="3"/>
  <c r="I70" i="3"/>
  <c r="I71" i="3"/>
  <c r="K7" i="2" s="1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J89" i="3"/>
  <c r="L7" i="2" s="1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I113" i="3"/>
  <c r="O1" i="2"/>
  <c r="B7" i="2"/>
  <c r="C7" i="2"/>
  <c r="I7" i="2"/>
  <c r="M7" i="2"/>
  <c r="B8" i="2"/>
  <c r="C8" i="2"/>
  <c r="B9" i="2"/>
  <c r="B10" i="2"/>
  <c r="H10" i="2"/>
  <c r="N10" i="2" s="1"/>
  <c r="B11" i="2"/>
  <c r="B12" i="2"/>
  <c r="H12" i="2"/>
  <c r="N12" i="2" s="1"/>
  <c r="B13" i="2"/>
  <c r="H13" i="2"/>
  <c r="N13" i="2" s="1"/>
  <c r="B14" i="2"/>
  <c r="H14" i="2"/>
  <c r="N14" i="2" s="1"/>
  <c r="B15" i="2"/>
  <c r="H15" i="2"/>
  <c r="N15" i="2" s="1"/>
  <c r="B16" i="2"/>
  <c r="H16" i="2"/>
  <c r="N16" i="2" s="1"/>
  <c r="B22" i="2"/>
  <c r="B23" i="2"/>
  <c r="N2" i="30" l="1"/>
  <c r="N2" i="10"/>
  <c r="C13" i="3" s="1"/>
  <c r="E13" i="3" s="1"/>
  <c r="K23" i="2"/>
  <c r="N11" i="4"/>
  <c r="N12" i="4" s="1"/>
  <c r="E13" i="16"/>
  <c r="N5" i="26"/>
  <c r="I23" i="17"/>
  <c r="C12" i="25"/>
  <c r="E12" i="25" s="1"/>
  <c r="E13" i="25" s="1"/>
  <c r="N5" i="30"/>
  <c r="C11" i="16"/>
  <c r="E11" i="16" s="1"/>
  <c r="C12" i="16"/>
  <c r="E12" i="16" s="1"/>
  <c r="N11" i="23"/>
  <c r="N12" i="23" s="1"/>
  <c r="N5" i="23" s="1"/>
  <c r="C10" i="16"/>
  <c r="E10" i="16" s="1"/>
  <c r="N11" i="14"/>
  <c r="N12" i="14" s="1"/>
  <c r="N11" i="12"/>
  <c r="N12" i="12" s="1"/>
  <c r="N11" i="8"/>
  <c r="N12" i="8" s="1"/>
  <c r="N11" i="6"/>
  <c r="N12" i="6" s="1"/>
  <c r="H7" i="2"/>
  <c r="N7" i="2" s="1"/>
  <c r="N5" i="10" l="1"/>
  <c r="J9" i="2"/>
  <c r="H9" i="2" s="1"/>
  <c r="N9" i="2" s="1"/>
  <c r="N2" i="6"/>
  <c r="N2" i="4"/>
  <c r="J8" i="2"/>
  <c r="N2" i="16"/>
  <c r="C10" i="25"/>
  <c r="E10" i="25" s="1"/>
  <c r="N5" i="28"/>
  <c r="C11" i="25"/>
  <c r="E11" i="25" s="1"/>
  <c r="C15" i="3"/>
  <c r="E15" i="3" s="1"/>
  <c r="N5" i="14"/>
  <c r="N5" i="12"/>
  <c r="C14" i="3"/>
  <c r="E14" i="3" s="1"/>
  <c r="N5" i="8"/>
  <c r="C12" i="3"/>
  <c r="E12" i="3" s="1"/>
  <c r="N5" i="6"/>
  <c r="C11" i="3"/>
  <c r="E11" i="3" s="1"/>
  <c r="J23" i="2" l="1"/>
  <c r="H8" i="2"/>
  <c r="N8" i="2" s="1"/>
  <c r="N23" i="2" s="1"/>
  <c r="N5" i="4"/>
  <c r="C10" i="3"/>
  <c r="E10" i="3" s="1"/>
  <c r="E16" i="3" s="1"/>
  <c r="N2" i="3" s="1"/>
  <c r="N2" i="25"/>
  <c r="N5" i="25" l="1"/>
  <c r="N5" i="3"/>
  <c r="N5" i="16"/>
</calcChain>
</file>

<file path=xl/sharedStrings.xml><?xml version="1.0" encoding="utf-8"?>
<sst xmlns="http://schemas.openxmlformats.org/spreadsheetml/2006/main" count="1527" uniqueCount="343">
  <si>
    <t>Area Total</t>
  </si>
  <si>
    <t>AA</t>
  </si>
  <si>
    <t>Details Page Number</t>
  </si>
  <si>
    <t>Total Cost</t>
  </si>
  <si>
    <t>Tooling Cost</t>
  </si>
  <si>
    <t>Fastener Cost</t>
  </si>
  <si>
    <t>Process Cost</t>
  </si>
  <si>
    <t>Material Cost</t>
  </si>
  <si>
    <t>Quantity</t>
  </si>
  <si>
    <t>Unit Cost</t>
  </si>
  <si>
    <t>Description</t>
  </si>
  <si>
    <t>Component</t>
  </si>
  <si>
    <t>Asm</t>
  </si>
  <si>
    <t>Rev. Lvl.</t>
  </si>
  <si>
    <t>Asm/Prt #</t>
  </si>
  <si>
    <t>Area of Commodity</t>
  </si>
  <si>
    <t>Line Num.</t>
  </si>
  <si>
    <t>The cost of assemlies on this chart should not include the cost of the parts in the assembly but only the materials, processes, fasteners and tooling in the assembly level.</t>
  </si>
  <si>
    <t>Car #</t>
  </si>
  <si>
    <t>Year</t>
  </si>
  <si>
    <t>FSAEI</t>
  </si>
  <si>
    <t>Competition Code</t>
  </si>
  <si>
    <t>Total Vehicle Cost</t>
  </si>
  <si>
    <t>Ecole Centrale de Lyon</t>
  </si>
  <si>
    <t>University</t>
  </si>
  <si>
    <t>Sub Total</t>
  </si>
  <si>
    <t>point</t>
  </si>
  <si>
    <t>Brackets welding</t>
  </si>
  <si>
    <t>Welds - Welding Fixture</t>
  </si>
  <si>
    <t>FractionIncluded</t>
  </si>
  <si>
    <t>PVF</t>
  </si>
  <si>
    <t>Unit</t>
  </si>
  <si>
    <t>UnitCost</t>
  </si>
  <si>
    <t>Use</t>
  </si>
  <si>
    <t>Tooling</t>
  </si>
  <si>
    <t>ItemOrder</t>
  </si>
  <si>
    <t>unit</t>
  </si>
  <si>
    <t>For harness routing</t>
  </si>
  <si>
    <t>Tie wrap</t>
  </si>
  <si>
    <t>cm^2</t>
  </si>
  <si>
    <t>For ECU and motogear box</t>
  </si>
  <si>
    <t>Hook and Loop, Loop Side (Velcro)</t>
  </si>
  <si>
    <t>Hook and Loop, Hook Side (Velcro)</t>
  </si>
  <si>
    <t>mm</t>
  </si>
  <si>
    <t>Crash sensor</t>
  </si>
  <si>
    <t>Nut, Grade 8.8 (SAE 5)</t>
  </si>
  <si>
    <t>Washer, Grade 8.8 (SAE 5)</t>
  </si>
  <si>
    <t>Bolt,Grade 8.8 (SAE)</t>
  </si>
  <si>
    <t>M3 on ground brackets</t>
  </si>
  <si>
    <t>Master switch</t>
  </si>
  <si>
    <t>Master switch brackets</t>
  </si>
  <si>
    <t>Fuse box</t>
  </si>
  <si>
    <t>Regulator redressor</t>
  </si>
  <si>
    <t>Unit2</t>
  </si>
  <si>
    <t>Size2</t>
  </si>
  <si>
    <t>Unit1</t>
  </si>
  <si>
    <t>Size1</t>
  </si>
  <si>
    <t>Fastener</t>
  </si>
  <si>
    <t>Reaction Tool &lt;= 6.35 mm</t>
  </si>
  <si>
    <t>Ratchet &lt;= 6.35 mm</t>
  </si>
  <si>
    <t>m</t>
  </si>
  <si>
    <t>Wire Dressing (install and route)</t>
  </si>
  <si>
    <t>cm</t>
  </si>
  <si>
    <t>Taping Wire Bundle</t>
  </si>
  <si>
    <t>Connector Install, Circular, Bayonet</t>
  </si>
  <si>
    <t>contact</t>
  </si>
  <si>
    <t>Connector assembly, crimp</t>
  </si>
  <si>
    <t>Install and route wiring harness</t>
  </si>
  <si>
    <t>Shrink tube</t>
  </si>
  <si>
    <t>repeat 15</t>
  </si>
  <si>
    <t>Cut heat shrink tubing</t>
  </si>
  <si>
    <t>Cut (scissors, knife)</t>
  </si>
  <si>
    <t>Strip wire ends</t>
  </si>
  <si>
    <t>Strip wire</t>
  </si>
  <si>
    <t>Cut sensor to appropriate length</t>
  </si>
  <si>
    <t>Cut wire</t>
  </si>
  <si>
    <t>Assemble fuse box on fuse box brackets</t>
  </si>
  <si>
    <t>Assemble, 1kg, Loose</t>
  </si>
  <si>
    <t>Lambda sensor</t>
  </si>
  <si>
    <t>Assemble ECU on vehicle</t>
  </si>
  <si>
    <t>Assemble, 3kg, Loose</t>
  </si>
  <si>
    <t>Assemble Master switch panel on brackets</t>
  </si>
  <si>
    <t>m^2</t>
  </si>
  <si>
    <t>Gearmotor box painting</t>
  </si>
  <si>
    <t>Aerosol apply</t>
  </si>
  <si>
    <t>Brackets painting</t>
  </si>
  <si>
    <t>Weld</t>
  </si>
  <si>
    <t>Mult. Val.</t>
  </si>
  <si>
    <t>Multiplier</t>
  </si>
  <si>
    <t>Process</t>
  </si>
  <si>
    <t>Gearmotor box</t>
  </si>
  <si>
    <t>Chassis Control Module, +Automatic Shifter</t>
  </si>
  <si>
    <t>Chassis Control Module, Baseline Enclosure</t>
  </si>
  <si>
    <t>Switch, Kill</t>
  </si>
  <si>
    <t>Heat Shrink Tubing</t>
  </si>
  <si>
    <t>Wire, Power</t>
  </si>
  <si>
    <t>Wire sleeving, split</t>
  </si>
  <si>
    <t>Wire, signal</t>
  </si>
  <si>
    <t>250A fuse</t>
  </si>
  <si>
    <t>Fuse, power</t>
  </si>
  <si>
    <t>250A fuse handler</t>
  </si>
  <si>
    <t>Starter motor, ECU, fuel pump, fan, gearmotor</t>
  </si>
  <si>
    <t>Relay, power</t>
  </si>
  <si>
    <t>pin</t>
  </si>
  <si>
    <t>4 relays, 8 fuses -&gt; 32 pins</t>
  </si>
  <si>
    <t>wire</t>
  </si>
  <si>
    <t>Connection to frame's ground</t>
  </si>
  <si>
    <t>Connector, Single wire</t>
  </si>
  <si>
    <t>Break light</t>
  </si>
  <si>
    <t>Fuel pump</t>
  </si>
  <si>
    <t>Gearmotor box supply - 2 wires</t>
  </si>
  <si>
    <t>Connector, High Power, &gt;2Amps</t>
  </si>
  <si>
    <t>Starter motor - 1 wire</t>
  </si>
  <si>
    <t>Regulator output - 2 wires</t>
  </si>
  <si>
    <t>Regulator input - 3 wires</t>
  </si>
  <si>
    <t>MAP &amp; IAT - 4 wires</t>
  </si>
  <si>
    <t>Connector, OEM Quality</t>
  </si>
  <si>
    <t>Crash sensor - 2 wires</t>
  </si>
  <si>
    <t>Fuel injection - 2x4 wires</t>
  </si>
  <si>
    <t>Ignition coils - 2x4 wires</t>
  </si>
  <si>
    <t>Fan - 2 wires</t>
  </si>
  <si>
    <t>ECU - 38 wires</t>
  </si>
  <si>
    <t>Crankshaft position sensor - 2 wires</t>
  </si>
  <si>
    <t>Camshaft position sensor - 2 wires</t>
  </si>
  <si>
    <t>Lambda sensor - 2x3 wires</t>
  </si>
  <si>
    <t>ECT - 2 wires</t>
  </si>
  <si>
    <t>Neutral switch - 1 wire</t>
  </si>
  <si>
    <t>Oil pressure sensor - 2 wires</t>
  </si>
  <si>
    <t>TPS - 3 wires</t>
  </si>
  <si>
    <t>DB-9 connector for ECU control</t>
  </si>
  <si>
    <t>Connector, Computer Type</t>
  </si>
  <si>
    <t>Firewall interface - 22 pins</t>
  </si>
  <si>
    <t>Connector, Aerospace quality</t>
  </si>
  <si>
    <t>gearmotor box control</t>
  </si>
  <si>
    <t>Sensor, Wide band air fuel ratio</t>
  </si>
  <si>
    <t>Oil pressure sensor</t>
  </si>
  <si>
    <t>Sensor, Fluid pressure</t>
  </si>
  <si>
    <t>Sensor, Two state position</t>
  </si>
  <si>
    <t>Neutral switch</t>
  </si>
  <si>
    <t>ECT</t>
  </si>
  <si>
    <t>Sensor, Temperature</t>
  </si>
  <si>
    <t>Sensor, Manifold Absolute Pressure (MAP)</t>
  </si>
  <si>
    <t>Crankshaft position sensor</t>
  </si>
  <si>
    <t>Sensor, Hall effect</t>
  </si>
  <si>
    <t>Camshaft position sensor</t>
  </si>
  <si>
    <t>Rear wheels speed sensors</t>
  </si>
  <si>
    <t>TPS</t>
  </si>
  <si>
    <t>Sensor, Angular position</t>
  </si>
  <si>
    <t>IAT sensor</t>
  </si>
  <si>
    <t>Sensor, Air Temperature</t>
  </si>
  <si>
    <t>DTA</t>
  </si>
  <si>
    <t>ECU, DTA, S80 Pro</t>
  </si>
  <si>
    <t>Density</t>
  </si>
  <si>
    <t>Length</t>
  </si>
  <si>
    <t>Area</t>
  </si>
  <si>
    <t>Area Name</t>
  </si>
  <si>
    <t>Material</t>
  </si>
  <si>
    <t>Part Cost</t>
  </si>
  <si>
    <t>Part</t>
  </si>
  <si>
    <t>Details</t>
  </si>
  <si>
    <t>FileLink3</t>
  </si>
  <si>
    <t>Suffix</t>
  </si>
  <si>
    <t>Extended Cost</t>
  </si>
  <si>
    <t>FileLink2</t>
  </si>
  <si>
    <t>P/N Base</t>
  </si>
  <si>
    <t>FileLink1</t>
  </si>
  <si>
    <t>Rear firewall instruments and wires</t>
  </si>
  <si>
    <t>Assembly</t>
  </si>
  <si>
    <t>Qty</t>
  </si>
  <si>
    <t>Electrical</t>
  </si>
  <si>
    <t>System</t>
  </si>
  <si>
    <t>Asm Cost</t>
  </si>
  <si>
    <t>Back to BOM</t>
  </si>
  <si>
    <t>Material - Steel</t>
  </si>
  <si>
    <t>Cutout shape</t>
  </si>
  <si>
    <t>Laser Cut</t>
  </si>
  <si>
    <t>2 parts cut from a single machine setup</t>
  </si>
  <si>
    <t>Setup for laser cutting</t>
  </si>
  <si>
    <t>Machining Setup, Install and remove</t>
  </si>
  <si>
    <t>Rectangular</t>
  </si>
  <si>
    <t>kg</t>
  </si>
  <si>
    <t>Stock material for part</t>
  </si>
  <si>
    <t>Steel, mild</t>
  </si>
  <si>
    <t>Fuse box bracket</t>
  </si>
  <si>
    <t>Drawing</t>
  </si>
  <si>
    <t>Drawing part :</t>
  </si>
  <si>
    <t>3 parts cut from a single machine setup</t>
  </si>
  <si>
    <t>Ground bracket</t>
  </si>
  <si>
    <t>Break light bracket</t>
  </si>
  <si>
    <t>Material - Composite</t>
  </si>
  <si>
    <t>mm^3</t>
  </si>
  <si>
    <t>Carbon Fiber Reinf Carbon</t>
  </si>
  <si>
    <t>EL 01004</t>
  </si>
  <si>
    <t>Master switch panel</t>
  </si>
  <si>
    <t>Master switch panel bracket</t>
  </si>
  <si>
    <t>Crash sensor bracket</t>
  </si>
  <si>
    <t>Material to weld the tabs</t>
  </si>
  <si>
    <t>Welds - Welding fixture</t>
  </si>
  <si>
    <t>Nuts to fix the dislays and leds</t>
  </si>
  <si>
    <t>Bolts to fix the dislays and leds</t>
  </si>
  <si>
    <t>Bolt, Grade 8.8 (SAE 5)</t>
  </si>
  <si>
    <t>Taping wire bundle</t>
  </si>
  <si>
    <t>repeat 35</t>
  </si>
  <si>
    <t>Firewall connexion</t>
  </si>
  <si>
    <t>Weld taps in frame</t>
  </si>
  <si>
    <t>Front wheels speed sensors</t>
  </si>
  <si>
    <t>Break over travel switch</t>
  </si>
  <si>
    <t>Shift pads</t>
  </si>
  <si>
    <t>Connector, OEM quality</t>
  </si>
  <si>
    <t>Wire, Signal</t>
  </si>
  <si>
    <t>Break over travel switch spades</t>
  </si>
  <si>
    <t>Connector, Single Wire</t>
  </si>
  <si>
    <t>Ground ring</t>
  </si>
  <si>
    <t>Firewall connexion 2</t>
  </si>
  <si>
    <t>Connector, Aerospace Quality</t>
  </si>
  <si>
    <t>Firewall connexion 1</t>
  </si>
  <si>
    <t>Circuit breaker</t>
  </si>
  <si>
    <t>Start button</t>
  </si>
  <si>
    <t>Switch, Pushbutton</t>
  </si>
  <si>
    <t>Contact switch</t>
  </si>
  <si>
    <t>Switch, Toggle</t>
  </si>
  <si>
    <t>Fan switch</t>
  </si>
  <si>
    <t>Homing shifter</t>
  </si>
  <si>
    <t>Traction control switch</t>
  </si>
  <si>
    <t>Wet/Dry switch</t>
  </si>
  <si>
    <t>Launch control button</t>
  </si>
  <si>
    <t>Data logger switch</t>
  </si>
  <si>
    <t>Contact light</t>
  </si>
  <si>
    <t>Lamp, LED</t>
  </si>
  <si>
    <t>Neutral light</t>
  </si>
  <si>
    <t>Fan light</t>
  </si>
  <si>
    <t>Shift light</t>
  </si>
  <si>
    <t>Oil temperature alert</t>
  </si>
  <si>
    <t>Gear</t>
  </si>
  <si>
    <t>Display, 7 Segment</t>
  </si>
  <si>
    <t>Water temperature</t>
  </si>
  <si>
    <t>RPM counter</t>
  </si>
  <si>
    <t>Dashboard assembly, dashboard control electronics and front harness</t>
  </si>
  <si>
    <t>EL A0200</t>
  </si>
  <si>
    <t>Front vehicule electronics</t>
  </si>
  <si>
    <t>m²</t>
  </si>
  <si>
    <t>Mold for all plates</t>
  </si>
  <si>
    <t>Lamination - Flat Panel Tool</t>
  </si>
  <si>
    <t>FracIncld</t>
  </si>
  <si>
    <t>hole</t>
  </si>
  <si>
    <t>Drilling fasteners hole</t>
  </si>
  <si>
    <t>Drilled hols &lt;25,4mm dia.</t>
  </si>
  <si>
    <t>Cutting the outer profile and the holes</t>
  </si>
  <si>
    <t>Waterjet Cut</t>
  </si>
  <si>
    <t>Setup for dashboard cuting</t>
  </si>
  <si>
    <t>Curing</t>
  </si>
  <si>
    <t>Cure, Room Temperature</t>
  </si>
  <si>
    <t>Vacuum form</t>
  </si>
  <si>
    <t>Resin application on the ply</t>
  </si>
  <si>
    <t>Resin application, Manual</t>
  </si>
  <si>
    <t>Lamination of the ply</t>
  </si>
  <si>
    <t>Lamination, Manual</t>
  </si>
  <si>
    <t>Carbon fiber cutting</t>
  </si>
  <si>
    <t>Cut (sicssors, knife)</t>
  </si>
  <si>
    <t>rectangle</t>
  </si>
  <si>
    <t>Dashboard composite</t>
  </si>
  <si>
    <t>Carbon Fiber, 1 Ply</t>
  </si>
  <si>
    <t>Dashboard support</t>
  </si>
  <si>
    <t>EL 02001</t>
  </si>
  <si>
    <t>Dashboard</t>
  </si>
  <si>
    <t>Wires</t>
  </si>
  <si>
    <t>Install Tie Wrap (Zip Tie, Cable Clamp)</t>
  </si>
  <si>
    <t>Tie wrap instalation</t>
  </si>
  <si>
    <t>Wires instalation</t>
  </si>
  <si>
    <t>Wire Dressing (Install and route)</t>
  </si>
  <si>
    <t>Molex connector install</t>
  </si>
  <si>
    <t>Connector Install, Square, Friction</t>
  </si>
  <si>
    <t>Lay control wires</t>
  </si>
  <si>
    <t>Lay Wire - Control</t>
  </si>
  <si>
    <t>Crimp Molex and Souriau connectors</t>
  </si>
  <si>
    <t>Connector Assembly, Crimp</t>
  </si>
  <si>
    <t>Crip wires</t>
  </si>
  <si>
    <t>Crimp Wire</t>
  </si>
  <si>
    <t>Strip Wire</t>
  </si>
  <si>
    <t>Cut wires in correct size</t>
  </si>
  <si>
    <t>Cut Wire</t>
  </si>
  <si>
    <t>Electronic board box</t>
  </si>
  <si>
    <t>Connection with Break Over Travel switch</t>
  </si>
  <si>
    <t>Power connection with rear vehicle electronics</t>
  </si>
  <si>
    <t>Signal connection with rear vehicle electronics</t>
  </si>
  <si>
    <t>Power connection with dashboard</t>
  </si>
  <si>
    <t>Signal connection with dashboard</t>
  </si>
  <si>
    <t>Student made electronic board</t>
  </si>
  <si>
    <t>Chassis Control Module, +Dashboard</t>
  </si>
  <si>
    <t>Electronic board power</t>
  </si>
  <si>
    <t>Electronic board communication</t>
  </si>
  <si>
    <t>Embedded electronics and wire connections to dashboard control</t>
  </si>
  <si>
    <t>EL 02002</t>
  </si>
  <si>
    <t>Dashboard control electronics</t>
  </si>
  <si>
    <t>Part bend</t>
  </si>
  <si>
    <t>Sheet metal bends</t>
  </si>
  <si>
    <t>Laser cut setup</t>
  </si>
  <si>
    <t>Material for part</t>
  </si>
  <si>
    <t>Steel, Mild</t>
  </si>
  <si>
    <t>Attachement to frame tap</t>
  </si>
  <si>
    <t>EL 02003</t>
  </si>
  <si>
    <t>Dashboard Tap</t>
  </si>
  <si>
    <t>Brackets welding on frame</t>
  </si>
  <si>
    <t>M6 for battery mount on tab</t>
  </si>
  <si>
    <t>Bolt,Grade 8.8 (SAE 5)</t>
  </si>
  <si>
    <t>Insert battery mount on bracket</t>
  </si>
  <si>
    <t>Reaction tool &lt;= 6.35mm</t>
  </si>
  <si>
    <t>Insert battery mount on backet</t>
  </si>
  <si>
    <t>Insert Battery in bracket</t>
  </si>
  <si>
    <t>Assemble, 1kg, Line-on-line</t>
  </si>
  <si>
    <t>Side mounts to main mount</t>
  </si>
  <si>
    <t>Riveting</t>
  </si>
  <si>
    <t>Side to main battery mount</t>
  </si>
  <si>
    <t>Tabs painting</t>
  </si>
  <si>
    <t>Tabs welding on frame</t>
  </si>
  <si>
    <t>Paint</t>
  </si>
  <si>
    <t>Starter battery LiFePo4</t>
  </si>
  <si>
    <t>Battery, Advanced chemistry (Li-Ion)</t>
  </si>
  <si>
    <t>Li-Ion battery assembly</t>
  </si>
  <si>
    <t>Battery assembly</t>
  </si>
  <si>
    <t>bend</t>
  </si>
  <si>
    <t>Rectangular area, 265x161mm</t>
  </si>
  <si>
    <t>Aluminium, Normal</t>
  </si>
  <si>
    <t>To carry the battery</t>
  </si>
  <si>
    <t>EL 03001</t>
  </si>
  <si>
    <t>Main battery mount</t>
  </si>
  <si>
    <t>Sheet metal design</t>
  </si>
  <si>
    <t>Rectangular area, 112x100mm</t>
  </si>
  <si>
    <t>EL 03002</t>
  </si>
  <si>
    <t>Side battery mount</t>
  </si>
  <si>
    <t>Material - Cast Iron</t>
  </si>
  <si>
    <t>rectangular</t>
  </si>
  <si>
    <t>Description brève de la pièce</t>
  </si>
  <si>
    <t>EL 03003</t>
  </si>
  <si>
    <t>Battery bracket</t>
  </si>
  <si>
    <t>EL A0100</t>
  </si>
  <si>
    <t>EL 01001</t>
  </si>
  <si>
    <t>EL 01002</t>
  </si>
  <si>
    <t>EL 01003</t>
  </si>
  <si>
    <t>EL 01005</t>
  </si>
  <si>
    <t>EL 01006</t>
  </si>
  <si>
    <t>EL 02004</t>
  </si>
  <si>
    <t>EL A0300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</si>
</sst>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* #,##0.00_);_(* \(#,##0.00\);_(* &quot;-&quot;??_);_(@_)"/>
    <numFmt numFmtId="165" formatCode="_-[$$-409]* #,##0.00_ ;_-[$$-409]* \-#,##0.00\ ;_-[$$-409]* &quot;-&quot;??_ ;_-@_ "/>
    <numFmt numFmtId="166" formatCode="_(&quot;$&quot;* #,##0.00_);_(&quot;$&quot;* \(#,##0.00\);_(&quot;$&quot;* \-??_);_(@_)"/>
    <numFmt numFmtId="167" formatCode="&quot;$&quot;#,##0.00_);&quot;($&quot;#,##0.00\)"/>
    <numFmt numFmtId="168" formatCode="_-[$$-409]* #,##0.00_ ;_-[$$-409]* \-#,##0.00.;_-[$$-409]* \-??_ ;_-@_ "/>
    <numFmt numFmtId="169" formatCode="_(* #,##0.00_);_(* \(#,##0.00\);_(* \-??_);_(@_)"/>
    <numFmt numFmtId="170" formatCode="_(* #,##0_);_(* \(#,##0\);_(* \-??_);_(@_)"/>
    <numFmt numFmtId="171" formatCode="_(* #,##0.000_);_(* \(#,##0.000\);_(* \-??_);_(@_)"/>
    <numFmt numFmtId="172" formatCode="#,##0.0000"/>
    <numFmt numFmtId="173" formatCode="_-* #,##0.000_-;\-* #,##0.000_-;_-* &quot;-&quot;??_-;_-@_-"/>
    <numFmt numFmtId="174" formatCode="_-* #,##0.00_-;\-* #,##0.00_-;_-* &quot;-&quot;??_-;_-@_-"/>
    <numFmt numFmtId="175" formatCode="_(&quot;$&quot;* #,##0.0000_);_(&quot;$&quot;* \(#,##0.0000\);_(&quot;$&quot;* \-??_);_(@_)"/>
    <numFmt numFmtId="176" formatCode="0.000"/>
    <numFmt numFmtId="177" formatCode="0.0"/>
    <numFmt numFmtId="178" formatCode="_(* #,##0.000_);_(* \(#,##0.000\);_(* &quot;-&quot;??_);_(@_)"/>
  </numFmts>
  <fonts count="20">
    <font>
      <sz val="11"/>
      <color theme="1"/>
      <name val="Calibri"/>
      <family val="2"/>
      <scheme val="minor"/>
    </font>
    <font>
      <sz val="10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b/>
      <sz val="9"/>
      <name val="Arial"/>
      <charset val="134"/>
    </font>
    <font>
      <sz val="11"/>
      <name val="Arial"/>
      <charset val="134"/>
    </font>
    <font>
      <u/>
      <sz val="11"/>
      <color rgb="FF0000FF"/>
      <name val="Calibri"/>
      <charset val="134"/>
      <scheme val="minor"/>
    </font>
    <font>
      <sz val="7"/>
      <name val="Arial"/>
      <charset val="134"/>
    </font>
    <font>
      <b/>
      <sz val="11"/>
      <name val="Arial"/>
      <charset val="134"/>
    </font>
    <font>
      <sz val="11"/>
      <color theme="1"/>
      <name val="Calibri"/>
      <charset val="134"/>
      <scheme val="minor"/>
    </font>
    <font>
      <b/>
      <sz val="11"/>
      <color indexed="9"/>
      <name val="Calibri"/>
      <charset val="134"/>
    </font>
    <font>
      <b/>
      <i/>
      <sz val="10"/>
      <name val="Arial"/>
      <charset val="134"/>
    </font>
    <font>
      <b/>
      <sz val="11"/>
      <color theme="0"/>
      <name val="Calibri"/>
      <charset val="134"/>
    </font>
    <font>
      <sz val="11"/>
      <color rgb="FF00000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u/>
      <sz val="11"/>
      <color rgb="FF800080"/>
      <name val="Calibri"/>
      <charset val="134"/>
      <scheme val="minor"/>
    </font>
    <font>
      <sz val="11"/>
      <name val="Calibri"/>
      <charset val="134"/>
    </font>
    <font>
      <i/>
      <sz val="11"/>
      <color rgb="FFFF0000"/>
      <name val="Calibri"/>
      <charset val="1"/>
    </font>
    <font>
      <u/>
      <sz val="11"/>
      <color theme="10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CCFF"/>
        <bgColor theme="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theme="9" tint="0.39991454817346722"/>
        <bgColor rgb="FFFCD5B5"/>
      </patternFill>
    </fill>
    <fill>
      <patternFill patternType="solid">
        <fgColor theme="9" tint="0.59999389629810485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rgb="FFFCD5B5"/>
      </patternFill>
    </fill>
    <fill>
      <patternFill patternType="solid">
        <fgColor rgb="FFF79646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/>
    <xf numFmtId="0" fontId="13" fillId="0" borderId="0"/>
    <xf numFmtId="167" fontId="13" fillId="0" borderId="17">
      <alignment vertical="center" wrapText="1"/>
    </xf>
    <xf numFmtId="0" fontId="19" fillId="0" borderId="0" applyNumberFormat="0" applyFill="0" applyBorder="0" applyAlignment="0" applyProtection="0"/>
  </cellStyleXfs>
  <cellXfs count="332">
    <xf numFmtId="0" fontId="0" fillId="0" borderId="0" xfId="0"/>
    <xf numFmtId="0" fontId="1" fillId="0" borderId="0" xfId="1" applyFont="1"/>
    <xf numFmtId="0" fontId="2" fillId="0" borderId="0" xfId="1" applyFont="1"/>
    <xf numFmtId="164" fontId="2" fillId="0" borderId="0" xfId="2" applyFont="1"/>
    <xf numFmtId="0" fontId="3" fillId="0" borderId="0" xfId="1" applyFont="1"/>
    <xf numFmtId="0" fontId="4" fillId="0" borderId="0" xfId="1" applyFont="1"/>
    <xf numFmtId="0" fontId="1" fillId="0" borderId="0" xfId="1" applyFont="1" applyProtection="1">
      <protection locked="0"/>
    </xf>
    <xf numFmtId="0" fontId="2" fillId="0" borderId="0" xfId="1" applyFont="1" applyProtection="1">
      <protection locked="0"/>
    </xf>
    <xf numFmtId="164" fontId="1" fillId="0" borderId="0" xfId="2" applyFont="1"/>
    <xf numFmtId="164" fontId="1" fillId="0" borderId="0" xfId="1" applyNumberFormat="1" applyFont="1"/>
    <xf numFmtId="0" fontId="1" fillId="0" borderId="0" xfId="1" applyFont="1" applyFill="1"/>
    <xf numFmtId="0" fontId="5" fillId="0" borderId="1" xfId="1" applyFont="1" applyFill="1" applyBorder="1" applyAlignment="1">
      <alignment horizontal="center"/>
    </xf>
    <xf numFmtId="165" fontId="5" fillId="0" borderId="1" xfId="1" applyNumberFormat="1" applyFont="1" applyFill="1" applyBorder="1" applyAlignment="1">
      <alignment horizontal="right"/>
    </xf>
    <xf numFmtId="0" fontId="5" fillId="0" borderId="1" xfId="1" applyFont="1" applyFill="1" applyBorder="1" applyAlignment="1" applyProtection="1">
      <alignment horizontal="center"/>
      <protection locked="0"/>
    </xf>
    <xf numFmtId="164" fontId="5" fillId="0" borderId="1" xfId="2" applyFont="1" applyFill="1" applyBorder="1" applyProtection="1">
      <protection locked="0"/>
    </xf>
    <xf numFmtId="18" fontId="5" fillId="0" borderId="1" xfId="1" applyNumberFormat="1" applyFont="1" applyFill="1" applyBorder="1" applyAlignment="1" applyProtection="1">
      <protection locked="0"/>
    </xf>
    <xf numFmtId="0" fontId="5" fillId="0" borderId="1" xfId="1" applyFont="1" applyFill="1" applyBorder="1" applyAlignment="1">
      <alignment horizontal="left"/>
    </xf>
    <xf numFmtId="0" fontId="5" fillId="0" borderId="1" xfId="1" applyFont="1" applyFill="1" applyBorder="1" applyProtection="1">
      <protection locked="0"/>
    </xf>
    <xf numFmtId="0" fontId="5" fillId="2" borderId="2" xfId="1" applyFont="1" applyFill="1" applyBorder="1" applyAlignment="1">
      <alignment horizontal="center"/>
    </xf>
    <xf numFmtId="165" fontId="5" fillId="2" borderId="2" xfId="1" applyNumberFormat="1" applyFont="1" applyFill="1" applyBorder="1" applyAlignment="1">
      <alignment horizontal="right"/>
    </xf>
    <xf numFmtId="165" fontId="5" fillId="2" borderId="2" xfId="1" applyNumberFormat="1" applyFont="1" applyFill="1" applyBorder="1" applyAlignment="1" applyProtection="1">
      <alignment horizontal="center"/>
      <protection locked="0"/>
    </xf>
    <xf numFmtId="165" fontId="5" fillId="2" borderId="2" xfId="2" applyNumberFormat="1" applyFont="1" applyFill="1" applyBorder="1" applyProtection="1">
      <protection locked="0"/>
    </xf>
    <xf numFmtId="18" fontId="5" fillId="2" borderId="2" xfId="1" applyNumberFormat="1" applyFont="1" applyFill="1" applyBorder="1" applyAlignment="1" applyProtection="1">
      <protection locked="0"/>
    </xf>
    <xf numFmtId="0" fontId="5" fillId="2" borderId="2" xfId="1" applyFont="1" applyFill="1" applyBorder="1" applyAlignment="1">
      <alignment horizontal="left"/>
    </xf>
    <xf numFmtId="0" fontId="5" fillId="2" borderId="2" xfId="1" applyFont="1" applyFill="1" applyBorder="1" applyProtection="1">
      <protection locked="0"/>
    </xf>
    <xf numFmtId="11" fontId="5" fillId="2" borderId="2" xfId="1" applyNumberFormat="1" applyFont="1" applyFill="1" applyBorder="1" applyAlignment="1" applyProtection="1">
      <protection locked="0"/>
    </xf>
    <xf numFmtId="37" fontId="5" fillId="2" borderId="2" xfId="1" applyNumberFormat="1" applyFont="1" applyFill="1" applyBorder="1" applyAlignment="1" applyProtection="1">
      <alignment horizontal="center"/>
      <protection locked="0"/>
    </xf>
    <xf numFmtId="0" fontId="6" fillId="2" borderId="2" xfId="3" applyFill="1" applyBorder="1" applyAlignment="1">
      <alignment horizontal="left"/>
    </xf>
    <xf numFmtId="18" fontId="5" fillId="2" borderId="2" xfId="1" applyNumberFormat="1" applyFont="1" applyFill="1" applyBorder="1" applyAlignment="1" applyProtection="1">
      <alignment horizontal="right"/>
      <protection locked="0"/>
    </xf>
    <xf numFmtId="0" fontId="5" fillId="3" borderId="2" xfId="1" applyFont="1" applyFill="1" applyBorder="1" applyAlignment="1">
      <alignment horizontal="center"/>
    </xf>
    <xf numFmtId="165" fontId="5" fillId="3" borderId="2" xfId="1" applyNumberFormat="1" applyFont="1" applyFill="1" applyBorder="1" applyAlignment="1">
      <alignment horizontal="right"/>
    </xf>
    <xf numFmtId="165" fontId="5" fillId="3" borderId="2" xfId="1" applyNumberFormat="1" applyFont="1" applyFill="1" applyBorder="1" applyAlignment="1" applyProtection="1">
      <alignment horizontal="center"/>
      <protection locked="0"/>
    </xf>
    <xf numFmtId="37" fontId="5" fillId="3" borderId="2" xfId="1" applyNumberFormat="1" applyFont="1" applyFill="1" applyBorder="1" applyAlignment="1" applyProtection="1">
      <alignment horizontal="center"/>
      <protection locked="0"/>
    </xf>
    <xf numFmtId="165" fontId="5" fillId="3" borderId="2" xfId="2" applyNumberFormat="1" applyFont="1" applyFill="1" applyBorder="1" applyProtection="1">
      <protection locked="0"/>
    </xf>
    <xf numFmtId="18" fontId="5" fillId="3" borderId="2" xfId="1" applyNumberFormat="1" applyFont="1" applyFill="1" applyBorder="1" applyAlignment="1" applyProtection="1">
      <protection locked="0"/>
    </xf>
    <xf numFmtId="0" fontId="6" fillId="3" borderId="2" xfId="3" applyFill="1" applyBorder="1" applyAlignment="1">
      <alignment horizontal="left"/>
    </xf>
    <xf numFmtId="0" fontId="5" fillId="3" borderId="2" xfId="1" applyFont="1" applyFill="1" applyBorder="1" applyAlignment="1">
      <alignment horizontal="left"/>
    </xf>
    <xf numFmtId="0" fontId="5" fillId="3" borderId="2" xfId="1" applyFont="1" applyFill="1" applyBorder="1" applyProtection="1">
      <protection locked="0"/>
    </xf>
    <xf numFmtId="0" fontId="7" fillId="0" borderId="0" xfId="1" applyFont="1"/>
    <xf numFmtId="0" fontId="8" fillId="0" borderId="3" xfId="1" applyFont="1" applyBorder="1" applyAlignment="1">
      <alignment horizontal="center" wrapText="1"/>
    </xf>
    <xf numFmtId="2" fontId="8" fillId="0" borderId="3" xfId="1" applyNumberFormat="1" applyFont="1" applyBorder="1" applyAlignment="1">
      <alignment horizontal="center" wrapText="1"/>
    </xf>
    <xf numFmtId="164" fontId="8" fillId="0" borderId="3" xfId="2" applyFont="1" applyBorder="1" applyAlignment="1">
      <alignment horizontal="center" wrapText="1"/>
    </xf>
    <xf numFmtId="0" fontId="8" fillId="0" borderId="0" xfId="1" applyFont="1" applyAlignment="1">
      <alignment horizontal="center"/>
    </xf>
    <xf numFmtId="0" fontId="9" fillId="0" borderId="0" xfId="4" applyFill="1"/>
    <xf numFmtId="0" fontId="9" fillId="0" borderId="0" xfId="4" applyFont="1" applyFill="1"/>
    <xf numFmtId="0" fontId="9" fillId="0" borderId="0" xfId="4" applyFill="1" applyBorder="1"/>
    <xf numFmtId="0" fontId="9" fillId="0" borderId="0" xfId="4" applyFont="1" applyFill="1" applyBorder="1"/>
    <xf numFmtId="0" fontId="10" fillId="0" borderId="0" xfId="4" applyFont="1" applyFill="1" applyBorder="1"/>
    <xf numFmtId="0" fontId="9" fillId="0" borderId="0" xfId="4"/>
    <xf numFmtId="0" fontId="9" fillId="0" borderId="0" xfId="4" applyFont="1"/>
    <xf numFmtId="0" fontId="11" fillId="0" borderId="0" xfId="1" applyFont="1"/>
    <xf numFmtId="0" fontId="9" fillId="0" borderId="0" xfId="4" applyBorder="1"/>
    <xf numFmtId="0" fontId="9" fillId="4" borderId="4" xfId="4" applyFont="1" applyFill="1" applyBorder="1" applyAlignment="1">
      <alignment horizontal="left"/>
    </xf>
    <xf numFmtId="0" fontId="12" fillId="5" borderId="5" xfId="4" applyFont="1" applyFill="1" applyBorder="1"/>
    <xf numFmtId="0" fontId="9" fillId="4" borderId="4" xfId="4" applyFill="1" applyBorder="1" applyAlignment="1">
      <alignment horizontal="left"/>
    </xf>
    <xf numFmtId="0" fontId="12" fillId="5" borderId="6" xfId="4" applyFont="1" applyFill="1" applyBorder="1"/>
    <xf numFmtId="0" fontId="9" fillId="4" borderId="4" xfId="4" applyFont="1" applyFill="1" applyBorder="1"/>
    <xf numFmtId="0" fontId="12" fillId="5" borderId="7" xfId="4" applyFont="1" applyFill="1" applyBorder="1"/>
    <xf numFmtId="2" fontId="9" fillId="6" borderId="8" xfId="4" applyNumberFormat="1" applyFill="1" applyBorder="1" applyAlignment="1">
      <alignment horizontal="right"/>
    </xf>
    <xf numFmtId="0" fontId="10" fillId="7" borderId="0" xfId="4" applyFont="1" applyFill="1" applyBorder="1" applyAlignment="1"/>
    <xf numFmtId="0" fontId="12" fillId="7" borderId="0" xfId="4" applyFont="1" applyFill="1" applyBorder="1" applyAlignment="1"/>
    <xf numFmtId="0" fontId="9" fillId="4" borderId="9" xfId="4" applyFont="1" applyFill="1" applyBorder="1"/>
    <xf numFmtId="0" fontId="12" fillId="5" borderId="10" xfId="4" applyFont="1" applyFill="1" applyBorder="1"/>
    <xf numFmtId="0" fontId="13" fillId="0" borderId="0" xfId="5"/>
    <xf numFmtId="0" fontId="13" fillId="0" borderId="0" xfId="5" applyBorder="1"/>
    <xf numFmtId="0" fontId="13" fillId="0" borderId="11" xfId="5" applyBorder="1"/>
    <xf numFmtId="0" fontId="13" fillId="0" borderId="12" xfId="5" applyBorder="1"/>
    <xf numFmtId="0" fontId="13" fillId="0" borderId="13" xfId="5" applyBorder="1"/>
    <xf numFmtId="0" fontId="13" fillId="0" borderId="14" xfId="5" applyBorder="1"/>
    <xf numFmtId="0" fontId="14" fillId="0" borderId="0" xfId="5" applyFont="1" applyBorder="1"/>
    <xf numFmtId="166" fontId="14" fillId="8" borderId="15" xfId="5" applyNumberFormat="1" applyFont="1" applyFill="1" applyBorder="1"/>
    <xf numFmtId="0" fontId="14" fillId="8" borderId="15" xfId="5" applyFont="1" applyFill="1" applyBorder="1" applyAlignment="1">
      <alignment horizontal="right"/>
    </xf>
    <xf numFmtId="0" fontId="14" fillId="0" borderId="16" xfId="5" applyFont="1" applyBorder="1"/>
    <xf numFmtId="166" fontId="15" fillId="0" borderId="18" xfId="6" applyNumberFormat="1" applyFont="1" applyBorder="1" applyAlignment="1" applyProtection="1"/>
    <xf numFmtId="0" fontId="15" fillId="0" borderId="18" xfId="5" applyFont="1" applyBorder="1"/>
    <xf numFmtId="0" fontId="14" fillId="8" borderId="18" xfId="5" applyFont="1" applyFill="1" applyBorder="1"/>
    <xf numFmtId="0" fontId="13" fillId="0" borderId="16" xfId="5" applyBorder="1"/>
    <xf numFmtId="166" fontId="14" fillId="8" borderId="18" xfId="5" applyNumberFormat="1" applyFont="1" applyFill="1" applyBorder="1"/>
    <xf numFmtId="0" fontId="14" fillId="8" borderId="18" xfId="5" applyFont="1" applyFill="1" applyBorder="1" applyAlignment="1">
      <alignment horizontal="right"/>
    </xf>
    <xf numFmtId="0" fontId="13" fillId="0" borderId="0" xfId="5" applyFont="1"/>
    <xf numFmtId="0" fontId="13" fillId="0" borderId="14" xfId="5" applyFont="1" applyBorder="1"/>
    <xf numFmtId="0" fontId="13" fillId="0" borderId="0" xfId="5" applyFont="1" applyBorder="1"/>
    <xf numFmtId="37" fontId="15" fillId="0" borderId="18" xfId="6" applyNumberFormat="1" applyFont="1" applyBorder="1" applyAlignment="1" applyProtection="1"/>
    <xf numFmtId="39" fontId="15" fillId="0" borderId="18" xfId="6" applyNumberFormat="1" applyFont="1" applyBorder="1" applyAlignment="1" applyProtection="1"/>
    <xf numFmtId="168" fontId="15" fillId="0" borderId="18" xfId="5" applyNumberFormat="1" applyFont="1" applyBorder="1"/>
    <xf numFmtId="0" fontId="15" fillId="0" borderId="18" xfId="5" applyFont="1" applyBorder="1" applyAlignment="1">
      <alignment wrapText="1"/>
    </xf>
    <xf numFmtId="37" fontId="15" fillId="0" borderId="18" xfId="6" applyNumberFormat="1" applyFont="1" applyFill="1" applyBorder="1" applyAlignment="1" applyProtection="1"/>
    <xf numFmtId="0" fontId="13" fillId="0" borderId="0" xfId="5" applyBorder="1" applyAlignment="1">
      <alignment wrapText="1"/>
    </xf>
    <xf numFmtId="37" fontId="15" fillId="0" borderId="18" xfId="6" applyNumberFormat="1" applyFont="1" applyBorder="1" applyAlignment="1" applyProtection="1">
      <alignment wrapText="1"/>
    </xf>
    <xf numFmtId="39" fontId="15" fillId="0" borderId="18" xfId="6" applyNumberFormat="1" applyFont="1" applyBorder="1" applyAlignment="1" applyProtection="1">
      <alignment wrapText="1"/>
    </xf>
    <xf numFmtId="168" fontId="15" fillId="0" borderId="18" xfId="5" applyNumberFormat="1" applyFont="1" applyBorder="1" applyAlignment="1">
      <alignment wrapText="1"/>
    </xf>
    <xf numFmtId="0" fontId="15" fillId="0" borderId="18" xfId="6" applyNumberFormat="1" applyFont="1" applyBorder="1" applyAlignment="1" applyProtection="1">
      <alignment vertical="center" wrapText="1"/>
    </xf>
    <xf numFmtId="0" fontId="13" fillId="0" borderId="0" xfId="5" applyAlignment="1">
      <alignment wrapText="1"/>
    </xf>
    <xf numFmtId="0" fontId="13" fillId="0" borderId="14" xfId="5" applyBorder="1" applyAlignment="1">
      <alignment wrapText="1"/>
    </xf>
    <xf numFmtId="0" fontId="13" fillId="0" borderId="18" xfId="5" applyBorder="1"/>
    <xf numFmtId="0" fontId="15" fillId="0" borderId="19" xfId="5" applyFont="1" applyBorder="1"/>
    <xf numFmtId="0" fontId="13" fillId="0" borderId="20" xfId="5" applyBorder="1"/>
    <xf numFmtId="0" fontId="15" fillId="0" borderId="21" xfId="5" applyFont="1" applyBorder="1"/>
    <xf numFmtId="0" fontId="0" fillId="0" borderId="22" xfId="6" applyNumberFormat="1" applyFont="1" applyBorder="1" applyAlignment="1">
      <alignment wrapText="1"/>
    </xf>
    <xf numFmtId="0" fontId="13" fillId="0" borderId="18" xfId="5" applyNumberFormat="1" applyBorder="1"/>
    <xf numFmtId="0" fontId="0" fillId="0" borderId="18" xfId="6" applyNumberFormat="1" applyFont="1" applyBorder="1" applyAlignment="1">
      <alignment wrapText="1"/>
    </xf>
    <xf numFmtId="11" fontId="13" fillId="0" borderId="18" xfId="5" applyNumberFormat="1" applyBorder="1"/>
    <xf numFmtId="0" fontId="14" fillId="8" borderId="15" xfId="5" applyFont="1" applyFill="1" applyBorder="1"/>
    <xf numFmtId="166" fontId="15" fillId="0" borderId="2" xfId="6" applyNumberFormat="1" applyFont="1" applyBorder="1" applyAlignment="1" applyProtection="1"/>
    <xf numFmtId="169" fontId="15" fillId="0" borderId="2" xfId="6" applyNumberFormat="1" applyFont="1" applyBorder="1" applyAlignment="1" applyProtection="1"/>
    <xf numFmtId="170" fontId="15" fillId="0" borderId="2" xfId="6" applyNumberFormat="1" applyFont="1" applyBorder="1" applyAlignment="1" applyProtection="1"/>
    <xf numFmtId="2" fontId="15" fillId="0" borderId="2" xfId="6" applyNumberFormat="1" applyFont="1" applyBorder="1" applyAlignment="1" applyProtection="1"/>
    <xf numFmtId="0" fontId="15" fillId="0" borderId="2" xfId="5" applyFont="1" applyBorder="1"/>
    <xf numFmtId="0" fontId="15" fillId="0" borderId="23" xfId="5" applyFont="1" applyBorder="1"/>
    <xf numFmtId="0" fontId="13" fillId="0" borderId="2" xfId="5" applyFont="1" applyBorder="1"/>
    <xf numFmtId="0" fontId="15" fillId="0" borderId="3" xfId="5" applyFont="1" applyBorder="1"/>
    <xf numFmtId="166" fontId="15" fillId="0" borderId="22" xfId="6" applyNumberFormat="1" applyFont="1" applyBorder="1" applyAlignment="1" applyProtection="1"/>
    <xf numFmtId="169" fontId="15" fillId="0" borderId="22" xfId="6" applyNumberFormat="1" applyFont="1" applyBorder="1" applyAlignment="1" applyProtection="1"/>
    <xf numFmtId="170" fontId="15" fillId="0" borderId="22" xfId="6" applyNumberFormat="1" applyFont="1" applyBorder="1" applyAlignment="1" applyProtection="1"/>
    <xf numFmtId="2" fontId="15" fillId="0" borderId="22" xfId="6" applyNumberFormat="1" applyFont="1" applyBorder="1" applyAlignment="1" applyProtection="1"/>
    <xf numFmtId="0" fontId="15" fillId="0" borderId="22" xfId="5" applyFont="1" applyBorder="1"/>
    <xf numFmtId="169" fontId="15" fillId="0" borderId="18" xfId="6" applyNumberFormat="1" applyFont="1" applyBorder="1" applyAlignment="1" applyProtection="1"/>
    <xf numFmtId="170" fontId="15" fillId="0" borderId="18" xfId="6" applyNumberFormat="1" applyFont="1" applyBorder="1" applyAlignment="1" applyProtection="1"/>
    <xf numFmtId="2" fontId="15" fillId="0" borderId="18" xfId="6" applyNumberFormat="1" applyFont="1" applyBorder="1" applyAlignment="1" applyProtection="1"/>
    <xf numFmtId="11" fontId="15" fillId="0" borderId="18" xfId="6" applyNumberFormat="1" applyFont="1" applyBorder="1" applyAlignment="1" applyProtection="1"/>
    <xf numFmtId="0" fontId="13" fillId="0" borderId="0" xfId="5" applyAlignment="1"/>
    <xf numFmtId="0" fontId="13" fillId="0" borderId="14" xfId="5" applyBorder="1" applyAlignment="1"/>
    <xf numFmtId="0" fontId="13" fillId="0" borderId="18" xfId="5" applyBorder="1" applyAlignment="1"/>
    <xf numFmtId="171" fontId="15" fillId="0" borderId="18" xfId="6" applyNumberFormat="1" applyFont="1" applyBorder="1" applyAlignment="1" applyProtection="1"/>
    <xf numFmtId="11" fontId="15" fillId="0" borderId="18" xfId="5" applyNumberFormat="1" applyFont="1" applyBorder="1" applyAlignment="1"/>
    <xf numFmtId="0" fontId="15" fillId="0" borderId="18" xfId="5" applyFont="1" applyBorder="1" applyAlignment="1"/>
    <xf numFmtId="172" fontId="15" fillId="0" borderId="18" xfId="6" applyNumberFormat="1" applyFont="1" applyBorder="1" applyAlignment="1" applyProtection="1"/>
    <xf numFmtId="11" fontId="15" fillId="0" borderId="18" xfId="5" applyNumberFormat="1" applyFont="1" applyBorder="1"/>
    <xf numFmtId="0" fontId="6" fillId="0" borderId="18" xfId="3" applyBorder="1"/>
    <xf numFmtId="0" fontId="15" fillId="0" borderId="14" xfId="6" applyNumberFormat="1" applyFont="1" applyBorder="1" applyAlignment="1"/>
    <xf numFmtId="0" fontId="6" fillId="0" borderId="18" xfId="3" applyNumberFormat="1" applyBorder="1" applyAlignment="1" applyProtection="1"/>
    <xf numFmtId="37" fontId="15" fillId="0" borderId="18" xfId="5" applyNumberFormat="1" applyFont="1" applyBorder="1"/>
    <xf numFmtId="0" fontId="15" fillId="0" borderId="0" xfId="5" applyFont="1" applyBorder="1"/>
    <xf numFmtId="0" fontId="14" fillId="8" borderId="0" xfId="5" applyFont="1" applyFill="1" applyBorder="1"/>
    <xf numFmtId="0" fontId="15" fillId="0" borderId="0" xfId="5" applyFont="1" applyBorder="1" applyAlignment="1">
      <alignment horizontal="left"/>
    </xf>
    <xf numFmtId="165" fontId="15" fillId="0" borderId="18" xfId="6" applyNumberFormat="1" applyFont="1" applyBorder="1" applyAlignment="1" applyProtection="1"/>
    <xf numFmtId="0" fontId="15" fillId="0" borderId="18" xfId="5" applyFont="1" applyBorder="1" applyAlignment="1">
      <alignment horizontal="right"/>
    </xf>
    <xf numFmtId="0" fontId="13" fillId="0" borderId="24" xfId="5" applyBorder="1"/>
    <xf numFmtId="0" fontId="13" fillId="0" borderId="25" xfId="5" applyBorder="1"/>
    <xf numFmtId="0" fontId="13" fillId="0" borderId="26" xfId="5" applyBorder="1"/>
    <xf numFmtId="166" fontId="14" fillId="9" borderId="27" xfId="5" applyNumberFormat="1" applyFont="1" applyFill="1" applyBorder="1"/>
    <xf numFmtId="0" fontId="14" fillId="9" borderId="27" xfId="5" applyFont="1" applyFill="1" applyBorder="1" applyAlignment="1">
      <alignment horizontal="right"/>
    </xf>
    <xf numFmtId="0" fontId="13" fillId="0" borderId="2" xfId="5" applyBorder="1"/>
    <xf numFmtId="0" fontId="0" fillId="0" borderId="2" xfId="6" applyNumberFormat="1" applyFont="1" applyBorder="1" applyAlignment="1">
      <alignment wrapText="1"/>
    </xf>
    <xf numFmtId="1" fontId="15" fillId="0" borderId="2" xfId="5" applyNumberFormat="1" applyFont="1" applyFill="1" applyBorder="1"/>
    <xf numFmtId="0" fontId="15" fillId="0" borderId="28" xfId="5" applyFont="1" applyBorder="1"/>
    <xf numFmtId="166" fontId="15" fillId="10" borderId="2" xfId="6" applyNumberFormat="1" applyFont="1" applyFill="1" applyBorder="1" applyAlignment="1" applyProtection="1">
      <alignment wrapText="1"/>
    </xf>
    <xf numFmtId="0" fontId="15" fillId="0" borderId="2" xfId="5" applyFont="1" applyFill="1" applyBorder="1" applyAlignment="1">
      <alignment wrapText="1"/>
    </xf>
    <xf numFmtId="0" fontId="13" fillId="0" borderId="2" xfId="5" applyBorder="1" applyAlignment="1">
      <alignment wrapText="1"/>
    </xf>
    <xf numFmtId="166" fontId="15" fillId="0" borderId="2" xfId="6" applyNumberFormat="1" applyFont="1" applyBorder="1" applyAlignment="1" applyProtection="1">
      <alignment wrapText="1"/>
    </xf>
    <xf numFmtId="0" fontId="13" fillId="0" borderId="28" xfId="5" applyBorder="1" applyAlignment="1">
      <alignment wrapText="1"/>
    </xf>
    <xf numFmtId="0" fontId="14" fillId="9" borderId="2" xfId="5" applyFont="1" applyFill="1" applyBorder="1"/>
    <xf numFmtId="0" fontId="14" fillId="9" borderId="28" xfId="5" applyFont="1" applyFill="1" applyBorder="1"/>
    <xf numFmtId="0" fontId="14" fillId="9" borderId="2" xfId="5" applyFont="1" applyFill="1" applyBorder="1" applyAlignment="1">
      <alignment horizontal="right"/>
    </xf>
    <xf numFmtId="1" fontId="15" fillId="0" borderId="2" xfId="6" applyNumberFormat="1" applyFont="1" applyBorder="1" applyAlignment="1" applyProtection="1"/>
    <xf numFmtId="0" fontId="13" fillId="0" borderId="2" xfId="5" applyNumberFormat="1" applyBorder="1" applyAlignment="1"/>
    <xf numFmtId="171" fontId="15" fillId="0" borderId="2" xfId="6" applyNumberFormat="1" applyFont="1" applyBorder="1" applyAlignment="1" applyProtection="1"/>
    <xf numFmtId="11" fontId="15" fillId="0" borderId="2" xfId="6" applyNumberFormat="1" applyFont="1" applyBorder="1" applyAlignment="1" applyProtection="1"/>
    <xf numFmtId="11" fontId="15" fillId="0" borderId="2" xfId="5" applyNumberFormat="1" applyFont="1" applyBorder="1" applyAlignment="1"/>
    <xf numFmtId="0" fontId="15" fillId="0" borderId="2" xfId="5" applyFont="1" applyBorder="1" applyAlignment="1"/>
    <xf numFmtId="173" fontId="15" fillId="0" borderId="2" xfId="5" applyNumberFormat="1" applyFont="1" applyFill="1" applyBorder="1" applyAlignment="1"/>
    <xf numFmtId="0" fontId="15" fillId="0" borderId="2" xfId="5" applyFont="1" applyBorder="1" applyAlignment="1" applyProtection="1"/>
    <xf numFmtId="0" fontId="15" fillId="0" borderId="28" xfId="5" applyFont="1" applyBorder="1" applyAlignment="1"/>
    <xf numFmtId="0" fontId="14" fillId="9" borderId="27" xfId="5" applyFont="1" applyFill="1" applyBorder="1"/>
    <xf numFmtId="0" fontId="14" fillId="9" borderId="29" xfId="5" applyFont="1" applyFill="1" applyBorder="1"/>
    <xf numFmtId="0" fontId="14" fillId="0" borderId="30" xfId="5" applyFont="1" applyBorder="1"/>
    <xf numFmtId="0" fontId="14" fillId="0" borderId="31" xfId="5" applyFont="1" applyBorder="1"/>
    <xf numFmtId="0" fontId="14" fillId="9" borderId="18" xfId="5" applyFont="1" applyFill="1" applyBorder="1"/>
    <xf numFmtId="0" fontId="14" fillId="9" borderId="32" xfId="5" applyFont="1" applyFill="1" applyBorder="1"/>
    <xf numFmtId="49" fontId="16" fillId="0" borderId="0" xfId="3" applyNumberFormat="1" applyFont="1" applyBorder="1" applyAlignment="1">
      <alignment horizontal="left"/>
    </xf>
    <xf numFmtId="0" fontId="6" fillId="0" borderId="0" xfId="3" applyBorder="1"/>
    <xf numFmtId="0" fontId="6" fillId="0" borderId="0" xfId="3"/>
    <xf numFmtId="0" fontId="14" fillId="9" borderId="18" xfId="5" applyFont="1" applyFill="1" applyBorder="1" applyAlignment="1">
      <alignment horizontal="left"/>
    </xf>
    <xf numFmtId="0" fontId="16" fillId="0" borderId="0" xfId="3" applyFont="1"/>
    <xf numFmtId="2" fontId="15" fillId="0" borderId="2" xfId="5" applyNumberFormat="1" applyFont="1" applyFill="1" applyBorder="1" applyAlignment="1">
      <alignment wrapText="1"/>
    </xf>
    <xf numFmtId="174" fontId="15" fillId="0" borderId="2" xfId="5" applyNumberFormat="1" applyFont="1" applyFill="1" applyBorder="1" applyAlignment="1"/>
    <xf numFmtId="1" fontId="15" fillId="0" borderId="2" xfId="5" applyNumberFormat="1" applyFont="1" applyBorder="1"/>
    <xf numFmtId="3" fontId="13" fillId="0" borderId="2" xfId="5" applyNumberFormat="1" applyBorder="1" applyAlignment="1"/>
    <xf numFmtId="175" fontId="15" fillId="0" borderId="2" xfId="6" applyNumberFormat="1" applyFont="1" applyBorder="1" applyAlignment="1" applyProtection="1"/>
    <xf numFmtId="49" fontId="15" fillId="0" borderId="0" xfId="5" applyNumberFormat="1" applyFont="1" applyBorder="1" applyAlignment="1">
      <alignment horizontal="left"/>
    </xf>
    <xf numFmtId="166" fontId="14" fillId="11" borderId="15" xfId="5" applyNumberFormat="1" applyFont="1" applyFill="1" applyBorder="1"/>
    <xf numFmtId="0" fontId="14" fillId="11" borderId="15" xfId="5" applyFont="1" applyFill="1" applyBorder="1" applyAlignment="1">
      <alignment horizontal="right"/>
    </xf>
    <xf numFmtId="0" fontId="14" fillId="11" borderId="18" xfId="5" applyFont="1" applyFill="1" applyBorder="1"/>
    <xf numFmtId="166" fontId="14" fillId="11" borderId="18" xfId="5" applyNumberFormat="1" applyFont="1" applyFill="1" applyBorder="1"/>
    <xf numFmtId="0" fontId="14" fillId="11" borderId="18" xfId="5" applyFont="1" applyFill="1" applyBorder="1" applyAlignment="1">
      <alignment horizontal="right"/>
    </xf>
    <xf numFmtId="166" fontId="17" fillId="0" borderId="18" xfId="6" applyNumberFormat="1" applyFont="1" applyBorder="1" applyAlignment="1" applyProtection="1"/>
    <xf numFmtId="166" fontId="15" fillId="0" borderId="18" xfId="6" applyNumberFormat="1" applyFont="1" applyFill="1" applyBorder="1" applyAlignment="1" applyProtection="1"/>
    <xf numFmtId="169" fontId="15" fillId="0" borderId="18" xfId="6" applyNumberFormat="1" applyFont="1" applyFill="1" applyBorder="1" applyAlignment="1" applyProtection="1"/>
    <xf numFmtId="172" fontId="15" fillId="0" borderId="18" xfId="6" applyNumberFormat="1" applyFont="1" applyFill="1" applyBorder="1" applyAlignment="1" applyProtection="1"/>
    <xf numFmtId="11" fontId="15" fillId="0" borderId="18" xfId="5" applyNumberFormat="1" applyFont="1" applyFill="1" applyBorder="1" applyAlignment="1"/>
    <xf numFmtId="0" fontId="15" fillId="0" borderId="18" xfId="5" applyFont="1" applyFill="1" applyBorder="1" applyAlignment="1"/>
    <xf numFmtId="0" fontId="17" fillId="0" borderId="2" xfId="5" applyFont="1" applyFill="1" applyBorder="1" applyAlignment="1" applyProtection="1">
      <alignment vertical="center" wrapText="1"/>
    </xf>
    <xf numFmtId="0" fontId="14" fillId="11" borderId="0" xfId="5" applyFont="1" applyFill="1" applyBorder="1"/>
    <xf numFmtId="37" fontId="15" fillId="0" borderId="2" xfId="6" applyNumberFormat="1" applyFont="1" applyBorder="1" applyAlignment="1" applyProtection="1"/>
    <xf numFmtId="39" fontId="15" fillId="0" borderId="2" xfId="6" applyNumberFormat="1" applyFont="1" applyBorder="1" applyAlignment="1" applyProtection="1"/>
    <xf numFmtId="164" fontId="15" fillId="0" borderId="2" xfId="5" applyNumberFormat="1" applyFont="1" applyBorder="1" applyAlignment="1"/>
    <xf numFmtId="0" fontId="19" fillId="0" borderId="0" xfId="7" applyBorder="1"/>
    <xf numFmtId="0" fontId="19" fillId="0" borderId="0" xfId="7"/>
    <xf numFmtId="166" fontId="15" fillId="0" borderId="2" xfId="6" applyNumberFormat="1" applyFont="1" applyFill="1" applyBorder="1" applyAlignment="1" applyProtection="1"/>
    <xf numFmtId="0" fontId="15" fillId="0" borderId="2" xfId="5" applyFont="1" applyFill="1" applyBorder="1"/>
    <xf numFmtId="0" fontId="13" fillId="0" borderId="28" xfId="5" applyBorder="1"/>
    <xf numFmtId="177" fontId="15" fillId="0" borderId="2" xfId="5" applyNumberFormat="1" applyFont="1" applyBorder="1"/>
    <xf numFmtId="178" fontId="15" fillId="0" borderId="2" xfId="5" applyNumberFormat="1" applyFont="1" applyBorder="1" applyAlignment="1"/>
    <xf numFmtId="0" fontId="13" fillId="0" borderId="0" xfId="5" applyFont="1" applyFill="1" applyAlignment="1"/>
    <xf numFmtId="0" fontId="13" fillId="0" borderId="11" xfId="5" applyFont="1" applyFill="1" applyBorder="1" applyAlignment="1"/>
    <xf numFmtId="0" fontId="13" fillId="0" borderId="12" xfId="5" applyFont="1" applyFill="1" applyBorder="1" applyAlignment="1"/>
    <xf numFmtId="0" fontId="13" fillId="0" borderId="13" xfId="5" applyFont="1" applyFill="1" applyBorder="1" applyAlignment="1"/>
    <xf numFmtId="0" fontId="13" fillId="0" borderId="14" xfId="5" applyFont="1" applyFill="1" applyBorder="1" applyAlignment="1"/>
    <xf numFmtId="0" fontId="13" fillId="0" borderId="0" xfId="5" applyFont="1" applyFill="1" applyBorder="1" applyAlignment="1"/>
    <xf numFmtId="0" fontId="13" fillId="0" borderId="16" xfId="5" applyFont="1" applyFill="1" applyBorder="1" applyAlignment="1"/>
    <xf numFmtId="0" fontId="14" fillId="0" borderId="0" xfId="5" applyFont="1" applyFill="1" applyBorder="1" applyAlignment="1"/>
    <xf numFmtId="166" fontId="14" fillId="9" borderId="27" xfId="5" applyNumberFormat="1" applyFont="1" applyFill="1" applyBorder="1" applyAlignment="1"/>
    <xf numFmtId="0" fontId="14" fillId="0" borderId="16" xfId="5" applyFont="1" applyFill="1" applyBorder="1" applyAlignment="1"/>
    <xf numFmtId="0" fontId="13" fillId="0" borderId="2" xfId="6" applyNumberFormat="1" applyFont="1" applyFill="1" applyBorder="1" applyAlignment="1">
      <alignment wrapText="1"/>
    </xf>
    <xf numFmtId="1" fontId="15" fillId="0" borderId="2" xfId="5" applyNumberFormat="1" applyFont="1" applyFill="1" applyBorder="1" applyAlignment="1"/>
    <xf numFmtId="0" fontId="15" fillId="0" borderId="2" xfId="5" applyFont="1" applyFill="1" applyBorder="1" applyAlignment="1"/>
    <xf numFmtId="0" fontId="15" fillId="0" borderId="28" xfId="5" applyFont="1" applyFill="1" applyBorder="1" applyAlignment="1"/>
    <xf numFmtId="0" fontId="13" fillId="0" borderId="0" xfId="5" applyFont="1" applyFill="1" applyAlignment="1">
      <alignment wrapText="1"/>
    </xf>
    <xf numFmtId="0" fontId="13" fillId="0" borderId="14" xfId="5" applyFont="1" applyFill="1" applyBorder="1" applyAlignment="1">
      <alignment wrapText="1"/>
    </xf>
    <xf numFmtId="0" fontId="13" fillId="0" borderId="0" xfId="5" applyFont="1" applyFill="1" applyBorder="1" applyAlignment="1">
      <alignment wrapText="1"/>
    </xf>
    <xf numFmtId="0" fontId="13" fillId="0" borderId="2" xfId="5" applyFont="1" applyFill="1" applyBorder="1" applyAlignment="1">
      <alignment wrapText="1"/>
    </xf>
    <xf numFmtId="166" fontId="15" fillId="0" borderId="2" xfId="6" applyNumberFormat="1" applyFont="1" applyFill="1" applyBorder="1" applyAlignment="1" applyProtection="1">
      <alignment wrapText="1"/>
    </xf>
    <xf numFmtId="0" fontId="13" fillId="0" borderId="28" xfId="5" applyFont="1" applyFill="1" applyBorder="1" applyAlignment="1">
      <alignment wrapText="1"/>
    </xf>
    <xf numFmtId="0" fontId="14" fillId="9" borderId="2" xfId="5" applyFont="1" applyFill="1" applyBorder="1" applyAlignment="1"/>
    <xf numFmtId="0" fontId="14" fillId="9" borderId="28" xfId="5" applyFont="1" applyFill="1" applyBorder="1" applyAlignment="1"/>
    <xf numFmtId="1" fontId="15" fillId="0" borderId="2" xfId="6" applyNumberFormat="1" applyFont="1" applyFill="1" applyBorder="1" applyAlignment="1" applyProtection="1"/>
    <xf numFmtId="0" fontId="13" fillId="0" borderId="2" xfId="5" applyNumberFormat="1" applyFont="1" applyFill="1" applyBorder="1" applyAlignment="1"/>
    <xf numFmtId="171" fontId="15" fillId="0" borderId="2" xfId="6" applyNumberFormat="1" applyFont="1" applyFill="1" applyBorder="1" applyAlignment="1" applyProtection="1"/>
    <xf numFmtId="11" fontId="15" fillId="0" borderId="2" xfId="6" applyNumberFormat="1" applyFont="1" applyFill="1" applyBorder="1" applyAlignment="1" applyProtection="1"/>
    <xf numFmtId="11" fontId="15" fillId="0" borderId="2" xfId="5" applyNumberFormat="1" applyFont="1" applyFill="1" applyBorder="1" applyAlignment="1"/>
    <xf numFmtId="169" fontId="15" fillId="0" borderId="2" xfId="6" applyNumberFormat="1" applyFont="1" applyFill="1" applyBorder="1" applyAlignment="1" applyProtection="1"/>
    <xf numFmtId="0" fontId="15" fillId="0" borderId="2" xfId="5" applyFont="1" applyFill="1" applyBorder="1" applyAlignment="1" applyProtection="1"/>
    <xf numFmtId="0" fontId="14" fillId="9" borderId="27" xfId="5" applyFont="1" applyFill="1" applyBorder="1" applyAlignment="1"/>
    <xf numFmtId="0" fontId="14" fillId="9" borderId="29" xfId="5" applyFont="1" applyFill="1" applyBorder="1" applyAlignment="1"/>
    <xf numFmtId="0" fontId="14" fillId="0" borderId="30" xfId="5" applyFont="1" applyFill="1" applyBorder="1" applyAlignment="1"/>
    <xf numFmtId="0" fontId="14" fillId="0" borderId="31" xfId="5" applyFont="1" applyFill="1" applyBorder="1" applyAlignment="1"/>
    <xf numFmtId="0" fontId="15" fillId="0" borderId="0" xfId="5" applyFont="1" applyFill="1" applyBorder="1" applyAlignment="1"/>
    <xf numFmtId="0" fontId="14" fillId="9" borderId="18" xfId="5" applyFont="1" applyFill="1" applyBorder="1" applyAlignment="1"/>
    <xf numFmtId="0" fontId="14" fillId="9" borderId="32" xfId="5" applyFont="1" applyFill="1" applyBorder="1" applyAlignment="1"/>
    <xf numFmtId="49" fontId="16" fillId="0" borderId="0" xfId="7" applyNumberFormat="1" applyFont="1" applyBorder="1" applyAlignment="1">
      <alignment horizontal="left"/>
    </xf>
    <xf numFmtId="0" fontId="15" fillId="0" borderId="0" xfId="5" applyFont="1" applyFill="1" applyBorder="1" applyAlignment="1">
      <alignment horizontal="left"/>
    </xf>
    <xf numFmtId="0" fontId="15" fillId="0" borderId="18" xfId="5" applyFont="1" applyFill="1" applyBorder="1" applyAlignment="1">
      <alignment horizontal="right"/>
    </xf>
    <xf numFmtId="0" fontId="13" fillId="0" borderId="24" xfId="5" applyFont="1" applyFill="1" applyBorder="1" applyAlignment="1"/>
    <xf numFmtId="0" fontId="13" fillId="0" borderId="25" xfId="5" applyFont="1" applyFill="1" applyBorder="1" applyAlignment="1"/>
    <xf numFmtId="0" fontId="13" fillId="0" borderId="26" xfId="5" applyFont="1" applyFill="1" applyBorder="1" applyAlignment="1"/>
    <xf numFmtId="0" fontId="15" fillId="0" borderId="18" xfId="5" applyFont="1" applyBorder="1" applyAlignment="1" applyProtection="1">
      <alignment wrapText="1"/>
    </xf>
    <xf numFmtId="0" fontId="13" fillId="0" borderId="33" xfId="5" applyBorder="1"/>
    <xf numFmtId="0" fontId="13" fillId="0" borderId="34" xfId="5" applyBorder="1"/>
    <xf numFmtId="0" fontId="13" fillId="0" borderId="35" xfId="5" applyBorder="1"/>
    <xf numFmtId="0" fontId="14" fillId="9" borderId="36" xfId="5" applyFont="1" applyFill="1" applyBorder="1"/>
    <xf numFmtId="0" fontId="13" fillId="0" borderId="37" xfId="5" applyBorder="1"/>
    <xf numFmtId="0" fontId="14" fillId="0" borderId="38" xfId="5" applyFont="1" applyBorder="1"/>
    <xf numFmtId="0" fontId="14" fillId="9" borderId="39" xfId="5" applyFont="1" applyFill="1" applyBorder="1"/>
    <xf numFmtId="0" fontId="15" fillId="0" borderId="40" xfId="5" applyFont="1" applyBorder="1" applyAlignment="1"/>
    <xf numFmtId="0" fontId="13" fillId="0" borderId="37" xfId="5" applyBorder="1" applyAlignment="1"/>
    <xf numFmtId="0" fontId="14" fillId="0" borderId="41" xfId="5" applyFont="1" applyBorder="1"/>
    <xf numFmtId="0" fontId="13" fillId="0" borderId="41" xfId="5" applyBorder="1"/>
    <xf numFmtId="0" fontId="13" fillId="0" borderId="37" xfId="5" applyBorder="1" applyAlignment="1">
      <alignment wrapText="1"/>
    </xf>
    <xf numFmtId="0" fontId="14" fillId="9" borderId="40" xfId="5" applyFont="1" applyFill="1" applyBorder="1"/>
    <xf numFmtId="0" fontId="13" fillId="0" borderId="40" xfId="5" applyBorder="1" applyAlignment="1">
      <alignment wrapText="1"/>
    </xf>
    <xf numFmtId="0" fontId="13" fillId="0" borderId="37" xfId="5" applyFont="1" applyBorder="1"/>
    <xf numFmtId="0" fontId="15" fillId="0" borderId="40" xfId="5" applyFont="1" applyBorder="1"/>
    <xf numFmtId="0" fontId="13" fillId="0" borderId="40" xfId="5" applyBorder="1"/>
    <xf numFmtId="0" fontId="15" fillId="0" borderId="40" xfId="5" applyFont="1" applyFill="1" applyBorder="1"/>
    <xf numFmtId="0" fontId="13" fillId="0" borderId="42" xfId="5" applyBorder="1"/>
    <xf numFmtId="0" fontId="13" fillId="0" borderId="43" xfId="5" applyBorder="1"/>
    <xf numFmtId="0" fontId="13" fillId="0" borderId="44" xfId="5" applyBorder="1"/>
    <xf numFmtId="165" fontId="5" fillId="12" borderId="2" xfId="1" applyNumberFormat="1" applyFont="1" applyFill="1" applyBorder="1" applyAlignment="1" applyProtection="1">
      <alignment horizontal="center"/>
      <protection locked="0"/>
    </xf>
    <xf numFmtId="0" fontId="5" fillId="12" borderId="2" xfId="1" applyFont="1" applyFill="1" applyBorder="1" applyProtection="1">
      <protection locked="0"/>
    </xf>
    <xf numFmtId="0" fontId="5" fillId="12" borderId="2" xfId="1" applyFont="1" applyFill="1" applyBorder="1" applyAlignment="1">
      <alignment horizontal="left"/>
    </xf>
    <xf numFmtId="18" fontId="5" fillId="12" borderId="2" xfId="1" applyNumberFormat="1" applyFont="1" applyFill="1" applyBorder="1" applyAlignment="1" applyProtection="1">
      <protection locked="0"/>
    </xf>
    <xf numFmtId="165" fontId="5" fillId="12" borderId="2" xfId="2" applyNumberFormat="1" applyFont="1" applyFill="1" applyBorder="1" applyProtection="1">
      <protection locked="0"/>
    </xf>
    <xf numFmtId="0" fontId="5" fillId="12" borderId="2" xfId="1" applyFont="1" applyFill="1" applyBorder="1" applyAlignment="1" applyProtection="1">
      <alignment horizontal="center"/>
      <protection locked="0"/>
    </xf>
    <xf numFmtId="165" fontId="5" fillId="12" borderId="2" xfId="1" applyNumberFormat="1" applyFont="1" applyFill="1" applyBorder="1" applyAlignment="1">
      <alignment horizontal="right"/>
    </xf>
    <xf numFmtId="0" fontId="5" fillId="12" borderId="2" xfId="1" applyFont="1" applyFill="1" applyBorder="1" applyAlignment="1">
      <alignment horizontal="center"/>
    </xf>
    <xf numFmtId="0" fontId="6" fillId="12" borderId="2" xfId="3" applyFill="1" applyBorder="1" applyAlignment="1">
      <alignment horizontal="left"/>
    </xf>
    <xf numFmtId="0" fontId="6" fillId="0" borderId="0" xfId="3" applyFill="1" applyBorder="1" applyAlignment="1"/>
    <xf numFmtId="0" fontId="6" fillId="0" borderId="18" xfId="3" quotePrefix="1" applyNumberFormat="1" applyBorder="1" applyAlignment="1" applyProtection="1"/>
    <xf numFmtId="0" fontId="15" fillId="0" borderId="28" xfId="5" applyFont="1" applyBorder="1" applyAlignment="1">
      <alignment wrapText="1"/>
    </xf>
    <xf numFmtId="0" fontId="15" fillId="0" borderId="2" xfId="5" applyFont="1" applyBorder="1" applyAlignment="1">
      <alignment wrapText="1"/>
    </xf>
    <xf numFmtId="1" fontId="15" fillId="0" borderId="2" xfId="5" applyNumberFormat="1" applyFont="1" applyFill="1" applyBorder="1" applyAlignment="1">
      <alignment wrapText="1"/>
    </xf>
    <xf numFmtId="0" fontId="13" fillId="0" borderId="28" xfId="5" applyBorder="1" applyAlignment="1"/>
    <xf numFmtId="0" fontId="0" fillId="0" borderId="2" xfId="6" applyNumberFormat="1" applyFont="1" applyBorder="1" applyAlignment="1"/>
    <xf numFmtId="0" fontId="13" fillId="0" borderId="2" xfId="5" applyBorder="1" applyAlignment="1"/>
    <xf numFmtId="2" fontId="15" fillId="0" borderId="2" xfId="5" applyNumberFormat="1" applyFont="1" applyFill="1" applyBorder="1" applyAlignment="1"/>
    <xf numFmtId="166" fontId="15" fillId="10" borderId="2" xfId="6" applyNumberFormat="1" applyFont="1" applyFill="1" applyBorder="1" applyAlignment="1" applyProtection="1"/>
    <xf numFmtId="0" fontId="13" fillId="0" borderId="0" xfId="5" applyBorder="1" applyAlignment="1"/>
    <xf numFmtId="1" fontId="15" fillId="0" borderId="2" xfId="5" applyNumberFormat="1" applyFont="1" applyBorder="1" applyAlignment="1">
      <alignment wrapText="1"/>
    </xf>
    <xf numFmtId="0" fontId="13" fillId="0" borderId="26" xfId="5" applyBorder="1" applyAlignment="1"/>
    <xf numFmtId="0" fontId="13" fillId="0" borderId="25" xfId="5" applyBorder="1" applyAlignment="1"/>
    <xf numFmtId="0" fontId="13" fillId="0" borderId="24" xfId="5" applyBorder="1" applyAlignment="1"/>
    <xf numFmtId="0" fontId="14" fillId="11" borderId="18" xfId="5" applyFont="1" applyFill="1" applyBorder="1" applyAlignment="1"/>
    <xf numFmtId="0" fontId="15" fillId="0" borderId="0" xfId="5" applyFont="1" applyBorder="1" applyAlignment="1"/>
    <xf numFmtId="0" fontId="6" fillId="0" borderId="0" xfId="3" applyBorder="1" applyAlignment="1"/>
    <xf numFmtId="0" fontId="13" fillId="0" borderId="0" xfId="5" applyFont="1" applyBorder="1" applyAlignment="1"/>
    <xf numFmtId="0" fontId="14" fillId="11" borderId="0" xfId="5" applyFont="1" applyFill="1" applyBorder="1" applyAlignment="1"/>
    <xf numFmtId="0" fontId="13" fillId="0" borderId="16" xfId="5" applyBorder="1" applyAlignment="1"/>
    <xf numFmtId="37" fontId="15" fillId="0" borderId="18" xfId="5" applyNumberFormat="1" applyFont="1" applyBorder="1" applyAlignment="1"/>
    <xf numFmtId="0" fontId="13" fillId="0" borderId="0" xfId="5" applyFont="1" applyAlignment="1"/>
    <xf numFmtId="166" fontId="14" fillId="11" borderId="18" xfId="5" applyNumberFormat="1" applyFont="1" applyFill="1" applyBorder="1" applyAlignment="1"/>
    <xf numFmtId="0" fontId="17" fillId="0" borderId="2" xfId="5" applyFont="1" applyFill="1" applyBorder="1" applyAlignment="1" applyProtection="1">
      <alignment vertical="center"/>
    </xf>
    <xf numFmtId="0" fontId="14" fillId="0" borderId="16" xfId="5" applyFont="1" applyBorder="1" applyAlignment="1"/>
    <xf numFmtId="0" fontId="14" fillId="0" borderId="0" xfId="5" applyFont="1" applyBorder="1" applyAlignment="1"/>
    <xf numFmtId="0" fontId="0" fillId="0" borderId="18" xfId="6" applyNumberFormat="1" applyFont="1" applyBorder="1" applyAlignment="1"/>
    <xf numFmtId="0" fontId="18" fillId="0" borderId="18" xfId="5" applyFont="1" applyBorder="1" applyAlignment="1"/>
    <xf numFmtId="0" fontId="13" fillId="0" borderId="18" xfId="6" applyNumberFormat="1" applyFont="1" applyFill="1" applyBorder="1" applyAlignment="1"/>
    <xf numFmtId="0" fontId="17" fillId="0" borderId="22" xfId="5" applyFont="1" applyBorder="1" applyAlignment="1"/>
    <xf numFmtId="0" fontId="17" fillId="0" borderId="22" xfId="5" applyFont="1" applyBorder="1" applyAlignment="1" applyProtection="1"/>
    <xf numFmtId="0" fontId="17" fillId="0" borderId="18" xfId="5" applyFont="1" applyBorder="1" applyAlignment="1"/>
    <xf numFmtId="168" fontId="17" fillId="0" borderId="22" xfId="5" applyNumberFormat="1" applyFont="1" applyBorder="1" applyAlignment="1"/>
    <xf numFmtId="39" fontId="17" fillId="0" borderId="22" xfId="6" applyNumberFormat="1" applyFont="1" applyBorder="1" applyAlignment="1" applyProtection="1"/>
    <xf numFmtId="37" fontId="17" fillId="0" borderId="18" xfId="6" applyNumberFormat="1" applyFont="1" applyBorder="1" applyAlignment="1" applyProtection="1"/>
    <xf numFmtId="0" fontId="17" fillId="0" borderId="0" xfId="5" applyFont="1" applyBorder="1" applyAlignment="1"/>
    <xf numFmtId="0" fontId="17" fillId="0" borderId="14" xfId="5" applyFont="1" applyBorder="1" applyAlignment="1"/>
    <xf numFmtId="0" fontId="17" fillId="0" borderId="0" xfId="5" applyFont="1" applyAlignment="1"/>
    <xf numFmtId="0" fontId="17" fillId="0" borderId="2" xfId="5" applyFont="1" applyBorder="1" applyAlignment="1"/>
    <xf numFmtId="0" fontId="17" fillId="0" borderId="2" xfId="5" applyFont="1" applyBorder="1" applyAlignment="1" applyProtection="1"/>
    <xf numFmtId="0" fontId="17" fillId="0" borderId="45" xfId="5" applyFont="1" applyBorder="1" applyAlignment="1"/>
    <xf numFmtId="168" fontId="17" fillId="0" borderId="2" xfId="5" applyNumberFormat="1" applyFont="1" applyBorder="1" applyAlignment="1"/>
    <xf numFmtId="39" fontId="17" fillId="0" borderId="2" xfId="6" applyNumberFormat="1" applyFont="1" applyBorder="1" applyAlignment="1" applyProtection="1"/>
    <xf numFmtId="37" fontId="17" fillId="0" borderId="19" xfId="6" applyNumberFormat="1" applyFont="1" applyBorder="1" applyAlignment="1" applyProtection="1"/>
    <xf numFmtId="166" fontId="14" fillId="11" borderId="15" xfId="5" applyNumberFormat="1" applyFont="1" applyFill="1" applyBorder="1" applyAlignment="1"/>
    <xf numFmtId="0" fontId="13" fillId="0" borderId="13" xfId="5" applyBorder="1" applyAlignment="1"/>
    <xf numFmtId="0" fontId="13" fillId="0" borderId="12" xfId="5" applyBorder="1" applyAlignment="1"/>
    <xf numFmtId="0" fontId="13" fillId="0" borderId="11" xfId="5" applyBorder="1" applyAlignment="1"/>
    <xf numFmtId="0" fontId="19" fillId="0" borderId="0" xfId="7" applyAlignment="1"/>
    <xf numFmtId="0" fontId="14" fillId="0" borderId="31" xfId="5" applyFont="1" applyBorder="1" applyAlignment="1"/>
    <xf numFmtId="0" fontId="14" fillId="0" borderId="30" xfId="5" applyFont="1" applyBorder="1" applyAlignment="1"/>
    <xf numFmtId="1" fontId="15" fillId="0" borderId="2" xfId="5" applyNumberFormat="1" applyFont="1" applyBorder="1" applyAlignment="1"/>
    <xf numFmtId="176" fontId="15" fillId="0" borderId="2" xfId="5" applyNumberFormat="1" applyFont="1" applyBorder="1" applyAlignment="1"/>
    <xf numFmtId="0" fontId="13" fillId="0" borderId="14" xfId="5" applyFont="1" applyBorder="1" applyAlignment="1"/>
    <xf numFmtId="0" fontId="15" fillId="0" borderId="28" xfId="5" applyFont="1" applyFill="1" applyBorder="1" applyAlignment="1">
      <alignment wrapText="1"/>
    </xf>
  </cellXfs>
  <cellStyles count="8">
    <cellStyle name="Comma 2" xfId="2" xr:uid="{733E6EB1-DBDF-4700-B82A-5B48D0193B53}"/>
    <cellStyle name="Lien hypertexte" xfId="3" builtinId="8"/>
    <cellStyle name="Lien hypertexte 2" xfId="7" xr:uid="{36E4C0BA-59BD-453E-87B0-F6F06696168C}"/>
    <cellStyle name="Normal" xfId="0" builtinId="0"/>
    <cellStyle name="Normal 2" xfId="1" xr:uid="{B42DF9A9-A809-43B3-A17B-44D2FDAD05C5}"/>
    <cellStyle name="Normal 3" xfId="4" xr:uid="{53003779-E27E-4CE3-BED2-BF4890E6FAC7}"/>
    <cellStyle name="Normal 4" xfId="5" xr:uid="{20AE17E3-A7E3-41B9-8F87-229C5ED32C83}"/>
    <cellStyle name="TableStyleLight1" xfId="6" xr:uid="{45FDDBF5-B3B0-4E3B-A411-7B4681DF8271}"/>
  </cellStyles>
  <dxfs count="0"/>
  <tableStyles count="0" defaultTableStyle="TableStyleMedium2" defaultPivotStyle="PivotStyleLight16"/>
  <colors>
    <mruColors>
      <color rgb="FFF796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hyperlink" Target="#EL_02003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EL_02004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EL_03001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EL_03002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hyperlink" Target="#EL_03003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EL_0100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EL_01002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EL_01003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EL_01005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EL_01006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2263588</xdr:colOff>
      <xdr:row>0</xdr:row>
      <xdr:rowOff>145676</xdr:rowOff>
    </xdr:from>
    <xdr:ext cx="818029" cy="1467971"/>
    <xdr:pic>
      <xdr:nvPicPr>
        <xdr:cNvPr id="2" name="Picture 1" descr="power_distrib">
          <a:extLst>
            <a:ext uri="{FF2B5EF4-FFF2-40B4-BE49-F238E27FC236}">
              <a16:creationId xmlns:a16="http://schemas.microsoft.com/office/drawing/2014/main" id="{3C66A720-1137-4749-85BF-C8E1D9858E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l="22548" t="8134" r="10739" b="9900"/>
        <a:stretch/>
      </xdr:blipFill>
      <xdr:spPr>
        <a:xfrm>
          <a:off x="8471647" y="145676"/>
          <a:ext cx="818029" cy="1467971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103854</xdr:colOff>
      <xdr:row>1</xdr:row>
      <xdr:rowOff>125730</xdr:rowOff>
    </xdr:from>
    <xdr:ext cx="6687471" cy="528776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59E02-536B-4D4D-8260-6451E70A8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3854" y="316230"/>
          <a:ext cx="6687471" cy="5287761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1</xdr:row>
      <xdr:rowOff>9525</xdr:rowOff>
    </xdr:from>
    <xdr:ext cx="6143625" cy="5105933"/>
    <xdr:pic>
      <xdr:nvPicPr>
        <xdr:cNvPr id="2" name="Picture 1" descr="mas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1587A7-59C5-4F5B-82EF-384BB3E22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775" y="200025"/>
          <a:ext cx="6143625" cy="510593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234950</xdr:colOff>
      <xdr:row>11</xdr:row>
      <xdr:rowOff>19685</xdr:rowOff>
    </xdr:from>
    <xdr:to>
      <xdr:col>11</xdr:col>
      <xdr:colOff>364490</xdr:colOff>
      <xdr:row>18</xdr:row>
      <xdr:rowOff>151130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1FB9E1-D182-436F-BAEE-196BF2C21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721350" y="2115185"/>
          <a:ext cx="1348740" cy="146494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1</xdr:row>
      <xdr:rowOff>93980</xdr:rowOff>
    </xdr:from>
    <xdr:to>
      <xdr:col>9</xdr:col>
      <xdr:colOff>542926</xdr:colOff>
      <xdr:row>28</xdr:row>
      <xdr:rowOff>59973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D23CD7-71FC-4353-B251-33A7E6FAF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284480"/>
          <a:ext cx="6134100" cy="5109493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11</xdr:row>
      <xdr:rowOff>63237</xdr:rowOff>
    </xdr:from>
    <xdr:to>
      <xdr:col>11</xdr:col>
      <xdr:colOff>419100</xdr:colOff>
      <xdr:row>19</xdr:row>
      <xdr:rowOff>153049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4A9ABF-AB98-40CA-A95B-02C327570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689600" y="2158737"/>
          <a:ext cx="1435100" cy="1804312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62593</xdr:colOff>
      <xdr:row>1</xdr:row>
      <xdr:rowOff>53523</xdr:rowOff>
    </xdr:from>
    <xdr:to>
      <xdr:col>9</xdr:col>
      <xdr:colOff>548614</xdr:colOff>
      <xdr:row>28</xdr:row>
      <xdr:rowOff>68037</xdr:rowOff>
    </xdr:to>
    <xdr:pic>
      <xdr:nvPicPr>
        <xdr:cNvPr id="2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A99F8F-7AB6-478B-9835-075C5EA96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593" y="244023"/>
          <a:ext cx="6214628" cy="5158014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176848</xdr:colOff>
      <xdr:row>2</xdr:row>
      <xdr:rowOff>151538</xdr:rowOff>
    </xdr:from>
    <xdr:ext cx="2137730" cy="1054010"/>
    <xdr:pic>
      <xdr:nvPicPr>
        <xdr:cNvPr id="2" name="Picture 1" descr="batterie_brack">
          <a:extLst>
            <a:ext uri="{FF2B5EF4-FFF2-40B4-BE49-F238E27FC236}">
              <a16:creationId xmlns:a16="http://schemas.microsoft.com/office/drawing/2014/main" id="{3CBDF573-BA1A-47DB-9502-36CF31D99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4242958" y="-9322"/>
          <a:ext cx="1054010" cy="2137730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67641</xdr:rowOff>
    </xdr:from>
    <xdr:ext cx="6245380" cy="5647359"/>
    <xdr:pic>
      <xdr:nvPicPr>
        <xdr:cNvPr id="2" name="Picture 2" descr="battery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6AFEE7-4C9E-4CE0-9921-65F092F1C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58141"/>
          <a:ext cx="6245380" cy="564735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</xdr:row>
      <xdr:rowOff>66676</xdr:rowOff>
    </xdr:from>
    <xdr:ext cx="5991225" cy="4960586"/>
    <xdr:pic>
      <xdr:nvPicPr>
        <xdr:cNvPr id="2" name="Picture 2" descr="PDB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5119B9-611D-4228-B434-C36614E509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300" y="257176"/>
          <a:ext cx="5991225" cy="496058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1</xdr:row>
      <xdr:rowOff>9525</xdr:rowOff>
    </xdr:from>
    <xdr:ext cx="6153150" cy="5113849"/>
    <xdr:pic>
      <xdr:nvPicPr>
        <xdr:cNvPr id="2" name="Picture 2" descr="mass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9F7EC5-F38A-4609-B24E-5811D1FA6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250" y="200025"/>
          <a:ext cx="6153150" cy="511384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524505</xdr:colOff>
      <xdr:row>2</xdr:row>
      <xdr:rowOff>142188</xdr:rowOff>
    </xdr:from>
    <xdr:ext cx="2528909" cy="1000809"/>
    <xdr:pic>
      <xdr:nvPicPr>
        <xdr:cNvPr id="2" name="Picture 1" descr="break">
          <a:extLst>
            <a:ext uri="{FF2B5EF4-FFF2-40B4-BE49-F238E27FC236}">
              <a16:creationId xmlns:a16="http://schemas.microsoft.com/office/drawing/2014/main" id="{8F31C535-9BD2-4E59-ADFB-A2B2F333E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7213105" y="-240862"/>
          <a:ext cx="1000809" cy="252890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99143</xdr:colOff>
      <xdr:row>1</xdr:row>
      <xdr:rowOff>67890</xdr:rowOff>
    </xdr:from>
    <xdr:ext cx="5512960" cy="4246245"/>
    <xdr:pic>
      <xdr:nvPicPr>
        <xdr:cNvPr id="2" name="Picture 2" descr="Break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8036E8-8CB6-4100-A8FF-86AA20A04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28470" r="28219"/>
        <a:stretch>
          <a:fillRect/>
        </a:stretch>
      </xdr:blipFill>
      <xdr:spPr>
        <a:xfrm>
          <a:off x="99143" y="258390"/>
          <a:ext cx="5512960" cy="424624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225459</xdr:colOff>
      <xdr:row>12</xdr:row>
      <xdr:rowOff>91500</xdr:rowOff>
    </xdr:from>
    <xdr:ext cx="1938076" cy="976577"/>
    <xdr:pic>
      <xdr:nvPicPr>
        <xdr:cNvPr id="2" name="Picture 1" descr="master_switch">
          <a:extLst>
            <a:ext uri="{FF2B5EF4-FFF2-40B4-BE49-F238E27FC236}">
              <a16:creationId xmlns:a16="http://schemas.microsoft.com/office/drawing/2014/main" id="{BC2D1315-660E-495F-8BD9-5F3129225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9632494" y="1896751"/>
          <a:ext cx="976577" cy="1938076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578823</xdr:colOff>
      <xdr:row>2</xdr:row>
      <xdr:rowOff>81614</xdr:rowOff>
    </xdr:from>
    <xdr:ext cx="1931297" cy="1133933"/>
    <xdr:pic>
      <xdr:nvPicPr>
        <xdr:cNvPr id="2" name="Picture 1" descr="master_switch_brack">
          <a:extLst>
            <a:ext uri="{FF2B5EF4-FFF2-40B4-BE49-F238E27FC236}">
              <a16:creationId xmlns:a16="http://schemas.microsoft.com/office/drawing/2014/main" id="{1C8EBA23-C742-4208-A2BC-A69F31C055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6658887" y="63932"/>
          <a:ext cx="1133933" cy="1931297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94505</xdr:colOff>
      <xdr:row>1</xdr:row>
      <xdr:rowOff>38514</xdr:rowOff>
    </xdr:from>
    <xdr:ext cx="5573988" cy="4765399"/>
    <xdr:pic>
      <xdr:nvPicPr>
        <xdr:cNvPr id="2" name="Picture 3" descr="maste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1DDAE0-C945-4CB3-8C71-9B7B4F78A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505" y="229014"/>
          <a:ext cx="5573988" cy="4765399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102539</xdr:colOff>
      <xdr:row>1</xdr:row>
      <xdr:rowOff>26090</xdr:rowOff>
    </xdr:from>
    <xdr:ext cx="5860939" cy="4997293"/>
    <xdr:pic>
      <xdr:nvPicPr>
        <xdr:cNvPr id="2" name="Picture 2" descr="crash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A0D98F-8621-4CD8-A702-63593B20E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539" y="216590"/>
          <a:ext cx="5860939" cy="499729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EPSA/Vulcanix-v1.0/EL%20-%20Electrical/Cost/EL_A0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EL_A0100"/>
      <sheetName val="EL_01001"/>
      <sheetName val="dEL_01001"/>
      <sheetName val="EL_01002"/>
      <sheetName val="dEL_01002"/>
      <sheetName val="EL_01003"/>
      <sheetName val="dEL_01003"/>
      <sheetName val="EL_01004"/>
      <sheetName val="dEL_01004"/>
      <sheetName val="EL_01005"/>
      <sheetName val="dEL_01005"/>
      <sheetName val="EL_01006"/>
      <sheetName val="dEL_01006"/>
    </sheetNames>
    <sheetDataSet>
      <sheetData sheetId="0"/>
      <sheetData sheetId="1"/>
      <sheetData sheetId="2">
        <row r="3">
          <cell r="B3" t="str">
            <v>Electrical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BDA8-4AA4-46CA-BFC5-0B161A9A5410}">
  <sheetPr>
    <pageSetUpPr fitToPage="1"/>
  </sheetPr>
  <dimension ref="A1:O169"/>
  <sheetViews>
    <sheetView zoomScale="85" zoomScaleNormal="85" workbookViewId="0">
      <pane xSplit="3" ySplit="6" topLeftCell="F7" activePane="bottomRight" state="frozen"/>
      <selection activeCell="G2" sqref="G2"/>
      <selection pane="topRight" activeCell="G2" sqref="G2"/>
      <selection pane="bottomLeft" activeCell="G2" sqref="G2"/>
      <selection pane="bottomRight" activeCell="F17" sqref="F17"/>
    </sheetView>
  </sheetViews>
  <sheetFormatPr baseColWidth="10" defaultColWidth="9.140625" defaultRowHeight="12.75"/>
  <cols>
    <col min="1" max="1" width="17.42578125" style="2" customWidth="1"/>
    <col min="2" max="2" width="28.7109375" style="1" customWidth="1"/>
    <col min="3" max="3" width="13.5703125" style="2" customWidth="1"/>
    <col min="4" max="4" width="10" style="2" customWidth="1"/>
    <col min="5" max="5" width="33.85546875" style="2" customWidth="1"/>
    <col min="6" max="6" width="32.5703125" style="4" customWidth="1"/>
    <col min="7" max="7" width="13" style="2" customWidth="1"/>
    <col min="8" max="8" width="12.140625" style="2" customWidth="1"/>
    <col min="9" max="9" width="10.42578125" style="3" customWidth="1"/>
    <col min="10" max="10" width="11.28515625" style="3" customWidth="1"/>
    <col min="11" max="13" width="10.42578125" style="3" customWidth="1"/>
    <col min="14" max="14" width="11.28515625" style="2" customWidth="1"/>
    <col min="15" max="15" width="11.140625" style="1" customWidth="1"/>
    <col min="16" max="16384" width="9.140625" style="1"/>
  </cols>
  <sheetData>
    <row r="1" spans="1:15" ht="15.75" thickBot="1">
      <c r="A1" s="62" t="s">
        <v>24</v>
      </c>
      <c r="B1" s="61" t="s">
        <v>23</v>
      </c>
      <c r="D1" s="50"/>
      <c r="M1" s="60" t="s">
        <v>22</v>
      </c>
      <c r="N1" s="59"/>
      <c r="O1" s="58" t="e">
        <f>#REF!</f>
        <v>#REF!</v>
      </c>
    </row>
    <row r="2" spans="1:15" s="48" customFormat="1" ht="15.75" thickBot="1">
      <c r="A2" s="57" t="s">
        <v>21</v>
      </c>
      <c r="B2" s="56" t="s">
        <v>20</v>
      </c>
      <c r="C2" s="51"/>
      <c r="F2" s="49"/>
    </row>
    <row r="3" spans="1:15" s="48" customFormat="1" ht="16.5" thickTop="1" thickBot="1">
      <c r="A3" s="55" t="s">
        <v>19</v>
      </c>
      <c r="B3" s="54">
        <v>2018</v>
      </c>
      <c r="C3" s="51"/>
      <c r="F3" s="49"/>
    </row>
    <row r="4" spans="1:15" s="48" customFormat="1" ht="16.5" thickTop="1" thickBot="1">
      <c r="A4" s="53" t="s">
        <v>18</v>
      </c>
      <c r="B4" s="52">
        <v>81</v>
      </c>
      <c r="C4" s="51"/>
      <c r="D4" s="50" t="s">
        <v>17</v>
      </c>
      <c r="F4" s="49"/>
    </row>
    <row r="5" spans="1:15" s="43" customFormat="1" ht="15.75" thickTop="1">
      <c r="A5" s="47"/>
      <c r="B5" s="46"/>
      <c r="C5" s="45"/>
      <c r="F5" s="44"/>
    </row>
    <row r="6" spans="1:15" s="38" customFormat="1" ht="49.5" customHeight="1">
      <c r="A6" s="42" t="s">
        <v>16</v>
      </c>
      <c r="B6" s="39" t="s">
        <v>15</v>
      </c>
      <c r="C6" s="39" t="s">
        <v>14</v>
      </c>
      <c r="D6" s="39" t="s">
        <v>13</v>
      </c>
      <c r="E6" s="39" t="s">
        <v>12</v>
      </c>
      <c r="F6" s="39" t="s">
        <v>11</v>
      </c>
      <c r="G6" s="39" t="s">
        <v>10</v>
      </c>
      <c r="H6" s="41" t="s">
        <v>9</v>
      </c>
      <c r="I6" s="39" t="s">
        <v>8</v>
      </c>
      <c r="J6" s="39" t="s">
        <v>7</v>
      </c>
      <c r="K6" s="39" t="s">
        <v>6</v>
      </c>
      <c r="L6" s="39" t="s">
        <v>5</v>
      </c>
      <c r="M6" s="39" t="s">
        <v>4</v>
      </c>
      <c r="N6" s="40" t="s">
        <v>3</v>
      </c>
      <c r="O6" s="39" t="s">
        <v>2</v>
      </c>
    </row>
    <row r="7" spans="1:15" ht="15">
      <c r="A7" s="37"/>
      <c r="B7" s="36" t="str">
        <f>EL_A0100!B3</f>
        <v>Electrical</v>
      </c>
      <c r="C7" s="34" t="str">
        <f>EL_A0001</f>
        <v>EL A0100</v>
      </c>
      <c r="D7" s="34" t="s">
        <v>1</v>
      </c>
      <c r="E7" s="34"/>
      <c r="F7" s="35" t="str">
        <f>EL_A0100!B4</f>
        <v>Rear firewall instruments and wires</v>
      </c>
      <c r="G7" s="34"/>
      <c r="H7" s="33">
        <f>SUM(J7:M7)</f>
        <v>1232.1544107999998</v>
      </c>
      <c r="I7" s="32">
        <f>EL_A0001_q</f>
        <v>1</v>
      </c>
      <c r="J7" s="31">
        <f>EL_A0001_m</f>
        <v>1130.8499999999999</v>
      </c>
      <c r="K7" s="267">
        <f>EL_A0001_p</f>
        <v>97.454410799999991</v>
      </c>
      <c r="L7" s="31">
        <f>EL_A0001_f</f>
        <v>1.85</v>
      </c>
      <c r="M7" s="31">
        <f>EL_A0001_t</f>
        <v>2</v>
      </c>
      <c r="N7" s="30">
        <f>H7*I7</f>
        <v>1232.1544107999998</v>
      </c>
      <c r="O7" s="29"/>
    </row>
    <row r="8" spans="1:15" ht="15">
      <c r="A8" s="24"/>
      <c r="B8" s="23" t="str">
        <f>EL_A0100!$B$3</f>
        <v>Electrical</v>
      </c>
      <c r="C8" s="28" t="str">
        <f>EL_01001</f>
        <v>EL 01001</v>
      </c>
      <c r="D8" s="22" t="s">
        <v>1</v>
      </c>
      <c r="E8" s="22" t="str">
        <f>F$7</f>
        <v>Rear firewall instruments and wires</v>
      </c>
      <c r="F8" s="27" t="str">
        <f>EL_01001!B5</f>
        <v>Fuse box bracket</v>
      </c>
      <c r="G8" s="22"/>
      <c r="H8" s="21">
        <f>SUM(J8:M8)</f>
        <v>0.88343210000000005</v>
      </c>
      <c r="I8" s="26">
        <f>EL_A0001_q*EL_01001_q</f>
        <v>2</v>
      </c>
      <c r="J8" s="20">
        <f>EL_01001_m</f>
        <v>1.6532099999999997E-2</v>
      </c>
      <c r="K8" s="20">
        <f>EL_01001_p</f>
        <v>0.8669</v>
      </c>
      <c r="L8" s="20">
        <v>0</v>
      </c>
      <c r="M8" s="20">
        <v>0</v>
      </c>
      <c r="N8" s="19">
        <f>H8*I8</f>
        <v>1.7668642000000001</v>
      </c>
      <c r="O8" s="18"/>
    </row>
    <row r="9" spans="1:15" ht="15">
      <c r="A9" s="24"/>
      <c r="B9" s="23" t="str">
        <f>EL_A0100!$B$3</f>
        <v>Electrical</v>
      </c>
      <c r="C9" s="28" t="str">
        <f>EL_01002</f>
        <v>EL 01002</v>
      </c>
      <c r="D9" s="22" t="s">
        <v>1</v>
      </c>
      <c r="E9" s="22" t="str">
        <f t="shared" ref="E9:E13" si="0">F$7</f>
        <v>Rear firewall instruments and wires</v>
      </c>
      <c r="F9" s="27" t="str">
        <f>EL_01002!B5</f>
        <v>Ground bracket</v>
      </c>
      <c r="G9" s="22"/>
      <c r="H9" s="21">
        <f>SUM(J9:M9)</f>
        <v>0.54649961458333329</v>
      </c>
      <c r="I9" s="26">
        <f>EL_A0001_q*EL_01002_q</f>
        <v>2</v>
      </c>
      <c r="J9" s="20">
        <f>EL_01002_m</f>
        <v>5.1662812500000007E-3</v>
      </c>
      <c r="K9" s="20">
        <f>EL_01002_p</f>
        <v>0.54133333333333333</v>
      </c>
      <c r="L9" s="20">
        <v>0</v>
      </c>
      <c r="M9" s="20">
        <v>0</v>
      </c>
      <c r="N9" s="19">
        <f>H9*I9</f>
        <v>1.0929992291666666</v>
      </c>
      <c r="O9" s="18"/>
    </row>
    <row r="10" spans="1:15" ht="15">
      <c r="A10" s="24"/>
      <c r="B10" s="23" t="str">
        <f>EL_A0100!$B$3</f>
        <v>Electrical</v>
      </c>
      <c r="C10" s="28" t="str">
        <f>EL_01003</f>
        <v>EL 01003</v>
      </c>
      <c r="D10" s="22" t="s">
        <v>1</v>
      </c>
      <c r="E10" s="22" t="str">
        <f t="shared" si="0"/>
        <v>Rear firewall instruments and wires</v>
      </c>
      <c r="F10" s="27" t="str">
        <f>EL_01003!B5</f>
        <v>Break light bracket</v>
      </c>
      <c r="G10" s="22"/>
      <c r="H10" s="21">
        <f>SUM(J10:M10)</f>
        <v>0.82069615625000003</v>
      </c>
      <c r="I10" s="26">
        <f>EL_A0001_q*EL_01003_q</f>
        <v>2</v>
      </c>
      <c r="J10" s="20">
        <f>EL_01003_m</f>
        <v>5.6961562499999998E-3</v>
      </c>
      <c r="K10" s="20">
        <f>EL_01003_p</f>
        <v>0.81500000000000006</v>
      </c>
      <c r="L10" s="20">
        <v>0</v>
      </c>
      <c r="M10" s="20">
        <v>0</v>
      </c>
      <c r="N10" s="19">
        <f>H10*I10</f>
        <v>1.6413923125000001</v>
      </c>
      <c r="O10" s="18"/>
    </row>
    <row r="11" spans="1:15" ht="15">
      <c r="A11" s="24"/>
      <c r="B11" s="23" t="str">
        <f>EL_A0100!$B$3</f>
        <v>Electrical</v>
      </c>
      <c r="C11" s="28" t="str">
        <f>EL_01004</f>
        <v>EL 01004</v>
      </c>
      <c r="D11" s="22" t="s">
        <v>1</v>
      </c>
      <c r="E11" s="22" t="str">
        <f t="shared" si="0"/>
        <v>Rear firewall instruments and wires</v>
      </c>
      <c r="F11" s="27" t="str">
        <f>EL_01004!B5</f>
        <v>Master switch panel</v>
      </c>
      <c r="G11" s="22"/>
      <c r="H11" s="21">
        <f>SUM(J11:M11)</f>
        <v>75.943999999999988</v>
      </c>
      <c r="I11" s="26">
        <f>EL_A0001_q*EL_01004_q</f>
        <v>1</v>
      </c>
      <c r="J11" s="20">
        <f>EL_01004_m</f>
        <v>73.599999999999994</v>
      </c>
      <c r="K11" s="20">
        <f>EL_01004_p</f>
        <v>2.3440000000000003</v>
      </c>
      <c r="L11" s="20">
        <v>0</v>
      </c>
      <c r="M11" s="20">
        <v>0</v>
      </c>
      <c r="N11" s="19">
        <f>H11*I11</f>
        <v>75.943999999999988</v>
      </c>
      <c r="O11" s="18"/>
    </row>
    <row r="12" spans="1:15" ht="15">
      <c r="A12" s="24"/>
      <c r="B12" s="23" t="str">
        <f>EL_A0100!$B$3</f>
        <v>Electrical</v>
      </c>
      <c r="C12" s="28" t="str">
        <f>EL_01005</f>
        <v>EL 01005</v>
      </c>
      <c r="D12" s="22" t="s">
        <v>1</v>
      </c>
      <c r="E12" s="22" t="str">
        <f t="shared" si="0"/>
        <v>Rear firewall instruments and wires</v>
      </c>
      <c r="F12" s="27" t="str">
        <f>EL_01005!B5</f>
        <v>Master switch panel bracket</v>
      </c>
      <c r="G12" s="22"/>
      <c r="H12" s="21">
        <f>SUM(J12:M12)</f>
        <v>0.82552265000000014</v>
      </c>
      <c r="I12" s="26">
        <f>EL_A0001_q*EL_01005_q</f>
        <v>2</v>
      </c>
      <c r="J12" s="20">
        <f>EL_01005_m</f>
        <v>5.7226500000000001E-3</v>
      </c>
      <c r="K12" s="20">
        <f>EL_01005_p</f>
        <v>0.81980000000000008</v>
      </c>
      <c r="L12" s="20">
        <v>0</v>
      </c>
      <c r="M12" s="20">
        <v>0</v>
      </c>
      <c r="N12" s="19">
        <f>H12*I12</f>
        <v>1.6510453000000003</v>
      </c>
      <c r="O12" s="18"/>
    </row>
    <row r="13" spans="1:15" ht="15">
      <c r="A13" s="24"/>
      <c r="B13" s="23" t="str">
        <f>EL_A0100!$B$3</f>
        <v>Electrical</v>
      </c>
      <c r="C13" s="28" t="str">
        <f>EL_01006</f>
        <v>EL 01006</v>
      </c>
      <c r="D13" s="22" t="s">
        <v>1</v>
      </c>
      <c r="E13" s="22" t="str">
        <f t="shared" si="0"/>
        <v>Rear firewall instruments and wires</v>
      </c>
      <c r="F13" s="27" t="str">
        <f>EL_01006!B5</f>
        <v>Crash sensor bracket</v>
      </c>
      <c r="G13" s="22"/>
      <c r="H13" s="21">
        <f>SUM(J13:M13)</f>
        <v>2.0872411375</v>
      </c>
      <c r="I13" s="26">
        <f>EL_A0001_q*EL_01006_q</f>
        <v>1</v>
      </c>
      <c r="J13" s="20">
        <f>EL_01006_m</f>
        <v>6.7241137500000006E-2</v>
      </c>
      <c r="K13" s="20">
        <f>EL_01006_p</f>
        <v>2.02</v>
      </c>
      <c r="L13" s="20">
        <v>0</v>
      </c>
      <c r="M13" s="20">
        <v>0</v>
      </c>
      <c r="N13" s="19">
        <f>H13*I13</f>
        <v>2.0872411375</v>
      </c>
      <c r="O13" s="18"/>
    </row>
    <row r="14" spans="1:15" ht="15">
      <c r="A14" s="268"/>
      <c r="B14" s="269" t="str">
        <f>EL_A0100!$B$3</f>
        <v>Electrical</v>
      </c>
      <c r="C14" s="270" t="str">
        <f>EL_A0002</f>
        <v>EL A0200</v>
      </c>
      <c r="D14" s="270" t="s">
        <v>1</v>
      </c>
      <c r="E14" s="270"/>
      <c r="F14" s="275" t="str">
        <f>'EL A0200'!B4</f>
        <v>Front vehicule electronics</v>
      </c>
      <c r="G14" s="270"/>
      <c r="H14" s="271">
        <f>SUM(J14:M14)</f>
        <v>160.79666666666668</v>
      </c>
      <c r="I14" s="272">
        <f>EL_A0002_q</f>
        <v>1</v>
      </c>
      <c r="J14" s="31">
        <f>EL_A0002_m</f>
        <v>112.35000000000001</v>
      </c>
      <c r="K14" s="267">
        <f>EL_A0002_p</f>
        <v>47.480000000000004</v>
      </c>
      <c r="L14" s="31">
        <f>EL_A0002_f</f>
        <v>0.3</v>
      </c>
      <c r="M14" s="31">
        <f>EL_A0002_t</f>
        <v>0.66666666666666663</v>
      </c>
      <c r="N14" s="273">
        <f>H14*I14</f>
        <v>160.79666666666668</v>
      </c>
      <c r="O14" s="274"/>
    </row>
    <row r="15" spans="1:15" ht="15">
      <c r="A15" s="24"/>
      <c r="B15" s="23" t="str">
        <f>EL_A0100!$B$3</f>
        <v>Electrical</v>
      </c>
      <c r="C15" s="28" t="str">
        <f>EL_02001</f>
        <v>EL 02001</v>
      </c>
      <c r="D15" s="22" t="s">
        <v>1</v>
      </c>
      <c r="E15" s="22" t="str">
        <f>F$14</f>
        <v>Front vehicule electronics</v>
      </c>
      <c r="F15" s="27" t="str">
        <f>'EL 02001'!B5</f>
        <v>Dashboard</v>
      </c>
      <c r="G15" s="25"/>
      <c r="H15" s="21">
        <f>SUM(J15:M15)</f>
        <v>114.068</v>
      </c>
      <c r="I15" s="26">
        <f>EL_A0002_q*EL_02001_q</f>
        <v>1</v>
      </c>
      <c r="J15" s="20">
        <f>EL_02001_m</f>
        <v>65.727999999999994</v>
      </c>
      <c r="K15" s="20">
        <f>EL_02001_p</f>
        <v>46.34</v>
      </c>
      <c r="L15" s="20">
        <v>0</v>
      </c>
      <c r="M15" s="20">
        <f>EL_02001_t</f>
        <v>2</v>
      </c>
      <c r="N15" s="19">
        <f>H15*I15</f>
        <v>114.068</v>
      </c>
      <c r="O15" s="18"/>
    </row>
    <row r="16" spans="1:15" ht="15">
      <c r="A16" s="24"/>
      <c r="B16" s="23" t="str">
        <f>EL_A0100!$B$3</f>
        <v>Electrical</v>
      </c>
      <c r="C16" s="28" t="str">
        <f>EL_02002</f>
        <v>EL 02002</v>
      </c>
      <c r="D16" s="22" t="s">
        <v>1</v>
      </c>
      <c r="E16" s="22" t="str">
        <f t="shared" ref="E16:E18" si="1">F$14</f>
        <v>Front vehicule electronics</v>
      </c>
      <c r="F16" s="27" t="str">
        <f>'EL 02002'!B5</f>
        <v>Dashboard control electronics</v>
      </c>
      <c r="G16" s="22"/>
      <c r="H16" s="21">
        <f>SUM(J16:M16)</f>
        <v>234.70000000000002</v>
      </c>
      <c r="I16" s="26">
        <f>EL_A0002_q*EL_02002_q</f>
        <v>1</v>
      </c>
      <c r="J16" s="20">
        <f>EL_02002_m</f>
        <v>135</v>
      </c>
      <c r="K16" s="20">
        <f>EL_02002_p</f>
        <v>99.300000000000011</v>
      </c>
      <c r="L16" s="20">
        <f>EL_02002_f</f>
        <v>0.4</v>
      </c>
      <c r="M16" s="20">
        <v>0</v>
      </c>
      <c r="N16" s="19">
        <f>H16*I16</f>
        <v>234.70000000000002</v>
      </c>
      <c r="O16" s="18"/>
    </row>
    <row r="17" spans="1:15" ht="15">
      <c r="A17" s="24"/>
      <c r="B17" s="23" t="str">
        <f>EL_A0100!$B$3</f>
        <v>Electrical</v>
      </c>
      <c r="C17" s="28" t="str">
        <f>EL_02003</f>
        <v>EL 02003</v>
      </c>
      <c r="D17" s="22" t="s">
        <v>1</v>
      </c>
      <c r="E17" s="22" t="str">
        <f t="shared" si="1"/>
        <v>Front vehicule electronics</v>
      </c>
      <c r="F17" s="27" t="str">
        <f>'EL 02003'!B5</f>
        <v>Dashboard Tap</v>
      </c>
      <c r="G17" s="22"/>
      <c r="H17" s="21">
        <f t="shared" ref="H17:H22" si="2">SUM(J17:M17)</f>
        <v>1.8539999999999999</v>
      </c>
      <c r="I17" s="26">
        <f>EL_A0002_q*EL_02003_q</f>
        <v>1</v>
      </c>
      <c r="J17" s="20">
        <f>EL_02003_m</f>
        <v>9.0000000000000011E-3</v>
      </c>
      <c r="K17" s="20">
        <f>EL_02003_p</f>
        <v>1.845</v>
      </c>
      <c r="L17" s="20">
        <v>0</v>
      </c>
      <c r="M17" s="20">
        <v>0</v>
      </c>
      <c r="N17" s="19">
        <f t="shared" ref="N17:N22" si="3">H17*I17</f>
        <v>1.8539999999999999</v>
      </c>
      <c r="O17" s="18"/>
    </row>
    <row r="18" spans="1:15" ht="15">
      <c r="A18" s="24"/>
      <c r="B18" s="23" t="str">
        <f>EL_A0100!$B$3</f>
        <v>Electrical</v>
      </c>
      <c r="C18" s="28" t="str">
        <f>EL_02004</f>
        <v>EL 02004</v>
      </c>
      <c r="D18" s="22" t="s">
        <v>1</v>
      </c>
      <c r="E18" s="22" t="str">
        <f t="shared" si="1"/>
        <v>Front vehicule electronics</v>
      </c>
      <c r="F18" s="27" t="str">
        <f>EL_02004!B5</f>
        <v>Ground bracket</v>
      </c>
      <c r="G18" s="22"/>
      <c r="H18" s="21">
        <f t="shared" si="2"/>
        <v>0.54649961458333329</v>
      </c>
      <c r="I18" s="26">
        <f>EL_A0002_q*EL_02004_q</f>
        <v>2</v>
      </c>
      <c r="J18" s="20">
        <f>EL_02004_m</f>
        <v>5.1662812500000007E-3</v>
      </c>
      <c r="K18" s="20">
        <f>EL_02004_p</f>
        <v>0.54133333333333333</v>
      </c>
      <c r="L18" s="20">
        <v>0</v>
      </c>
      <c r="M18" s="20">
        <v>0</v>
      </c>
      <c r="N18" s="19">
        <f t="shared" si="3"/>
        <v>1.0929992291666666</v>
      </c>
      <c r="O18" s="18"/>
    </row>
    <row r="19" spans="1:15" ht="15">
      <c r="A19" s="268"/>
      <c r="B19" s="269" t="str">
        <f>B14</f>
        <v>Electrical</v>
      </c>
      <c r="C19" s="270" t="str">
        <f>EL_A0003</f>
        <v>EL A0300</v>
      </c>
      <c r="D19" s="270" t="s">
        <v>1</v>
      </c>
      <c r="E19" s="270"/>
      <c r="F19" s="275" t="str">
        <f>EL_A0300!B4</f>
        <v>Battery assembly</v>
      </c>
      <c r="G19" s="270"/>
      <c r="H19" s="271">
        <f t="shared" si="2"/>
        <v>89.551666666666677</v>
      </c>
      <c r="I19" s="272">
        <f>EL_A0003_q</f>
        <v>1</v>
      </c>
      <c r="J19" s="31">
        <f>EL_A0003_m</f>
        <v>84.515000000000001</v>
      </c>
      <c r="K19" s="267">
        <f>EL_A0003_p</f>
        <v>4.1899999999999995</v>
      </c>
      <c r="L19" s="31">
        <f>EL_A0003_f</f>
        <v>0.18000000000000002</v>
      </c>
      <c r="M19" s="31">
        <f>EL_A0003_t</f>
        <v>0.66666666666666663</v>
      </c>
      <c r="N19" s="273">
        <f t="shared" si="3"/>
        <v>89.551666666666677</v>
      </c>
      <c r="O19" s="274"/>
    </row>
    <row r="20" spans="1:15" ht="15">
      <c r="A20" s="24"/>
      <c r="B20" s="23" t="str">
        <f>EL_A0100!$B$3</f>
        <v>Electrical</v>
      </c>
      <c r="C20" s="28" t="str">
        <f>EL_03001</f>
        <v>EL 03001</v>
      </c>
      <c r="D20" s="22" t="s">
        <v>1</v>
      </c>
      <c r="E20" s="22" t="str">
        <f>F$19</f>
        <v>Battery assembly</v>
      </c>
      <c r="F20" s="27" t="str">
        <f>EL_03001!B5</f>
        <v>Main battery mount</v>
      </c>
      <c r="G20" s="22"/>
      <c r="H20" s="21">
        <f t="shared" si="2"/>
        <v>4.8295401599999996</v>
      </c>
      <c r="I20" s="26">
        <f>EL_A0003_q*EL_03001_q</f>
        <v>1</v>
      </c>
      <c r="J20" s="20">
        <f>EL_03001_m</f>
        <v>0.97274016000000019</v>
      </c>
      <c r="K20" s="20">
        <f>EL_03001_p</f>
        <v>3.8567999999999998</v>
      </c>
      <c r="L20" s="20">
        <v>0</v>
      </c>
      <c r="M20" s="20">
        <v>0</v>
      </c>
      <c r="N20" s="19">
        <f t="shared" si="3"/>
        <v>4.8295401599999996</v>
      </c>
      <c r="O20" s="18"/>
    </row>
    <row r="21" spans="1:15" ht="15">
      <c r="A21" s="24"/>
      <c r="B21" s="23" t="str">
        <f>EL_A0100!$B$3</f>
        <v>Electrical</v>
      </c>
      <c r="C21" s="28" t="str">
        <f>EL_03002</f>
        <v>EL 03002</v>
      </c>
      <c r="D21" s="22" t="s">
        <v>1</v>
      </c>
      <c r="E21" s="22" t="str">
        <f t="shared" ref="E21:E22" si="4">F$19</f>
        <v>Battery assembly</v>
      </c>
      <c r="F21" s="27" t="str">
        <f>EL_03002!B5</f>
        <v>Side battery mount</v>
      </c>
      <c r="G21" s="22"/>
      <c r="H21" s="21">
        <f t="shared" si="2"/>
        <v>3.6553449599999999</v>
      </c>
      <c r="I21" s="26">
        <f>EL_A0003_q*EL_03002_q</f>
        <v>2</v>
      </c>
      <c r="J21" s="20">
        <f>EL_03002_m</f>
        <v>0.25514495999999998</v>
      </c>
      <c r="K21" s="20">
        <f>EL_03002_p</f>
        <v>3.4001999999999999</v>
      </c>
      <c r="L21" s="20">
        <v>0</v>
      </c>
      <c r="M21" s="20">
        <v>0</v>
      </c>
      <c r="N21" s="19">
        <f t="shared" si="3"/>
        <v>7.3106899199999997</v>
      </c>
      <c r="O21" s="18"/>
    </row>
    <row r="22" spans="1:15" ht="15.75" thickBot="1">
      <c r="A22" s="24"/>
      <c r="B22" s="23" t="str">
        <f>EL_A0100!$B$3</f>
        <v>Electrical</v>
      </c>
      <c r="C22" s="28" t="str">
        <f>EL_03003</f>
        <v>EL 03003</v>
      </c>
      <c r="D22" s="22" t="s">
        <v>1</v>
      </c>
      <c r="E22" s="22" t="str">
        <f t="shared" si="4"/>
        <v>Battery assembly</v>
      </c>
      <c r="F22" s="27" t="str">
        <f>EL_03003!B5</f>
        <v>Battery bracket</v>
      </c>
      <c r="G22" s="22"/>
      <c r="H22" s="21">
        <f t="shared" si="2"/>
        <v>0.58544183333333344</v>
      </c>
      <c r="I22" s="26">
        <f>EL_A0003_q*EL_03003_q</f>
        <v>3</v>
      </c>
      <c r="J22" s="20">
        <f>EL_03003_m</f>
        <v>6.3584999999999987E-3</v>
      </c>
      <c r="K22" s="20">
        <f>EL_03003_p</f>
        <v>0.57908333333333339</v>
      </c>
      <c r="L22" s="20">
        <v>0</v>
      </c>
      <c r="M22" s="20">
        <v>0</v>
      </c>
      <c r="N22" s="19">
        <f t="shared" si="3"/>
        <v>1.7563255000000004</v>
      </c>
      <c r="O22" s="18"/>
    </row>
    <row r="23" spans="1:15" s="10" customFormat="1" ht="15.75" thickTop="1" thickBot="1">
      <c r="A23" s="17"/>
      <c r="B23" s="16" t="str">
        <f>EL_A0100!B3</f>
        <v>Electrical</v>
      </c>
      <c r="C23" s="15"/>
      <c r="D23" s="15"/>
      <c r="E23" s="15"/>
      <c r="F23" s="16" t="s">
        <v>0</v>
      </c>
      <c r="G23" s="15"/>
      <c r="H23" s="14"/>
      <c r="I23" s="13"/>
      <c r="J23" s="12">
        <f>SUMPRODUCT($I7:$I22,J7:J22)</f>
        <v>1603.6979136550003</v>
      </c>
      <c r="K23" s="12">
        <f>SUMPRODUCT($I7:$I22,K7:K22)</f>
        <v>320.53659413333344</v>
      </c>
      <c r="L23" s="12">
        <f>SUMPRODUCT($I7:$I22,L7:L22)</f>
        <v>2.73</v>
      </c>
      <c r="M23" s="12">
        <f>SUMPRODUCT($I7:$I22,M7:M22)</f>
        <v>5.333333333333333</v>
      </c>
      <c r="N23" s="12">
        <f>SUM(N7:N22)</f>
        <v>1932.297841121667</v>
      </c>
      <c r="O23" s="11"/>
    </row>
    <row r="24" spans="1:15" ht="13.5" thickTop="1">
      <c r="A24" s="6"/>
      <c r="B24" s="4"/>
      <c r="C24" s="1"/>
      <c r="D24" s="1"/>
      <c r="E24" s="1"/>
      <c r="F24" s="1"/>
      <c r="G24" s="1"/>
      <c r="H24" s="8"/>
      <c r="I24" s="1"/>
      <c r="J24" s="1"/>
      <c r="K24" s="1"/>
      <c r="L24" s="1"/>
      <c r="M24" s="1"/>
      <c r="N24" s="1"/>
    </row>
    <row r="25" spans="1:15">
      <c r="A25" s="6"/>
      <c r="B25" s="4"/>
      <c r="C25" s="1"/>
      <c r="D25" s="1"/>
      <c r="E25" s="1"/>
      <c r="F25" s="1"/>
      <c r="G25" s="1"/>
      <c r="H25" s="8"/>
      <c r="I25" s="1"/>
      <c r="J25" s="1"/>
      <c r="K25" s="1"/>
      <c r="L25" s="1"/>
      <c r="M25" s="1"/>
      <c r="N25" s="1"/>
    </row>
    <row r="26" spans="1:15">
      <c r="A26" s="6"/>
      <c r="B26" s="6"/>
      <c r="D26" s="1"/>
      <c r="E26" s="1"/>
      <c r="G26" s="1"/>
      <c r="H26" s="1"/>
      <c r="I26" s="8"/>
      <c r="J26" s="8"/>
      <c r="K26" s="8"/>
      <c r="L26" s="8"/>
      <c r="M26" s="8"/>
      <c r="N26" s="1"/>
    </row>
    <row r="27" spans="1:15">
      <c r="A27" s="6"/>
      <c r="B27" s="6"/>
      <c r="D27" s="1"/>
      <c r="E27" s="1"/>
      <c r="G27" s="1"/>
      <c r="H27" s="1"/>
      <c r="I27" s="8"/>
      <c r="J27" s="8"/>
      <c r="K27" s="8"/>
      <c r="L27" s="8"/>
      <c r="M27" s="8"/>
      <c r="N27" s="9"/>
    </row>
    <row r="28" spans="1:15">
      <c r="A28" s="6"/>
      <c r="B28" s="6"/>
      <c r="D28" s="1"/>
      <c r="E28" s="1"/>
      <c r="G28" s="1"/>
      <c r="H28" s="1"/>
      <c r="I28" s="8"/>
      <c r="J28" s="8"/>
      <c r="K28" s="8"/>
      <c r="L28" s="8"/>
      <c r="M28" s="8"/>
      <c r="N28" s="1"/>
    </row>
    <row r="29" spans="1:15">
      <c r="A29" s="6"/>
      <c r="B29" s="6"/>
      <c r="D29" s="1"/>
      <c r="E29" s="1"/>
      <c r="G29" s="1"/>
      <c r="H29" s="1"/>
      <c r="I29" s="8"/>
      <c r="J29" s="8"/>
      <c r="K29" s="8"/>
      <c r="L29" s="8"/>
      <c r="M29" s="8"/>
      <c r="N29" s="9"/>
    </row>
    <row r="30" spans="1:15">
      <c r="A30" s="6"/>
      <c r="B30" s="6"/>
      <c r="D30" s="1"/>
      <c r="E30" s="1"/>
      <c r="G30" s="1"/>
      <c r="H30" s="1"/>
      <c r="I30" s="8"/>
      <c r="J30" s="8"/>
      <c r="K30" s="8"/>
      <c r="L30" s="8"/>
      <c r="M30" s="8"/>
      <c r="N30" s="1"/>
    </row>
    <row r="31" spans="1:15">
      <c r="A31" s="6"/>
      <c r="B31" s="6"/>
      <c r="D31" s="1"/>
      <c r="E31" s="1"/>
      <c r="G31" s="1"/>
      <c r="H31" s="1"/>
      <c r="I31" s="8"/>
      <c r="J31" s="8"/>
      <c r="K31" s="8"/>
      <c r="L31" s="8"/>
      <c r="M31" s="8"/>
      <c r="N31" s="1"/>
    </row>
    <row r="32" spans="1:15">
      <c r="A32" s="6"/>
      <c r="B32" s="6"/>
      <c r="D32" s="1"/>
      <c r="E32" s="1"/>
      <c r="G32" s="1"/>
      <c r="H32" s="1"/>
      <c r="I32" s="8"/>
      <c r="J32" s="8"/>
      <c r="K32" s="8"/>
      <c r="L32" s="8"/>
      <c r="M32" s="8"/>
      <c r="N32" s="1"/>
    </row>
    <row r="33" spans="1:14">
      <c r="A33" s="6"/>
      <c r="B33" s="6"/>
      <c r="D33" s="1"/>
      <c r="E33" s="1"/>
      <c r="G33" s="1"/>
      <c r="H33" s="1"/>
      <c r="I33" s="8"/>
      <c r="J33" s="8"/>
      <c r="K33" s="8"/>
      <c r="L33" s="8"/>
      <c r="M33" s="8"/>
      <c r="N33" s="1"/>
    </row>
    <row r="34" spans="1:14">
      <c r="A34" s="6"/>
      <c r="B34" s="6"/>
      <c r="D34" s="1"/>
      <c r="E34" s="1"/>
      <c r="G34" s="1"/>
      <c r="H34" s="1"/>
      <c r="I34" s="8"/>
      <c r="J34" s="8"/>
      <c r="K34" s="8"/>
      <c r="L34" s="8"/>
      <c r="M34" s="8"/>
      <c r="N34" s="1"/>
    </row>
    <row r="35" spans="1:14">
      <c r="A35" s="6"/>
      <c r="B35" s="6"/>
      <c r="D35" s="1"/>
      <c r="E35" s="1"/>
      <c r="G35" s="1"/>
      <c r="H35" s="1"/>
      <c r="I35" s="8"/>
      <c r="J35" s="8"/>
      <c r="K35" s="8"/>
      <c r="L35" s="8"/>
      <c r="M35" s="8"/>
      <c r="N35" s="1"/>
    </row>
    <row r="36" spans="1:14">
      <c r="A36" s="6"/>
      <c r="B36" s="6"/>
      <c r="D36" s="1"/>
      <c r="E36" s="1"/>
      <c r="G36" s="1"/>
      <c r="H36" s="1"/>
      <c r="I36" s="8"/>
      <c r="J36" s="8"/>
      <c r="K36" s="8"/>
      <c r="L36" s="8"/>
      <c r="M36" s="8"/>
      <c r="N36" s="1"/>
    </row>
    <row r="37" spans="1:14">
      <c r="A37" s="6"/>
      <c r="B37" s="6"/>
      <c r="D37" s="1"/>
      <c r="E37" s="1"/>
      <c r="G37" s="1"/>
      <c r="H37" s="1"/>
      <c r="I37" s="8"/>
      <c r="J37" s="8"/>
      <c r="K37" s="8"/>
      <c r="L37" s="8"/>
      <c r="M37" s="8"/>
      <c r="N37" s="1"/>
    </row>
    <row r="38" spans="1:14">
      <c r="A38" s="6"/>
      <c r="B38" s="6"/>
      <c r="D38" s="1"/>
      <c r="E38" s="1"/>
      <c r="G38" s="1"/>
      <c r="H38" s="1"/>
      <c r="I38" s="8"/>
      <c r="J38" s="8"/>
      <c r="K38" s="8"/>
      <c r="L38" s="8"/>
      <c r="M38" s="8"/>
      <c r="N38" s="1"/>
    </row>
    <row r="39" spans="1:14">
      <c r="A39" s="6"/>
      <c r="B39" s="6"/>
      <c r="D39" s="1"/>
      <c r="E39" s="1"/>
      <c r="G39" s="1"/>
      <c r="H39" s="1"/>
      <c r="I39" s="8"/>
      <c r="J39" s="8"/>
      <c r="K39" s="8"/>
      <c r="L39" s="8"/>
      <c r="M39" s="8"/>
      <c r="N39" s="1"/>
    </row>
    <row r="40" spans="1:14">
      <c r="A40" s="6"/>
      <c r="B40" s="6"/>
      <c r="D40" s="1"/>
      <c r="E40" s="1"/>
      <c r="G40" s="1"/>
      <c r="H40" s="1"/>
      <c r="I40" s="8"/>
      <c r="J40" s="8"/>
      <c r="K40" s="8"/>
      <c r="L40" s="8"/>
      <c r="M40" s="8"/>
      <c r="N40" s="1"/>
    </row>
    <row r="41" spans="1:14">
      <c r="A41" s="6"/>
      <c r="B41" s="6"/>
      <c r="D41" s="1"/>
      <c r="E41" s="1"/>
      <c r="G41" s="1"/>
      <c r="H41" s="1"/>
      <c r="I41" s="8"/>
      <c r="J41" s="8"/>
      <c r="K41" s="8"/>
      <c r="L41" s="8"/>
      <c r="M41" s="8"/>
      <c r="N41" s="1"/>
    </row>
    <row r="42" spans="1:14">
      <c r="A42" s="6"/>
      <c r="B42" s="6"/>
      <c r="D42" s="1"/>
      <c r="E42" s="1"/>
      <c r="G42" s="1"/>
      <c r="H42" s="1"/>
      <c r="I42" s="8"/>
      <c r="J42" s="8"/>
      <c r="K42" s="8"/>
      <c r="L42" s="8"/>
      <c r="M42" s="8"/>
      <c r="N42" s="1"/>
    </row>
    <row r="43" spans="1:14">
      <c r="A43" s="6"/>
      <c r="B43" s="6"/>
      <c r="D43" s="1"/>
      <c r="E43" s="1"/>
      <c r="G43" s="1"/>
      <c r="H43" s="1"/>
      <c r="I43" s="8"/>
      <c r="J43" s="8"/>
      <c r="K43" s="8"/>
      <c r="L43" s="8"/>
      <c r="M43" s="8"/>
      <c r="N43" s="1"/>
    </row>
    <row r="44" spans="1:14">
      <c r="A44" s="6"/>
      <c r="B44" s="6"/>
      <c r="D44" s="1"/>
      <c r="E44" s="1"/>
      <c r="G44" s="1"/>
      <c r="H44" s="1"/>
      <c r="I44" s="8"/>
      <c r="J44" s="8"/>
      <c r="K44" s="8"/>
      <c r="L44" s="8"/>
      <c r="M44" s="8"/>
      <c r="N44" s="1"/>
    </row>
    <row r="45" spans="1:14">
      <c r="A45" s="6"/>
      <c r="B45" s="6"/>
      <c r="D45" s="1"/>
      <c r="E45" s="1"/>
      <c r="G45" s="1"/>
      <c r="H45" s="1"/>
      <c r="I45" s="8"/>
      <c r="J45" s="8"/>
      <c r="K45" s="8"/>
      <c r="L45" s="8"/>
      <c r="M45" s="8"/>
      <c r="N45" s="1"/>
    </row>
    <row r="46" spans="1:14">
      <c r="A46" s="6"/>
      <c r="B46" s="6"/>
      <c r="D46" s="1"/>
      <c r="E46" s="1"/>
      <c r="G46" s="1"/>
      <c r="H46" s="1"/>
      <c r="I46" s="8"/>
      <c r="J46" s="8"/>
      <c r="K46" s="8"/>
      <c r="L46" s="8"/>
      <c r="M46" s="8"/>
      <c r="N46" s="1"/>
    </row>
    <row r="47" spans="1:14">
      <c r="A47" s="6"/>
      <c r="B47" s="6"/>
      <c r="D47" s="1"/>
      <c r="E47" s="1"/>
      <c r="G47" s="1"/>
      <c r="H47" s="1"/>
      <c r="I47" s="8"/>
      <c r="J47" s="8"/>
      <c r="K47" s="8"/>
      <c r="L47" s="8"/>
      <c r="M47" s="8"/>
      <c r="N47" s="1"/>
    </row>
    <row r="48" spans="1:14">
      <c r="A48" s="6"/>
      <c r="B48" s="6"/>
      <c r="D48" s="1"/>
      <c r="E48" s="1"/>
      <c r="G48" s="1"/>
      <c r="H48" s="1"/>
      <c r="I48" s="8"/>
      <c r="J48" s="8"/>
      <c r="K48" s="8"/>
      <c r="L48" s="8"/>
      <c r="M48" s="8"/>
      <c r="N48" s="1"/>
    </row>
    <row r="49" spans="1:14">
      <c r="A49" s="6"/>
      <c r="B49" s="6"/>
      <c r="D49" s="1"/>
      <c r="E49" s="1"/>
      <c r="G49" s="1"/>
      <c r="H49" s="1"/>
      <c r="I49" s="8"/>
      <c r="J49" s="8"/>
      <c r="K49" s="8"/>
      <c r="L49" s="8"/>
      <c r="M49" s="8"/>
      <c r="N49" s="1"/>
    </row>
    <row r="50" spans="1:14">
      <c r="A50" s="6"/>
      <c r="B50" s="6"/>
      <c r="D50" s="1"/>
      <c r="E50" s="1"/>
      <c r="G50" s="1"/>
      <c r="H50" s="1"/>
      <c r="I50" s="8"/>
      <c r="J50" s="8"/>
      <c r="K50" s="8"/>
      <c r="L50" s="8"/>
      <c r="M50" s="8"/>
      <c r="N50" s="1"/>
    </row>
    <row r="51" spans="1:14">
      <c r="A51" s="6"/>
      <c r="B51" s="6"/>
      <c r="D51" s="1"/>
      <c r="E51" s="1"/>
      <c r="G51" s="1"/>
      <c r="H51" s="1"/>
      <c r="I51" s="8"/>
      <c r="J51" s="8"/>
      <c r="K51" s="8"/>
      <c r="L51" s="8"/>
      <c r="M51" s="8"/>
      <c r="N51" s="1"/>
    </row>
    <row r="52" spans="1:14">
      <c r="A52" s="6"/>
      <c r="B52" s="6"/>
      <c r="D52" s="1"/>
      <c r="E52" s="1"/>
      <c r="G52" s="1"/>
      <c r="H52" s="1"/>
      <c r="I52" s="8"/>
      <c r="J52" s="8"/>
      <c r="K52" s="8"/>
      <c r="L52" s="8"/>
      <c r="M52" s="8"/>
      <c r="N52" s="1"/>
    </row>
    <row r="53" spans="1:14">
      <c r="A53" s="6"/>
      <c r="B53" s="6"/>
      <c r="D53" s="1"/>
      <c r="E53" s="1"/>
      <c r="G53" s="1"/>
      <c r="H53" s="1"/>
      <c r="I53" s="8"/>
      <c r="J53" s="8"/>
      <c r="K53" s="8"/>
      <c r="L53" s="8"/>
      <c r="M53" s="8"/>
      <c r="N53" s="1"/>
    </row>
    <row r="54" spans="1:14" s="2" customFormat="1">
      <c r="A54" s="7"/>
      <c r="B54" s="6"/>
      <c r="F54" s="4"/>
      <c r="I54" s="3"/>
      <c r="J54" s="3"/>
      <c r="K54" s="3"/>
      <c r="L54" s="3"/>
      <c r="M54" s="3"/>
    </row>
    <row r="55" spans="1:14" s="2" customFormat="1">
      <c r="A55" s="7"/>
      <c r="B55" s="6"/>
      <c r="F55" s="4"/>
      <c r="I55" s="3"/>
      <c r="J55" s="3"/>
      <c r="K55" s="3"/>
      <c r="L55" s="3"/>
      <c r="M55" s="3"/>
    </row>
    <row r="56" spans="1:14" s="2" customFormat="1">
      <c r="A56" s="7"/>
      <c r="B56" s="6"/>
      <c r="F56" s="4"/>
      <c r="I56" s="3"/>
      <c r="J56" s="3"/>
      <c r="K56" s="3"/>
      <c r="L56" s="3"/>
      <c r="M56" s="3"/>
    </row>
    <row r="57" spans="1:14" s="2" customFormat="1">
      <c r="A57" s="7"/>
      <c r="B57" s="6"/>
      <c r="F57" s="4"/>
      <c r="I57" s="3"/>
      <c r="J57" s="3"/>
      <c r="K57" s="3"/>
      <c r="L57" s="3"/>
      <c r="M57" s="3"/>
    </row>
    <row r="58" spans="1:14" s="2" customFormat="1">
      <c r="A58" s="7"/>
      <c r="B58" s="6"/>
      <c r="F58" s="4"/>
      <c r="I58" s="3"/>
      <c r="J58" s="3"/>
      <c r="K58" s="3"/>
      <c r="L58" s="3"/>
      <c r="M58" s="3"/>
    </row>
    <row r="59" spans="1:14" s="2" customFormat="1">
      <c r="A59" s="7"/>
      <c r="B59" s="6"/>
      <c r="F59" s="4"/>
      <c r="I59" s="3"/>
      <c r="J59" s="3"/>
      <c r="K59" s="3"/>
      <c r="L59" s="3"/>
      <c r="M59" s="3"/>
    </row>
    <row r="60" spans="1:14" s="2" customFormat="1">
      <c r="A60" s="7"/>
      <c r="B60" s="6"/>
      <c r="F60" s="4"/>
      <c r="I60" s="3"/>
      <c r="J60" s="3"/>
      <c r="K60" s="3"/>
      <c r="L60" s="3"/>
      <c r="M60" s="3"/>
    </row>
    <row r="61" spans="1:14" s="2" customFormat="1">
      <c r="A61" s="7"/>
      <c r="B61" s="6"/>
      <c r="F61" s="4"/>
      <c r="I61" s="3"/>
      <c r="J61" s="3"/>
      <c r="K61" s="3"/>
      <c r="L61" s="3"/>
      <c r="M61" s="3"/>
    </row>
    <row r="62" spans="1:14" s="2" customFormat="1">
      <c r="A62" s="7"/>
      <c r="B62" s="6"/>
      <c r="F62" s="4"/>
      <c r="I62" s="3"/>
      <c r="J62" s="3"/>
      <c r="K62" s="3"/>
      <c r="L62" s="3"/>
      <c r="M62" s="3"/>
    </row>
    <row r="63" spans="1:14" s="2" customFormat="1">
      <c r="A63" s="7"/>
      <c r="B63" s="6"/>
      <c r="F63" s="4"/>
      <c r="I63" s="3"/>
      <c r="J63" s="3"/>
      <c r="K63" s="3"/>
      <c r="L63" s="3"/>
      <c r="M63" s="3"/>
    </row>
    <row r="64" spans="1:14" s="5" customFormat="1">
      <c r="A64" s="7"/>
      <c r="B64" s="6"/>
      <c r="C64" s="2"/>
      <c r="D64" s="2"/>
      <c r="E64" s="2"/>
      <c r="F64" s="4"/>
      <c r="G64" s="2"/>
      <c r="H64" s="2"/>
      <c r="I64" s="3"/>
      <c r="J64" s="3"/>
      <c r="K64" s="3"/>
      <c r="L64" s="3"/>
      <c r="M64" s="3"/>
      <c r="N64" s="2"/>
    </row>
    <row r="65" spans="1:14" s="5" customFormat="1">
      <c r="A65" s="7"/>
      <c r="B65" s="6"/>
      <c r="C65" s="2"/>
      <c r="D65" s="2"/>
      <c r="E65" s="2"/>
      <c r="F65" s="4"/>
      <c r="G65" s="2"/>
      <c r="H65" s="2"/>
      <c r="I65" s="3"/>
      <c r="J65" s="3"/>
      <c r="K65" s="3"/>
      <c r="L65" s="3"/>
      <c r="M65" s="3"/>
      <c r="N65" s="2"/>
    </row>
    <row r="66" spans="1:14" s="5" customFormat="1">
      <c r="A66" s="7"/>
      <c r="B66" s="6"/>
      <c r="C66" s="2"/>
      <c r="D66" s="2"/>
      <c r="E66" s="2"/>
      <c r="F66" s="4"/>
      <c r="G66" s="2"/>
      <c r="H66" s="2"/>
      <c r="I66" s="3"/>
      <c r="J66" s="3"/>
      <c r="K66" s="3"/>
      <c r="L66" s="3"/>
      <c r="M66" s="3"/>
      <c r="N66" s="2"/>
    </row>
    <row r="67" spans="1:14" s="5" customFormat="1">
      <c r="A67" s="7"/>
      <c r="B67" s="6"/>
      <c r="C67" s="2"/>
      <c r="D67" s="2"/>
      <c r="E67" s="2"/>
      <c r="F67" s="4"/>
      <c r="G67" s="2"/>
      <c r="H67" s="2"/>
      <c r="I67" s="3"/>
      <c r="J67" s="3"/>
      <c r="K67" s="3"/>
      <c r="L67" s="3"/>
      <c r="M67" s="3"/>
      <c r="N67" s="2"/>
    </row>
    <row r="68" spans="1:14" s="5" customFormat="1">
      <c r="A68" s="7"/>
      <c r="B68" s="6"/>
      <c r="C68" s="2"/>
      <c r="D68" s="2"/>
      <c r="E68" s="2"/>
      <c r="F68" s="4"/>
      <c r="G68" s="2"/>
      <c r="H68" s="2"/>
      <c r="I68" s="3"/>
      <c r="J68" s="3"/>
      <c r="K68" s="3"/>
      <c r="L68" s="3"/>
      <c r="M68" s="3"/>
      <c r="N68" s="2"/>
    </row>
    <row r="69" spans="1:14" s="5" customFormat="1">
      <c r="A69" s="7"/>
      <c r="B69" s="6"/>
      <c r="C69" s="2"/>
      <c r="D69" s="2"/>
      <c r="E69" s="2"/>
      <c r="F69" s="4"/>
      <c r="G69" s="2"/>
      <c r="H69" s="2"/>
      <c r="I69" s="3"/>
      <c r="J69" s="3"/>
      <c r="K69" s="3"/>
      <c r="L69" s="3"/>
      <c r="M69" s="3"/>
      <c r="N69" s="2"/>
    </row>
    <row r="70" spans="1:14" s="5" customFormat="1">
      <c r="A70" s="7"/>
      <c r="B70" s="6"/>
      <c r="C70" s="2"/>
      <c r="D70" s="2"/>
      <c r="E70" s="2"/>
      <c r="F70" s="4"/>
      <c r="G70" s="2"/>
      <c r="H70" s="2"/>
      <c r="I70" s="3"/>
      <c r="J70" s="3"/>
      <c r="K70" s="3"/>
      <c r="L70" s="3"/>
      <c r="M70" s="3"/>
      <c r="N70" s="2"/>
    </row>
    <row r="71" spans="1:14" s="5" customFormat="1">
      <c r="A71" s="7"/>
      <c r="B71" s="6"/>
      <c r="C71" s="2"/>
      <c r="D71" s="2"/>
      <c r="E71" s="2"/>
      <c r="F71" s="4"/>
      <c r="G71" s="2"/>
      <c r="H71" s="2"/>
      <c r="I71" s="3"/>
      <c r="J71" s="3"/>
      <c r="K71" s="3"/>
      <c r="L71" s="3"/>
      <c r="M71" s="3"/>
      <c r="N71" s="2"/>
    </row>
    <row r="72" spans="1:14" s="5" customFormat="1">
      <c r="A72" s="7"/>
      <c r="B72" s="6"/>
      <c r="C72" s="2"/>
      <c r="D72" s="2"/>
      <c r="E72" s="2"/>
      <c r="F72" s="4"/>
      <c r="G72" s="2"/>
      <c r="H72" s="2"/>
      <c r="I72" s="3"/>
      <c r="J72" s="3"/>
      <c r="K72" s="3"/>
      <c r="L72" s="3"/>
      <c r="M72" s="3"/>
      <c r="N72" s="2"/>
    </row>
    <row r="73" spans="1:14" s="5" customFormat="1">
      <c r="A73" s="7"/>
      <c r="B73" s="6"/>
      <c r="C73" s="2"/>
      <c r="D73" s="2"/>
      <c r="E73" s="2"/>
      <c r="F73" s="4"/>
      <c r="G73" s="2"/>
      <c r="H73" s="2"/>
      <c r="I73" s="3"/>
      <c r="J73" s="3"/>
      <c r="K73" s="3"/>
      <c r="L73" s="3"/>
      <c r="M73" s="3"/>
      <c r="N73" s="2"/>
    </row>
    <row r="74" spans="1:14" s="5" customFormat="1">
      <c r="A74" s="7"/>
      <c r="B74" s="6"/>
      <c r="C74" s="2"/>
      <c r="D74" s="2"/>
      <c r="E74" s="2"/>
      <c r="F74" s="4"/>
      <c r="G74" s="2"/>
      <c r="H74" s="2"/>
      <c r="I74" s="3"/>
      <c r="J74" s="3"/>
      <c r="K74" s="3"/>
      <c r="L74" s="3"/>
      <c r="M74" s="3"/>
      <c r="N74" s="2"/>
    </row>
    <row r="75" spans="1:14" s="5" customFormat="1">
      <c r="A75" s="7"/>
      <c r="B75" s="6"/>
      <c r="C75" s="2"/>
      <c r="D75" s="2"/>
      <c r="E75" s="2"/>
      <c r="F75" s="4"/>
      <c r="G75" s="2"/>
      <c r="H75" s="2"/>
      <c r="I75" s="3"/>
      <c r="J75" s="3"/>
      <c r="K75" s="3"/>
      <c r="L75" s="3"/>
      <c r="M75" s="3"/>
      <c r="N75" s="2"/>
    </row>
    <row r="76" spans="1:14" s="5" customFormat="1">
      <c r="A76" s="7"/>
      <c r="B76" s="6"/>
      <c r="C76" s="2"/>
      <c r="D76" s="2"/>
      <c r="E76" s="2"/>
      <c r="F76" s="4"/>
      <c r="G76" s="2"/>
      <c r="H76" s="2"/>
      <c r="I76" s="3"/>
      <c r="J76" s="3"/>
      <c r="K76" s="3"/>
      <c r="L76" s="3"/>
      <c r="M76" s="3"/>
      <c r="N76" s="2"/>
    </row>
    <row r="77" spans="1:14" s="5" customFormat="1">
      <c r="A77" s="7"/>
      <c r="B77" s="6"/>
      <c r="C77" s="2"/>
      <c r="D77" s="2"/>
      <c r="E77" s="2"/>
      <c r="F77" s="4"/>
      <c r="G77" s="2"/>
      <c r="H77" s="2"/>
      <c r="I77" s="3"/>
      <c r="J77" s="3"/>
      <c r="K77" s="3"/>
      <c r="L77" s="3"/>
      <c r="M77" s="3"/>
      <c r="N77" s="2"/>
    </row>
    <row r="78" spans="1:14" s="5" customFormat="1">
      <c r="A78" s="7"/>
      <c r="B78" s="6"/>
      <c r="C78" s="2"/>
      <c r="D78" s="2"/>
      <c r="E78" s="2"/>
      <c r="F78" s="4"/>
      <c r="G78" s="2"/>
      <c r="H78" s="2"/>
      <c r="I78" s="3"/>
      <c r="J78" s="3"/>
      <c r="K78" s="3"/>
      <c r="L78" s="3"/>
      <c r="M78" s="3"/>
      <c r="N78" s="2"/>
    </row>
    <row r="79" spans="1:14" s="5" customFormat="1">
      <c r="A79" s="7"/>
      <c r="B79" s="6"/>
      <c r="C79" s="2"/>
      <c r="D79" s="2"/>
      <c r="E79" s="2"/>
      <c r="F79" s="4"/>
      <c r="G79" s="2"/>
      <c r="H79" s="2"/>
      <c r="I79" s="3"/>
      <c r="J79" s="3"/>
      <c r="K79" s="3"/>
      <c r="L79" s="3"/>
      <c r="M79" s="3"/>
      <c r="N79" s="2"/>
    </row>
    <row r="80" spans="1:14" s="5" customFormat="1">
      <c r="A80" s="7"/>
      <c r="B80" s="6"/>
      <c r="C80" s="2"/>
      <c r="D80" s="2"/>
      <c r="E80" s="2"/>
      <c r="F80" s="4"/>
      <c r="G80" s="2"/>
      <c r="H80" s="2"/>
      <c r="I80" s="3"/>
      <c r="J80" s="3"/>
      <c r="K80" s="3"/>
      <c r="L80" s="3"/>
      <c r="M80" s="3"/>
      <c r="N80" s="2"/>
    </row>
    <row r="81" spans="1:14" s="5" customFormat="1">
      <c r="A81" s="7"/>
      <c r="B81" s="6"/>
      <c r="C81" s="2"/>
      <c r="D81" s="2"/>
      <c r="E81" s="2"/>
      <c r="F81" s="4"/>
      <c r="G81" s="2"/>
      <c r="H81" s="2"/>
      <c r="I81" s="3"/>
      <c r="J81" s="3"/>
      <c r="K81" s="3"/>
      <c r="L81" s="3"/>
      <c r="M81" s="3"/>
      <c r="N81" s="2"/>
    </row>
    <row r="82" spans="1:14" s="5" customFormat="1">
      <c r="A82" s="7"/>
      <c r="B82" s="6"/>
      <c r="C82" s="2"/>
      <c r="D82" s="2"/>
      <c r="E82" s="2"/>
      <c r="F82" s="4"/>
      <c r="G82" s="2"/>
      <c r="H82" s="2"/>
      <c r="I82" s="3"/>
      <c r="J82" s="3"/>
      <c r="K82" s="3"/>
      <c r="L82" s="3"/>
      <c r="M82" s="3"/>
      <c r="N82" s="2"/>
    </row>
    <row r="83" spans="1:14" s="5" customFormat="1">
      <c r="A83" s="7"/>
      <c r="B83" s="6"/>
      <c r="C83" s="2"/>
      <c r="D83" s="2"/>
      <c r="E83" s="2"/>
      <c r="F83" s="4"/>
      <c r="G83" s="2"/>
      <c r="H83" s="2"/>
      <c r="I83" s="3"/>
      <c r="J83" s="3"/>
      <c r="K83" s="3"/>
      <c r="L83" s="3"/>
      <c r="M83" s="3"/>
      <c r="N83" s="2"/>
    </row>
    <row r="84" spans="1:14" s="5" customFormat="1">
      <c r="A84" s="7"/>
      <c r="B84" s="6"/>
      <c r="C84" s="2"/>
      <c r="D84" s="2"/>
      <c r="E84" s="2"/>
      <c r="F84" s="4"/>
      <c r="G84" s="2"/>
      <c r="H84" s="2"/>
      <c r="I84" s="3"/>
      <c r="J84" s="3"/>
      <c r="K84" s="3"/>
      <c r="L84" s="3"/>
      <c r="M84" s="3"/>
      <c r="N84" s="2"/>
    </row>
    <row r="85" spans="1:14" s="5" customFormat="1">
      <c r="A85" s="7"/>
      <c r="B85" s="6"/>
      <c r="C85" s="2"/>
      <c r="D85" s="2"/>
      <c r="E85" s="2"/>
      <c r="F85" s="4"/>
      <c r="G85" s="2"/>
      <c r="H85" s="2"/>
      <c r="I85" s="3"/>
      <c r="J85" s="3"/>
      <c r="K85" s="3"/>
      <c r="L85" s="3"/>
      <c r="M85" s="3"/>
      <c r="N85" s="2"/>
    </row>
    <row r="86" spans="1:14" s="5" customFormat="1">
      <c r="A86" s="7"/>
      <c r="B86" s="6"/>
      <c r="C86" s="2"/>
      <c r="D86" s="2"/>
      <c r="E86" s="2"/>
      <c r="F86" s="4"/>
      <c r="G86" s="2"/>
      <c r="H86" s="2"/>
      <c r="I86" s="3"/>
      <c r="J86" s="3"/>
      <c r="K86" s="3"/>
      <c r="L86" s="3"/>
      <c r="M86" s="3"/>
      <c r="N86" s="2"/>
    </row>
    <row r="87" spans="1:14" s="5" customFormat="1">
      <c r="A87" s="7"/>
      <c r="B87" s="6"/>
      <c r="C87" s="2"/>
      <c r="D87" s="2"/>
      <c r="E87" s="2"/>
      <c r="F87" s="4"/>
      <c r="G87" s="2"/>
      <c r="H87" s="2"/>
      <c r="I87" s="3"/>
      <c r="J87" s="3"/>
      <c r="K87" s="3"/>
      <c r="L87" s="3"/>
      <c r="M87" s="3"/>
      <c r="N87" s="2"/>
    </row>
    <row r="88" spans="1:14" s="5" customFormat="1">
      <c r="A88" s="7"/>
      <c r="B88" s="6"/>
      <c r="C88" s="2"/>
      <c r="D88" s="2"/>
      <c r="E88" s="2"/>
      <c r="F88" s="4"/>
      <c r="G88" s="2"/>
      <c r="H88" s="2"/>
      <c r="I88" s="3"/>
      <c r="J88" s="3"/>
      <c r="K88" s="3"/>
      <c r="L88" s="3"/>
      <c r="M88" s="3"/>
      <c r="N88" s="2"/>
    </row>
    <row r="89" spans="1:14" s="5" customFormat="1">
      <c r="A89" s="7"/>
      <c r="B89" s="6"/>
      <c r="C89" s="2"/>
      <c r="D89" s="2"/>
      <c r="E89" s="2"/>
      <c r="F89" s="4"/>
      <c r="G89" s="2"/>
      <c r="H89" s="2"/>
      <c r="I89" s="3"/>
      <c r="J89" s="3"/>
      <c r="K89" s="3"/>
      <c r="L89" s="3"/>
      <c r="M89" s="3"/>
      <c r="N89" s="2"/>
    </row>
    <row r="90" spans="1:14" s="5" customFormat="1">
      <c r="A90" s="7"/>
      <c r="B90" s="6"/>
      <c r="C90" s="2"/>
      <c r="D90" s="2"/>
      <c r="E90" s="2"/>
      <c r="F90" s="4"/>
      <c r="G90" s="2"/>
      <c r="H90" s="2"/>
      <c r="I90" s="3"/>
      <c r="J90" s="3"/>
      <c r="K90" s="3"/>
      <c r="L90" s="3"/>
      <c r="M90" s="3"/>
      <c r="N90" s="2"/>
    </row>
    <row r="91" spans="1:14" s="5" customFormat="1">
      <c r="A91" s="7"/>
      <c r="B91" s="6"/>
      <c r="C91" s="2"/>
      <c r="D91" s="2"/>
      <c r="E91" s="2"/>
      <c r="F91" s="4"/>
      <c r="G91" s="2"/>
      <c r="H91" s="2"/>
      <c r="I91" s="3"/>
      <c r="J91" s="3"/>
      <c r="K91" s="3"/>
      <c r="L91" s="3"/>
      <c r="M91" s="3"/>
      <c r="N91" s="2"/>
    </row>
    <row r="92" spans="1:14" s="5" customFormat="1">
      <c r="A92" s="7"/>
      <c r="B92" s="6"/>
      <c r="C92" s="2"/>
      <c r="D92" s="2"/>
      <c r="E92" s="2"/>
      <c r="F92" s="4"/>
      <c r="G92" s="2"/>
      <c r="H92" s="2"/>
      <c r="I92" s="3"/>
      <c r="J92" s="3"/>
      <c r="K92" s="3"/>
      <c r="L92" s="3"/>
      <c r="M92" s="3"/>
      <c r="N92" s="2"/>
    </row>
    <row r="93" spans="1:14" s="5" customFormat="1">
      <c r="A93" s="7"/>
      <c r="B93" s="6"/>
      <c r="C93" s="2"/>
      <c r="D93" s="2"/>
      <c r="E93" s="2"/>
      <c r="F93" s="4"/>
      <c r="G93" s="2"/>
      <c r="H93" s="2"/>
      <c r="I93" s="3"/>
      <c r="J93" s="3"/>
      <c r="K93" s="3"/>
      <c r="L93" s="3"/>
      <c r="M93" s="3"/>
      <c r="N93" s="2"/>
    </row>
    <row r="94" spans="1:14" s="5" customFormat="1">
      <c r="A94" s="7"/>
      <c r="B94" s="6"/>
      <c r="C94" s="2"/>
      <c r="D94" s="2"/>
      <c r="E94" s="2"/>
      <c r="F94" s="4"/>
      <c r="G94" s="2"/>
      <c r="H94" s="2"/>
      <c r="I94" s="3"/>
      <c r="J94" s="3"/>
      <c r="K94" s="3"/>
      <c r="L94" s="3"/>
      <c r="M94" s="3"/>
      <c r="N94" s="2"/>
    </row>
    <row r="95" spans="1:14" s="5" customFormat="1">
      <c r="A95" s="7"/>
      <c r="B95" s="6"/>
      <c r="C95" s="2"/>
      <c r="D95" s="2"/>
      <c r="E95" s="2"/>
      <c r="F95" s="4"/>
      <c r="G95" s="2"/>
      <c r="H95" s="2"/>
      <c r="I95" s="3"/>
      <c r="J95" s="3"/>
      <c r="K95" s="3"/>
      <c r="L95" s="3"/>
      <c r="M95" s="3"/>
      <c r="N95" s="2"/>
    </row>
    <row r="96" spans="1:14" s="5" customFormat="1">
      <c r="A96" s="7"/>
      <c r="B96" s="6"/>
      <c r="C96" s="2"/>
      <c r="D96" s="2"/>
      <c r="E96" s="2"/>
      <c r="F96" s="4"/>
      <c r="G96" s="2"/>
      <c r="H96" s="2"/>
      <c r="I96" s="3"/>
      <c r="J96" s="3"/>
      <c r="K96" s="3"/>
      <c r="L96" s="3"/>
      <c r="M96" s="3"/>
      <c r="N96" s="2"/>
    </row>
    <row r="97" spans="1:14" s="5" customFormat="1">
      <c r="A97" s="7"/>
      <c r="B97" s="6"/>
      <c r="C97" s="2"/>
      <c r="D97" s="2"/>
      <c r="E97" s="2"/>
      <c r="F97" s="4"/>
      <c r="G97" s="2"/>
      <c r="H97" s="2"/>
      <c r="I97" s="3"/>
      <c r="J97" s="3"/>
      <c r="K97" s="3"/>
      <c r="L97" s="3"/>
      <c r="M97" s="3"/>
      <c r="N97" s="2"/>
    </row>
    <row r="98" spans="1:14" s="5" customFormat="1">
      <c r="A98" s="7"/>
      <c r="B98" s="6"/>
      <c r="C98" s="2"/>
      <c r="D98" s="2"/>
      <c r="E98" s="2"/>
      <c r="F98" s="4"/>
      <c r="G98" s="2"/>
      <c r="H98" s="2"/>
      <c r="I98" s="3"/>
      <c r="J98" s="3"/>
      <c r="K98" s="3"/>
      <c r="L98" s="3"/>
      <c r="M98" s="3"/>
      <c r="N98" s="2"/>
    </row>
    <row r="99" spans="1:14" s="5" customFormat="1">
      <c r="A99" s="7"/>
      <c r="B99" s="6"/>
      <c r="C99" s="2"/>
      <c r="D99" s="2"/>
      <c r="E99" s="2"/>
      <c r="F99" s="4"/>
      <c r="G99" s="2"/>
      <c r="H99" s="2"/>
      <c r="I99" s="3"/>
      <c r="J99" s="3"/>
      <c r="K99" s="3"/>
      <c r="L99" s="3"/>
      <c r="M99" s="3"/>
      <c r="N99" s="2"/>
    </row>
    <row r="100" spans="1:14" s="5" customFormat="1">
      <c r="A100" s="7"/>
      <c r="B100" s="6"/>
      <c r="C100" s="2"/>
      <c r="D100" s="2"/>
      <c r="E100" s="2"/>
      <c r="F100" s="4"/>
      <c r="G100" s="2"/>
      <c r="H100" s="2"/>
      <c r="I100" s="3"/>
      <c r="J100" s="3"/>
      <c r="K100" s="3"/>
      <c r="L100" s="3"/>
      <c r="M100" s="3"/>
      <c r="N100" s="2"/>
    </row>
    <row r="101" spans="1:14" s="5" customFormat="1">
      <c r="A101" s="7"/>
      <c r="B101" s="6"/>
      <c r="C101" s="2"/>
      <c r="D101" s="2"/>
      <c r="E101" s="2"/>
      <c r="F101" s="4"/>
      <c r="G101" s="2"/>
      <c r="H101" s="2"/>
      <c r="I101" s="3"/>
      <c r="J101" s="3"/>
      <c r="K101" s="3"/>
      <c r="L101" s="3"/>
      <c r="M101" s="3"/>
      <c r="N101" s="2"/>
    </row>
    <row r="102" spans="1:14" s="5" customFormat="1">
      <c r="A102" s="7"/>
      <c r="B102" s="6"/>
      <c r="C102" s="2"/>
      <c r="D102" s="2"/>
      <c r="E102" s="2"/>
      <c r="F102" s="4"/>
      <c r="G102" s="2"/>
      <c r="H102" s="2"/>
      <c r="I102" s="3"/>
      <c r="J102" s="3"/>
      <c r="K102" s="3"/>
      <c r="L102" s="3"/>
      <c r="M102" s="3"/>
      <c r="N102" s="2"/>
    </row>
    <row r="103" spans="1:14" s="5" customFormat="1">
      <c r="A103" s="7"/>
      <c r="B103" s="6"/>
      <c r="C103" s="2"/>
      <c r="D103" s="2"/>
      <c r="E103" s="2"/>
      <c r="F103" s="4"/>
      <c r="G103" s="2"/>
      <c r="H103" s="2"/>
      <c r="I103" s="3"/>
      <c r="J103" s="3"/>
      <c r="K103" s="3"/>
      <c r="L103" s="3"/>
      <c r="M103" s="3"/>
      <c r="N103" s="2"/>
    </row>
    <row r="104" spans="1:14" s="5" customFormat="1">
      <c r="A104" s="7"/>
      <c r="B104" s="6"/>
      <c r="C104" s="2"/>
      <c r="D104" s="2"/>
      <c r="E104" s="2"/>
      <c r="F104" s="4"/>
      <c r="G104" s="2"/>
      <c r="H104" s="2"/>
      <c r="I104" s="3"/>
      <c r="J104" s="3"/>
      <c r="K104" s="3"/>
      <c r="L104" s="3"/>
      <c r="M104" s="3"/>
      <c r="N104" s="2"/>
    </row>
    <row r="105" spans="1:14" s="5" customFormat="1">
      <c r="A105" s="7"/>
      <c r="B105" s="6"/>
      <c r="C105" s="2"/>
      <c r="D105" s="2"/>
      <c r="E105" s="2"/>
      <c r="F105" s="4"/>
      <c r="G105" s="2"/>
      <c r="H105" s="2"/>
      <c r="I105" s="3"/>
      <c r="J105" s="3"/>
      <c r="K105" s="3"/>
      <c r="L105" s="3"/>
      <c r="M105" s="3"/>
      <c r="N105" s="2"/>
    </row>
    <row r="106" spans="1:14" s="5" customFormat="1">
      <c r="A106" s="7"/>
      <c r="B106" s="6"/>
      <c r="C106" s="2"/>
      <c r="D106" s="2"/>
      <c r="E106" s="2"/>
      <c r="F106" s="4"/>
      <c r="G106" s="2"/>
      <c r="H106" s="2"/>
      <c r="I106" s="3"/>
      <c r="J106" s="3"/>
      <c r="K106" s="3"/>
      <c r="L106" s="3"/>
      <c r="M106" s="3"/>
      <c r="N106" s="2"/>
    </row>
    <row r="107" spans="1:14" s="5" customFormat="1">
      <c r="A107" s="7"/>
      <c r="B107" s="6"/>
      <c r="C107" s="2"/>
      <c r="D107" s="2"/>
      <c r="E107" s="2"/>
      <c r="F107" s="4"/>
      <c r="G107" s="2"/>
      <c r="H107" s="2"/>
      <c r="I107" s="3"/>
      <c r="J107" s="3"/>
      <c r="K107" s="3"/>
      <c r="L107" s="3"/>
      <c r="M107" s="3"/>
      <c r="N107" s="2"/>
    </row>
    <row r="108" spans="1:14" s="5" customFormat="1">
      <c r="A108" s="7"/>
      <c r="B108" s="6"/>
      <c r="C108" s="2"/>
      <c r="D108" s="2"/>
      <c r="E108" s="2"/>
      <c r="F108" s="4"/>
      <c r="G108" s="2"/>
      <c r="H108" s="2"/>
      <c r="I108" s="3"/>
      <c r="J108" s="3"/>
      <c r="K108" s="3"/>
      <c r="L108" s="3"/>
      <c r="M108" s="3"/>
      <c r="N108" s="2"/>
    </row>
    <row r="109" spans="1:14" s="5" customFormat="1">
      <c r="A109" s="7"/>
      <c r="B109" s="6"/>
      <c r="C109" s="2"/>
      <c r="D109" s="2"/>
      <c r="E109" s="2"/>
      <c r="F109" s="4"/>
      <c r="G109" s="2"/>
      <c r="H109" s="2"/>
      <c r="I109" s="3"/>
      <c r="J109" s="3"/>
      <c r="K109" s="3"/>
      <c r="L109" s="3"/>
      <c r="M109" s="3"/>
      <c r="N109" s="2"/>
    </row>
    <row r="110" spans="1:14" s="5" customFormat="1">
      <c r="A110" s="7"/>
      <c r="B110" s="6"/>
      <c r="C110" s="2"/>
      <c r="D110" s="2"/>
      <c r="E110" s="2"/>
      <c r="F110" s="4"/>
      <c r="G110" s="2"/>
      <c r="H110" s="2"/>
      <c r="I110" s="3"/>
      <c r="J110" s="3"/>
      <c r="K110" s="3"/>
      <c r="L110" s="3"/>
      <c r="M110" s="3"/>
      <c r="N110" s="2"/>
    </row>
    <row r="111" spans="1:14" s="5" customFormat="1">
      <c r="A111" s="7"/>
      <c r="B111" s="6"/>
      <c r="C111" s="2"/>
      <c r="D111" s="2"/>
      <c r="E111" s="2"/>
      <c r="F111" s="4"/>
      <c r="G111" s="2"/>
      <c r="H111" s="2"/>
      <c r="I111" s="3"/>
      <c r="J111" s="3"/>
      <c r="K111" s="3"/>
      <c r="L111" s="3"/>
      <c r="M111" s="3"/>
      <c r="N111" s="2"/>
    </row>
    <row r="112" spans="1:14" s="5" customFormat="1">
      <c r="A112" s="7"/>
      <c r="B112" s="6"/>
      <c r="C112" s="2"/>
      <c r="D112" s="2"/>
      <c r="E112" s="2"/>
      <c r="F112" s="4"/>
      <c r="G112" s="2"/>
      <c r="H112" s="2"/>
      <c r="I112" s="3"/>
      <c r="J112" s="3"/>
      <c r="K112" s="3"/>
      <c r="L112" s="3"/>
      <c r="M112" s="3"/>
      <c r="N112" s="2"/>
    </row>
    <row r="113" spans="1:14" s="5" customFormat="1">
      <c r="A113" s="7"/>
      <c r="B113" s="6"/>
      <c r="C113" s="2"/>
      <c r="D113" s="2"/>
      <c r="E113" s="2"/>
      <c r="F113" s="4"/>
      <c r="G113" s="2"/>
      <c r="H113" s="2"/>
      <c r="I113" s="3"/>
      <c r="J113" s="3"/>
      <c r="K113" s="3"/>
      <c r="L113" s="3"/>
      <c r="M113" s="3"/>
      <c r="N113" s="2"/>
    </row>
    <row r="114" spans="1:14" s="5" customFormat="1">
      <c r="A114" s="7"/>
      <c r="B114" s="6"/>
      <c r="C114" s="2"/>
      <c r="D114" s="2"/>
      <c r="E114" s="2"/>
      <c r="F114" s="4"/>
      <c r="G114" s="2"/>
      <c r="H114" s="2"/>
      <c r="I114" s="3"/>
      <c r="J114" s="3"/>
      <c r="K114" s="3"/>
      <c r="L114" s="3"/>
      <c r="M114" s="3"/>
      <c r="N114" s="2"/>
    </row>
    <row r="115" spans="1:14" s="5" customFormat="1">
      <c r="A115" s="7"/>
      <c r="B115" s="6"/>
      <c r="C115" s="2"/>
      <c r="D115" s="2"/>
      <c r="E115" s="2"/>
      <c r="F115" s="4"/>
      <c r="G115" s="2"/>
      <c r="H115" s="2"/>
      <c r="I115" s="3"/>
      <c r="J115" s="3"/>
      <c r="K115" s="3"/>
      <c r="L115" s="3"/>
      <c r="M115" s="3"/>
      <c r="N115" s="2"/>
    </row>
    <row r="116" spans="1:14" s="5" customFormat="1">
      <c r="A116" s="7"/>
      <c r="B116" s="6"/>
      <c r="C116" s="2"/>
      <c r="D116" s="2"/>
      <c r="E116" s="2"/>
      <c r="F116" s="4"/>
      <c r="G116" s="2"/>
      <c r="H116" s="2"/>
      <c r="I116" s="3"/>
      <c r="J116" s="3"/>
      <c r="K116" s="3"/>
      <c r="L116" s="3"/>
      <c r="M116" s="3"/>
      <c r="N116" s="2"/>
    </row>
    <row r="117" spans="1:14" s="5" customFormat="1">
      <c r="A117" s="7"/>
      <c r="B117" s="6"/>
      <c r="C117" s="2"/>
      <c r="D117" s="2"/>
      <c r="E117" s="2"/>
      <c r="F117" s="4"/>
      <c r="G117" s="2"/>
      <c r="H117" s="2"/>
      <c r="I117" s="3"/>
      <c r="J117" s="3"/>
      <c r="K117" s="3"/>
      <c r="L117" s="3"/>
      <c r="M117" s="3"/>
      <c r="N117" s="2"/>
    </row>
    <row r="118" spans="1:14" s="5" customFormat="1">
      <c r="A118" s="7"/>
      <c r="B118" s="6"/>
      <c r="C118" s="2"/>
      <c r="D118" s="2"/>
      <c r="E118" s="2"/>
      <c r="F118" s="4"/>
      <c r="G118" s="2"/>
      <c r="H118" s="2"/>
      <c r="I118" s="3"/>
      <c r="J118" s="3"/>
      <c r="K118" s="3"/>
      <c r="L118" s="3"/>
      <c r="M118" s="3"/>
      <c r="N118" s="2"/>
    </row>
    <row r="119" spans="1:14" s="5" customFormat="1">
      <c r="A119" s="7"/>
      <c r="B119" s="6"/>
      <c r="C119" s="2"/>
      <c r="D119" s="2"/>
      <c r="E119" s="2"/>
      <c r="F119" s="4"/>
      <c r="G119" s="2"/>
      <c r="H119" s="2"/>
      <c r="I119" s="3"/>
      <c r="J119" s="3"/>
      <c r="K119" s="3"/>
      <c r="L119" s="3"/>
      <c r="M119" s="3"/>
      <c r="N119" s="2"/>
    </row>
    <row r="120" spans="1:14" s="5" customFormat="1">
      <c r="A120" s="7"/>
      <c r="B120" s="6"/>
      <c r="C120" s="2"/>
      <c r="D120" s="2"/>
      <c r="E120" s="2"/>
      <c r="F120" s="4"/>
      <c r="G120" s="2"/>
      <c r="H120" s="2"/>
      <c r="I120" s="3"/>
      <c r="J120" s="3"/>
      <c r="K120" s="3"/>
      <c r="L120" s="3"/>
      <c r="M120" s="3"/>
      <c r="N120" s="2"/>
    </row>
    <row r="121" spans="1:14" s="5" customFormat="1">
      <c r="A121" s="7"/>
      <c r="B121" s="6"/>
      <c r="C121" s="2"/>
      <c r="D121" s="2"/>
      <c r="E121" s="2"/>
      <c r="F121" s="4"/>
      <c r="G121" s="2"/>
      <c r="H121" s="2"/>
      <c r="I121" s="3"/>
      <c r="J121" s="3"/>
      <c r="K121" s="3"/>
      <c r="L121" s="3"/>
      <c r="M121" s="3"/>
      <c r="N121" s="2"/>
    </row>
    <row r="122" spans="1:14" s="5" customFormat="1">
      <c r="A122" s="7"/>
      <c r="B122" s="6"/>
      <c r="C122" s="2"/>
      <c r="D122" s="2"/>
      <c r="E122" s="2"/>
      <c r="F122" s="4"/>
      <c r="G122" s="2"/>
      <c r="H122" s="2"/>
      <c r="I122" s="3"/>
      <c r="J122" s="3"/>
      <c r="K122" s="3"/>
      <c r="L122" s="3"/>
      <c r="M122" s="3"/>
      <c r="N122" s="2"/>
    </row>
    <row r="123" spans="1:14" s="5" customFormat="1">
      <c r="A123" s="7"/>
      <c r="B123" s="6"/>
      <c r="C123" s="2"/>
      <c r="D123" s="2"/>
      <c r="E123" s="2"/>
      <c r="F123" s="4"/>
      <c r="G123" s="2"/>
      <c r="H123" s="2"/>
      <c r="I123" s="3"/>
      <c r="J123" s="3"/>
      <c r="K123" s="3"/>
      <c r="L123" s="3"/>
      <c r="M123" s="3"/>
      <c r="N123" s="2"/>
    </row>
    <row r="124" spans="1:14" s="5" customFormat="1">
      <c r="A124" s="7"/>
      <c r="B124" s="6"/>
      <c r="C124" s="2"/>
      <c r="D124" s="2"/>
      <c r="E124" s="2"/>
      <c r="F124" s="4"/>
      <c r="G124" s="2"/>
      <c r="H124" s="2"/>
      <c r="I124" s="3"/>
      <c r="J124" s="3"/>
      <c r="K124" s="3"/>
      <c r="L124" s="3"/>
      <c r="M124" s="3"/>
      <c r="N124" s="2"/>
    </row>
    <row r="125" spans="1:14" s="5" customFormat="1">
      <c r="A125" s="7"/>
      <c r="B125" s="6"/>
      <c r="C125" s="2"/>
      <c r="D125" s="2"/>
      <c r="E125" s="2"/>
      <c r="F125" s="4"/>
      <c r="G125" s="2"/>
      <c r="H125" s="2"/>
      <c r="I125" s="3"/>
      <c r="J125" s="3"/>
      <c r="K125" s="3"/>
      <c r="L125" s="3"/>
      <c r="M125" s="3"/>
      <c r="N125" s="2"/>
    </row>
    <row r="126" spans="1:14" s="5" customFormat="1">
      <c r="A126" s="7"/>
      <c r="B126" s="6"/>
      <c r="C126" s="2"/>
      <c r="D126" s="2"/>
      <c r="E126" s="2"/>
      <c r="F126" s="4"/>
      <c r="G126" s="2"/>
      <c r="H126" s="2"/>
      <c r="I126" s="3"/>
      <c r="J126" s="3"/>
      <c r="K126" s="3"/>
      <c r="L126" s="3"/>
      <c r="M126" s="3"/>
      <c r="N126" s="2"/>
    </row>
    <row r="127" spans="1:14" s="5" customFormat="1">
      <c r="A127" s="7"/>
      <c r="B127" s="6"/>
      <c r="C127" s="2"/>
      <c r="D127" s="2"/>
      <c r="E127" s="2"/>
      <c r="F127" s="4"/>
      <c r="G127" s="2"/>
      <c r="H127" s="2"/>
      <c r="I127" s="3"/>
      <c r="J127" s="3"/>
      <c r="K127" s="3"/>
      <c r="L127" s="3"/>
      <c r="M127" s="3"/>
      <c r="N127" s="2"/>
    </row>
    <row r="128" spans="1:14" s="5" customFormat="1">
      <c r="A128" s="7"/>
      <c r="B128" s="6"/>
      <c r="C128" s="2"/>
      <c r="D128" s="2"/>
      <c r="E128" s="2"/>
      <c r="F128" s="4"/>
      <c r="G128" s="2"/>
      <c r="H128" s="2"/>
      <c r="I128" s="3"/>
      <c r="J128" s="3"/>
      <c r="K128" s="3"/>
      <c r="L128" s="3"/>
      <c r="M128" s="3"/>
      <c r="N128" s="2"/>
    </row>
    <row r="129" spans="1:14" s="5" customFormat="1">
      <c r="A129" s="7"/>
      <c r="B129" s="6"/>
      <c r="C129" s="2"/>
      <c r="D129" s="2"/>
      <c r="E129" s="2"/>
      <c r="F129" s="4"/>
      <c r="G129" s="2"/>
      <c r="H129" s="2"/>
      <c r="I129" s="3"/>
      <c r="J129" s="3"/>
      <c r="K129" s="3"/>
      <c r="L129" s="3"/>
      <c r="M129" s="3"/>
      <c r="N129" s="2"/>
    </row>
    <row r="130" spans="1:14" s="5" customFormat="1">
      <c r="A130" s="7"/>
      <c r="B130" s="6"/>
      <c r="C130" s="2"/>
      <c r="D130" s="2"/>
      <c r="E130" s="2"/>
      <c r="F130" s="4"/>
      <c r="G130" s="2"/>
      <c r="H130" s="2"/>
      <c r="I130" s="3"/>
      <c r="J130" s="3"/>
      <c r="K130" s="3"/>
      <c r="L130" s="3"/>
      <c r="M130" s="3"/>
      <c r="N130" s="2"/>
    </row>
    <row r="131" spans="1:14" s="5" customFormat="1">
      <c r="A131" s="7"/>
      <c r="B131" s="6"/>
      <c r="C131" s="2"/>
      <c r="D131" s="2"/>
      <c r="E131" s="2"/>
      <c r="F131" s="4"/>
      <c r="G131" s="2"/>
      <c r="H131" s="2"/>
      <c r="I131" s="3"/>
      <c r="J131" s="3"/>
      <c r="K131" s="3"/>
      <c r="L131" s="3"/>
      <c r="M131" s="3"/>
      <c r="N131" s="2"/>
    </row>
    <row r="132" spans="1:14" s="5" customFormat="1">
      <c r="A132" s="7"/>
      <c r="B132" s="6"/>
      <c r="C132" s="2"/>
      <c r="D132" s="2"/>
      <c r="E132" s="2"/>
      <c r="F132" s="4"/>
      <c r="G132" s="2"/>
      <c r="H132" s="2"/>
      <c r="I132" s="3"/>
      <c r="J132" s="3"/>
      <c r="K132" s="3"/>
      <c r="L132" s="3"/>
      <c r="M132" s="3"/>
      <c r="N132" s="2"/>
    </row>
    <row r="133" spans="1:14" s="5" customFormat="1">
      <c r="A133" s="7"/>
      <c r="B133" s="6"/>
      <c r="C133" s="2"/>
      <c r="D133" s="2"/>
      <c r="E133" s="2"/>
      <c r="F133" s="4"/>
      <c r="G133" s="2"/>
      <c r="H133" s="2"/>
      <c r="I133" s="3"/>
      <c r="J133" s="3"/>
      <c r="K133" s="3"/>
      <c r="L133" s="3"/>
      <c r="M133" s="3"/>
      <c r="N133" s="2"/>
    </row>
    <row r="134" spans="1:14" s="5" customFormat="1">
      <c r="A134" s="7"/>
      <c r="B134" s="6"/>
      <c r="C134" s="2"/>
      <c r="D134" s="2"/>
      <c r="E134" s="2"/>
      <c r="F134" s="4"/>
      <c r="G134" s="2"/>
      <c r="H134" s="2"/>
      <c r="I134" s="3"/>
      <c r="J134" s="3"/>
      <c r="K134" s="3"/>
      <c r="L134" s="3"/>
      <c r="M134" s="3"/>
      <c r="N134" s="2"/>
    </row>
    <row r="135" spans="1:14" s="5" customFormat="1">
      <c r="A135" s="7"/>
      <c r="B135" s="6"/>
      <c r="C135" s="2"/>
      <c r="D135" s="2"/>
      <c r="E135" s="2"/>
      <c r="F135" s="4"/>
      <c r="G135" s="2"/>
      <c r="H135" s="2"/>
      <c r="I135" s="3"/>
      <c r="J135" s="3"/>
      <c r="K135" s="3"/>
      <c r="L135" s="3"/>
      <c r="M135" s="3"/>
      <c r="N135" s="2"/>
    </row>
    <row r="136" spans="1:14" s="5" customFormat="1">
      <c r="A136" s="7"/>
      <c r="B136" s="6"/>
      <c r="C136" s="2"/>
      <c r="D136" s="2"/>
      <c r="E136" s="2"/>
      <c r="F136" s="4"/>
      <c r="G136" s="2"/>
      <c r="H136" s="2"/>
      <c r="I136" s="3"/>
      <c r="J136" s="3"/>
      <c r="K136" s="3"/>
      <c r="L136" s="3"/>
      <c r="M136" s="3"/>
      <c r="N136" s="2"/>
    </row>
    <row r="137" spans="1:14" s="5" customFormat="1">
      <c r="A137" s="7"/>
      <c r="B137" s="6"/>
      <c r="C137" s="2"/>
      <c r="D137" s="2"/>
      <c r="E137" s="2"/>
      <c r="F137" s="4"/>
      <c r="G137" s="2"/>
      <c r="H137" s="2"/>
      <c r="I137" s="3"/>
      <c r="J137" s="3"/>
      <c r="K137" s="3"/>
      <c r="L137" s="3"/>
      <c r="M137" s="3"/>
      <c r="N137" s="2"/>
    </row>
    <row r="138" spans="1:14" s="5" customFormat="1">
      <c r="A138" s="7"/>
      <c r="B138" s="6"/>
      <c r="C138" s="2"/>
      <c r="D138" s="2"/>
      <c r="E138" s="2"/>
      <c r="F138" s="4"/>
      <c r="G138" s="2"/>
      <c r="H138" s="2"/>
      <c r="I138" s="3"/>
      <c r="J138" s="3"/>
      <c r="K138" s="3"/>
      <c r="L138" s="3"/>
      <c r="M138" s="3"/>
      <c r="N138" s="2"/>
    </row>
    <row r="139" spans="1:14" s="5" customFormat="1">
      <c r="A139" s="7"/>
      <c r="B139" s="6"/>
      <c r="C139" s="2"/>
      <c r="D139" s="2"/>
      <c r="E139" s="2"/>
      <c r="F139" s="4"/>
      <c r="G139" s="2"/>
      <c r="H139" s="2"/>
      <c r="I139" s="3"/>
      <c r="J139" s="3"/>
      <c r="K139" s="3"/>
      <c r="L139" s="3"/>
      <c r="M139" s="3"/>
      <c r="N139" s="2"/>
    </row>
    <row r="140" spans="1:14" s="5" customFormat="1">
      <c r="A140" s="7"/>
      <c r="B140" s="6"/>
      <c r="C140" s="2"/>
      <c r="D140" s="2"/>
      <c r="E140" s="2"/>
      <c r="F140" s="4"/>
      <c r="G140" s="2"/>
      <c r="H140" s="2"/>
      <c r="I140" s="3"/>
      <c r="J140" s="3"/>
      <c r="K140" s="3"/>
      <c r="L140" s="3"/>
      <c r="M140" s="3"/>
      <c r="N140" s="2"/>
    </row>
    <row r="141" spans="1:14" s="5" customFormat="1">
      <c r="A141" s="7"/>
      <c r="B141" s="6"/>
      <c r="C141" s="2"/>
      <c r="D141" s="2"/>
      <c r="E141" s="2"/>
      <c r="F141" s="4"/>
      <c r="G141" s="2"/>
      <c r="H141" s="2"/>
      <c r="I141" s="3"/>
      <c r="J141" s="3"/>
      <c r="K141" s="3"/>
      <c r="L141" s="3"/>
      <c r="M141" s="3"/>
      <c r="N141" s="2"/>
    </row>
    <row r="142" spans="1:14" s="5" customFormat="1">
      <c r="A142" s="7"/>
      <c r="B142" s="6"/>
      <c r="C142" s="2"/>
      <c r="D142" s="2"/>
      <c r="E142" s="2"/>
      <c r="F142" s="4"/>
      <c r="G142" s="2"/>
      <c r="H142" s="2"/>
      <c r="I142" s="3"/>
      <c r="J142" s="3"/>
      <c r="K142" s="3"/>
      <c r="L142" s="3"/>
      <c r="M142" s="3"/>
      <c r="N142" s="2"/>
    </row>
    <row r="143" spans="1:14" s="5" customFormat="1">
      <c r="A143" s="7"/>
      <c r="B143" s="6"/>
      <c r="C143" s="2"/>
      <c r="D143" s="2"/>
      <c r="E143" s="2"/>
      <c r="F143" s="4"/>
      <c r="G143" s="2"/>
      <c r="H143" s="2"/>
      <c r="I143" s="3"/>
      <c r="J143" s="3"/>
      <c r="K143" s="3"/>
      <c r="L143" s="3"/>
      <c r="M143" s="3"/>
      <c r="N143" s="2"/>
    </row>
    <row r="144" spans="1:14" s="5" customFormat="1">
      <c r="A144" s="7"/>
      <c r="B144" s="6"/>
      <c r="C144" s="2"/>
      <c r="D144" s="2"/>
      <c r="E144" s="2"/>
      <c r="F144" s="4"/>
      <c r="G144" s="2"/>
      <c r="H144" s="2"/>
      <c r="I144" s="3"/>
      <c r="J144" s="3"/>
      <c r="K144" s="3"/>
      <c r="L144" s="3"/>
      <c r="M144" s="3"/>
      <c r="N144" s="2"/>
    </row>
    <row r="145" spans="1:14" s="5" customFormat="1">
      <c r="A145" s="7"/>
      <c r="B145" s="6"/>
      <c r="C145" s="2"/>
      <c r="D145" s="2"/>
      <c r="E145" s="2"/>
      <c r="F145" s="4"/>
      <c r="G145" s="2"/>
      <c r="H145" s="2"/>
      <c r="I145" s="3"/>
      <c r="J145" s="3"/>
      <c r="K145" s="3"/>
      <c r="L145" s="3"/>
      <c r="M145" s="3"/>
      <c r="N145" s="2"/>
    </row>
    <row r="146" spans="1:14" s="5" customFormat="1">
      <c r="A146" s="7"/>
      <c r="B146" s="6"/>
      <c r="C146" s="2"/>
      <c r="D146" s="2"/>
      <c r="E146" s="2"/>
      <c r="F146" s="4"/>
      <c r="G146" s="2"/>
      <c r="H146" s="2"/>
      <c r="I146" s="3"/>
      <c r="J146" s="3"/>
      <c r="K146" s="3"/>
      <c r="L146" s="3"/>
      <c r="M146" s="3"/>
      <c r="N146" s="2"/>
    </row>
    <row r="147" spans="1:14" s="5" customFormat="1">
      <c r="A147" s="7"/>
      <c r="B147" s="6"/>
      <c r="C147" s="2"/>
      <c r="D147" s="2"/>
      <c r="E147" s="2"/>
      <c r="F147" s="4"/>
      <c r="G147" s="2"/>
      <c r="H147" s="2"/>
      <c r="I147" s="3"/>
      <c r="J147" s="3"/>
      <c r="K147" s="3"/>
      <c r="L147" s="3"/>
      <c r="M147" s="3"/>
      <c r="N147" s="2"/>
    </row>
    <row r="148" spans="1:14" s="5" customFormat="1">
      <c r="A148" s="7"/>
      <c r="B148" s="6"/>
      <c r="C148" s="2"/>
      <c r="D148" s="2"/>
      <c r="E148" s="2"/>
      <c r="F148" s="4"/>
      <c r="G148" s="2"/>
      <c r="H148" s="2"/>
      <c r="I148" s="3"/>
      <c r="J148" s="3"/>
      <c r="K148" s="3"/>
      <c r="L148" s="3"/>
      <c r="M148" s="3"/>
      <c r="N148" s="2"/>
    </row>
    <row r="149" spans="1:14" s="5" customFormat="1">
      <c r="A149" s="7"/>
      <c r="B149" s="6"/>
      <c r="C149" s="2"/>
      <c r="D149" s="2"/>
      <c r="E149" s="2"/>
      <c r="F149" s="4"/>
      <c r="G149" s="2"/>
      <c r="H149" s="2"/>
      <c r="I149" s="3"/>
      <c r="J149" s="3"/>
      <c r="K149" s="3"/>
      <c r="L149" s="3"/>
      <c r="M149" s="3"/>
      <c r="N149" s="2"/>
    </row>
    <row r="150" spans="1:14" s="5" customFormat="1">
      <c r="A150" s="7"/>
      <c r="B150" s="6"/>
      <c r="C150" s="2"/>
      <c r="D150" s="2"/>
      <c r="E150" s="2"/>
      <c r="F150" s="4"/>
      <c r="G150" s="2"/>
      <c r="H150" s="2"/>
      <c r="I150" s="3"/>
      <c r="J150" s="3"/>
      <c r="K150" s="3"/>
      <c r="L150" s="3"/>
      <c r="M150" s="3"/>
      <c r="N150" s="2"/>
    </row>
    <row r="151" spans="1:14" s="5" customFormat="1">
      <c r="A151" s="7"/>
      <c r="B151" s="6"/>
      <c r="C151" s="2"/>
      <c r="D151" s="2"/>
      <c r="E151" s="2"/>
      <c r="F151" s="4"/>
      <c r="G151" s="2"/>
      <c r="H151" s="2"/>
      <c r="I151" s="3"/>
      <c r="J151" s="3"/>
      <c r="K151" s="3"/>
      <c r="L151" s="3"/>
      <c r="M151" s="3"/>
      <c r="N151" s="2"/>
    </row>
    <row r="152" spans="1:14" s="5" customFormat="1">
      <c r="A152" s="7"/>
      <c r="B152" s="6"/>
      <c r="C152" s="2"/>
      <c r="D152" s="2"/>
      <c r="E152" s="2"/>
      <c r="F152" s="4"/>
      <c r="G152" s="2"/>
      <c r="H152" s="2"/>
      <c r="I152" s="3"/>
      <c r="J152" s="3"/>
      <c r="K152" s="3"/>
      <c r="L152" s="3"/>
      <c r="M152" s="3"/>
      <c r="N152" s="2"/>
    </row>
    <row r="153" spans="1:14" s="5" customFormat="1">
      <c r="A153" s="7"/>
      <c r="B153" s="6"/>
      <c r="C153" s="2"/>
      <c r="D153" s="2"/>
      <c r="E153" s="2"/>
      <c r="F153" s="4"/>
      <c r="G153" s="2"/>
      <c r="H153" s="2"/>
      <c r="I153" s="3"/>
      <c r="J153" s="3"/>
      <c r="K153" s="3"/>
      <c r="L153" s="3"/>
      <c r="M153" s="3"/>
      <c r="N153" s="2"/>
    </row>
    <row r="154" spans="1:14" s="5" customFormat="1">
      <c r="A154" s="7"/>
      <c r="B154" s="6"/>
      <c r="C154" s="2"/>
      <c r="D154" s="2"/>
      <c r="E154" s="2"/>
      <c r="F154" s="4"/>
      <c r="G154" s="2"/>
      <c r="H154" s="2"/>
      <c r="I154" s="3"/>
      <c r="J154" s="3"/>
      <c r="K154" s="3"/>
      <c r="L154" s="3"/>
      <c r="M154" s="3"/>
      <c r="N154" s="2"/>
    </row>
    <row r="155" spans="1:14" s="5" customFormat="1">
      <c r="A155" s="7"/>
      <c r="B155" s="6"/>
      <c r="C155" s="2"/>
      <c r="D155" s="2"/>
      <c r="E155" s="2"/>
      <c r="F155" s="4"/>
      <c r="G155" s="2"/>
      <c r="H155" s="2"/>
      <c r="I155" s="3"/>
      <c r="J155" s="3"/>
      <c r="K155" s="3"/>
      <c r="L155" s="3"/>
      <c r="M155" s="3"/>
      <c r="N155" s="2"/>
    </row>
    <row r="156" spans="1:14" s="5" customFormat="1">
      <c r="A156" s="7"/>
      <c r="B156" s="6"/>
      <c r="C156" s="2"/>
      <c r="D156" s="2"/>
      <c r="E156" s="2"/>
      <c r="F156" s="4"/>
      <c r="G156" s="2"/>
      <c r="H156" s="2"/>
      <c r="I156" s="3"/>
      <c r="J156" s="3"/>
      <c r="K156" s="3"/>
      <c r="L156" s="3"/>
      <c r="M156" s="3"/>
      <c r="N156" s="2"/>
    </row>
    <row r="157" spans="1:14" s="5" customFormat="1">
      <c r="A157" s="7"/>
      <c r="B157" s="6"/>
      <c r="C157" s="2"/>
      <c r="D157" s="2"/>
      <c r="E157" s="2"/>
      <c r="F157" s="4"/>
      <c r="G157" s="2"/>
      <c r="H157" s="2"/>
      <c r="I157" s="3"/>
      <c r="J157" s="3"/>
      <c r="K157" s="3"/>
      <c r="L157" s="3"/>
      <c r="M157" s="3"/>
      <c r="N157" s="2"/>
    </row>
    <row r="158" spans="1:14" s="5" customFormat="1">
      <c r="A158" s="7"/>
      <c r="B158" s="6"/>
      <c r="C158" s="2"/>
      <c r="D158" s="2"/>
      <c r="E158" s="2"/>
      <c r="F158" s="4"/>
      <c r="G158" s="2"/>
      <c r="H158" s="2"/>
      <c r="I158" s="3"/>
      <c r="J158" s="3"/>
      <c r="K158" s="3"/>
      <c r="L158" s="3"/>
      <c r="M158" s="3"/>
      <c r="N158" s="2"/>
    </row>
    <row r="159" spans="1:14" s="5" customFormat="1">
      <c r="A159" s="7"/>
      <c r="B159" s="6"/>
      <c r="C159" s="2"/>
      <c r="D159" s="2"/>
      <c r="E159" s="2"/>
      <c r="F159" s="4"/>
      <c r="G159" s="2"/>
      <c r="H159" s="2"/>
      <c r="I159" s="3"/>
      <c r="J159" s="3"/>
      <c r="K159" s="3"/>
      <c r="L159" s="3"/>
      <c r="M159" s="3"/>
      <c r="N159" s="2"/>
    </row>
    <row r="160" spans="1:14" s="5" customFormat="1">
      <c r="A160" s="7"/>
      <c r="B160" s="6"/>
      <c r="C160" s="2"/>
      <c r="D160" s="2"/>
      <c r="E160" s="2"/>
      <c r="F160" s="4"/>
      <c r="G160" s="2"/>
      <c r="H160" s="2"/>
      <c r="I160" s="3"/>
      <c r="J160" s="3"/>
      <c r="K160" s="3"/>
      <c r="L160" s="3"/>
      <c r="M160" s="3"/>
      <c r="N160" s="2"/>
    </row>
    <row r="161" spans="1:14" s="5" customFormat="1">
      <c r="A161" s="7"/>
      <c r="B161" s="6"/>
      <c r="C161" s="2"/>
      <c r="D161" s="2"/>
      <c r="E161" s="2"/>
      <c r="F161" s="4"/>
      <c r="G161" s="2"/>
      <c r="H161" s="2"/>
      <c r="I161" s="3"/>
      <c r="J161" s="3"/>
      <c r="K161" s="3"/>
      <c r="L161" s="3"/>
      <c r="M161" s="3"/>
      <c r="N161" s="2"/>
    </row>
    <row r="162" spans="1:14" s="5" customFormat="1">
      <c r="A162" s="7"/>
      <c r="B162" s="6"/>
      <c r="C162" s="2"/>
      <c r="D162" s="2"/>
      <c r="E162" s="2"/>
      <c r="F162" s="4"/>
      <c r="G162" s="2"/>
      <c r="H162" s="2"/>
      <c r="I162" s="3"/>
      <c r="J162" s="3"/>
      <c r="K162" s="3"/>
      <c r="L162" s="3"/>
      <c r="M162" s="3"/>
      <c r="N162" s="2"/>
    </row>
    <row r="163" spans="1:14" s="5" customFormat="1">
      <c r="A163" s="7"/>
      <c r="B163" s="6"/>
      <c r="C163" s="2"/>
      <c r="D163" s="2"/>
      <c r="E163" s="2"/>
      <c r="F163" s="4"/>
      <c r="G163" s="2"/>
      <c r="H163" s="2"/>
      <c r="I163" s="3"/>
      <c r="J163" s="3"/>
      <c r="K163" s="3"/>
      <c r="L163" s="3"/>
      <c r="M163" s="3"/>
      <c r="N163" s="2"/>
    </row>
    <row r="164" spans="1:14" s="5" customFormat="1">
      <c r="A164" s="7"/>
      <c r="B164" s="6"/>
      <c r="C164" s="2"/>
      <c r="D164" s="2"/>
      <c r="E164" s="2"/>
      <c r="F164" s="4"/>
      <c r="G164" s="2"/>
      <c r="H164" s="2"/>
      <c r="I164" s="3"/>
      <c r="J164" s="3"/>
      <c r="K164" s="3"/>
      <c r="L164" s="3"/>
      <c r="M164" s="3"/>
      <c r="N164" s="2"/>
    </row>
    <row r="165" spans="1:14" s="5" customFormat="1">
      <c r="A165" s="7"/>
      <c r="B165" s="6"/>
      <c r="C165" s="2"/>
      <c r="D165" s="2"/>
      <c r="E165" s="2"/>
      <c r="F165" s="4"/>
      <c r="G165" s="2"/>
      <c r="H165" s="2"/>
      <c r="I165" s="3"/>
      <c r="J165" s="3"/>
      <c r="K165" s="3"/>
      <c r="L165" s="3"/>
      <c r="M165" s="3"/>
      <c r="N165" s="2"/>
    </row>
    <row r="166" spans="1:14" s="5" customFormat="1">
      <c r="A166" s="7"/>
      <c r="B166" s="6"/>
      <c r="C166" s="2"/>
      <c r="D166" s="2"/>
      <c r="E166" s="2"/>
      <c r="F166" s="4"/>
      <c r="G166" s="2"/>
      <c r="H166" s="2"/>
      <c r="I166" s="3"/>
      <c r="J166" s="3"/>
      <c r="K166" s="3"/>
      <c r="L166" s="3"/>
      <c r="M166" s="3"/>
      <c r="N166" s="2"/>
    </row>
    <row r="167" spans="1:14" s="5" customFormat="1">
      <c r="A167" s="7"/>
      <c r="B167" s="6"/>
      <c r="C167" s="2"/>
      <c r="D167" s="2"/>
      <c r="E167" s="2"/>
      <c r="F167" s="4"/>
      <c r="G167" s="2"/>
      <c r="H167" s="2"/>
      <c r="I167" s="3"/>
      <c r="J167" s="3"/>
      <c r="K167" s="3"/>
      <c r="L167" s="3"/>
      <c r="M167" s="3"/>
      <c r="N167" s="2"/>
    </row>
    <row r="168" spans="1:14" s="5" customFormat="1">
      <c r="A168" s="7"/>
      <c r="B168" s="6"/>
      <c r="C168" s="2"/>
      <c r="D168" s="2"/>
      <c r="E168" s="2"/>
      <c r="F168" s="4"/>
      <c r="G168" s="2"/>
      <c r="H168" s="2"/>
      <c r="I168" s="3"/>
      <c r="J168" s="3"/>
      <c r="K168" s="3"/>
      <c r="L168" s="3"/>
      <c r="M168" s="3"/>
      <c r="N168" s="2"/>
    </row>
    <row r="169" spans="1:14" s="5" customFormat="1">
      <c r="A169" s="7"/>
      <c r="B169" s="6"/>
      <c r="C169" s="2"/>
      <c r="D169" s="2"/>
      <c r="E169" s="2"/>
      <c r="F169" s="4"/>
      <c r="G169" s="2"/>
      <c r="H169" s="2"/>
      <c r="I169" s="3"/>
      <c r="J169" s="3"/>
      <c r="K169" s="3"/>
      <c r="L169" s="3"/>
      <c r="M169" s="3"/>
      <c r="N169" s="2"/>
    </row>
  </sheetData>
  <hyperlinks>
    <hyperlink ref="F7" location="EL_A0001" display="EL_A0001" xr:uid="{00000000-0004-0000-0100-000000000000}"/>
    <hyperlink ref="F8" location="EL_01001" display="EL_01001" xr:uid="{00000000-0004-0000-0100-000001000000}"/>
    <hyperlink ref="F9" location="EL_01002" display="EL_01002" xr:uid="{0E847849-2A9E-4F60-87F6-55A4470E5E3F}"/>
    <hyperlink ref="F10" location="EL_01003" display="EL_01003" xr:uid="{669F8720-9A0D-49C6-9E0F-DDE30E686B68}"/>
    <hyperlink ref="F11" location="EL_01004" display="EL_01004" xr:uid="{76ADD9F9-F633-48F1-BFE5-F24B16203F7E}"/>
    <hyperlink ref="F12" location="EL_01005" display="EL_01005" xr:uid="{3854F9D5-D3B4-45D1-92F9-57B0B03DE54A}"/>
    <hyperlink ref="F13" location="EL_01006" display="EL_01006" xr:uid="{F9161B80-289E-4CEF-BBED-5D43B7DBAAE5}"/>
    <hyperlink ref="F14" location="EL_A0002" display="EL_A0002" xr:uid="{4C0737D0-2507-4612-ACE2-610EDB1B1FAB}"/>
    <hyperlink ref="F19" location="EL_A0003" display="EL_A0003" xr:uid="{E11F2032-90DB-41C5-88B4-5FB2C65BF85A}"/>
    <hyperlink ref="F15" location="EL_02001" display="EL_02001" xr:uid="{72E13A0C-9266-4B75-9704-A2FFC31A0032}"/>
    <hyperlink ref="F16" location="EL_02002" display="EL_02002" xr:uid="{E1852CDD-2878-483B-A510-2BE19B62A128}"/>
    <hyperlink ref="F17" location="EL_02003" display="EL_02003" xr:uid="{B7E8A430-07EA-452C-84B5-69BF43DE85B4}"/>
    <hyperlink ref="F18" location="EL_02004" display="EL_02004" xr:uid="{3BBCC6CB-F9A0-47F9-A0F1-2774ECA19A38}"/>
    <hyperlink ref="F20" location="EL_03001" display="EL_03001" xr:uid="{500B4268-90C7-4745-A124-D59EED6A66A4}"/>
    <hyperlink ref="F21" location="EL_03002" display="EL_03002" xr:uid="{71929929-D1DD-4EC5-9CCF-531E1B64AF9E}"/>
    <hyperlink ref="F22" location="EL_03003" display="EL_03003" xr:uid="{5D82D8CB-3524-41BD-A881-72DDCCB28E74}"/>
  </hyperlinks>
  <pageMargins left="0.40902777777777799" right="0.21875" top="0.71875" bottom="0.57916666666666705" header="0.5" footer="0.25902777777777802"/>
  <pageSetup scale="57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B286-A168-43BB-B879-996E25169FED}">
  <sheetPr>
    <tabColor theme="9" tint="0.39991454817346722"/>
    <pageSetUpPr fitToPage="1"/>
  </sheetPr>
  <dimension ref="A1:O19"/>
  <sheetViews>
    <sheetView zoomScale="85" zoomScaleNormal="85" workbookViewId="0">
      <selection activeCell="E17" sqref="E17"/>
    </sheetView>
  </sheetViews>
  <sheetFormatPr baseColWidth="10" defaultColWidth="9.140625" defaultRowHeight="15"/>
  <cols>
    <col min="1" max="1" width="10.28515625" style="63" customWidth="1"/>
    <col min="2" max="2" width="35.42578125" style="63" customWidth="1"/>
    <col min="3" max="3" width="21.85546875" style="63" customWidth="1"/>
    <col min="4" max="4" width="8.85546875" style="63" customWidth="1"/>
    <col min="5" max="6" width="8.7109375" style="63" customWidth="1"/>
    <col min="7" max="7" width="37.7109375" style="63" customWidth="1"/>
    <col min="8" max="8" width="9.7109375" style="63" customWidth="1"/>
    <col min="9" max="9" width="12.140625" style="63" customWidth="1"/>
    <col min="10" max="10" width="8.85546875" style="63" customWidth="1"/>
    <col min="11" max="11" width="7" style="63" customWidth="1"/>
    <col min="12" max="12" width="7.7109375" style="63" customWidth="1"/>
    <col min="13" max="13" width="12.5703125" style="63" customWidth="1"/>
    <col min="14" max="14" width="9.140625" style="63"/>
    <col min="15" max="15" width="3.140625" style="63" customWidth="1"/>
    <col min="16" max="16384" width="9.140625" style="63"/>
  </cols>
  <sheetData>
    <row r="1" spans="1:15">
      <c r="A1" s="139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7"/>
    </row>
    <row r="2" spans="1:15">
      <c r="A2" s="167" t="s">
        <v>24</v>
      </c>
      <c r="B2" s="132" t="s">
        <v>23</v>
      </c>
      <c r="C2" s="64"/>
      <c r="D2" s="64"/>
      <c r="E2" s="64"/>
      <c r="F2" s="64"/>
      <c r="G2" s="170" t="s">
        <v>172</v>
      </c>
      <c r="H2" s="64"/>
      <c r="I2" s="64"/>
      <c r="J2" s="172" t="s">
        <v>18</v>
      </c>
      <c r="K2" s="136">
        <v>81</v>
      </c>
      <c r="L2" s="64"/>
      <c r="M2" s="167" t="s">
        <v>157</v>
      </c>
      <c r="N2" s="73">
        <f>EL_01005_m+EL_01005_p</f>
        <v>0.82552265000000014</v>
      </c>
      <c r="O2" s="68"/>
    </row>
    <row r="3" spans="1:15">
      <c r="A3" s="167" t="s">
        <v>170</v>
      </c>
      <c r="B3" s="132" t="str">
        <f>EL_A0100!B3</f>
        <v>Electrical</v>
      </c>
      <c r="C3" s="64"/>
      <c r="D3" s="167" t="s">
        <v>165</v>
      </c>
      <c r="E3" s="171" t="s">
        <v>184</v>
      </c>
      <c r="F3" s="64"/>
      <c r="G3" s="64"/>
      <c r="H3" s="64"/>
      <c r="I3" s="64"/>
      <c r="J3" s="64"/>
      <c r="K3" s="64"/>
      <c r="L3" s="64"/>
      <c r="M3" s="167" t="s">
        <v>168</v>
      </c>
      <c r="N3" s="82">
        <v>2</v>
      </c>
      <c r="O3" s="68"/>
    </row>
    <row r="4" spans="1:15">
      <c r="A4" s="167" t="s">
        <v>167</v>
      </c>
      <c r="B4" s="170" t="str">
        <f>EL_A0100!B4</f>
        <v>Rear firewall instruments and wires</v>
      </c>
      <c r="C4" s="64"/>
      <c r="D4" s="167" t="s">
        <v>163</v>
      </c>
      <c r="E4" s="64"/>
      <c r="F4" s="64"/>
      <c r="G4" s="64"/>
      <c r="H4" s="64"/>
      <c r="I4" s="64"/>
      <c r="J4" s="168" t="s">
        <v>165</v>
      </c>
      <c r="K4" s="64"/>
      <c r="L4" s="64"/>
      <c r="M4" s="64"/>
      <c r="N4" s="64"/>
      <c r="O4" s="68"/>
    </row>
    <row r="5" spans="1:15">
      <c r="A5" s="167" t="s">
        <v>158</v>
      </c>
      <c r="B5" s="134" t="s">
        <v>194</v>
      </c>
      <c r="C5" s="64"/>
      <c r="D5" s="167" t="s">
        <v>160</v>
      </c>
      <c r="E5" s="64"/>
      <c r="F5" s="64"/>
      <c r="G5" s="64"/>
      <c r="H5" s="64"/>
      <c r="I5" s="64"/>
      <c r="J5" s="168" t="s">
        <v>163</v>
      </c>
      <c r="K5" s="64"/>
      <c r="L5" s="64"/>
      <c r="M5" s="167" t="s">
        <v>162</v>
      </c>
      <c r="N5" s="73">
        <f>N3*N2</f>
        <v>1.6510453000000003</v>
      </c>
      <c r="O5" s="68"/>
    </row>
    <row r="6" spans="1:15">
      <c r="A6" s="167" t="s">
        <v>164</v>
      </c>
      <c r="B6" s="169" t="s">
        <v>339</v>
      </c>
      <c r="C6" s="64"/>
      <c r="D6" s="64"/>
      <c r="E6" s="64"/>
      <c r="F6" s="64"/>
      <c r="G6" s="64"/>
      <c r="H6" s="64"/>
      <c r="I6" s="64"/>
      <c r="J6" s="168" t="s">
        <v>160</v>
      </c>
      <c r="K6" s="64"/>
      <c r="L6" s="64"/>
      <c r="M6" s="64"/>
      <c r="N6" s="64"/>
      <c r="O6" s="68"/>
    </row>
    <row r="7" spans="1:15">
      <c r="A7" s="167" t="s">
        <v>161</v>
      </c>
      <c r="B7" s="132" t="s">
        <v>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8"/>
    </row>
    <row r="8" spans="1:15">
      <c r="A8" s="167" t="s">
        <v>159</v>
      </c>
      <c r="B8" s="13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8"/>
    </row>
    <row r="9" spans="1:15">
      <c r="A9" s="166"/>
      <c r="B9" s="165"/>
      <c r="C9" s="165"/>
      <c r="D9" s="165"/>
      <c r="E9" s="165"/>
      <c r="F9" s="64"/>
      <c r="G9" s="64"/>
      <c r="H9" s="64"/>
      <c r="I9" s="64"/>
      <c r="J9" s="64"/>
      <c r="K9" s="64"/>
      <c r="L9" s="64"/>
      <c r="M9" s="64"/>
      <c r="N9" s="64"/>
      <c r="O9" s="68"/>
    </row>
    <row r="10" spans="1:15">
      <c r="A10" s="164" t="s">
        <v>35</v>
      </c>
      <c r="B10" s="163" t="s">
        <v>156</v>
      </c>
      <c r="C10" s="163" t="s">
        <v>33</v>
      </c>
      <c r="D10" s="163" t="s">
        <v>32</v>
      </c>
      <c r="E10" s="163" t="s">
        <v>56</v>
      </c>
      <c r="F10" s="151" t="s">
        <v>55</v>
      </c>
      <c r="G10" s="151" t="s">
        <v>54</v>
      </c>
      <c r="H10" s="151" t="s">
        <v>53</v>
      </c>
      <c r="I10" s="151" t="s">
        <v>155</v>
      </c>
      <c r="J10" s="151" t="s">
        <v>154</v>
      </c>
      <c r="K10" s="151" t="s">
        <v>153</v>
      </c>
      <c r="L10" s="151" t="s">
        <v>152</v>
      </c>
      <c r="M10" s="151" t="s">
        <v>8</v>
      </c>
      <c r="N10" s="151" t="s">
        <v>25</v>
      </c>
      <c r="O10" s="68"/>
    </row>
    <row r="11" spans="1:15" s="120" customFormat="1">
      <c r="A11" s="162">
        <v>10</v>
      </c>
      <c r="B11" s="161" t="s">
        <v>182</v>
      </c>
      <c r="C11" s="159" t="s">
        <v>181</v>
      </c>
      <c r="D11" s="103">
        <v>2.25</v>
      </c>
      <c r="E11" s="160">
        <f>J11*K11*L11</f>
        <v>2.5433999999999999E-3</v>
      </c>
      <c r="F11" s="159" t="s">
        <v>180</v>
      </c>
      <c r="G11" s="159"/>
      <c r="H11" s="104"/>
      <c r="I11" s="158" t="s">
        <v>179</v>
      </c>
      <c r="J11" s="157">
        <f>12*18/1000000</f>
        <v>2.1599999999999999E-4</v>
      </c>
      <c r="K11" s="156">
        <v>1.5E-3</v>
      </c>
      <c r="L11" s="155">
        <v>7850</v>
      </c>
      <c r="M11" s="154">
        <v>1</v>
      </c>
      <c r="N11" s="103">
        <f>IF(J11="",D11*M11,D11*J11*K11*L11*M11)</f>
        <v>5.7226500000000001E-3</v>
      </c>
      <c r="O11" s="121"/>
    </row>
    <row r="12" spans="1:15">
      <c r="A12" s="72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153" t="s">
        <v>25</v>
      </c>
      <c r="N12" s="140">
        <f>SUM(N11:N11)</f>
        <v>5.7226500000000001E-3</v>
      </c>
      <c r="O12" s="68"/>
    </row>
    <row r="13" spans="1:15">
      <c r="A13" s="76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8"/>
    </row>
    <row r="14" spans="1:15">
      <c r="A14" s="152" t="s">
        <v>35</v>
      </c>
      <c r="B14" s="151" t="s">
        <v>89</v>
      </c>
      <c r="C14" s="151" t="s">
        <v>33</v>
      </c>
      <c r="D14" s="151" t="s">
        <v>32</v>
      </c>
      <c r="E14" s="151" t="s">
        <v>31</v>
      </c>
      <c r="F14" s="151" t="s">
        <v>8</v>
      </c>
      <c r="G14" s="151" t="s">
        <v>88</v>
      </c>
      <c r="H14" s="151" t="s">
        <v>87</v>
      </c>
      <c r="I14" s="151" t="s">
        <v>25</v>
      </c>
      <c r="J14" s="69"/>
      <c r="K14" s="69"/>
      <c r="L14" s="69"/>
      <c r="M14" s="69"/>
      <c r="N14" s="69"/>
      <c r="O14" s="68"/>
    </row>
    <row r="15" spans="1:15" s="120" customFormat="1">
      <c r="A15" s="281">
        <v>10</v>
      </c>
      <c r="B15" s="282" t="s">
        <v>178</v>
      </c>
      <c r="C15" s="283" t="s">
        <v>177</v>
      </c>
      <c r="D15" s="103">
        <v>1.3</v>
      </c>
      <c r="E15" s="282" t="s">
        <v>36</v>
      </c>
      <c r="F15" s="283">
        <v>1</v>
      </c>
      <c r="G15" s="215" t="s">
        <v>176</v>
      </c>
      <c r="H15" s="215">
        <v>0.5</v>
      </c>
      <c r="I15" s="285">
        <f>IF(H15="",D15*F15,D15*F15*H15)</f>
        <v>0.65</v>
      </c>
      <c r="J15" s="286"/>
      <c r="K15" s="286"/>
      <c r="L15" s="286"/>
      <c r="M15" s="286"/>
      <c r="N15" s="286"/>
      <c r="O15" s="121"/>
    </row>
    <row r="16" spans="1:15">
      <c r="A16" s="145">
        <v>20</v>
      </c>
      <c r="B16" s="143" t="s">
        <v>175</v>
      </c>
      <c r="C16" s="107" t="s">
        <v>174</v>
      </c>
      <c r="D16" s="103">
        <v>0.01</v>
      </c>
      <c r="E16" s="107" t="s">
        <v>62</v>
      </c>
      <c r="F16" s="144">
        <v>5.66</v>
      </c>
      <c r="G16" s="143" t="s">
        <v>173</v>
      </c>
      <c r="H16" s="142">
        <v>3</v>
      </c>
      <c r="I16" s="103">
        <f>IF(H16="",D16*F16,D16*F16*H16)</f>
        <v>0.16980000000000001</v>
      </c>
      <c r="J16" s="64"/>
      <c r="K16" s="64"/>
      <c r="L16" s="64"/>
      <c r="M16" s="64"/>
      <c r="N16" s="64"/>
      <c r="O16" s="68"/>
    </row>
    <row r="17" spans="1:15">
      <c r="A17" s="72"/>
      <c r="B17" s="69"/>
      <c r="C17" s="69"/>
      <c r="D17" s="69"/>
      <c r="E17" s="69"/>
      <c r="F17" s="69"/>
      <c r="G17" s="69"/>
      <c r="H17" s="141" t="s">
        <v>25</v>
      </c>
      <c r="I17" s="140">
        <f>SUM(I15:I16)</f>
        <v>0.81980000000000008</v>
      </c>
      <c r="J17" s="69"/>
      <c r="K17" s="69"/>
      <c r="L17" s="69"/>
      <c r="M17" s="69"/>
      <c r="N17" s="69"/>
      <c r="O17" s="68"/>
    </row>
    <row r="18" spans="1:15">
      <c r="A18" s="76"/>
      <c r="B18" s="64"/>
      <c r="C18" s="64"/>
      <c r="D18" s="64"/>
      <c r="E18" s="64"/>
      <c r="F18" s="64"/>
      <c r="G18" s="64"/>
      <c r="H18" s="64"/>
      <c r="I18" s="81"/>
      <c r="J18" s="64"/>
      <c r="K18" s="64"/>
      <c r="L18" s="64"/>
      <c r="M18" s="64"/>
      <c r="N18" s="64"/>
      <c r="O18" s="68"/>
    </row>
    <row r="19" spans="1:15" ht="15.75" thickBot="1">
      <c r="A19" s="67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5"/>
    </row>
  </sheetData>
  <hyperlinks>
    <hyperlink ref="B4" location="EL_A0001" display="EL_A0001" xr:uid="{00000000-0004-0000-0B00-000000000000}"/>
    <hyperlink ref="E3" location="dEL_01005" display="Drawing" xr:uid="{00000000-0004-0000-0B00-000001000000}"/>
    <hyperlink ref="B6" location="EL_A0001!A1" display="EL_01005" xr:uid="{00000000-0004-0000-0B00-000002000000}"/>
    <hyperlink ref="G2" location="EL_A0001_BOM" display="Back to BOM" xr:uid="{015B1095-4A90-4A7B-9C35-2AF9AFCBD76F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0EC6-19FC-401C-AC42-7B5EF19E2227}">
  <sheetPr>
    <tabColor theme="9" tint="0.39991454817346722"/>
    <pageSetUpPr fitToPage="1"/>
  </sheetPr>
  <dimension ref="A1:B1"/>
  <sheetViews>
    <sheetView topLeftCell="A4" zoomScale="115" zoomScaleNormal="115" workbookViewId="0">
      <selection activeCell="B1" sqref="B1"/>
    </sheetView>
  </sheetViews>
  <sheetFormatPr baseColWidth="10" defaultColWidth="9" defaultRowHeight="15"/>
  <cols>
    <col min="1" max="1" width="14" style="63" customWidth="1"/>
    <col min="2" max="16384" width="9" style="63"/>
  </cols>
  <sheetData>
    <row r="1" spans="1:2">
      <c r="A1" s="171" t="s">
        <v>185</v>
      </c>
      <c r="B1" s="171" t="str">
        <f>EL_01005</f>
        <v>EL 01005</v>
      </c>
    </row>
  </sheetData>
  <hyperlinks>
    <hyperlink ref="B1" location="EL_01001" display="=EL_01005" xr:uid="{00000000-0004-0000-0C00-000000000000}"/>
    <hyperlink ref="A1" location="EL_01001" display="Drawing part :" xr:uid="{00000000-0004-0000-0C00-000001000000}"/>
    <hyperlink ref="A1:B1" location="EL_01005" display="Drawing part :" xr:uid="{00000000-0004-0000-0C00-000002000000}"/>
  </hyperlinks>
  <pageMargins left="0.69930555555555596" right="0.69930555555555596" top="0.75" bottom="0.75" header="0.3" footer="0.3"/>
  <pageSetup paperSize="9" fitToHeight="0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E218A-D6AE-4037-BAE4-450B203490A4}">
  <sheetPr>
    <tabColor theme="9" tint="0.39991454817346722"/>
    <pageSetUpPr fitToPage="1"/>
  </sheetPr>
  <dimension ref="A1:O19"/>
  <sheetViews>
    <sheetView zoomScale="85" zoomScaleNormal="85" workbookViewId="0">
      <selection activeCell="I24" sqref="I24"/>
    </sheetView>
  </sheetViews>
  <sheetFormatPr baseColWidth="10" defaultColWidth="9.140625" defaultRowHeight="15"/>
  <cols>
    <col min="1" max="1" width="9.140625" style="63"/>
    <col min="2" max="2" width="35.140625" style="63" customWidth="1"/>
    <col min="3" max="3" width="21.42578125" style="63" customWidth="1"/>
    <col min="4" max="6" width="9.140625" style="63"/>
    <col min="7" max="7" width="15.7109375" style="63" customWidth="1"/>
    <col min="8" max="8" width="9.140625" style="63"/>
    <col min="9" max="9" width="11.85546875" style="63" customWidth="1"/>
    <col min="10" max="12" width="9.140625" style="63"/>
    <col min="13" max="13" width="12.85546875" style="63" customWidth="1"/>
    <col min="14" max="14" width="9.140625" style="63"/>
    <col min="15" max="15" width="3.140625" style="63" customWidth="1"/>
    <col min="16" max="16384" width="9.140625" style="63"/>
  </cols>
  <sheetData>
    <row r="1" spans="1:15">
      <c r="A1" s="139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7"/>
    </row>
    <row r="2" spans="1:15">
      <c r="A2" s="167" t="s">
        <v>24</v>
      </c>
      <c r="B2" s="132" t="s">
        <v>23</v>
      </c>
      <c r="C2" s="64"/>
      <c r="D2" s="64"/>
      <c r="E2" s="64"/>
      <c r="F2" s="64"/>
      <c r="G2" s="170" t="s">
        <v>172</v>
      </c>
      <c r="H2" s="64"/>
      <c r="I2" s="64"/>
      <c r="J2" s="172" t="s">
        <v>18</v>
      </c>
      <c r="K2" s="136">
        <v>81</v>
      </c>
      <c r="L2" s="64"/>
      <c r="M2" s="167" t="s">
        <v>157</v>
      </c>
      <c r="N2" s="73">
        <f>EL_01006_m+EL_01006_p</f>
        <v>2.0872411375</v>
      </c>
      <c r="O2" s="68"/>
    </row>
    <row r="3" spans="1:15">
      <c r="A3" s="167" t="s">
        <v>170</v>
      </c>
      <c r="B3" s="132" t="str">
        <f>EL_A0100!B3</f>
        <v>Electrical</v>
      </c>
      <c r="C3" s="64"/>
      <c r="D3" s="167" t="s">
        <v>165</v>
      </c>
      <c r="E3" s="171" t="s">
        <v>184</v>
      </c>
      <c r="F3" s="64"/>
      <c r="G3" s="64"/>
      <c r="H3" s="64"/>
      <c r="I3" s="64"/>
      <c r="J3" s="64"/>
      <c r="K3" s="64"/>
      <c r="L3" s="64"/>
      <c r="M3" s="167" t="s">
        <v>168</v>
      </c>
      <c r="N3" s="82">
        <v>1</v>
      </c>
      <c r="O3" s="68"/>
    </row>
    <row r="4" spans="1:15">
      <c r="A4" s="167" t="s">
        <v>167</v>
      </c>
      <c r="B4" s="170" t="str">
        <f>EL_A0100!B4</f>
        <v>Rear firewall instruments and wires</v>
      </c>
      <c r="C4" s="64"/>
      <c r="D4" s="167" t="s">
        <v>163</v>
      </c>
      <c r="E4" s="64"/>
      <c r="F4" s="64"/>
      <c r="G4" s="64"/>
      <c r="H4" s="64"/>
      <c r="I4" s="64"/>
      <c r="J4" s="168" t="s">
        <v>165</v>
      </c>
      <c r="K4" s="64"/>
      <c r="L4" s="64"/>
      <c r="M4" s="64"/>
      <c r="N4" s="64"/>
      <c r="O4" s="68"/>
    </row>
    <row r="5" spans="1:15">
      <c r="A5" s="167" t="s">
        <v>158</v>
      </c>
      <c r="B5" s="134" t="s">
        <v>195</v>
      </c>
      <c r="C5" s="64"/>
      <c r="D5" s="167" t="s">
        <v>160</v>
      </c>
      <c r="E5" s="64"/>
      <c r="F5" s="64"/>
      <c r="G5" s="64"/>
      <c r="H5" s="64"/>
      <c r="I5" s="64"/>
      <c r="J5" s="168" t="s">
        <v>163</v>
      </c>
      <c r="K5" s="64"/>
      <c r="L5" s="64"/>
      <c r="M5" s="167" t="s">
        <v>162</v>
      </c>
      <c r="N5" s="73">
        <f>N3*N2</f>
        <v>2.0872411375</v>
      </c>
      <c r="O5" s="68"/>
    </row>
    <row r="6" spans="1:15">
      <c r="A6" s="167" t="s">
        <v>164</v>
      </c>
      <c r="B6" s="169" t="s">
        <v>340</v>
      </c>
      <c r="C6" s="64"/>
      <c r="D6" s="64"/>
      <c r="E6" s="64"/>
      <c r="F6" s="64"/>
      <c r="G6" s="64"/>
      <c r="H6" s="64"/>
      <c r="I6" s="64"/>
      <c r="J6" s="168" t="s">
        <v>160</v>
      </c>
      <c r="K6" s="64"/>
      <c r="L6" s="64"/>
      <c r="M6" s="64"/>
      <c r="N6" s="64"/>
      <c r="O6" s="68"/>
    </row>
    <row r="7" spans="1:15">
      <c r="A7" s="167" t="s">
        <v>161</v>
      </c>
      <c r="B7" s="132" t="s">
        <v>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8"/>
    </row>
    <row r="8" spans="1:15">
      <c r="A8" s="167" t="s">
        <v>159</v>
      </c>
      <c r="B8" s="13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8"/>
    </row>
    <row r="9" spans="1:15">
      <c r="A9" s="166"/>
      <c r="B9" s="165"/>
      <c r="C9" s="165"/>
      <c r="D9" s="165"/>
      <c r="E9" s="165"/>
      <c r="F9" s="64"/>
      <c r="G9" s="64"/>
      <c r="H9" s="64"/>
      <c r="I9" s="64"/>
      <c r="J9" s="64"/>
      <c r="K9" s="64"/>
      <c r="L9" s="64"/>
      <c r="M9" s="64"/>
      <c r="N9" s="64"/>
      <c r="O9" s="68"/>
    </row>
    <row r="10" spans="1:15">
      <c r="A10" s="164" t="s">
        <v>35</v>
      </c>
      <c r="B10" s="163" t="s">
        <v>156</v>
      </c>
      <c r="C10" s="163" t="s">
        <v>33</v>
      </c>
      <c r="D10" s="163" t="s">
        <v>32</v>
      </c>
      <c r="E10" s="163" t="s">
        <v>56</v>
      </c>
      <c r="F10" s="151" t="s">
        <v>55</v>
      </c>
      <c r="G10" s="151" t="s">
        <v>54</v>
      </c>
      <c r="H10" s="151" t="s">
        <v>53</v>
      </c>
      <c r="I10" s="151" t="s">
        <v>155</v>
      </c>
      <c r="J10" s="151" t="s">
        <v>154</v>
      </c>
      <c r="K10" s="151" t="s">
        <v>153</v>
      </c>
      <c r="L10" s="151" t="s">
        <v>152</v>
      </c>
      <c r="M10" s="151" t="s">
        <v>8</v>
      </c>
      <c r="N10" s="151" t="s">
        <v>25</v>
      </c>
      <c r="O10" s="68"/>
    </row>
    <row r="11" spans="1:15" s="120" customFormat="1">
      <c r="A11" s="162">
        <v>10</v>
      </c>
      <c r="B11" s="161" t="s">
        <v>182</v>
      </c>
      <c r="C11" s="159" t="s">
        <v>181</v>
      </c>
      <c r="D11" s="103">
        <v>2.25</v>
      </c>
      <c r="E11" s="175">
        <f>J11*K11*L11</f>
        <v>2.9884949999999997E-2</v>
      </c>
      <c r="F11" s="159" t="s">
        <v>180</v>
      </c>
      <c r="G11" s="159"/>
      <c r="H11" s="104"/>
      <c r="I11" s="158" t="s">
        <v>179</v>
      </c>
      <c r="J11" s="157">
        <f>94*27/1000000</f>
        <v>2.5379999999999999E-3</v>
      </c>
      <c r="K11" s="156">
        <v>1.5E-3</v>
      </c>
      <c r="L11" s="155">
        <v>7850</v>
      </c>
      <c r="M11" s="154">
        <v>1</v>
      </c>
      <c r="N11" s="103">
        <f>IF(J11="",D11*M11,D11*J11*K11*L11*M11)</f>
        <v>6.7241137500000006E-2</v>
      </c>
      <c r="O11" s="121"/>
    </row>
    <row r="12" spans="1:15">
      <c r="A12" s="72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153" t="s">
        <v>25</v>
      </c>
      <c r="N12" s="140">
        <f>SUM(N11:N11)</f>
        <v>6.7241137500000006E-2</v>
      </c>
      <c r="O12" s="68"/>
    </row>
    <row r="13" spans="1:15">
      <c r="A13" s="76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8"/>
    </row>
    <row r="14" spans="1:15">
      <c r="A14" s="152" t="s">
        <v>35</v>
      </c>
      <c r="B14" s="151" t="s">
        <v>89</v>
      </c>
      <c r="C14" s="151" t="s">
        <v>33</v>
      </c>
      <c r="D14" s="151" t="s">
        <v>32</v>
      </c>
      <c r="E14" s="151" t="s">
        <v>31</v>
      </c>
      <c r="F14" s="151" t="s">
        <v>8</v>
      </c>
      <c r="G14" s="151" t="s">
        <v>88</v>
      </c>
      <c r="H14" s="151" t="s">
        <v>87</v>
      </c>
      <c r="I14" s="151" t="s">
        <v>25</v>
      </c>
      <c r="J14" s="69"/>
      <c r="K14" s="69"/>
      <c r="L14" s="69"/>
      <c r="M14" s="69"/>
      <c r="N14" s="69"/>
      <c r="O14" s="68"/>
    </row>
    <row r="15" spans="1:15" s="92" customFormat="1">
      <c r="A15" s="150">
        <v>10</v>
      </c>
      <c r="B15" s="143" t="s">
        <v>178</v>
      </c>
      <c r="C15" s="148" t="s">
        <v>177</v>
      </c>
      <c r="D15" s="149">
        <v>1.3</v>
      </c>
      <c r="E15" s="143" t="s">
        <v>36</v>
      </c>
      <c r="F15" s="148">
        <v>1</v>
      </c>
      <c r="G15" s="147"/>
      <c r="H15" s="147"/>
      <c r="I15" s="146">
        <f>IF(H15="",D15*F15,D15*F15*H15)</f>
        <v>1.3</v>
      </c>
      <c r="J15" s="87"/>
      <c r="K15" s="87"/>
      <c r="L15" s="87"/>
      <c r="M15" s="87"/>
      <c r="N15" s="87"/>
      <c r="O15" s="93"/>
    </row>
    <row r="16" spans="1:15" s="92" customFormat="1">
      <c r="A16" s="278">
        <v>20</v>
      </c>
      <c r="B16" s="143" t="s">
        <v>175</v>
      </c>
      <c r="C16" s="279" t="s">
        <v>174</v>
      </c>
      <c r="D16" s="149">
        <v>0.01</v>
      </c>
      <c r="E16" s="279" t="s">
        <v>62</v>
      </c>
      <c r="F16" s="280">
        <v>24</v>
      </c>
      <c r="G16" s="143" t="s">
        <v>173</v>
      </c>
      <c r="H16" s="148">
        <v>3</v>
      </c>
      <c r="I16" s="149">
        <f>IF(H16="",D16*F16,D16*F16*H16)</f>
        <v>0.72</v>
      </c>
      <c r="J16" s="87"/>
      <c r="K16" s="87"/>
      <c r="L16" s="87"/>
      <c r="M16" s="87"/>
      <c r="N16" s="87"/>
      <c r="O16" s="93"/>
    </row>
    <row r="17" spans="1:15">
      <c r="A17" s="72"/>
      <c r="B17" s="69"/>
      <c r="C17" s="69"/>
      <c r="D17" s="69"/>
      <c r="E17" s="69"/>
      <c r="F17" s="69"/>
      <c r="G17" s="69"/>
      <c r="H17" s="141" t="s">
        <v>25</v>
      </c>
      <c r="I17" s="140">
        <f>SUM(I15:I16)</f>
        <v>2.02</v>
      </c>
      <c r="J17" s="69"/>
      <c r="K17" s="69"/>
      <c r="L17" s="69"/>
      <c r="M17" s="69"/>
      <c r="N17" s="69"/>
      <c r="O17" s="68"/>
    </row>
    <row r="18" spans="1:15">
      <c r="A18" s="76"/>
      <c r="B18" s="64"/>
      <c r="C18" s="64"/>
      <c r="D18" s="64"/>
      <c r="E18" s="64"/>
      <c r="F18" s="64"/>
      <c r="G18" s="64"/>
      <c r="H18" s="64"/>
      <c r="I18" s="81"/>
      <c r="J18" s="64"/>
      <c r="K18" s="64"/>
      <c r="L18" s="64"/>
      <c r="M18" s="64"/>
      <c r="N18" s="64"/>
      <c r="O18" s="68"/>
    </row>
    <row r="19" spans="1:15" ht="15.75" thickBot="1">
      <c r="A19" s="67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5"/>
    </row>
  </sheetData>
  <hyperlinks>
    <hyperlink ref="B4" location="EL_A0001" display="=EL_A0100!B4" xr:uid="{00000000-0004-0000-0D00-000000000000}"/>
    <hyperlink ref="E3" location="dEL_01006!A1" display="Drawing" xr:uid="{00000000-0004-0000-0D00-000001000000}"/>
    <hyperlink ref="B6" location="EL_A0001!A1" display="EL_01006" xr:uid="{00000000-0004-0000-0D00-000002000000}"/>
    <hyperlink ref="G2" location="EL_A0001_BOM" display="Back to BOM" xr:uid="{A84AB46A-3815-465C-9329-78C713BBD50A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9E785-86C3-4ABD-8516-82F89D5A2B95}">
  <sheetPr>
    <tabColor theme="9" tint="0.39991454817346722"/>
    <pageSetUpPr fitToPage="1"/>
  </sheetPr>
  <dimension ref="A1:B1"/>
  <sheetViews>
    <sheetView zoomScale="115" zoomScaleNormal="115" workbookViewId="0"/>
  </sheetViews>
  <sheetFormatPr baseColWidth="10" defaultColWidth="9" defaultRowHeight="15"/>
  <cols>
    <col min="1" max="1" width="14" style="63" customWidth="1"/>
    <col min="2" max="16384" width="9" style="63"/>
  </cols>
  <sheetData>
    <row r="1" spans="1:2">
      <c r="A1" s="171" t="s">
        <v>185</v>
      </c>
      <c r="B1" s="171" t="str">
        <f>EL_01006</f>
        <v>EL 01006</v>
      </c>
    </row>
  </sheetData>
  <hyperlinks>
    <hyperlink ref="B1" location="EL_01001" display="=EL_01006" xr:uid="{00000000-0004-0000-0E00-000000000000}"/>
    <hyperlink ref="A1" location="EL_01001" display="Drawing part :" xr:uid="{00000000-0004-0000-0E00-000001000000}"/>
    <hyperlink ref="A1:B1" location="EL_01006" display="Drawing part :" xr:uid="{00000000-0004-0000-0E00-000002000000}"/>
  </hyperlinks>
  <pageMargins left="0.69930555555555596" right="0.69930555555555596" top="0.75" bottom="0.75" header="0.3" footer="0.3"/>
  <pageSetup paperSize="9" fitToHeight="0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ADA5D-D6FD-43E5-9D6A-1E11C60257C4}">
  <sheetPr>
    <tabColor theme="9"/>
    <pageSetUpPr fitToPage="1"/>
  </sheetPr>
  <dimension ref="A1:O67"/>
  <sheetViews>
    <sheetView topLeftCell="A5" zoomScale="85" zoomScaleNormal="85" workbookViewId="0">
      <selection activeCell="B5" sqref="B5"/>
    </sheetView>
  </sheetViews>
  <sheetFormatPr baseColWidth="10" defaultColWidth="9.140625" defaultRowHeight="15"/>
  <cols>
    <col min="1" max="1" width="9.85546875" style="120" customWidth="1"/>
    <col min="2" max="2" width="33" style="120" customWidth="1"/>
    <col min="3" max="3" width="30" style="120" customWidth="1"/>
    <col min="4" max="6" width="9.140625" style="120"/>
    <col min="7" max="7" width="9.85546875" style="120" customWidth="1"/>
    <col min="8" max="10" width="9.140625" style="120"/>
    <col min="11" max="11" width="6.28515625" style="120" customWidth="1"/>
    <col min="12" max="12" width="9.140625" style="120"/>
    <col min="13" max="13" width="12.7109375" style="120" customWidth="1"/>
    <col min="14" max="14" width="11.5703125" style="120" customWidth="1"/>
    <col min="15" max="15" width="5.28515625" style="120" customWidth="1"/>
    <col min="16" max="16384" width="9.140625" style="120"/>
  </cols>
  <sheetData>
    <row r="1" spans="1:15">
      <c r="A1" s="288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90"/>
    </row>
    <row r="2" spans="1:15">
      <c r="A2" s="291" t="s">
        <v>24</v>
      </c>
      <c r="B2" s="292" t="s">
        <v>23</v>
      </c>
      <c r="C2" s="286"/>
      <c r="D2" s="286"/>
      <c r="E2" s="293" t="s">
        <v>172</v>
      </c>
      <c r="F2" s="286"/>
      <c r="G2" s="286"/>
      <c r="H2" s="286"/>
      <c r="I2" s="286"/>
      <c r="J2" s="291" t="s">
        <v>18</v>
      </c>
      <c r="K2" s="136">
        <v>81</v>
      </c>
      <c r="L2" s="286"/>
      <c r="M2" s="291" t="s">
        <v>171</v>
      </c>
      <c r="N2" s="135">
        <f>EL_A0002_pa+EL_A0002_m+EL_A0002_p+EL_A0002_f+EL_A0002_t</f>
        <v>512.5116658958334</v>
      </c>
      <c r="O2" s="121"/>
    </row>
    <row r="3" spans="1:15">
      <c r="A3" s="291" t="s">
        <v>170</v>
      </c>
      <c r="B3" s="292" t="s">
        <v>169</v>
      </c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91" t="s">
        <v>168</v>
      </c>
      <c r="N3" s="82">
        <v>1</v>
      </c>
      <c r="O3" s="121"/>
    </row>
    <row r="4" spans="1:15">
      <c r="A4" s="291" t="s">
        <v>167</v>
      </c>
      <c r="B4" s="294" t="s">
        <v>239</v>
      </c>
      <c r="C4" s="286"/>
      <c r="D4" s="286"/>
      <c r="E4" s="286"/>
      <c r="F4" s="286"/>
      <c r="G4" s="286"/>
      <c r="H4" s="286"/>
      <c r="I4" s="286"/>
      <c r="J4" s="295" t="s">
        <v>165</v>
      </c>
      <c r="K4" s="286"/>
      <c r="L4" s="286"/>
      <c r="M4" s="286"/>
      <c r="N4" s="286"/>
      <c r="O4" s="121"/>
    </row>
    <row r="5" spans="1:15">
      <c r="A5" s="291" t="s">
        <v>164</v>
      </c>
      <c r="B5" s="134" t="s">
        <v>238</v>
      </c>
      <c r="C5" s="286"/>
      <c r="D5" s="286"/>
      <c r="E5" s="286"/>
      <c r="F5" s="286"/>
      <c r="G5" s="286"/>
      <c r="H5" s="286"/>
      <c r="I5" s="286"/>
      <c r="J5" s="295" t="s">
        <v>163</v>
      </c>
      <c r="K5" s="286"/>
      <c r="L5" s="286"/>
      <c r="M5" s="291" t="s">
        <v>162</v>
      </c>
      <c r="N5" s="73">
        <f>N2*N3</f>
        <v>512.5116658958334</v>
      </c>
      <c r="O5" s="121"/>
    </row>
    <row r="6" spans="1:15">
      <c r="A6" s="291" t="s">
        <v>161</v>
      </c>
      <c r="B6" s="292" t="s">
        <v>1</v>
      </c>
      <c r="C6" s="286"/>
      <c r="D6" s="286"/>
      <c r="E6" s="286"/>
      <c r="F6" s="286"/>
      <c r="G6" s="286"/>
      <c r="H6" s="286"/>
      <c r="I6" s="286"/>
      <c r="J6" s="295" t="s">
        <v>160</v>
      </c>
      <c r="K6" s="286"/>
      <c r="L6" s="286"/>
      <c r="M6" s="286"/>
      <c r="N6" s="286"/>
      <c r="O6" s="121"/>
    </row>
    <row r="7" spans="1:15">
      <c r="A7" s="291" t="s">
        <v>159</v>
      </c>
      <c r="B7" s="292" t="s">
        <v>237</v>
      </c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121"/>
    </row>
    <row r="8" spans="1:15">
      <c r="A8" s="296"/>
      <c r="B8" s="286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121"/>
    </row>
    <row r="9" spans="1:15">
      <c r="A9" s="291" t="s">
        <v>35</v>
      </c>
      <c r="B9" s="291" t="s">
        <v>158</v>
      </c>
      <c r="C9" s="291" t="s">
        <v>157</v>
      </c>
      <c r="D9" s="291" t="s">
        <v>8</v>
      </c>
      <c r="E9" s="291" t="s">
        <v>25</v>
      </c>
      <c r="F9" s="286"/>
      <c r="G9" s="286"/>
      <c r="H9" s="286"/>
      <c r="I9" s="286"/>
      <c r="J9" s="286"/>
      <c r="K9" s="286"/>
      <c r="L9" s="286"/>
      <c r="M9" s="286"/>
      <c r="N9" s="286"/>
      <c r="O9" s="121"/>
    </row>
    <row r="10" spans="1:15">
      <c r="A10" s="125">
        <v>10</v>
      </c>
      <c r="B10" s="130" t="str">
        <f>'EL 02001'!B5</f>
        <v>Dashboard</v>
      </c>
      <c r="C10" s="73">
        <f>'EL 02001'!N2</f>
        <v>114.068</v>
      </c>
      <c r="D10" s="297">
        <f>EL_02001_q</f>
        <v>1</v>
      </c>
      <c r="E10" s="73">
        <f>C10*D10</f>
        <v>114.068</v>
      </c>
      <c r="F10" s="286"/>
      <c r="G10" s="286"/>
      <c r="H10" s="286"/>
      <c r="I10" s="286"/>
      <c r="J10" s="286"/>
      <c r="K10" s="286"/>
      <c r="L10" s="286"/>
      <c r="M10" s="286"/>
      <c r="N10" s="286"/>
      <c r="O10" s="121"/>
    </row>
    <row r="11" spans="1:15">
      <c r="A11" s="125">
        <v>20</v>
      </c>
      <c r="B11" s="277" t="str">
        <f>'EL 02002'!B5</f>
        <v>Dashboard control electronics</v>
      </c>
      <c r="C11" s="73">
        <f>'EL 02002'!N2</f>
        <v>234.70000000000002</v>
      </c>
      <c r="D11" s="297">
        <f>EL_02002_q</f>
        <v>1</v>
      </c>
      <c r="E11" s="73">
        <f>C11*D11</f>
        <v>234.70000000000002</v>
      </c>
      <c r="F11" s="294"/>
      <c r="G11" s="294"/>
      <c r="H11" s="294"/>
      <c r="I11" s="294"/>
      <c r="J11" s="294"/>
      <c r="K11" s="294"/>
      <c r="L11" s="294"/>
      <c r="M11" s="294"/>
      <c r="N11" s="294"/>
      <c r="O11" s="121"/>
    </row>
    <row r="12" spans="1:15">
      <c r="A12" s="125">
        <v>30</v>
      </c>
      <c r="B12" s="277" t="str">
        <f>'EL 02003'!B5</f>
        <v>Dashboard Tap</v>
      </c>
      <c r="C12" s="73">
        <f>'EL 02003'!N2</f>
        <v>1.8539999999999999</v>
      </c>
      <c r="D12" s="297">
        <f>EL_02003_q</f>
        <v>1</v>
      </c>
      <c r="E12" s="73">
        <f>C12*D12</f>
        <v>1.8539999999999999</v>
      </c>
      <c r="F12" s="294"/>
      <c r="G12" s="294"/>
      <c r="H12" s="294"/>
      <c r="I12" s="294"/>
      <c r="J12" s="294"/>
      <c r="K12" s="294"/>
      <c r="L12" s="294"/>
      <c r="M12" s="294"/>
      <c r="N12" s="294"/>
      <c r="O12" s="129"/>
    </row>
    <row r="13" spans="1:15" s="298" customFormat="1">
      <c r="A13" s="125">
        <v>40</v>
      </c>
      <c r="B13" s="130" t="str">
        <f>EL_02004!B5</f>
        <v>Ground bracket</v>
      </c>
      <c r="C13" s="73">
        <f>EL_02004!N2</f>
        <v>0.54649961458333329</v>
      </c>
      <c r="D13" s="297">
        <f>EL_02004_q</f>
        <v>2</v>
      </c>
      <c r="E13" s="73">
        <f>C13*D13</f>
        <v>1.0929992291666666</v>
      </c>
      <c r="F13" s="294"/>
      <c r="G13" s="294"/>
      <c r="H13" s="294"/>
      <c r="I13" s="294"/>
      <c r="J13" s="294"/>
      <c r="K13" s="294"/>
      <c r="L13" s="294"/>
      <c r="M13" s="294"/>
      <c r="N13" s="294"/>
      <c r="O13" s="129"/>
    </row>
    <row r="14" spans="1:15">
      <c r="A14" s="296"/>
      <c r="B14" s="286"/>
      <c r="C14" s="286"/>
      <c r="D14" s="184" t="s">
        <v>25</v>
      </c>
      <c r="E14" s="299">
        <f>SUM(E10:E13)</f>
        <v>351.71499922916666</v>
      </c>
      <c r="F14" s="294"/>
      <c r="G14" s="294"/>
      <c r="H14" s="294"/>
      <c r="I14" s="294"/>
      <c r="J14" s="294"/>
      <c r="K14" s="294"/>
      <c r="L14" s="294"/>
      <c r="M14" s="294"/>
      <c r="N14" s="294"/>
      <c r="O14" s="121"/>
    </row>
    <row r="15" spans="1:15">
      <c r="A15" s="296"/>
      <c r="B15" s="286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6"/>
      <c r="N15" s="286"/>
      <c r="O15" s="121"/>
    </row>
    <row r="16" spans="1:15">
      <c r="A16" s="291" t="s">
        <v>35</v>
      </c>
      <c r="B16" s="291" t="s">
        <v>156</v>
      </c>
      <c r="C16" s="291" t="s">
        <v>33</v>
      </c>
      <c r="D16" s="291" t="s">
        <v>32</v>
      </c>
      <c r="E16" s="291" t="s">
        <v>56</v>
      </c>
      <c r="F16" s="291" t="s">
        <v>55</v>
      </c>
      <c r="G16" s="291" t="s">
        <v>54</v>
      </c>
      <c r="H16" s="291" t="s">
        <v>53</v>
      </c>
      <c r="I16" s="291" t="s">
        <v>155</v>
      </c>
      <c r="J16" s="291" t="s">
        <v>154</v>
      </c>
      <c r="K16" s="291" t="s">
        <v>153</v>
      </c>
      <c r="L16" s="291" t="s">
        <v>152</v>
      </c>
      <c r="M16" s="291" t="s">
        <v>8</v>
      </c>
      <c r="N16" s="291" t="s">
        <v>25</v>
      </c>
      <c r="O16" s="121"/>
    </row>
    <row r="17" spans="1:15">
      <c r="A17" s="162">
        <v>10</v>
      </c>
      <c r="B17" s="161" t="s">
        <v>228</v>
      </c>
      <c r="C17" s="159" t="s">
        <v>236</v>
      </c>
      <c r="D17" s="103">
        <v>0.5</v>
      </c>
      <c r="E17" s="159">
        <v>1</v>
      </c>
      <c r="F17" s="159" t="s">
        <v>36</v>
      </c>
      <c r="G17" s="159"/>
      <c r="H17" s="104"/>
      <c r="I17" s="158"/>
      <c r="J17" s="157"/>
      <c r="K17" s="156"/>
      <c r="L17" s="177"/>
      <c r="M17" s="106">
        <v>10</v>
      </c>
      <c r="N17" s="103">
        <f>IF(J17="",D17*M17,D17*J17*K17*L17*M17)</f>
        <v>5</v>
      </c>
      <c r="O17" s="121"/>
    </row>
    <row r="18" spans="1:15">
      <c r="A18" s="162">
        <v>20</v>
      </c>
      <c r="B18" s="300" t="s">
        <v>234</v>
      </c>
      <c r="C18" s="159" t="s">
        <v>235</v>
      </c>
      <c r="D18" s="103">
        <v>1</v>
      </c>
      <c r="E18" s="159">
        <v>1</v>
      </c>
      <c r="F18" s="159" t="s">
        <v>36</v>
      </c>
      <c r="G18" s="159"/>
      <c r="H18" s="104"/>
      <c r="I18" s="158"/>
      <c r="J18" s="157"/>
      <c r="K18" s="156"/>
      <c r="L18" s="177"/>
      <c r="M18" s="106">
        <v>3</v>
      </c>
      <c r="N18" s="103">
        <f>IF(J18="",D18*M18,D18*J18*K18*L18*M18)</f>
        <v>3</v>
      </c>
      <c r="O18" s="121"/>
    </row>
    <row r="19" spans="1:15">
      <c r="A19" s="162">
        <v>30</v>
      </c>
      <c r="B19" s="300" t="s">
        <v>234</v>
      </c>
      <c r="C19" s="159" t="s">
        <v>233</v>
      </c>
      <c r="D19" s="103">
        <v>1</v>
      </c>
      <c r="E19" s="159">
        <v>1</v>
      </c>
      <c r="F19" s="159" t="s">
        <v>36</v>
      </c>
      <c r="G19" s="159"/>
      <c r="H19" s="104"/>
      <c r="I19" s="158"/>
      <c r="J19" s="157"/>
      <c r="K19" s="156"/>
      <c r="L19" s="177"/>
      <c r="M19" s="106">
        <v>1</v>
      </c>
      <c r="N19" s="103">
        <f>IF(J19="",D19*M19,D19*J19*K19*L19*M19)</f>
        <v>1</v>
      </c>
      <c r="O19" s="121"/>
    </row>
    <row r="20" spans="1:15">
      <c r="A20" s="162">
        <v>40</v>
      </c>
      <c r="B20" s="161" t="s">
        <v>228</v>
      </c>
      <c r="C20" s="159" t="s">
        <v>232</v>
      </c>
      <c r="D20" s="103">
        <v>1</v>
      </c>
      <c r="E20" s="159">
        <v>1</v>
      </c>
      <c r="F20" s="159" t="s">
        <v>36</v>
      </c>
      <c r="G20" s="159"/>
      <c r="H20" s="104"/>
      <c r="I20" s="158"/>
      <c r="J20" s="157"/>
      <c r="K20" s="156"/>
      <c r="L20" s="177"/>
      <c r="M20" s="106">
        <v>1</v>
      </c>
      <c r="N20" s="103">
        <f>IF(J20="",D20*M20,D20*J20*K20*L20*M20)</f>
        <v>1</v>
      </c>
      <c r="O20" s="121"/>
    </row>
    <row r="21" spans="1:15">
      <c r="A21" s="162">
        <v>50</v>
      </c>
      <c r="B21" s="161" t="s">
        <v>228</v>
      </c>
      <c r="C21" s="159" t="s">
        <v>231</v>
      </c>
      <c r="D21" s="103">
        <v>1</v>
      </c>
      <c r="E21" s="159">
        <v>1</v>
      </c>
      <c r="F21" s="159" t="s">
        <v>36</v>
      </c>
      <c r="G21" s="159"/>
      <c r="H21" s="104"/>
      <c r="I21" s="158"/>
      <c r="J21" s="157"/>
      <c r="K21" s="156"/>
      <c r="L21" s="177"/>
      <c r="M21" s="106">
        <v>1</v>
      </c>
      <c r="N21" s="103">
        <f>IF(J21="",D21*M21,D21*J21*K21*L21*M21)</f>
        <v>1</v>
      </c>
      <c r="O21" s="121"/>
    </row>
    <row r="22" spans="1:15">
      <c r="A22" s="162">
        <v>60</v>
      </c>
      <c r="B22" s="300" t="s">
        <v>228</v>
      </c>
      <c r="C22" s="159" t="s">
        <v>230</v>
      </c>
      <c r="D22" s="103">
        <v>1</v>
      </c>
      <c r="E22" s="159">
        <v>1</v>
      </c>
      <c r="F22" s="159" t="s">
        <v>36</v>
      </c>
      <c r="G22" s="159"/>
      <c r="H22" s="104"/>
      <c r="I22" s="158"/>
      <c r="J22" s="157"/>
      <c r="K22" s="156"/>
      <c r="L22" s="177"/>
      <c r="M22" s="106">
        <v>1</v>
      </c>
      <c r="N22" s="103">
        <f>IF(J22="",D22*M22,D22*J22*K22*L22*M22)</f>
        <v>1</v>
      </c>
      <c r="O22" s="121"/>
    </row>
    <row r="23" spans="1:15">
      <c r="A23" s="162">
        <v>70</v>
      </c>
      <c r="B23" s="300" t="s">
        <v>228</v>
      </c>
      <c r="C23" s="159" t="s">
        <v>229</v>
      </c>
      <c r="D23" s="103">
        <v>1</v>
      </c>
      <c r="E23" s="159">
        <v>1</v>
      </c>
      <c r="F23" s="159" t="s">
        <v>36</v>
      </c>
      <c r="G23" s="159"/>
      <c r="H23" s="104"/>
      <c r="I23" s="158"/>
      <c r="J23" s="157"/>
      <c r="K23" s="156"/>
      <c r="L23" s="177"/>
      <c r="M23" s="106">
        <v>1</v>
      </c>
      <c r="N23" s="103">
        <f>IF(J23="",D23*M23,D23*J23*K23*L23*M23)</f>
        <v>1</v>
      </c>
      <c r="O23" s="121"/>
    </row>
    <row r="24" spans="1:15">
      <c r="A24" s="162">
        <v>80</v>
      </c>
      <c r="B24" s="161" t="s">
        <v>228</v>
      </c>
      <c r="C24" s="159" t="s">
        <v>227</v>
      </c>
      <c r="D24" s="103">
        <v>1</v>
      </c>
      <c r="E24" s="159">
        <v>1</v>
      </c>
      <c r="F24" s="159" t="s">
        <v>36</v>
      </c>
      <c r="G24" s="159"/>
      <c r="H24" s="104"/>
      <c r="I24" s="158"/>
      <c r="J24" s="157"/>
      <c r="K24" s="156"/>
      <c r="L24" s="177"/>
      <c r="M24" s="106">
        <v>1</v>
      </c>
      <c r="N24" s="103">
        <f>IF(J24="",D24*M24,D24*J24*K24*L24*M24)</f>
        <v>1</v>
      </c>
      <c r="O24" s="121"/>
    </row>
    <row r="25" spans="1:15">
      <c r="A25" s="162">
        <v>90</v>
      </c>
      <c r="B25" s="300" t="s">
        <v>220</v>
      </c>
      <c r="C25" s="159" t="s">
        <v>226</v>
      </c>
      <c r="D25" s="103">
        <v>1</v>
      </c>
      <c r="E25" s="159">
        <v>1</v>
      </c>
      <c r="F25" s="159" t="s">
        <v>36</v>
      </c>
      <c r="G25" s="159"/>
      <c r="H25" s="104"/>
      <c r="I25" s="158"/>
      <c r="J25" s="157"/>
      <c r="K25" s="156"/>
      <c r="L25" s="177"/>
      <c r="M25" s="106">
        <v>1</v>
      </c>
      <c r="N25" s="103">
        <f>IF(J25="",D25*M25,D25*J25*K25*L25*M25)</f>
        <v>1</v>
      </c>
      <c r="O25" s="121"/>
    </row>
    <row r="26" spans="1:15">
      <c r="A26" s="162">
        <v>100</v>
      </c>
      <c r="B26" s="300" t="s">
        <v>218</v>
      </c>
      <c r="C26" s="159" t="s">
        <v>225</v>
      </c>
      <c r="D26" s="103">
        <v>1</v>
      </c>
      <c r="E26" s="159">
        <v>1</v>
      </c>
      <c r="F26" s="159" t="s">
        <v>36</v>
      </c>
      <c r="G26" s="159"/>
      <c r="H26" s="104"/>
      <c r="I26" s="158"/>
      <c r="J26" s="157"/>
      <c r="K26" s="156"/>
      <c r="L26" s="177"/>
      <c r="M26" s="106">
        <v>1</v>
      </c>
      <c r="N26" s="103">
        <f>IF(J26="",D26*M26,D26*J26*K26*L26*M26)</f>
        <v>1</v>
      </c>
      <c r="O26" s="121"/>
    </row>
    <row r="27" spans="1:15">
      <c r="A27" s="162">
        <v>110</v>
      </c>
      <c r="B27" s="300" t="s">
        <v>220</v>
      </c>
      <c r="C27" s="159" t="s">
        <v>224</v>
      </c>
      <c r="D27" s="103">
        <v>1</v>
      </c>
      <c r="E27" s="159">
        <v>1</v>
      </c>
      <c r="F27" s="159" t="s">
        <v>36</v>
      </c>
      <c r="G27" s="159"/>
      <c r="H27" s="104"/>
      <c r="I27" s="158"/>
      <c r="J27" s="157"/>
      <c r="K27" s="156"/>
      <c r="L27" s="177"/>
      <c r="M27" s="106">
        <v>1</v>
      </c>
      <c r="N27" s="103">
        <f>IF(J27="",D27*M27,D27*J27*K27*L27*M27)</f>
        <v>1</v>
      </c>
      <c r="O27" s="121"/>
    </row>
    <row r="28" spans="1:15">
      <c r="A28" s="162">
        <v>120</v>
      </c>
      <c r="B28" s="300" t="s">
        <v>220</v>
      </c>
      <c r="C28" s="159" t="s">
        <v>223</v>
      </c>
      <c r="D28" s="103">
        <v>1</v>
      </c>
      <c r="E28" s="159">
        <v>1</v>
      </c>
      <c r="F28" s="159" t="s">
        <v>36</v>
      </c>
      <c r="G28" s="159"/>
      <c r="H28" s="104"/>
      <c r="I28" s="158"/>
      <c r="J28" s="157"/>
      <c r="K28" s="156"/>
      <c r="L28" s="177"/>
      <c r="M28" s="106">
        <v>1</v>
      </c>
      <c r="N28" s="103">
        <f>IF(J28="",D28*M28,D28*J28*K28*L28*M28)</f>
        <v>1</v>
      </c>
      <c r="O28" s="121"/>
    </row>
    <row r="29" spans="1:15">
      <c r="A29" s="162">
        <v>130</v>
      </c>
      <c r="B29" s="300" t="s">
        <v>218</v>
      </c>
      <c r="C29" s="159" t="s">
        <v>222</v>
      </c>
      <c r="D29" s="103">
        <v>1</v>
      </c>
      <c r="E29" s="159">
        <v>1</v>
      </c>
      <c r="F29" s="159" t="s">
        <v>36</v>
      </c>
      <c r="G29" s="159"/>
      <c r="H29" s="104"/>
      <c r="I29" s="158"/>
      <c r="J29" s="157"/>
      <c r="K29" s="156"/>
      <c r="L29" s="177"/>
      <c r="M29" s="106">
        <v>1</v>
      </c>
      <c r="N29" s="103">
        <f>IF(J29="",D29*M29,D29*J29*K29*L29*M29)</f>
        <v>1</v>
      </c>
      <c r="O29" s="121"/>
    </row>
    <row r="30" spans="1:15">
      <c r="A30" s="162">
        <v>140</v>
      </c>
      <c r="B30" s="300" t="s">
        <v>220</v>
      </c>
      <c r="C30" s="159" t="s">
        <v>221</v>
      </c>
      <c r="D30" s="103">
        <v>1</v>
      </c>
      <c r="E30" s="159">
        <v>1</v>
      </c>
      <c r="F30" s="159" t="s">
        <v>36</v>
      </c>
      <c r="G30" s="159"/>
      <c r="H30" s="104"/>
      <c r="I30" s="158"/>
      <c r="J30" s="157"/>
      <c r="K30" s="156"/>
      <c r="L30" s="177"/>
      <c r="M30" s="106">
        <v>1</v>
      </c>
      <c r="N30" s="103">
        <f>IF(J30="",D30*M30,D30*J30*K30*L30*M30)</f>
        <v>1</v>
      </c>
      <c r="O30" s="121"/>
    </row>
    <row r="31" spans="1:15">
      <c r="A31" s="162">
        <v>150</v>
      </c>
      <c r="B31" s="300" t="s">
        <v>220</v>
      </c>
      <c r="C31" s="159" t="s">
        <v>219</v>
      </c>
      <c r="D31" s="103">
        <v>1</v>
      </c>
      <c r="E31" s="159">
        <v>1</v>
      </c>
      <c r="F31" s="159" t="s">
        <v>36</v>
      </c>
      <c r="G31" s="159"/>
      <c r="H31" s="104"/>
      <c r="I31" s="158"/>
      <c r="J31" s="157"/>
      <c r="K31" s="156"/>
      <c r="L31" s="177"/>
      <c r="M31" s="106">
        <v>1</v>
      </c>
      <c r="N31" s="103">
        <f>IF(J31="",D31*M31,D31*J31*K31*L31*M31)</f>
        <v>1</v>
      </c>
      <c r="O31" s="121"/>
    </row>
    <row r="32" spans="1:15">
      <c r="A32" s="162">
        <v>160</v>
      </c>
      <c r="B32" s="300" t="s">
        <v>218</v>
      </c>
      <c r="C32" s="159" t="s">
        <v>217</v>
      </c>
      <c r="D32" s="103">
        <v>1</v>
      </c>
      <c r="E32" s="159">
        <v>1</v>
      </c>
      <c r="F32" s="159" t="s">
        <v>36</v>
      </c>
      <c r="G32" s="159"/>
      <c r="H32" s="104"/>
      <c r="I32" s="158"/>
      <c r="J32" s="157"/>
      <c r="K32" s="156"/>
      <c r="L32" s="177"/>
      <c r="M32" s="106">
        <v>1</v>
      </c>
      <c r="N32" s="103">
        <f>IF(J32="",D32*M32,D32*J32*K32*L32*M32)</f>
        <v>1</v>
      </c>
      <c r="O32" s="121"/>
    </row>
    <row r="33" spans="1:15">
      <c r="A33" s="162">
        <v>170</v>
      </c>
      <c r="B33" s="300" t="s">
        <v>93</v>
      </c>
      <c r="C33" s="159" t="s">
        <v>216</v>
      </c>
      <c r="D33" s="103">
        <v>3</v>
      </c>
      <c r="E33" s="159">
        <v>1</v>
      </c>
      <c r="F33" s="159" t="s">
        <v>36</v>
      </c>
      <c r="G33" s="159"/>
      <c r="H33" s="104"/>
      <c r="I33" s="158"/>
      <c r="J33" s="157"/>
      <c r="K33" s="156"/>
      <c r="L33" s="177"/>
      <c r="M33" s="106">
        <v>1</v>
      </c>
      <c r="N33" s="103">
        <f>IF(J33="",D33*M33,D33*J33*K33*L33*M33)</f>
        <v>3</v>
      </c>
      <c r="O33" s="121"/>
    </row>
    <row r="34" spans="1:15">
      <c r="A34" s="162">
        <v>180</v>
      </c>
      <c r="B34" s="300" t="s">
        <v>214</v>
      </c>
      <c r="C34" s="159" t="s">
        <v>215</v>
      </c>
      <c r="D34" s="103">
        <v>1</v>
      </c>
      <c r="E34" s="159">
        <v>1</v>
      </c>
      <c r="F34" s="159" t="s">
        <v>103</v>
      </c>
      <c r="G34" s="159"/>
      <c r="H34" s="104"/>
      <c r="I34" s="158"/>
      <c r="J34" s="157"/>
      <c r="K34" s="156"/>
      <c r="L34" s="177"/>
      <c r="M34" s="106">
        <v>16</v>
      </c>
      <c r="N34" s="103">
        <f>M34*E34*D34</f>
        <v>16</v>
      </c>
      <c r="O34" s="121"/>
    </row>
    <row r="35" spans="1:15">
      <c r="A35" s="162">
        <v>190</v>
      </c>
      <c r="B35" s="300" t="s">
        <v>214</v>
      </c>
      <c r="C35" s="159" t="s">
        <v>213</v>
      </c>
      <c r="D35" s="103">
        <v>1</v>
      </c>
      <c r="E35" s="159">
        <v>1</v>
      </c>
      <c r="F35" s="159" t="s">
        <v>103</v>
      </c>
      <c r="G35" s="159"/>
      <c r="H35" s="104"/>
      <c r="I35" s="158"/>
      <c r="J35" s="157"/>
      <c r="K35" s="156"/>
      <c r="L35" s="177"/>
      <c r="M35" s="106">
        <v>5</v>
      </c>
      <c r="N35" s="103">
        <f>M35*E35*D35</f>
        <v>5</v>
      </c>
      <c r="O35" s="121"/>
    </row>
    <row r="36" spans="1:15">
      <c r="A36" s="162">
        <v>200</v>
      </c>
      <c r="B36" s="300" t="s">
        <v>211</v>
      </c>
      <c r="C36" s="159" t="s">
        <v>212</v>
      </c>
      <c r="D36" s="103">
        <v>0.05</v>
      </c>
      <c r="E36" s="159">
        <v>1</v>
      </c>
      <c r="F36" s="159" t="s">
        <v>36</v>
      </c>
      <c r="G36" s="159"/>
      <c r="H36" s="104"/>
      <c r="I36" s="158"/>
      <c r="J36" s="157"/>
      <c r="K36" s="156"/>
      <c r="L36" s="177"/>
      <c r="M36" s="106">
        <v>2</v>
      </c>
      <c r="N36" s="103">
        <f>IF(J36="",D36*M36,D36*J36*K36*L36*M36)</f>
        <v>0.1</v>
      </c>
      <c r="O36" s="121"/>
    </row>
    <row r="37" spans="1:15">
      <c r="A37" s="162">
        <v>210</v>
      </c>
      <c r="B37" s="300" t="s">
        <v>211</v>
      </c>
      <c r="C37" s="159" t="s">
        <v>210</v>
      </c>
      <c r="D37" s="103">
        <v>0.05</v>
      </c>
      <c r="E37" s="159">
        <v>1</v>
      </c>
      <c r="F37" s="159" t="s">
        <v>36</v>
      </c>
      <c r="G37" s="159"/>
      <c r="H37" s="104"/>
      <c r="I37" s="158"/>
      <c r="J37" s="157"/>
      <c r="K37" s="156"/>
      <c r="L37" s="177"/>
      <c r="M37" s="106">
        <v>2</v>
      </c>
      <c r="N37" s="103">
        <f>IF(J37="",D37*M37,D37*J37*K37*L37*M37)</f>
        <v>0.1</v>
      </c>
      <c r="O37" s="121"/>
    </row>
    <row r="38" spans="1:15">
      <c r="A38" s="162">
        <v>220</v>
      </c>
      <c r="B38" s="300" t="s">
        <v>209</v>
      </c>
      <c r="C38" s="159"/>
      <c r="D38" s="103">
        <v>1</v>
      </c>
      <c r="E38" s="159">
        <v>1</v>
      </c>
      <c r="F38" s="159" t="s">
        <v>60</v>
      </c>
      <c r="G38" s="159"/>
      <c r="H38" s="104"/>
      <c r="I38" s="158"/>
      <c r="J38" s="157"/>
      <c r="K38" s="156"/>
      <c r="L38" s="177"/>
      <c r="M38" s="106">
        <v>46</v>
      </c>
      <c r="N38" s="103">
        <f>IF(J38="",D38*M38,D38*J38*K38*L38*M38)</f>
        <v>46</v>
      </c>
      <c r="O38" s="121"/>
    </row>
    <row r="39" spans="1:15">
      <c r="A39" s="162">
        <v>230</v>
      </c>
      <c r="B39" s="300" t="s">
        <v>95</v>
      </c>
      <c r="C39" s="159"/>
      <c r="D39" s="103">
        <v>3</v>
      </c>
      <c r="E39" s="159">
        <v>1</v>
      </c>
      <c r="F39" s="159" t="s">
        <v>60</v>
      </c>
      <c r="G39" s="159"/>
      <c r="H39" s="104"/>
      <c r="I39" s="158"/>
      <c r="J39" s="157"/>
      <c r="K39" s="156"/>
      <c r="L39" s="177"/>
      <c r="M39" s="106">
        <v>3</v>
      </c>
      <c r="N39" s="103">
        <f>IF(J39="",D39*M39,D39*J39*K39*L39*M39)</f>
        <v>9</v>
      </c>
      <c r="O39" s="121"/>
    </row>
    <row r="40" spans="1:15">
      <c r="A40" s="162">
        <v>240</v>
      </c>
      <c r="B40" s="300" t="s">
        <v>208</v>
      </c>
      <c r="C40" s="159" t="s">
        <v>207</v>
      </c>
      <c r="D40" s="103">
        <v>0.05</v>
      </c>
      <c r="E40" s="159">
        <v>1</v>
      </c>
      <c r="F40" s="159" t="s">
        <v>103</v>
      </c>
      <c r="G40" s="159"/>
      <c r="H40" s="104"/>
      <c r="I40" s="158"/>
      <c r="J40" s="157"/>
      <c r="K40" s="156"/>
      <c r="L40" s="177"/>
      <c r="M40" s="106">
        <v>3</v>
      </c>
      <c r="N40" s="103">
        <f>IF(J40="",D40*M40,D40*J40*K40*L40*M40)</f>
        <v>0.15000000000000002</v>
      </c>
      <c r="O40" s="121"/>
    </row>
    <row r="41" spans="1:15">
      <c r="A41" s="162">
        <v>250</v>
      </c>
      <c r="B41" s="300" t="s">
        <v>93</v>
      </c>
      <c r="C41" s="159" t="s">
        <v>206</v>
      </c>
      <c r="D41" s="103">
        <v>3</v>
      </c>
      <c r="E41" s="159">
        <v>1</v>
      </c>
      <c r="F41" s="159" t="s">
        <v>36</v>
      </c>
      <c r="G41" s="159"/>
      <c r="H41" s="104"/>
      <c r="I41" s="158"/>
      <c r="J41" s="157"/>
      <c r="K41" s="156"/>
      <c r="L41" s="177"/>
      <c r="M41" s="106">
        <v>1</v>
      </c>
      <c r="N41" s="103">
        <f>IF(J41="",D41*M41,D41*J41*K41*L41*M41)</f>
        <v>3</v>
      </c>
      <c r="O41" s="121"/>
    </row>
    <row r="42" spans="1:15">
      <c r="A42" s="162">
        <v>260</v>
      </c>
      <c r="B42" s="190" t="s">
        <v>143</v>
      </c>
      <c r="C42" s="190" t="s">
        <v>205</v>
      </c>
      <c r="D42" s="186">
        <v>4</v>
      </c>
      <c r="E42" s="190">
        <v>1</v>
      </c>
      <c r="F42" s="190" t="s">
        <v>36</v>
      </c>
      <c r="G42" s="190"/>
      <c r="H42" s="187"/>
      <c r="I42" s="189"/>
      <c r="J42" s="188"/>
      <c r="K42" s="187"/>
      <c r="L42" s="187"/>
      <c r="M42" s="187">
        <v>2</v>
      </c>
      <c r="N42" s="186">
        <f>M42*D42</f>
        <v>8</v>
      </c>
      <c r="O42" s="121"/>
    </row>
    <row r="43" spans="1:15">
      <c r="M43" s="291" t="s">
        <v>25</v>
      </c>
      <c r="N43" s="299">
        <f>SUM(N17:N42)</f>
        <v>112.35000000000001</v>
      </c>
      <c r="O43" s="121"/>
    </row>
    <row r="44" spans="1:15">
      <c r="A44" s="301"/>
      <c r="B44" s="302"/>
      <c r="C44" s="302"/>
      <c r="D44" s="302"/>
      <c r="E44" s="302"/>
      <c r="F44" s="302"/>
      <c r="G44" s="302"/>
      <c r="H44" s="302"/>
      <c r="I44" s="302"/>
      <c r="J44" s="302"/>
      <c r="K44" s="302"/>
      <c r="L44" s="302"/>
      <c r="O44" s="121"/>
    </row>
    <row r="45" spans="1:15">
      <c r="A45" s="296"/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121"/>
    </row>
    <row r="46" spans="1:15">
      <c r="A46" s="291" t="s">
        <v>35</v>
      </c>
      <c r="B46" s="291" t="s">
        <v>89</v>
      </c>
      <c r="C46" s="291" t="s">
        <v>33</v>
      </c>
      <c r="D46" s="291" t="s">
        <v>32</v>
      </c>
      <c r="E46" s="291" t="s">
        <v>31</v>
      </c>
      <c r="F46" s="291" t="s">
        <v>8</v>
      </c>
      <c r="G46" s="291" t="s">
        <v>88</v>
      </c>
      <c r="H46" s="291" t="s">
        <v>87</v>
      </c>
      <c r="I46" s="291" t="s">
        <v>25</v>
      </c>
      <c r="J46" s="302"/>
      <c r="K46" s="302"/>
      <c r="L46" s="302"/>
      <c r="M46" s="302"/>
      <c r="N46" s="302"/>
      <c r="O46" s="121"/>
    </row>
    <row r="47" spans="1:15">
      <c r="A47" s="125">
        <v>10</v>
      </c>
      <c r="B47" s="125" t="s">
        <v>86</v>
      </c>
      <c r="C47" s="125" t="s">
        <v>204</v>
      </c>
      <c r="D47" s="73">
        <v>0.15</v>
      </c>
      <c r="E47" s="125" t="s">
        <v>62</v>
      </c>
      <c r="F47" s="122">
        <v>1.8</v>
      </c>
      <c r="G47" s="122"/>
      <c r="H47" s="122"/>
      <c r="I47" s="73">
        <f>IF(H47="",D47*F47,D47*F47*H47)</f>
        <v>0.27</v>
      </c>
      <c r="J47" s="294"/>
      <c r="K47" s="294"/>
      <c r="L47" s="294"/>
      <c r="M47" s="294"/>
      <c r="N47" s="294"/>
      <c r="O47" s="121"/>
    </row>
    <row r="48" spans="1:15">
      <c r="A48" s="125"/>
      <c r="B48" s="303" t="s">
        <v>75</v>
      </c>
      <c r="C48" s="304"/>
      <c r="D48" s="73">
        <v>0.08</v>
      </c>
      <c r="E48" s="303" t="s">
        <v>36</v>
      </c>
      <c r="F48" s="122">
        <v>53</v>
      </c>
      <c r="G48" s="122"/>
      <c r="H48" s="122"/>
      <c r="I48" s="73">
        <f>IF(H48="",D48*F48,D48*F48*H48)</f>
        <v>4.24</v>
      </c>
      <c r="J48" s="294"/>
      <c r="K48" s="294"/>
      <c r="L48" s="294"/>
      <c r="M48" s="294"/>
      <c r="N48" s="294"/>
      <c r="O48" s="121"/>
    </row>
    <row r="49" spans="1:15">
      <c r="A49" s="125"/>
      <c r="B49" s="125" t="s">
        <v>73</v>
      </c>
      <c r="C49" s="125"/>
      <c r="D49" s="73">
        <v>0.08</v>
      </c>
      <c r="E49" s="303" t="s">
        <v>36</v>
      </c>
      <c r="F49" s="122">
        <v>106</v>
      </c>
      <c r="G49" s="122"/>
      <c r="H49" s="122"/>
      <c r="I49" s="73">
        <f>IF(H49="",D49*F49,D49*F49*H49)</f>
        <v>8.48</v>
      </c>
      <c r="J49" s="294"/>
      <c r="K49" s="294"/>
      <c r="L49" s="294"/>
      <c r="M49" s="294"/>
      <c r="N49" s="294"/>
      <c r="O49" s="121"/>
    </row>
    <row r="50" spans="1:15">
      <c r="A50" s="125"/>
      <c r="B50" s="305" t="s">
        <v>66</v>
      </c>
      <c r="C50" s="125" t="s">
        <v>203</v>
      </c>
      <c r="D50" s="73">
        <v>0.36</v>
      </c>
      <c r="E50" s="125" t="s">
        <v>65</v>
      </c>
      <c r="F50" s="122">
        <v>21</v>
      </c>
      <c r="G50" s="122"/>
      <c r="H50" s="122"/>
      <c r="I50" s="73">
        <f>IF(H50="",D50*F50,D50*F50*H50)</f>
        <v>7.56</v>
      </c>
      <c r="J50" s="294"/>
      <c r="K50" s="294"/>
      <c r="L50" s="294"/>
      <c r="M50" s="294"/>
      <c r="N50" s="294"/>
      <c r="O50" s="121"/>
    </row>
    <row r="51" spans="1:15">
      <c r="A51" s="125"/>
      <c r="B51" s="125" t="s">
        <v>64</v>
      </c>
      <c r="C51" s="125"/>
      <c r="D51" s="73">
        <v>0.11</v>
      </c>
      <c r="E51" s="125" t="s">
        <v>36</v>
      </c>
      <c r="F51" s="122">
        <v>3</v>
      </c>
      <c r="G51" s="122"/>
      <c r="H51" s="122"/>
      <c r="I51" s="73">
        <f>IF(H51="",D51*F51,D51*F51*H51)</f>
        <v>0.33</v>
      </c>
      <c r="J51" s="294"/>
      <c r="K51" s="294"/>
      <c r="L51" s="294"/>
      <c r="M51" s="294"/>
      <c r="N51" s="294"/>
      <c r="O51" s="121"/>
    </row>
    <row r="52" spans="1:15">
      <c r="A52" s="125"/>
      <c r="B52" s="305" t="s">
        <v>61</v>
      </c>
      <c r="C52" s="125"/>
      <c r="D52" s="73">
        <v>1</v>
      </c>
      <c r="E52" s="125" t="s">
        <v>60</v>
      </c>
      <c r="F52" s="122">
        <v>4</v>
      </c>
      <c r="G52" s="122"/>
      <c r="H52" s="122"/>
      <c r="I52" s="73">
        <f>IF(H52="",D52*F52,D52*F52*H52)</f>
        <v>4</v>
      </c>
      <c r="J52" s="294"/>
      <c r="K52" s="294"/>
      <c r="L52" s="294"/>
      <c r="M52" s="294"/>
      <c r="N52" s="294"/>
      <c r="O52" s="121"/>
    </row>
    <row r="53" spans="1:15">
      <c r="A53" s="125"/>
      <c r="B53" s="303" t="s">
        <v>71</v>
      </c>
      <c r="C53" s="303" t="s">
        <v>70</v>
      </c>
      <c r="D53" s="73">
        <v>0.06</v>
      </c>
      <c r="E53" s="303" t="s">
        <v>62</v>
      </c>
      <c r="F53" s="122">
        <v>1</v>
      </c>
      <c r="G53" s="125" t="s">
        <v>202</v>
      </c>
      <c r="H53" s="125">
        <v>35</v>
      </c>
      <c r="I53" s="73">
        <f>IF(H53="",D53*F53,D53*F53*H53)</f>
        <v>2.1</v>
      </c>
      <c r="J53" s="294"/>
      <c r="K53" s="294"/>
      <c r="L53" s="294"/>
      <c r="M53" s="294"/>
      <c r="N53" s="294"/>
      <c r="O53" s="121"/>
    </row>
    <row r="54" spans="1:15">
      <c r="A54" s="125"/>
      <c r="B54" s="305" t="s">
        <v>68</v>
      </c>
      <c r="C54" s="125"/>
      <c r="D54" s="73">
        <v>0.15</v>
      </c>
      <c r="E54" s="125" t="s">
        <v>62</v>
      </c>
      <c r="F54" s="122">
        <v>30</v>
      </c>
      <c r="G54" s="122"/>
      <c r="H54" s="122"/>
      <c r="I54" s="73">
        <f>IF(H54="",D54*F54,D54*F54*H54)</f>
        <v>4.5</v>
      </c>
      <c r="J54" s="294"/>
      <c r="K54" s="294"/>
      <c r="L54" s="294"/>
      <c r="M54" s="294"/>
      <c r="N54" s="294"/>
      <c r="O54" s="121"/>
    </row>
    <row r="55" spans="1:15">
      <c r="A55" s="125"/>
      <c r="B55" s="303" t="s">
        <v>201</v>
      </c>
      <c r="C55" s="303"/>
      <c r="D55" s="73">
        <v>0.04</v>
      </c>
      <c r="E55" s="303" t="s">
        <v>62</v>
      </c>
      <c r="F55" s="122">
        <v>400</v>
      </c>
      <c r="G55" s="125"/>
      <c r="H55" s="125"/>
      <c r="I55" s="73">
        <f>IF(H55="",D55*F55,D55*F55*H55)</f>
        <v>16</v>
      </c>
      <c r="J55" s="294"/>
      <c r="K55" s="294"/>
      <c r="L55" s="294"/>
      <c r="M55" s="294"/>
      <c r="N55" s="294"/>
      <c r="O55" s="121"/>
    </row>
    <row r="56" spans="1:15">
      <c r="A56" s="301"/>
      <c r="B56" s="302"/>
      <c r="C56" s="302"/>
      <c r="D56" s="302"/>
      <c r="E56" s="302"/>
      <c r="F56" s="302"/>
      <c r="G56" s="302"/>
      <c r="H56" s="184" t="s">
        <v>25</v>
      </c>
      <c r="I56" s="299">
        <f>SUM(I47:I55)</f>
        <v>47.480000000000004</v>
      </c>
      <c r="J56" s="286"/>
      <c r="K56" s="286"/>
      <c r="L56" s="286"/>
      <c r="M56" s="286"/>
      <c r="N56" s="286"/>
      <c r="O56" s="121"/>
    </row>
    <row r="57" spans="1:15">
      <c r="A57" s="296"/>
      <c r="B57" s="286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6"/>
      <c r="N57" s="286"/>
      <c r="O57" s="121"/>
    </row>
    <row r="58" spans="1:15">
      <c r="A58" s="291" t="s">
        <v>35</v>
      </c>
      <c r="B58" s="291" t="s">
        <v>57</v>
      </c>
      <c r="C58" s="291" t="s">
        <v>33</v>
      </c>
      <c r="D58" s="291" t="s">
        <v>32</v>
      </c>
      <c r="E58" s="291" t="s">
        <v>56</v>
      </c>
      <c r="F58" s="291" t="s">
        <v>55</v>
      </c>
      <c r="G58" s="291" t="s">
        <v>54</v>
      </c>
      <c r="H58" s="291" t="s">
        <v>53</v>
      </c>
      <c r="I58" s="291" t="s">
        <v>8</v>
      </c>
      <c r="J58" s="291" t="s">
        <v>25</v>
      </c>
      <c r="K58" s="286"/>
      <c r="L58" s="286"/>
      <c r="M58" s="286"/>
      <c r="N58" s="286"/>
      <c r="O58" s="121"/>
    </row>
    <row r="59" spans="1:15" s="314" customFormat="1">
      <c r="A59" s="306">
        <v>10</v>
      </c>
      <c r="B59" s="307" t="s">
        <v>200</v>
      </c>
      <c r="C59" s="308" t="s">
        <v>199</v>
      </c>
      <c r="D59" s="309">
        <v>0.03</v>
      </c>
      <c r="E59" s="306">
        <v>3</v>
      </c>
      <c r="F59" s="310" t="s">
        <v>43</v>
      </c>
      <c r="G59" s="306"/>
      <c r="H59" s="306"/>
      <c r="I59" s="311">
        <v>6</v>
      </c>
      <c r="J59" s="185">
        <f>D59*I59</f>
        <v>0.18</v>
      </c>
      <c r="K59" s="312"/>
      <c r="L59" s="312"/>
      <c r="M59" s="312"/>
      <c r="N59" s="312"/>
      <c r="O59" s="313"/>
    </row>
    <row r="60" spans="1:15" s="314" customFormat="1">
      <c r="A60" s="315">
        <v>20</v>
      </c>
      <c r="B60" s="316" t="s">
        <v>45</v>
      </c>
      <c r="C60" s="317" t="s">
        <v>198</v>
      </c>
      <c r="D60" s="318">
        <v>0.02</v>
      </c>
      <c r="E60" s="315">
        <v>3</v>
      </c>
      <c r="F60" s="319" t="s">
        <v>43</v>
      </c>
      <c r="G60" s="315"/>
      <c r="H60" s="315"/>
      <c r="I60" s="320">
        <v>6</v>
      </c>
      <c r="J60" s="185">
        <f>D60*I60</f>
        <v>0.12</v>
      </c>
      <c r="K60" s="312"/>
      <c r="L60" s="312"/>
      <c r="M60" s="312"/>
      <c r="N60" s="312"/>
      <c r="O60" s="313"/>
    </row>
    <row r="61" spans="1:15">
      <c r="A61" s="301"/>
      <c r="B61" s="302"/>
      <c r="C61" s="302"/>
      <c r="D61" s="302"/>
      <c r="E61" s="302"/>
      <c r="F61" s="302"/>
      <c r="G61" s="302"/>
      <c r="H61" s="302"/>
      <c r="I61" s="184" t="s">
        <v>25</v>
      </c>
      <c r="J61" s="299">
        <f>SUM(J59:J60)</f>
        <v>0.3</v>
      </c>
      <c r="K61" s="286"/>
      <c r="L61" s="286"/>
      <c r="M61" s="286"/>
      <c r="N61" s="286"/>
      <c r="O61" s="121"/>
    </row>
    <row r="62" spans="1:15">
      <c r="A62" s="296"/>
      <c r="B62" s="286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6"/>
      <c r="N62" s="286"/>
      <c r="O62" s="121"/>
    </row>
    <row r="63" spans="1:15">
      <c r="A63" s="291" t="s">
        <v>35</v>
      </c>
      <c r="B63" s="291" t="s">
        <v>34</v>
      </c>
      <c r="C63" s="291" t="s">
        <v>33</v>
      </c>
      <c r="D63" s="291" t="s">
        <v>32</v>
      </c>
      <c r="E63" s="291" t="s">
        <v>31</v>
      </c>
      <c r="F63" s="291" t="s">
        <v>8</v>
      </c>
      <c r="G63" s="291" t="s">
        <v>30</v>
      </c>
      <c r="H63" s="291" t="s">
        <v>29</v>
      </c>
      <c r="I63" s="291" t="s">
        <v>25</v>
      </c>
      <c r="J63" s="302"/>
      <c r="K63" s="286"/>
      <c r="L63" s="286"/>
      <c r="M63" s="286"/>
      <c r="N63" s="286"/>
      <c r="O63" s="121"/>
    </row>
    <row r="64" spans="1:15">
      <c r="A64" s="125">
        <v>10</v>
      </c>
      <c r="B64" s="125" t="s">
        <v>197</v>
      </c>
      <c r="C64" s="125" t="s">
        <v>196</v>
      </c>
      <c r="D64" s="73">
        <v>500</v>
      </c>
      <c r="E64" s="125" t="s">
        <v>26</v>
      </c>
      <c r="F64" s="125">
        <v>4</v>
      </c>
      <c r="G64" s="125">
        <v>3000</v>
      </c>
      <c r="H64" s="125">
        <v>1</v>
      </c>
      <c r="I64" s="73">
        <f>F64*D64/G64</f>
        <v>0.66666666666666663</v>
      </c>
      <c r="J64" s="302"/>
      <c r="K64" s="286"/>
      <c r="L64" s="286"/>
      <c r="M64" s="286"/>
      <c r="N64" s="286"/>
      <c r="O64" s="121"/>
    </row>
    <row r="65" spans="1:15">
      <c r="A65" s="301"/>
      <c r="B65" s="302"/>
      <c r="C65" s="302"/>
      <c r="D65" s="302"/>
      <c r="E65" s="302"/>
      <c r="F65" s="302"/>
      <c r="G65" s="302"/>
      <c r="H65" s="181" t="s">
        <v>25</v>
      </c>
      <c r="I65" s="321">
        <f>SUM(I64:I64)</f>
        <v>0.66666666666666663</v>
      </c>
      <c r="J65" s="302"/>
      <c r="K65" s="286"/>
      <c r="L65" s="286"/>
      <c r="M65" s="286"/>
      <c r="N65" s="286"/>
      <c r="O65" s="121"/>
    </row>
    <row r="66" spans="1:15" ht="15.75" thickBot="1">
      <c r="A66" s="322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4"/>
    </row>
    <row r="67" spans="1:15">
      <c r="A67" s="286"/>
      <c r="B67" s="286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6"/>
      <c r="N67" s="286"/>
    </row>
  </sheetData>
  <hyperlinks>
    <hyperlink ref="B10" location="EL_02001" display="EL_02001" xr:uid="{00000000-0004-0000-0200-000000000000}"/>
    <hyperlink ref="B11" location="EL_02002" display="EL_02002" xr:uid="{00000000-0004-0000-0200-000001000000}"/>
    <hyperlink ref="B12" location="EL_02003" display="EL_02003" xr:uid="{00000000-0004-0000-0200-000002000000}"/>
    <hyperlink ref="B13" location="EL_02004" display="EL_02004" xr:uid="{00000000-0004-0000-0200-000004000000}"/>
    <hyperlink ref="E2" location="EL_A0002_BOM" display="Back to BOM" xr:uid="{BFB2241D-E012-4091-88D6-7CA055AD15B2}"/>
  </hyperlinks>
  <pageMargins left="0.69930555555555596" right="0.69930555555555596" top="0.75" bottom="0.75" header="0.51111111111111096" footer="0.3"/>
  <pageSetup paperSize="9" scale="39" firstPageNumber="0" fitToHeight="0" orientation="portrait" useFirstPageNumber="1"/>
  <headerFooter>
    <oddFooter>&amp;C&amp;P</oddFooter>
  </headerFooter>
  <rowBreaks count="1" manualBreakCount="1">
    <brk id="6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F641A-0B17-4320-BCF3-79CDB4083B35}">
  <sheetPr>
    <tabColor theme="9" tint="0.39994506668294322"/>
    <pageSetUpPr fitToPage="1"/>
  </sheetPr>
  <dimension ref="A1:O28"/>
  <sheetViews>
    <sheetView zoomScale="90" zoomScaleNormal="90" workbookViewId="0">
      <selection activeCell="E12" sqref="E12"/>
    </sheetView>
  </sheetViews>
  <sheetFormatPr baseColWidth="10" defaultColWidth="9.140625" defaultRowHeight="15"/>
  <cols>
    <col min="1" max="1" width="9.140625" style="120"/>
    <col min="2" max="2" width="25.7109375" style="120" customWidth="1"/>
    <col min="3" max="3" width="34.28515625" style="120" customWidth="1"/>
    <col min="4" max="4" width="11.42578125" style="120" customWidth="1"/>
    <col min="5" max="5" width="9.140625" style="120"/>
    <col min="6" max="6" width="7.85546875" style="120" customWidth="1"/>
    <col min="7" max="7" width="19.85546875" style="120" customWidth="1"/>
    <col min="8" max="14" width="9.140625" style="120"/>
    <col min="15" max="15" width="3.140625" style="120" customWidth="1"/>
    <col min="16" max="16384" width="9.140625" style="120"/>
  </cols>
  <sheetData>
    <row r="1" spans="1:15">
      <c r="A1" s="288"/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90"/>
    </row>
    <row r="2" spans="1:15">
      <c r="A2" s="237" t="s">
        <v>24</v>
      </c>
      <c r="B2" s="292" t="s">
        <v>23</v>
      </c>
      <c r="C2" s="286"/>
      <c r="D2" s="286"/>
      <c r="E2" s="286"/>
      <c r="F2" s="286"/>
      <c r="G2" s="293" t="s">
        <v>172</v>
      </c>
      <c r="H2" s="286"/>
      <c r="I2" s="286"/>
      <c r="J2" s="172" t="s">
        <v>18</v>
      </c>
      <c r="K2" s="136">
        <v>81</v>
      </c>
      <c r="L2" s="286"/>
      <c r="M2" s="237" t="s">
        <v>157</v>
      </c>
      <c r="N2" s="73">
        <f>EL_02001_m+EL_02001_p+EL_02001_t</f>
        <v>114.068</v>
      </c>
      <c r="O2" s="121"/>
    </row>
    <row r="3" spans="1:15">
      <c r="A3" s="237" t="s">
        <v>170</v>
      </c>
      <c r="B3" s="292" t="str">
        <f>'EL A0200'!B3</f>
        <v>Electrical</v>
      </c>
      <c r="C3" s="286"/>
      <c r="D3" s="237" t="s">
        <v>165</v>
      </c>
      <c r="E3" s="325"/>
      <c r="F3" s="286"/>
      <c r="G3" s="286"/>
      <c r="H3" s="286"/>
      <c r="I3" s="286"/>
      <c r="J3" s="286"/>
      <c r="K3" s="286"/>
      <c r="L3" s="286"/>
      <c r="M3" s="237" t="s">
        <v>168</v>
      </c>
      <c r="N3" s="82">
        <v>1</v>
      </c>
      <c r="O3" s="121"/>
    </row>
    <row r="4" spans="1:15">
      <c r="A4" s="237" t="s">
        <v>167</v>
      </c>
      <c r="B4" s="293" t="str">
        <f>'EL A0200'!B4</f>
        <v>Front vehicule electronics</v>
      </c>
      <c r="C4" s="286"/>
      <c r="D4" s="237" t="s">
        <v>163</v>
      </c>
      <c r="E4" s="286"/>
      <c r="F4" s="286"/>
      <c r="G4" s="286"/>
      <c r="H4" s="286"/>
      <c r="I4" s="286"/>
      <c r="J4" s="238" t="s">
        <v>165</v>
      </c>
      <c r="K4" s="286"/>
      <c r="L4" s="286"/>
      <c r="M4" s="286"/>
      <c r="N4" s="286"/>
      <c r="O4" s="121"/>
    </row>
    <row r="5" spans="1:15">
      <c r="A5" s="237" t="s">
        <v>158</v>
      </c>
      <c r="B5" s="134" t="s">
        <v>264</v>
      </c>
      <c r="C5" s="286"/>
      <c r="D5" s="237" t="s">
        <v>160</v>
      </c>
      <c r="E5" s="286"/>
      <c r="F5" s="286"/>
      <c r="G5" s="286"/>
      <c r="H5" s="286"/>
      <c r="I5" s="286"/>
      <c r="J5" s="238" t="s">
        <v>163</v>
      </c>
      <c r="K5" s="286"/>
      <c r="L5" s="286"/>
      <c r="M5" s="237" t="s">
        <v>162</v>
      </c>
      <c r="N5" s="73">
        <f>N3*N2</f>
        <v>114.068</v>
      </c>
      <c r="O5" s="121"/>
    </row>
    <row r="6" spans="1:15">
      <c r="A6" s="237" t="s">
        <v>164</v>
      </c>
      <c r="B6" s="179" t="s">
        <v>263</v>
      </c>
      <c r="C6" s="286"/>
      <c r="D6" s="286"/>
      <c r="E6" s="286"/>
      <c r="F6" s="286"/>
      <c r="G6" s="286"/>
      <c r="H6" s="286"/>
      <c r="I6" s="286"/>
      <c r="J6" s="238" t="s">
        <v>160</v>
      </c>
      <c r="K6" s="286"/>
      <c r="L6" s="286"/>
      <c r="M6" s="286"/>
      <c r="N6" s="286"/>
      <c r="O6" s="121"/>
    </row>
    <row r="7" spans="1:15">
      <c r="A7" s="237" t="s">
        <v>161</v>
      </c>
      <c r="B7" s="292" t="s">
        <v>1</v>
      </c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6"/>
      <c r="N7" s="286"/>
      <c r="O7" s="121"/>
    </row>
    <row r="8" spans="1:15">
      <c r="A8" s="237" t="s">
        <v>159</v>
      </c>
      <c r="B8" s="292" t="s">
        <v>262</v>
      </c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6"/>
      <c r="N8" s="286"/>
      <c r="O8" s="121"/>
    </row>
    <row r="9" spans="1:15">
      <c r="A9" s="326"/>
      <c r="B9" s="327"/>
      <c r="C9" s="327"/>
      <c r="D9" s="327"/>
      <c r="E9" s="327"/>
      <c r="F9" s="286"/>
      <c r="G9" s="286"/>
      <c r="H9" s="286"/>
      <c r="I9" s="286"/>
      <c r="J9" s="286"/>
      <c r="K9" s="286"/>
      <c r="L9" s="286"/>
      <c r="M9" s="286"/>
      <c r="N9" s="286"/>
      <c r="O9" s="121"/>
    </row>
    <row r="10" spans="1:15">
      <c r="A10" s="233" t="s">
        <v>35</v>
      </c>
      <c r="B10" s="232" t="s">
        <v>156</v>
      </c>
      <c r="C10" s="232" t="s">
        <v>33</v>
      </c>
      <c r="D10" s="232" t="s">
        <v>32</v>
      </c>
      <c r="E10" s="232" t="s">
        <v>56</v>
      </c>
      <c r="F10" s="223" t="s">
        <v>55</v>
      </c>
      <c r="G10" s="223" t="s">
        <v>54</v>
      </c>
      <c r="H10" s="223" t="s">
        <v>53</v>
      </c>
      <c r="I10" s="223" t="s">
        <v>155</v>
      </c>
      <c r="J10" s="223" t="s">
        <v>154</v>
      </c>
      <c r="K10" s="223" t="s">
        <v>153</v>
      </c>
      <c r="L10" s="223" t="s">
        <v>152</v>
      </c>
      <c r="M10" s="223" t="s">
        <v>8</v>
      </c>
      <c r="N10" s="223" t="s">
        <v>25</v>
      </c>
      <c r="O10" s="121"/>
    </row>
    <row r="11" spans="1:15">
      <c r="A11" s="162">
        <v>10</v>
      </c>
      <c r="B11" s="300" t="s">
        <v>261</v>
      </c>
      <c r="C11" s="159" t="s">
        <v>260</v>
      </c>
      <c r="D11" s="103">
        <v>200</v>
      </c>
      <c r="E11" s="195">
        <f>J11*K11*L11</f>
        <v>0.32863999999999999</v>
      </c>
      <c r="F11" s="159" t="s">
        <v>180</v>
      </c>
      <c r="G11" s="159"/>
      <c r="H11" s="104"/>
      <c r="I11" s="158" t="s">
        <v>259</v>
      </c>
      <c r="J11" s="157">
        <v>5.1999999999999998E-2</v>
      </c>
      <c r="K11" s="156">
        <v>4.0000000000000001E-3</v>
      </c>
      <c r="L11" s="177">
        <v>1580</v>
      </c>
      <c r="M11" s="106">
        <v>1</v>
      </c>
      <c r="N11" s="103">
        <f>E11*D11</f>
        <v>65.727999999999994</v>
      </c>
      <c r="O11" s="121"/>
    </row>
    <row r="12" spans="1:15">
      <c r="A12" s="301"/>
      <c r="B12" s="302"/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153" t="s">
        <v>25</v>
      </c>
      <c r="N12" s="211">
        <f>SUM(N11:N11)</f>
        <v>65.727999999999994</v>
      </c>
      <c r="O12" s="121"/>
    </row>
    <row r="13" spans="1:15">
      <c r="A13" s="296"/>
      <c r="B13" s="286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6"/>
      <c r="N13" s="286"/>
      <c r="O13" s="121"/>
    </row>
    <row r="14" spans="1:15">
      <c r="A14" s="224" t="s">
        <v>35</v>
      </c>
      <c r="B14" s="223" t="s">
        <v>89</v>
      </c>
      <c r="C14" s="223" t="s">
        <v>33</v>
      </c>
      <c r="D14" s="223" t="s">
        <v>32</v>
      </c>
      <c r="E14" s="223" t="s">
        <v>31</v>
      </c>
      <c r="F14" s="223" t="s">
        <v>8</v>
      </c>
      <c r="G14" s="223" t="s">
        <v>88</v>
      </c>
      <c r="H14" s="223" t="s">
        <v>87</v>
      </c>
      <c r="I14" s="223" t="s">
        <v>25</v>
      </c>
      <c r="J14" s="302"/>
      <c r="K14" s="302"/>
      <c r="L14" s="302"/>
      <c r="M14" s="302"/>
      <c r="N14" s="302"/>
      <c r="O14" s="121"/>
    </row>
    <row r="15" spans="1:15">
      <c r="A15" s="162">
        <v>10</v>
      </c>
      <c r="B15" s="282" t="s">
        <v>258</v>
      </c>
      <c r="C15" s="159" t="s">
        <v>257</v>
      </c>
      <c r="D15" s="103">
        <v>0.06</v>
      </c>
      <c r="E15" s="159" t="s">
        <v>62</v>
      </c>
      <c r="F15" s="328">
        <v>218</v>
      </c>
      <c r="G15" s="282" t="s">
        <v>189</v>
      </c>
      <c r="H15" s="283">
        <v>2</v>
      </c>
      <c r="I15" s="285">
        <f>IF(H15="",D15*F15,D15*F15*H15)</f>
        <v>26.16</v>
      </c>
      <c r="J15" s="286"/>
      <c r="K15" s="286"/>
      <c r="L15" s="286"/>
      <c r="M15" s="286"/>
      <c r="N15" s="286"/>
      <c r="O15" s="121"/>
    </row>
    <row r="16" spans="1:15">
      <c r="A16" s="162">
        <v>20</v>
      </c>
      <c r="B16" s="282" t="s">
        <v>256</v>
      </c>
      <c r="C16" s="159" t="s">
        <v>255</v>
      </c>
      <c r="D16" s="103">
        <v>35</v>
      </c>
      <c r="E16" s="159" t="s">
        <v>240</v>
      </c>
      <c r="F16" s="328">
        <v>4.1000000000000002E-2</v>
      </c>
      <c r="G16" s="282" t="s">
        <v>189</v>
      </c>
      <c r="H16" s="283">
        <v>2</v>
      </c>
      <c r="I16" s="285">
        <f>IF(H16="",D16*F16,D16*F16*H16)</f>
        <v>2.87</v>
      </c>
      <c r="J16" s="286"/>
      <c r="K16" s="286"/>
      <c r="L16" s="286"/>
      <c r="M16" s="286"/>
      <c r="N16" s="286"/>
      <c r="O16" s="121"/>
    </row>
    <row r="17" spans="1:15">
      <c r="A17" s="162">
        <v>30</v>
      </c>
      <c r="B17" s="282" t="s">
        <v>254</v>
      </c>
      <c r="C17" s="159" t="s">
        <v>253</v>
      </c>
      <c r="D17" s="103">
        <v>5</v>
      </c>
      <c r="E17" s="159" t="s">
        <v>240</v>
      </c>
      <c r="F17" s="329">
        <v>4.1000000000000002E-2</v>
      </c>
      <c r="G17" s="282"/>
      <c r="H17" s="283">
        <v>2</v>
      </c>
      <c r="I17" s="285">
        <f>IF(H17="",D17*F17,D17*F17*H17)</f>
        <v>0.41000000000000003</v>
      </c>
      <c r="J17" s="286"/>
      <c r="K17" s="286"/>
      <c r="L17" s="286"/>
      <c r="M17" s="286"/>
      <c r="N17" s="286"/>
      <c r="O17" s="121"/>
    </row>
    <row r="18" spans="1:15">
      <c r="A18" s="162">
        <v>40</v>
      </c>
      <c r="B18" s="282" t="s">
        <v>252</v>
      </c>
      <c r="C18" s="159"/>
      <c r="D18" s="103">
        <v>10</v>
      </c>
      <c r="E18" s="159" t="s">
        <v>240</v>
      </c>
      <c r="F18" s="329">
        <v>4.1000000000000002E-2</v>
      </c>
      <c r="G18" s="282"/>
      <c r="H18" s="283"/>
      <c r="I18" s="285">
        <f>IF(H18="",D18*F18,D18*F18*H18)</f>
        <v>0.41000000000000003</v>
      </c>
      <c r="J18" s="286"/>
      <c r="K18" s="286"/>
      <c r="L18" s="286"/>
      <c r="M18" s="286"/>
      <c r="N18" s="286"/>
      <c r="O18" s="121"/>
    </row>
    <row r="19" spans="1:15">
      <c r="A19" s="162">
        <v>50</v>
      </c>
      <c r="B19" s="282" t="s">
        <v>251</v>
      </c>
      <c r="C19" s="159" t="s">
        <v>250</v>
      </c>
      <c r="D19" s="103">
        <v>10</v>
      </c>
      <c r="E19" s="159" t="s">
        <v>240</v>
      </c>
      <c r="F19" s="329">
        <v>4.1000000000000002E-2</v>
      </c>
      <c r="G19" s="282"/>
      <c r="H19" s="283"/>
      <c r="I19" s="285">
        <f>IF(H19="",D19*F19,D19*F19*H19)</f>
        <v>0.41000000000000003</v>
      </c>
      <c r="J19" s="286"/>
      <c r="K19" s="286"/>
      <c r="L19" s="286"/>
      <c r="M19" s="286"/>
      <c r="N19" s="286"/>
      <c r="O19" s="121"/>
    </row>
    <row r="20" spans="1:15">
      <c r="A20" s="162">
        <v>60</v>
      </c>
      <c r="B20" s="282" t="s">
        <v>178</v>
      </c>
      <c r="C20" s="159" t="s">
        <v>249</v>
      </c>
      <c r="D20" s="103">
        <v>1.3</v>
      </c>
      <c r="E20" s="159" t="s">
        <v>31</v>
      </c>
      <c r="F20" s="328">
        <v>1</v>
      </c>
      <c r="G20" s="282"/>
      <c r="H20" s="283"/>
      <c r="I20" s="285">
        <f>IF(H20="",D20*F20,D20*F20*H20)</f>
        <v>1.3</v>
      </c>
      <c r="J20" s="286"/>
      <c r="K20" s="286"/>
      <c r="L20" s="286"/>
      <c r="M20" s="286"/>
      <c r="N20" s="286"/>
      <c r="O20" s="121"/>
    </row>
    <row r="21" spans="1:15">
      <c r="A21" s="162">
        <v>70</v>
      </c>
      <c r="B21" s="282" t="s">
        <v>248</v>
      </c>
      <c r="C21" s="159" t="s">
        <v>247</v>
      </c>
      <c r="D21" s="103">
        <v>0.01</v>
      </c>
      <c r="E21" s="159" t="s">
        <v>62</v>
      </c>
      <c r="F21" s="328">
        <v>218</v>
      </c>
      <c r="G21" s="282"/>
      <c r="H21" s="283"/>
      <c r="I21" s="285">
        <f>IF(H21="",D21*F21,D21*F21*H21)</f>
        <v>2.1800000000000002</v>
      </c>
      <c r="J21" s="286"/>
      <c r="K21" s="286"/>
      <c r="L21" s="286"/>
      <c r="M21" s="286"/>
      <c r="N21" s="286"/>
      <c r="O21" s="121"/>
    </row>
    <row r="22" spans="1:15">
      <c r="A22" s="162">
        <v>80</v>
      </c>
      <c r="B22" s="282" t="s">
        <v>246</v>
      </c>
      <c r="C22" s="159" t="s">
        <v>245</v>
      </c>
      <c r="D22" s="103">
        <v>0.35</v>
      </c>
      <c r="E22" s="159" t="s">
        <v>244</v>
      </c>
      <c r="F22" s="328">
        <v>36</v>
      </c>
      <c r="G22" s="282"/>
      <c r="H22" s="283"/>
      <c r="I22" s="285">
        <f>IF(H22="",D22*F22,D22*F22*H22)</f>
        <v>12.6</v>
      </c>
      <c r="J22" s="286"/>
      <c r="K22" s="286"/>
      <c r="L22" s="286"/>
      <c r="M22" s="286"/>
      <c r="N22" s="286"/>
      <c r="O22" s="121"/>
    </row>
    <row r="23" spans="1:15">
      <c r="A23" s="301"/>
      <c r="B23" s="302"/>
      <c r="C23" s="302"/>
      <c r="D23" s="302"/>
      <c r="E23" s="302"/>
      <c r="F23" s="302"/>
      <c r="G23" s="302"/>
      <c r="H23" s="141" t="s">
        <v>25</v>
      </c>
      <c r="I23" s="211">
        <f>SUM(I15:I22)</f>
        <v>46.34</v>
      </c>
      <c r="J23" s="302"/>
      <c r="K23" s="302"/>
      <c r="L23" s="302"/>
      <c r="M23" s="302"/>
      <c r="N23" s="302"/>
      <c r="O23" s="121"/>
    </row>
    <row r="24" spans="1:15">
      <c r="A24" s="296"/>
      <c r="B24" s="286"/>
      <c r="C24" s="286"/>
      <c r="D24" s="286"/>
      <c r="E24" s="286"/>
      <c r="F24" s="286"/>
      <c r="G24" s="286"/>
      <c r="H24" s="286"/>
      <c r="I24" s="294"/>
      <c r="J24" s="286"/>
      <c r="K24" s="286"/>
      <c r="L24" s="286"/>
      <c r="M24" s="286"/>
      <c r="N24" s="286"/>
      <c r="O24" s="121"/>
    </row>
    <row r="25" spans="1:15">
      <c r="A25" s="224" t="s">
        <v>35</v>
      </c>
      <c r="B25" s="223" t="s">
        <v>34</v>
      </c>
      <c r="C25" s="223" t="s">
        <v>33</v>
      </c>
      <c r="D25" s="223" t="s">
        <v>32</v>
      </c>
      <c r="E25" s="223" t="s">
        <v>31</v>
      </c>
      <c r="F25" s="223" t="s">
        <v>8</v>
      </c>
      <c r="G25" s="223" t="s">
        <v>30</v>
      </c>
      <c r="H25" s="223" t="s">
        <v>243</v>
      </c>
      <c r="I25" s="223" t="s">
        <v>25</v>
      </c>
      <c r="J25" s="302"/>
      <c r="K25" s="286"/>
      <c r="L25" s="286"/>
      <c r="M25" s="286"/>
      <c r="N25" s="286"/>
      <c r="O25" s="121"/>
    </row>
    <row r="26" spans="1:15" s="298" customFormat="1">
      <c r="A26" s="162">
        <v>10</v>
      </c>
      <c r="B26" s="159" t="s">
        <v>242</v>
      </c>
      <c r="C26" s="159" t="s">
        <v>241</v>
      </c>
      <c r="D26" s="103">
        <v>1500</v>
      </c>
      <c r="E26" s="159" t="s">
        <v>240</v>
      </c>
      <c r="F26" s="159">
        <v>4</v>
      </c>
      <c r="G26" s="159">
        <v>3000</v>
      </c>
      <c r="H26" s="159">
        <v>1</v>
      </c>
      <c r="I26" s="103">
        <f>F26*D26/G26</f>
        <v>2</v>
      </c>
      <c r="J26" s="294"/>
      <c r="K26" s="294"/>
      <c r="L26" s="294"/>
      <c r="M26" s="294"/>
      <c r="N26" s="294"/>
      <c r="O26" s="330"/>
    </row>
    <row r="27" spans="1:15">
      <c r="A27" s="301"/>
      <c r="B27" s="302"/>
      <c r="C27" s="302"/>
      <c r="D27" s="302"/>
      <c r="E27" s="302"/>
      <c r="F27" s="302"/>
      <c r="G27" s="302"/>
      <c r="H27" s="141" t="s">
        <v>25</v>
      </c>
      <c r="I27" s="211">
        <f>SUM(I26:I26)</f>
        <v>2</v>
      </c>
      <c r="J27" s="302"/>
      <c r="K27" s="286"/>
      <c r="L27" s="286"/>
      <c r="M27" s="286"/>
      <c r="N27" s="286"/>
      <c r="O27" s="121"/>
    </row>
    <row r="28" spans="1:15" ht="15.75" thickBot="1">
      <c r="A28" s="322"/>
      <c r="B28" s="323"/>
      <c r="C28" s="323"/>
      <c r="D28" s="323"/>
      <c r="E28" s="323"/>
      <c r="F28" s="323"/>
      <c r="G28" s="323"/>
      <c r="H28" s="323"/>
      <c r="I28" s="323"/>
      <c r="J28" s="323"/>
      <c r="K28" s="323"/>
      <c r="L28" s="323"/>
      <c r="M28" s="323"/>
      <c r="N28" s="323"/>
      <c r="O28" s="324"/>
    </row>
  </sheetData>
  <hyperlinks>
    <hyperlink ref="B4" location="EL_A0002" display="EL_A0002" xr:uid="{00000000-0004-0000-0300-000000000000}"/>
    <hyperlink ref="G2" location="EL_A0002_BOM" display="Back to BOM" xr:uid="{8D5DC6B8-418A-4819-B424-78A9AA148202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28" max="16383" man="1"/>
    <brk id="62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891B-1B1A-40DF-93F2-D673F45166C0}">
  <sheetPr>
    <tabColor theme="9" tint="0.39994506668294322"/>
    <pageSetUpPr fitToPage="1"/>
  </sheetPr>
  <dimension ref="A1:O36"/>
  <sheetViews>
    <sheetView topLeftCell="A19" zoomScale="85" zoomScaleNormal="85" workbookViewId="0">
      <selection activeCell="C16" sqref="C16"/>
    </sheetView>
  </sheetViews>
  <sheetFormatPr baseColWidth="10" defaultColWidth="9.140625" defaultRowHeight="15"/>
  <cols>
    <col min="1" max="1" width="9.140625" style="63"/>
    <col min="2" max="2" width="41.140625" style="63" customWidth="1"/>
    <col min="3" max="3" width="43.42578125" style="63" customWidth="1"/>
    <col min="4" max="4" width="9.140625" style="63"/>
    <col min="5" max="5" width="5.7109375" style="63" customWidth="1"/>
    <col min="6" max="6" width="8.28515625" style="63" customWidth="1"/>
    <col min="7" max="12" width="9.140625" style="63"/>
    <col min="13" max="13" width="13" style="63" customWidth="1"/>
    <col min="14" max="14" width="9.140625" style="63"/>
    <col min="15" max="15" width="3.140625" style="63" customWidth="1"/>
    <col min="16" max="16384" width="9.140625" style="63"/>
  </cols>
  <sheetData>
    <row r="1" spans="1:15">
      <c r="A1" s="246"/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8"/>
    </row>
    <row r="2" spans="1:15">
      <c r="A2" s="249" t="s">
        <v>24</v>
      </c>
      <c r="B2" s="132" t="s">
        <v>23</v>
      </c>
      <c r="C2" s="64"/>
      <c r="D2" s="64"/>
      <c r="E2" s="64"/>
      <c r="F2" s="64"/>
      <c r="G2" s="170" t="s">
        <v>172</v>
      </c>
      <c r="H2" s="64"/>
      <c r="I2" s="64"/>
      <c r="J2" s="172" t="s">
        <v>18</v>
      </c>
      <c r="K2" s="136">
        <v>81</v>
      </c>
      <c r="L2" s="64"/>
      <c r="M2" s="167" t="s">
        <v>157</v>
      </c>
      <c r="N2" s="73">
        <f>EL_02002_m+EL_02002_p+EL_02002_f</f>
        <v>234.70000000000002</v>
      </c>
      <c r="O2" s="250"/>
    </row>
    <row r="3" spans="1:15">
      <c r="A3" s="249" t="s">
        <v>170</v>
      </c>
      <c r="B3" s="132" t="str">
        <f>'EL A0200'!B3</f>
        <v>Electrical</v>
      </c>
      <c r="C3" s="64"/>
      <c r="D3" s="167" t="s">
        <v>165</v>
      </c>
      <c r="E3" s="196"/>
      <c r="F3" s="64"/>
      <c r="G3" s="64"/>
      <c r="H3" s="64"/>
      <c r="I3" s="64"/>
      <c r="J3" s="64"/>
      <c r="K3" s="64"/>
      <c r="L3" s="64"/>
      <c r="M3" s="167" t="s">
        <v>168</v>
      </c>
      <c r="N3" s="82">
        <v>1</v>
      </c>
      <c r="O3" s="250"/>
    </row>
    <row r="4" spans="1:15">
      <c r="A4" s="249" t="s">
        <v>167</v>
      </c>
      <c r="B4" s="170" t="str">
        <f>'EL A0200'!B4</f>
        <v>Front vehicule electronics</v>
      </c>
      <c r="C4" s="64"/>
      <c r="D4" s="167" t="s">
        <v>163</v>
      </c>
      <c r="E4" s="64"/>
      <c r="F4" s="64"/>
      <c r="G4" s="64"/>
      <c r="H4" s="64"/>
      <c r="I4" s="64"/>
      <c r="J4" s="168" t="s">
        <v>165</v>
      </c>
      <c r="K4" s="64"/>
      <c r="L4" s="64"/>
      <c r="M4" s="64"/>
      <c r="N4" s="64"/>
      <c r="O4" s="250"/>
    </row>
    <row r="5" spans="1:15">
      <c r="A5" s="249" t="s">
        <v>158</v>
      </c>
      <c r="B5" s="134" t="s">
        <v>293</v>
      </c>
      <c r="C5" s="64"/>
      <c r="D5" s="167" t="s">
        <v>160</v>
      </c>
      <c r="E5" s="64"/>
      <c r="F5" s="64"/>
      <c r="G5" s="64"/>
      <c r="H5" s="64"/>
      <c r="I5" s="64"/>
      <c r="J5" s="168" t="s">
        <v>163</v>
      </c>
      <c r="K5" s="64"/>
      <c r="L5" s="64"/>
      <c r="M5" s="167" t="s">
        <v>162</v>
      </c>
      <c r="N5" s="73">
        <f>N3*N2</f>
        <v>234.70000000000002</v>
      </c>
      <c r="O5" s="250"/>
    </row>
    <row r="6" spans="1:15">
      <c r="A6" s="249" t="s">
        <v>164</v>
      </c>
      <c r="B6" s="179" t="s">
        <v>292</v>
      </c>
      <c r="C6" s="64"/>
      <c r="D6" s="64"/>
      <c r="E6" s="64"/>
      <c r="F6" s="64"/>
      <c r="G6" s="64"/>
      <c r="H6" s="64"/>
      <c r="I6" s="64"/>
      <c r="J6" s="168" t="s">
        <v>160</v>
      </c>
      <c r="K6" s="64"/>
      <c r="L6" s="64"/>
      <c r="M6" s="64"/>
      <c r="N6" s="64"/>
      <c r="O6" s="250"/>
    </row>
    <row r="7" spans="1:15">
      <c r="A7" s="249" t="s">
        <v>161</v>
      </c>
      <c r="B7" s="132" t="s">
        <v>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250"/>
    </row>
    <row r="8" spans="1:15">
      <c r="A8" s="249" t="s">
        <v>159</v>
      </c>
      <c r="B8" s="132" t="s">
        <v>291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250"/>
    </row>
    <row r="9" spans="1:15">
      <c r="A9" s="251"/>
      <c r="B9" s="165"/>
      <c r="C9" s="165"/>
      <c r="D9" s="165"/>
      <c r="E9" s="165"/>
      <c r="F9" s="64"/>
      <c r="G9" s="64"/>
      <c r="H9" s="64"/>
      <c r="I9" s="64"/>
      <c r="J9" s="64"/>
      <c r="K9" s="64"/>
      <c r="L9" s="64"/>
      <c r="M9" s="64"/>
      <c r="N9" s="64"/>
      <c r="O9" s="250"/>
    </row>
    <row r="10" spans="1:15">
      <c r="A10" s="252" t="s">
        <v>35</v>
      </c>
      <c r="B10" s="163" t="s">
        <v>156</v>
      </c>
      <c r="C10" s="163" t="s">
        <v>33</v>
      </c>
      <c r="D10" s="163" t="s">
        <v>32</v>
      </c>
      <c r="E10" s="163" t="s">
        <v>56</v>
      </c>
      <c r="F10" s="151" t="s">
        <v>55</v>
      </c>
      <c r="G10" s="151" t="s">
        <v>54</v>
      </c>
      <c r="H10" s="151" t="s">
        <v>53</v>
      </c>
      <c r="I10" s="151" t="s">
        <v>155</v>
      </c>
      <c r="J10" s="151" t="s">
        <v>154</v>
      </c>
      <c r="K10" s="151" t="s">
        <v>153</v>
      </c>
      <c r="L10" s="151" t="s">
        <v>152</v>
      </c>
      <c r="M10" s="151" t="s">
        <v>8</v>
      </c>
      <c r="N10" s="151" t="s">
        <v>25</v>
      </c>
      <c r="O10" s="250"/>
    </row>
    <row r="11" spans="1:15" s="120" customFormat="1">
      <c r="A11" s="253">
        <v>10</v>
      </c>
      <c r="B11" s="191" t="s">
        <v>209</v>
      </c>
      <c r="C11" s="159" t="s">
        <v>290</v>
      </c>
      <c r="D11" s="103">
        <v>1</v>
      </c>
      <c r="E11" s="159">
        <v>1</v>
      </c>
      <c r="F11" s="159" t="s">
        <v>60</v>
      </c>
      <c r="G11" s="159"/>
      <c r="H11" s="104"/>
      <c r="I11" s="158"/>
      <c r="J11" s="157"/>
      <c r="K11" s="156"/>
      <c r="L11" s="177"/>
      <c r="M11" s="106">
        <v>32</v>
      </c>
      <c r="N11" s="103">
        <f>IF(J11="",D11*M11,D11*J11*K11*L11*M11)</f>
        <v>32</v>
      </c>
      <c r="O11" s="254"/>
    </row>
    <row r="12" spans="1:15">
      <c r="A12" s="253">
        <v>20</v>
      </c>
      <c r="B12" s="191" t="s">
        <v>95</v>
      </c>
      <c r="C12" s="159" t="s">
        <v>289</v>
      </c>
      <c r="D12" s="103">
        <v>3</v>
      </c>
      <c r="E12" s="159">
        <v>1</v>
      </c>
      <c r="F12" s="159" t="s">
        <v>60</v>
      </c>
      <c r="G12" s="159"/>
      <c r="H12" s="104"/>
      <c r="I12" s="158"/>
      <c r="J12" s="157"/>
      <c r="K12" s="156"/>
      <c r="L12" s="177"/>
      <c r="M12" s="106">
        <v>2</v>
      </c>
      <c r="N12" s="103">
        <f>IF(J12="",D12*M12,D12*J12*K12*L12*M12)</f>
        <v>6</v>
      </c>
      <c r="O12" s="250"/>
    </row>
    <row r="13" spans="1:15" ht="16.5" customHeight="1">
      <c r="A13" s="253">
        <v>30</v>
      </c>
      <c r="B13" s="191" t="s">
        <v>288</v>
      </c>
      <c r="C13" s="159" t="s">
        <v>287</v>
      </c>
      <c r="D13" s="103">
        <v>20</v>
      </c>
      <c r="E13" s="159"/>
      <c r="F13" s="159" t="s">
        <v>36</v>
      </c>
      <c r="G13" s="159"/>
      <c r="H13" s="104"/>
      <c r="I13" s="158"/>
      <c r="J13" s="157"/>
      <c r="K13" s="156"/>
      <c r="L13" s="177"/>
      <c r="M13" s="106">
        <v>1</v>
      </c>
      <c r="N13" s="103">
        <f>IF(J13="",D13*M13,D13*J13*K13*L13*M13)</f>
        <v>20</v>
      </c>
      <c r="O13" s="250"/>
    </row>
    <row r="14" spans="1:15">
      <c r="A14" s="253">
        <v>40</v>
      </c>
      <c r="B14" s="191" t="s">
        <v>214</v>
      </c>
      <c r="C14" s="159" t="s">
        <v>286</v>
      </c>
      <c r="D14" s="103">
        <v>1</v>
      </c>
      <c r="E14" s="159"/>
      <c r="F14" s="159" t="s">
        <v>103</v>
      </c>
      <c r="G14" s="159"/>
      <c r="H14" s="104"/>
      <c r="I14" s="158"/>
      <c r="J14" s="157"/>
      <c r="K14" s="156"/>
      <c r="L14" s="177"/>
      <c r="M14" s="106">
        <v>32</v>
      </c>
      <c r="N14" s="103">
        <f>IF(J14="",D14*M14,D14*J14*K14*L14*M14)</f>
        <v>32</v>
      </c>
      <c r="O14" s="250"/>
    </row>
    <row r="15" spans="1:15">
      <c r="A15" s="253">
        <v>50</v>
      </c>
      <c r="B15" s="191" t="s">
        <v>214</v>
      </c>
      <c r="C15" s="159" t="s">
        <v>285</v>
      </c>
      <c r="D15" s="103">
        <v>1</v>
      </c>
      <c r="E15" s="159"/>
      <c r="F15" s="159" t="s">
        <v>103</v>
      </c>
      <c r="G15" s="159"/>
      <c r="H15" s="104"/>
      <c r="I15" s="158"/>
      <c r="J15" s="157"/>
      <c r="K15" s="156"/>
      <c r="L15" s="177"/>
      <c r="M15" s="106">
        <v>2</v>
      </c>
      <c r="N15" s="103">
        <f>IF(J15="",D15*M15,D15*J15*K15*L15*M15)</f>
        <v>2</v>
      </c>
      <c r="O15" s="250"/>
    </row>
    <row r="16" spans="1:15">
      <c r="A16" s="253">
        <v>60</v>
      </c>
      <c r="B16" s="191" t="s">
        <v>214</v>
      </c>
      <c r="C16" s="159" t="s">
        <v>284</v>
      </c>
      <c r="D16" s="103">
        <v>1</v>
      </c>
      <c r="E16" s="159"/>
      <c r="F16" s="159" t="s">
        <v>103</v>
      </c>
      <c r="G16" s="159"/>
      <c r="H16" s="104"/>
      <c r="I16" s="158"/>
      <c r="J16" s="157"/>
      <c r="K16" s="156"/>
      <c r="L16" s="177"/>
      <c r="M16" s="106">
        <v>8</v>
      </c>
      <c r="N16" s="103">
        <f>IF(J16="",D16*M16,D16*J16*K16*L16*M16)</f>
        <v>8</v>
      </c>
      <c r="O16" s="250"/>
    </row>
    <row r="17" spans="1:15">
      <c r="A17" s="253">
        <v>70</v>
      </c>
      <c r="B17" s="191" t="s">
        <v>214</v>
      </c>
      <c r="C17" s="159" t="s">
        <v>283</v>
      </c>
      <c r="D17" s="103">
        <v>1</v>
      </c>
      <c r="E17" s="159"/>
      <c r="F17" s="159" t="s">
        <v>103</v>
      </c>
      <c r="G17" s="159"/>
      <c r="H17" s="104"/>
      <c r="I17" s="158"/>
      <c r="J17" s="157"/>
      <c r="K17" s="156"/>
      <c r="L17" s="177"/>
      <c r="M17" s="106">
        <v>8</v>
      </c>
      <c r="N17" s="103">
        <f>IF(J17="",D17*M17,D17*J17*K17*L17*M17)</f>
        <v>8</v>
      </c>
      <c r="O17" s="250"/>
    </row>
    <row r="18" spans="1:15">
      <c r="A18" s="253">
        <v>80</v>
      </c>
      <c r="B18" s="191" t="s">
        <v>214</v>
      </c>
      <c r="C18" s="159" t="s">
        <v>282</v>
      </c>
      <c r="D18" s="103">
        <v>1</v>
      </c>
      <c r="E18" s="159"/>
      <c r="F18" s="159" t="s">
        <v>103</v>
      </c>
      <c r="G18" s="159"/>
      <c r="H18" s="104"/>
      <c r="I18" s="158"/>
      <c r="J18" s="157"/>
      <c r="K18" s="156"/>
      <c r="L18" s="177"/>
      <c r="M18" s="106">
        <v>2</v>
      </c>
      <c r="N18" s="103">
        <f>IF(J18="",D18*M18,D18*J18*K18*L18*M18)</f>
        <v>2</v>
      </c>
      <c r="O18" s="250"/>
    </row>
    <row r="19" spans="1:15">
      <c r="A19" s="253">
        <v>90</v>
      </c>
      <c r="B19" s="191" t="s">
        <v>92</v>
      </c>
      <c r="C19" s="159" t="s">
        <v>281</v>
      </c>
      <c r="D19" s="103">
        <v>25</v>
      </c>
      <c r="E19" s="195"/>
      <c r="F19" s="159" t="s">
        <v>36</v>
      </c>
      <c r="G19" s="159"/>
      <c r="H19" s="104"/>
      <c r="I19" s="158"/>
      <c r="J19" s="157"/>
      <c r="K19" s="156"/>
      <c r="L19" s="177"/>
      <c r="M19" s="106">
        <v>1</v>
      </c>
      <c r="N19" s="103">
        <f>IF(J19="",D19*M19,D19*J19*K19*L19*M19)</f>
        <v>25</v>
      </c>
      <c r="O19" s="250"/>
    </row>
    <row r="20" spans="1:15">
      <c r="A20" s="255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153" t="s">
        <v>25</v>
      </c>
      <c r="N20" s="140">
        <f>SUM(N11:N19)</f>
        <v>135</v>
      </c>
      <c r="O20" s="250"/>
    </row>
    <row r="21" spans="1:15" s="92" customFormat="1">
      <c r="A21" s="256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257"/>
    </row>
    <row r="22" spans="1:15">
      <c r="A22" s="258" t="s">
        <v>35</v>
      </c>
      <c r="B22" s="151" t="s">
        <v>89</v>
      </c>
      <c r="C22" s="151" t="s">
        <v>33</v>
      </c>
      <c r="D22" s="151" t="s">
        <v>32</v>
      </c>
      <c r="E22" s="151" t="s">
        <v>31</v>
      </c>
      <c r="F22" s="151" t="s">
        <v>8</v>
      </c>
      <c r="G22" s="151" t="s">
        <v>88</v>
      </c>
      <c r="H22" s="151" t="s">
        <v>87</v>
      </c>
      <c r="I22" s="151" t="s">
        <v>25</v>
      </c>
      <c r="J22" s="69"/>
      <c r="K22" s="69"/>
      <c r="L22" s="69"/>
      <c r="M22" s="69"/>
      <c r="N22" s="69"/>
      <c r="O22" s="250"/>
    </row>
    <row r="23" spans="1:15" s="79" customFormat="1">
      <c r="A23" s="259">
        <v>10</v>
      </c>
      <c r="B23" s="143" t="s">
        <v>280</v>
      </c>
      <c r="C23" s="148" t="s">
        <v>279</v>
      </c>
      <c r="D23" s="149">
        <v>0.08</v>
      </c>
      <c r="E23" s="143" t="s">
        <v>36</v>
      </c>
      <c r="F23" s="148">
        <v>40</v>
      </c>
      <c r="G23" s="148"/>
      <c r="H23" s="148"/>
      <c r="I23" s="146">
        <f>IF(H23="",D23*F23,D23*F23*H23)</f>
        <v>3.2</v>
      </c>
      <c r="J23" s="87"/>
      <c r="K23" s="87"/>
      <c r="L23" s="87"/>
      <c r="M23" s="87"/>
      <c r="N23" s="87"/>
      <c r="O23" s="260"/>
    </row>
    <row r="24" spans="1:15">
      <c r="A24" s="261">
        <v>20</v>
      </c>
      <c r="B24" s="143" t="s">
        <v>278</v>
      </c>
      <c r="C24" s="107" t="s">
        <v>72</v>
      </c>
      <c r="D24" s="103">
        <v>0.08</v>
      </c>
      <c r="E24" s="107" t="s">
        <v>36</v>
      </c>
      <c r="F24" s="176">
        <v>80</v>
      </c>
      <c r="G24" s="143"/>
      <c r="H24" s="142"/>
      <c r="I24" s="103">
        <f>IF(H24="",D24*F24,D24*F24*H24)</f>
        <v>6.4</v>
      </c>
      <c r="J24" s="64"/>
      <c r="K24" s="64"/>
      <c r="L24" s="64"/>
      <c r="M24" s="64"/>
      <c r="N24" s="64"/>
      <c r="O24" s="250"/>
    </row>
    <row r="25" spans="1:15">
      <c r="A25" s="261">
        <v>30</v>
      </c>
      <c r="B25" s="64" t="s">
        <v>277</v>
      </c>
      <c r="C25" s="107" t="s">
        <v>276</v>
      </c>
      <c r="D25" s="103">
        <v>0.17</v>
      </c>
      <c r="E25" s="107" t="s">
        <v>36</v>
      </c>
      <c r="F25" s="176">
        <v>80</v>
      </c>
      <c r="G25" s="143"/>
      <c r="H25" s="142"/>
      <c r="I25" s="103">
        <f>IF(H25="",D25*F25,D25*F25*H25)</f>
        <v>13.600000000000001</v>
      </c>
      <c r="J25" s="64"/>
      <c r="K25" s="64"/>
      <c r="L25" s="64"/>
      <c r="M25" s="64"/>
      <c r="N25" s="64"/>
      <c r="O25" s="250"/>
    </row>
    <row r="26" spans="1:15">
      <c r="A26" s="261">
        <v>40</v>
      </c>
      <c r="B26" s="142" t="s">
        <v>275</v>
      </c>
      <c r="C26" s="107" t="s">
        <v>274</v>
      </c>
      <c r="D26" s="103">
        <v>0.36</v>
      </c>
      <c r="E26" s="107" t="s">
        <v>36</v>
      </c>
      <c r="F26" s="176">
        <v>80</v>
      </c>
      <c r="G26" s="143"/>
      <c r="H26" s="142"/>
      <c r="I26" s="103">
        <f>IF(H26="",D26*F26,D26*F26*H26)</f>
        <v>28.799999999999997</v>
      </c>
      <c r="J26" s="64"/>
      <c r="K26" s="64"/>
      <c r="L26" s="64"/>
      <c r="M26" s="64"/>
      <c r="N26" s="64"/>
      <c r="O26" s="250"/>
    </row>
    <row r="27" spans="1:15">
      <c r="A27" s="262">
        <v>50</v>
      </c>
      <c r="B27" s="143" t="s">
        <v>273</v>
      </c>
      <c r="C27" s="142" t="s">
        <v>272</v>
      </c>
      <c r="D27" s="103">
        <v>0.02</v>
      </c>
      <c r="E27" s="143" t="s">
        <v>60</v>
      </c>
      <c r="F27" s="142">
        <v>40</v>
      </c>
      <c r="G27" s="142"/>
      <c r="H27" s="142"/>
      <c r="I27" s="103">
        <f>IF(H27="",D27*F27,D27*F27*H27)</f>
        <v>0.8</v>
      </c>
      <c r="J27" s="81"/>
      <c r="K27" s="81"/>
      <c r="L27" s="81"/>
      <c r="M27" s="81"/>
      <c r="N27" s="81"/>
      <c r="O27" s="250"/>
    </row>
    <row r="28" spans="1:15">
      <c r="A28" s="263">
        <v>60</v>
      </c>
      <c r="B28" s="142" t="s">
        <v>271</v>
      </c>
      <c r="C28" s="199" t="s">
        <v>270</v>
      </c>
      <c r="D28" s="198">
        <v>0.14000000000000001</v>
      </c>
      <c r="E28" s="199" t="s">
        <v>36</v>
      </c>
      <c r="F28" s="144">
        <v>40</v>
      </c>
      <c r="G28" s="142"/>
      <c r="H28" s="142"/>
      <c r="I28" s="198">
        <f>IF(H28="",D28*F28,D28*F28*H28)</f>
        <v>5.6000000000000005</v>
      </c>
      <c r="J28" s="64"/>
      <c r="K28" s="64"/>
      <c r="L28" s="64"/>
      <c r="M28" s="64"/>
      <c r="N28" s="64"/>
      <c r="O28" s="250"/>
    </row>
    <row r="29" spans="1:15">
      <c r="A29" s="262">
        <v>70</v>
      </c>
      <c r="B29" s="143" t="s">
        <v>269</v>
      </c>
      <c r="C29" s="199" t="s">
        <v>268</v>
      </c>
      <c r="D29" s="103">
        <v>1</v>
      </c>
      <c r="E29" s="143" t="s">
        <v>60</v>
      </c>
      <c r="F29" s="144">
        <v>40</v>
      </c>
      <c r="G29" s="142"/>
      <c r="H29" s="142"/>
      <c r="I29" s="103">
        <f>IF(H29="",D29*F29,D29*F29*H29)</f>
        <v>40</v>
      </c>
      <c r="J29" s="81"/>
      <c r="K29" s="81"/>
      <c r="L29" s="81"/>
      <c r="M29" s="81"/>
      <c r="N29" s="81"/>
      <c r="O29" s="250"/>
    </row>
    <row r="30" spans="1:15">
      <c r="A30" s="263">
        <v>80</v>
      </c>
      <c r="B30" s="142" t="s">
        <v>266</v>
      </c>
      <c r="C30" s="199" t="s">
        <v>267</v>
      </c>
      <c r="D30" s="198">
        <v>0.09</v>
      </c>
      <c r="E30" s="199" t="s">
        <v>36</v>
      </c>
      <c r="F30" s="144">
        <v>10</v>
      </c>
      <c r="G30" s="142"/>
      <c r="H30" s="142"/>
      <c r="I30" s="198">
        <f>IF(H30="",D30*F30,D30*F30*H30)</f>
        <v>0.89999999999999991</v>
      </c>
      <c r="J30" s="64"/>
      <c r="K30" s="64"/>
      <c r="L30" s="64"/>
      <c r="M30" s="64"/>
      <c r="N30" s="64"/>
      <c r="O30" s="250"/>
    </row>
    <row r="31" spans="1:15">
      <c r="A31" s="255"/>
      <c r="B31" s="69"/>
      <c r="C31" s="69"/>
      <c r="D31" s="69"/>
      <c r="E31" s="69"/>
      <c r="F31" s="69"/>
      <c r="G31" s="69"/>
      <c r="H31" s="141" t="s">
        <v>25</v>
      </c>
      <c r="I31" s="140">
        <f>SUM(I23:I30)</f>
        <v>99.300000000000011</v>
      </c>
      <c r="J31" s="69"/>
      <c r="K31" s="69"/>
      <c r="L31" s="69"/>
      <c r="M31" s="69"/>
      <c r="N31" s="69"/>
      <c r="O31" s="250"/>
    </row>
    <row r="32" spans="1:15">
      <c r="A32" s="256"/>
      <c r="B32" s="64"/>
      <c r="C32" s="64"/>
      <c r="D32" s="64"/>
      <c r="E32" s="64"/>
      <c r="F32" s="64"/>
      <c r="G32" s="64"/>
      <c r="H32" s="64"/>
      <c r="I32" s="81"/>
      <c r="J32" s="64"/>
      <c r="K32" s="64"/>
      <c r="L32" s="64"/>
      <c r="M32" s="64"/>
      <c r="N32" s="64"/>
      <c r="O32" s="250"/>
    </row>
    <row r="33" spans="1:15">
      <c r="A33" s="258" t="s">
        <v>35</v>
      </c>
      <c r="B33" s="151" t="s">
        <v>57</v>
      </c>
      <c r="C33" s="151" t="s">
        <v>33</v>
      </c>
      <c r="D33" s="151" t="s">
        <v>32</v>
      </c>
      <c r="E33" s="151" t="s">
        <v>56</v>
      </c>
      <c r="F33" s="151" t="s">
        <v>55</v>
      </c>
      <c r="G33" s="151" t="s">
        <v>54</v>
      </c>
      <c r="H33" s="151" t="s">
        <v>53</v>
      </c>
      <c r="I33" s="151" t="s">
        <v>8</v>
      </c>
      <c r="J33" s="151" t="s">
        <v>25</v>
      </c>
      <c r="K33" s="64"/>
      <c r="L33" s="64"/>
      <c r="M33" s="64"/>
      <c r="N33" s="64"/>
      <c r="O33" s="250"/>
    </row>
    <row r="34" spans="1:15">
      <c r="A34" s="261">
        <v>10</v>
      </c>
      <c r="B34" s="107" t="s">
        <v>266</v>
      </c>
      <c r="C34" s="107" t="s">
        <v>265</v>
      </c>
      <c r="D34" s="103">
        <v>0.04</v>
      </c>
      <c r="E34" s="107"/>
      <c r="F34" s="194"/>
      <c r="G34" s="107"/>
      <c r="H34" s="107"/>
      <c r="I34" s="193">
        <v>10</v>
      </c>
      <c r="J34" s="103">
        <f>I34*D34</f>
        <v>0.4</v>
      </c>
      <c r="K34" s="64"/>
      <c r="L34" s="64"/>
      <c r="M34" s="64"/>
      <c r="N34" s="64"/>
      <c r="O34" s="250"/>
    </row>
    <row r="35" spans="1:15">
      <c r="A35" s="255"/>
      <c r="B35" s="69"/>
      <c r="C35" s="69"/>
      <c r="D35" s="69"/>
      <c r="E35" s="69"/>
      <c r="F35" s="69"/>
      <c r="G35" s="69"/>
      <c r="H35" s="69"/>
      <c r="I35" s="141" t="s">
        <v>25</v>
      </c>
      <c r="J35" s="140">
        <f>SUM(J34:J34)</f>
        <v>0.4</v>
      </c>
      <c r="K35" s="64"/>
      <c r="L35" s="64"/>
      <c r="M35" s="64"/>
      <c r="N35" s="64"/>
      <c r="O35" s="250"/>
    </row>
    <row r="36" spans="1:15" ht="15.75" thickBot="1">
      <c r="A36" s="264"/>
      <c r="B36" s="265"/>
      <c r="C36" s="265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6"/>
    </row>
  </sheetData>
  <hyperlinks>
    <hyperlink ref="B4" location="EL_A0002" display="EL_A0002" xr:uid="{00000000-0004-0000-0500-000000000000}"/>
    <hyperlink ref="G2" location="EL_A0002_BOM" display="Back to BOM" xr:uid="{2DB3ECD6-58F1-475C-9F18-BADF02EF1088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1" manualBreakCount="1">
    <brk id="6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44C3-0F07-4626-B403-B31A65258E6D}">
  <sheetPr>
    <tabColor theme="9" tint="0.39994506668294322"/>
    <pageSetUpPr fitToPage="1"/>
  </sheetPr>
  <dimension ref="A1:O19"/>
  <sheetViews>
    <sheetView zoomScale="90" zoomScaleNormal="90" workbookViewId="0">
      <selection activeCell="B4" sqref="B4"/>
    </sheetView>
  </sheetViews>
  <sheetFormatPr baseColWidth="10" defaultColWidth="9.140625" defaultRowHeight="15"/>
  <cols>
    <col min="1" max="1" width="9.140625" style="63"/>
    <col min="2" max="2" width="33.28515625" style="63" customWidth="1"/>
    <col min="3" max="3" width="16.42578125" style="63" customWidth="1"/>
    <col min="4" max="4" width="9.140625" style="63"/>
    <col min="5" max="5" width="8.42578125" style="63" customWidth="1"/>
    <col min="6" max="6" width="7.85546875" style="63" customWidth="1"/>
    <col min="7" max="14" width="9.140625" style="63"/>
    <col min="15" max="15" width="3.140625" style="63" customWidth="1"/>
    <col min="16" max="16384" width="9.140625" style="63"/>
  </cols>
  <sheetData>
    <row r="1" spans="1:15">
      <c r="A1" s="139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7"/>
    </row>
    <row r="2" spans="1:15">
      <c r="A2" s="167" t="s">
        <v>24</v>
      </c>
      <c r="B2" s="132" t="s">
        <v>23</v>
      </c>
      <c r="C2" s="64"/>
      <c r="D2" s="64"/>
      <c r="E2" s="64"/>
      <c r="F2" s="64"/>
      <c r="G2" s="170" t="s">
        <v>172</v>
      </c>
      <c r="H2" s="64"/>
      <c r="I2" s="64"/>
      <c r="J2" s="172" t="s">
        <v>18</v>
      </c>
      <c r="K2" s="136">
        <v>81</v>
      </c>
      <c r="L2" s="64"/>
      <c r="M2" s="167" t="s">
        <v>157</v>
      </c>
      <c r="N2" s="73">
        <f>EL_02003_m+EL_02003_p</f>
        <v>1.8539999999999999</v>
      </c>
      <c r="O2" s="68"/>
    </row>
    <row r="3" spans="1:15">
      <c r="A3" s="167" t="s">
        <v>170</v>
      </c>
      <c r="B3" s="132" t="str">
        <f>'EL A0200'!B3</f>
        <v>Electrical</v>
      </c>
      <c r="C3" s="64"/>
      <c r="D3" s="167" t="s">
        <v>165</v>
      </c>
      <c r="E3" s="171" t="s">
        <v>184</v>
      </c>
      <c r="F3" s="64"/>
      <c r="G3" s="64"/>
      <c r="H3" s="64"/>
      <c r="I3" s="64"/>
      <c r="J3" s="64"/>
      <c r="K3" s="64"/>
      <c r="L3" s="64"/>
      <c r="M3" s="167" t="s">
        <v>168</v>
      </c>
      <c r="N3" s="82">
        <v>1</v>
      </c>
      <c r="O3" s="68"/>
    </row>
    <row r="4" spans="1:15">
      <c r="A4" s="167" t="s">
        <v>167</v>
      </c>
      <c r="B4" s="170" t="str">
        <f>'EL A0200'!B4</f>
        <v>Front vehicule electronics</v>
      </c>
      <c r="C4" s="64"/>
      <c r="D4" s="167" t="s">
        <v>163</v>
      </c>
      <c r="E4" s="64"/>
      <c r="F4" s="64"/>
      <c r="G4" s="64"/>
      <c r="H4" s="64"/>
      <c r="I4" s="64"/>
      <c r="J4" s="168" t="s">
        <v>165</v>
      </c>
      <c r="K4" s="64"/>
      <c r="L4" s="64"/>
      <c r="M4" s="64"/>
      <c r="N4" s="64"/>
      <c r="O4" s="68"/>
    </row>
    <row r="5" spans="1:15">
      <c r="A5" s="167" t="s">
        <v>158</v>
      </c>
      <c r="B5" s="134" t="s">
        <v>301</v>
      </c>
      <c r="C5" s="64"/>
      <c r="D5" s="167" t="s">
        <v>160</v>
      </c>
      <c r="E5" s="64"/>
      <c r="F5" s="64"/>
      <c r="G5" s="64"/>
      <c r="H5" s="64"/>
      <c r="I5" s="64"/>
      <c r="J5" s="168" t="s">
        <v>163</v>
      </c>
      <c r="K5" s="64"/>
      <c r="L5" s="64"/>
      <c r="M5" s="167" t="s">
        <v>162</v>
      </c>
      <c r="N5" s="73">
        <f>N3*N2</f>
        <v>1.8539999999999999</v>
      </c>
      <c r="O5" s="68"/>
    </row>
    <row r="6" spans="1:15">
      <c r="A6" s="167" t="s">
        <v>164</v>
      </c>
      <c r="B6" s="179" t="s">
        <v>300</v>
      </c>
      <c r="C6" s="64"/>
      <c r="D6" s="64"/>
      <c r="E6" s="64"/>
      <c r="F6" s="64"/>
      <c r="G6" s="64"/>
      <c r="H6" s="64"/>
      <c r="I6" s="64"/>
      <c r="J6" s="168" t="s">
        <v>160</v>
      </c>
      <c r="K6" s="64"/>
      <c r="L6" s="64"/>
      <c r="M6" s="64"/>
      <c r="N6" s="64"/>
      <c r="O6" s="68"/>
    </row>
    <row r="7" spans="1:15">
      <c r="A7" s="167" t="s">
        <v>161</v>
      </c>
      <c r="B7" s="132" t="s">
        <v>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8"/>
    </row>
    <row r="8" spans="1:15">
      <c r="A8" s="167" t="s">
        <v>159</v>
      </c>
      <c r="B8" s="132" t="s">
        <v>299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8"/>
    </row>
    <row r="9" spans="1:15">
      <c r="A9" s="166"/>
      <c r="B9" s="165"/>
      <c r="C9" s="165"/>
      <c r="D9" s="165"/>
      <c r="E9" s="165"/>
      <c r="F9" s="64"/>
      <c r="G9" s="64"/>
      <c r="H9" s="64"/>
      <c r="I9" s="64"/>
      <c r="J9" s="64"/>
      <c r="K9" s="64"/>
      <c r="L9" s="64"/>
      <c r="M9" s="64"/>
      <c r="N9" s="64"/>
      <c r="O9" s="68"/>
    </row>
    <row r="10" spans="1:15">
      <c r="A10" s="164" t="s">
        <v>35</v>
      </c>
      <c r="B10" s="163" t="s">
        <v>156</v>
      </c>
      <c r="C10" s="163" t="s">
        <v>33</v>
      </c>
      <c r="D10" s="163" t="s">
        <v>32</v>
      </c>
      <c r="E10" s="163" t="s">
        <v>56</v>
      </c>
      <c r="F10" s="151" t="s">
        <v>55</v>
      </c>
      <c r="G10" s="151" t="s">
        <v>54</v>
      </c>
      <c r="H10" s="151" t="s">
        <v>53</v>
      </c>
      <c r="I10" s="151" t="s">
        <v>155</v>
      </c>
      <c r="J10" s="151" t="s">
        <v>154</v>
      </c>
      <c r="K10" s="151" t="s">
        <v>153</v>
      </c>
      <c r="L10" s="151" t="s">
        <v>152</v>
      </c>
      <c r="M10" s="151" t="s">
        <v>8</v>
      </c>
      <c r="N10" s="151" t="s">
        <v>25</v>
      </c>
      <c r="O10" s="68"/>
    </row>
    <row r="11" spans="1:15" s="120" customFormat="1">
      <c r="A11" s="162">
        <v>10</v>
      </c>
      <c r="B11" s="191" t="s">
        <v>298</v>
      </c>
      <c r="C11" s="159" t="s">
        <v>297</v>
      </c>
      <c r="D11" s="103">
        <v>2.25</v>
      </c>
      <c r="E11" s="202">
        <v>4.0000000000000001E-3</v>
      </c>
      <c r="F11" s="159" t="s">
        <v>180</v>
      </c>
      <c r="G11" s="159"/>
      <c r="H11" s="104"/>
      <c r="I11" s="158" t="s">
        <v>259</v>
      </c>
      <c r="J11" s="157">
        <v>5.1999999999999998E-2</v>
      </c>
      <c r="K11" s="156">
        <v>4.0000000000000001E-3</v>
      </c>
      <c r="L11" s="177">
        <v>1580</v>
      </c>
      <c r="M11" s="106">
        <v>1</v>
      </c>
      <c r="N11" s="103">
        <f>E11*D11</f>
        <v>9.0000000000000011E-3</v>
      </c>
      <c r="O11" s="121"/>
    </row>
    <row r="12" spans="1:15">
      <c r="A12" s="72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153" t="s">
        <v>25</v>
      </c>
      <c r="N12" s="140">
        <f>SUM(N11:N11)</f>
        <v>9.0000000000000011E-3</v>
      </c>
      <c r="O12" s="68"/>
    </row>
    <row r="13" spans="1:15">
      <c r="A13" s="76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8"/>
    </row>
    <row r="14" spans="1:15">
      <c r="A14" s="152" t="s">
        <v>35</v>
      </c>
      <c r="B14" s="151" t="s">
        <v>89</v>
      </c>
      <c r="C14" s="151" t="s">
        <v>33</v>
      </c>
      <c r="D14" s="151" t="s">
        <v>32</v>
      </c>
      <c r="E14" s="151" t="s">
        <v>31</v>
      </c>
      <c r="F14" s="151" t="s">
        <v>8</v>
      </c>
      <c r="G14" s="151" t="s">
        <v>88</v>
      </c>
      <c r="H14" s="151" t="s">
        <v>87</v>
      </c>
      <c r="I14" s="151" t="s">
        <v>25</v>
      </c>
      <c r="J14" s="69"/>
      <c r="K14" s="69"/>
      <c r="L14" s="69"/>
      <c r="M14" s="69"/>
      <c r="N14" s="69"/>
      <c r="O14" s="68"/>
    </row>
    <row r="15" spans="1:15" s="120" customFormat="1">
      <c r="A15" s="162">
        <v>10</v>
      </c>
      <c r="B15" s="282" t="s">
        <v>178</v>
      </c>
      <c r="C15" s="159" t="s">
        <v>296</v>
      </c>
      <c r="D15" s="103">
        <v>1.3</v>
      </c>
      <c r="E15" s="159" t="s">
        <v>36</v>
      </c>
      <c r="F15" s="328">
        <v>1</v>
      </c>
      <c r="G15" s="282"/>
      <c r="H15" s="283">
        <v>1</v>
      </c>
      <c r="I15" s="285">
        <f>IF(H15="",D15*F15,D15*F15*H15)</f>
        <v>1.3</v>
      </c>
      <c r="J15" s="286"/>
      <c r="K15" s="286"/>
      <c r="L15" s="286"/>
      <c r="M15" s="286"/>
      <c r="N15" s="286"/>
      <c r="O15" s="121"/>
    </row>
    <row r="16" spans="1:15" s="92" customFormat="1">
      <c r="A16" s="145">
        <v>20</v>
      </c>
      <c r="B16" s="143" t="s">
        <v>175</v>
      </c>
      <c r="C16" s="107" t="s">
        <v>174</v>
      </c>
      <c r="D16" s="103">
        <v>0.01</v>
      </c>
      <c r="E16" s="107" t="s">
        <v>62</v>
      </c>
      <c r="F16" s="201">
        <v>29.5</v>
      </c>
      <c r="G16" s="143"/>
      <c r="H16" s="142">
        <v>1</v>
      </c>
      <c r="I16" s="146">
        <f>IF(H16="",D16*F16,D16*F16*H16)</f>
        <v>0.29499999999999998</v>
      </c>
      <c r="J16" s="87"/>
      <c r="K16" s="87"/>
      <c r="L16" s="87"/>
      <c r="M16" s="87"/>
      <c r="N16" s="87"/>
      <c r="O16" s="93"/>
    </row>
    <row r="17" spans="1:15" s="92" customFormat="1">
      <c r="A17" s="145">
        <v>20</v>
      </c>
      <c r="B17" s="143" t="s">
        <v>295</v>
      </c>
      <c r="C17" s="107" t="s">
        <v>294</v>
      </c>
      <c r="D17" s="103">
        <v>0.25</v>
      </c>
      <c r="E17" s="107" t="s">
        <v>36</v>
      </c>
      <c r="F17" s="201">
        <v>1</v>
      </c>
      <c r="G17" s="143"/>
      <c r="H17" s="142">
        <v>1</v>
      </c>
      <c r="I17" s="146">
        <f>IF(H17="",D17*F17,D17*F17*H17)</f>
        <v>0.25</v>
      </c>
      <c r="J17" s="87"/>
      <c r="K17" s="87"/>
      <c r="L17" s="87"/>
      <c r="M17" s="87"/>
      <c r="N17" s="87"/>
      <c r="O17" s="93"/>
    </row>
    <row r="18" spans="1:15">
      <c r="A18" s="72"/>
      <c r="B18" s="69"/>
      <c r="C18" s="69"/>
      <c r="D18" s="69"/>
      <c r="E18" s="69"/>
      <c r="F18" s="69"/>
      <c r="G18" s="69"/>
      <c r="H18" s="141" t="s">
        <v>25</v>
      </c>
      <c r="I18" s="140">
        <f>SUM(I15:I17)</f>
        <v>1.845</v>
      </c>
      <c r="J18" s="69"/>
      <c r="K18" s="69"/>
      <c r="L18" s="69"/>
      <c r="M18" s="69"/>
      <c r="N18" s="69"/>
      <c r="O18" s="68"/>
    </row>
    <row r="19" spans="1:15" ht="15.75" thickBot="1">
      <c r="A19" s="67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5"/>
    </row>
  </sheetData>
  <hyperlinks>
    <hyperlink ref="B4" location="EL_A0002" display="EL_A0002" xr:uid="{00000000-0004-0000-0700-000000000000}"/>
    <hyperlink ref="E3" location="'dEL 02003'!A1" display="Drawing" xr:uid="{00000000-0004-0000-0700-000001000000}"/>
    <hyperlink ref="G2" location="EL_A0002_BOM" display="Back to BOM" xr:uid="{ED8BC5E5-3153-4BB8-817F-0E36FCFD963E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2A31-2548-40B1-B906-9CED8A847EEB}">
  <sheetPr>
    <tabColor theme="9" tint="0.39994506668294322"/>
    <pageSetUpPr fitToPage="1"/>
  </sheetPr>
  <dimension ref="A1:B1"/>
  <sheetViews>
    <sheetView workbookViewId="0"/>
  </sheetViews>
  <sheetFormatPr baseColWidth="10" defaultColWidth="11" defaultRowHeight="15"/>
  <cols>
    <col min="1" max="1" width="14" style="63" customWidth="1"/>
    <col min="2" max="16384" width="11" style="63"/>
  </cols>
  <sheetData>
    <row r="1" spans="1:2">
      <c r="A1" s="197" t="s">
        <v>185</v>
      </c>
      <c r="B1" s="197" t="s">
        <v>300</v>
      </c>
    </row>
  </sheetData>
  <hyperlinks>
    <hyperlink ref="B1" location="'EL 02003'!A1" display="EL 02003" xr:uid="{00000000-0004-0000-0800-000000000000}"/>
    <hyperlink ref="A1" location="'EL 02003'!A1" display="Drawing part :" xr:uid="{00000000-0004-0000-0800-000001000000}"/>
  </hyperlinks>
  <pageMargins left="0.69930555555555596" right="0.69930555555555596" top="0.75" bottom="0.75" header="0.3" footer="0.3"/>
  <pageSetup paperSize="9" fitToHeight="0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3903D-D3D4-43A0-8FAA-B68452A1A857}">
  <sheetPr>
    <tabColor theme="9" tint="0.39991454817346722"/>
    <pageSetUpPr fitToPage="1"/>
  </sheetPr>
  <dimension ref="A1:O19"/>
  <sheetViews>
    <sheetView zoomScale="85" zoomScaleNormal="85" workbookViewId="0">
      <selection activeCell="D24" sqref="D24"/>
    </sheetView>
  </sheetViews>
  <sheetFormatPr baseColWidth="10" defaultColWidth="9.140625" defaultRowHeight="15"/>
  <cols>
    <col min="1" max="1" width="9.140625" style="203"/>
    <col min="2" max="2" width="34.85546875" style="203" customWidth="1"/>
    <col min="3" max="3" width="21.28515625" style="203" customWidth="1"/>
    <col min="4" max="4" width="8.85546875" style="203" customWidth="1"/>
    <col min="5" max="5" width="8.28515625" style="203" customWidth="1"/>
    <col min="6" max="6" width="8.85546875" style="203" customWidth="1"/>
    <col min="7" max="7" width="37.28515625" style="203" customWidth="1"/>
    <col min="8" max="8" width="9.85546875" style="203" customWidth="1"/>
    <col min="9" max="9" width="11.42578125" style="203" customWidth="1"/>
    <col min="10" max="10" width="8.85546875" style="203" customWidth="1"/>
    <col min="11" max="11" width="7.28515625" style="203" customWidth="1"/>
    <col min="12" max="12" width="7.85546875" style="203" customWidth="1"/>
    <col min="13" max="13" width="13.85546875" style="203" customWidth="1"/>
    <col min="14" max="14" width="9.140625" style="203"/>
    <col min="15" max="15" width="3.140625" style="203" customWidth="1"/>
    <col min="16" max="16384" width="9.140625" style="203"/>
  </cols>
  <sheetData>
    <row r="1" spans="1:15">
      <c r="A1" s="244"/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2"/>
    </row>
    <row r="2" spans="1:15">
      <c r="A2" s="237" t="s">
        <v>24</v>
      </c>
      <c r="B2" s="236" t="s">
        <v>23</v>
      </c>
      <c r="C2" s="208"/>
      <c r="D2" s="208"/>
      <c r="E2" s="208"/>
      <c r="F2" s="208"/>
      <c r="G2" s="276" t="s">
        <v>172</v>
      </c>
      <c r="H2" s="208"/>
      <c r="I2" s="208"/>
      <c r="J2" s="172" t="s">
        <v>18</v>
      </c>
      <c r="K2" s="241">
        <v>81</v>
      </c>
      <c r="L2" s="208"/>
      <c r="M2" s="237" t="s">
        <v>157</v>
      </c>
      <c r="N2" s="186">
        <f>EL_02004_m+EL_02004_p</f>
        <v>0.54649961458333329</v>
      </c>
      <c r="O2" s="207"/>
    </row>
    <row r="3" spans="1:15">
      <c r="A3" s="237" t="s">
        <v>170</v>
      </c>
      <c r="B3" s="236" t="str">
        <f>[1]EL_A0100!B3</f>
        <v>Electrical</v>
      </c>
      <c r="C3" s="208"/>
      <c r="D3" s="237" t="s">
        <v>165</v>
      </c>
      <c r="E3" s="171" t="s">
        <v>184</v>
      </c>
      <c r="F3" s="208"/>
      <c r="G3" s="208"/>
      <c r="H3" s="208"/>
      <c r="I3" s="208"/>
      <c r="J3" s="208"/>
      <c r="K3" s="208"/>
      <c r="L3" s="208"/>
      <c r="M3" s="237" t="s">
        <v>168</v>
      </c>
      <c r="N3" s="86">
        <v>2</v>
      </c>
      <c r="O3" s="207"/>
    </row>
    <row r="4" spans="1:15">
      <c r="A4" s="237" t="s">
        <v>167</v>
      </c>
      <c r="B4" s="170" t="str">
        <f>'EL A0200'!B4</f>
        <v>Front vehicule electronics</v>
      </c>
      <c r="C4" s="208"/>
      <c r="D4" s="237" t="s">
        <v>163</v>
      </c>
      <c r="E4" s="208"/>
      <c r="F4" s="208"/>
      <c r="G4" s="208"/>
      <c r="H4" s="208"/>
      <c r="I4" s="208"/>
      <c r="J4" s="238" t="s">
        <v>165</v>
      </c>
      <c r="K4" s="208"/>
      <c r="L4" s="208"/>
      <c r="M4" s="208"/>
      <c r="N4" s="208"/>
      <c r="O4" s="207"/>
    </row>
    <row r="5" spans="1:15">
      <c r="A5" s="237" t="s">
        <v>158</v>
      </c>
      <c r="B5" s="240" t="s">
        <v>187</v>
      </c>
      <c r="C5" s="208"/>
      <c r="D5" s="237" t="s">
        <v>160</v>
      </c>
      <c r="E5" s="208"/>
      <c r="F5" s="208"/>
      <c r="G5" s="208"/>
      <c r="H5" s="208"/>
      <c r="I5" s="208"/>
      <c r="J5" s="238" t="s">
        <v>163</v>
      </c>
      <c r="K5" s="208"/>
      <c r="L5" s="208"/>
      <c r="M5" s="237" t="s">
        <v>162</v>
      </c>
      <c r="N5" s="186">
        <f>N3*N2</f>
        <v>1.0929992291666666</v>
      </c>
      <c r="O5" s="207"/>
    </row>
    <row r="6" spans="1:15">
      <c r="A6" s="237" t="s">
        <v>164</v>
      </c>
      <c r="B6" s="239" t="s">
        <v>341</v>
      </c>
      <c r="C6" s="208"/>
      <c r="D6" s="208"/>
      <c r="E6" s="208"/>
      <c r="F6" s="208"/>
      <c r="G6" s="208"/>
      <c r="H6" s="208"/>
      <c r="I6" s="208"/>
      <c r="J6" s="238" t="s">
        <v>160</v>
      </c>
      <c r="K6" s="208"/>
      <c r="L6" s="208"/>
      <c r="M6" s="208"/>
      <c r="N6" s="208"/>
      <c r="O6" s="207"/>
    </row>
    <row r="7" spans="1:15">
      <c r="A7" s="237" t="s">
        <v>161</v>
      </c>
      <c r="B7" s="236" t="s">
        <v>1</v>
      </c>
      <c r="C7" s="208"/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8"/>
      <c r="O7" s="207"/>
    </row>
    <row r="8" spans="1:15">
      <c r="A8" s="237" t="s">
        <v>159</v>
      </c>
      <c r="B8" s="236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7"/>
    </row>
    <row r="9" spans="1:15">
      <c r="A9" s="235"/>
      <c r="B9" s="234"/>
      <c r="C9" s="234"/>
      <c r="D9" s="234"/>
      <c r="E9" s="234"/>
      <c r="F9" s="208"/>
      <c r="G9" s="208"/>
      <c r="H9" s="208"/>
      <c r="I9" s="208"/>
      <c r="J9" s="208"/>
      <c r="K9" s="208"/>
      <c r="L9" s="208"/>
      <c r="M9" s="208"/>
      <c r="N9" s="208"/>
      <c r="O9" s="207"/>
    </row>
    <row r="10" spans="1:15">
      <c r="A10" s="233" t="s">
        <v>35</v>
      </c>
      <c r="B10" s="232" t="s">
        <v>156</v>
      </c>
      <c r="C10" s="232" t="s">
        <v>33</v>
      </c>
      <c r="D10" s="232" t="s">
        <v>32</v>
      </c>
      <c r="E10" s="232" t="s">
        <v>56</v>
      </c>
      <c r="F10" s="223" t="s">
        <v>55</v>
      </c>
      <c r="G10" s="223" t="s">
        <v>54</v>
      </c>
      <c r="H10" s="223" t="s">
        <v>53</v>
      </c>
      <c r="I10" s="223" t="s">
        <v>155</v>
      </c>
      <c r="J10" s="223" t="s">
        <v>154</v>
      </c>
      <c r="K10" s="223" t="s">
        <v>153</v>
      </c>
      <c r="L10" s="223" t="s">
        <v>152</v>
      </c>
      <c r="M10" s="223" t="s">
        <v>8</v>
      </c>
      <c r="N10" s="223" t="s">
        <v>25</v>
      </c>
      <c r="O10" s="207"/>
    </row>
    <row r="11" spans="1:15">
      <c r="A11" s="216">
        <v>10</v>
      </c>
      <c r="B11" s="231" t="s">
        <v>182</v>
      </c>
      <c r="C11" s="215" t="s">
        <v>181</v>
      </c>
      <c r="D11" s="198">
        <v>2.25</v>
      </c>
      <c r="E11" s="160">
        <f>J11*K11*L11</f>
        <v>2.296125E-3</v>
      </c>
      <c r="F11" s="215" t="s">
        <v>180</v>
      </c>
      <c r="G11" s="215"/>
      <c r="H11" s="230"/>
      <c r="I11" s="229" t="s">
        <v>179</v>
      </c>
      <c r="J11" s="228">
        <f>13*15/1000000</f>
        <v>1.95E-4</v>
      </c>
      <c r="K11" s="227">
        <v>1.5E-3</v>
      </c>
      <c r="L11" s="226">
        <v>7850</v>
      </c>
      <c r="M11" s="225">
        <v>1</v>
      </c>
      <c r="N11" s="198">
        <f>IF(J11="",D11*M11,D11*J11*K11*L11*M11)</f>
        <v>5.1662812500000007E-3</v>
      </c>
      <c r="O11" s="207"/>
    </row>
    <row r="12" spans="1:15">
      <c r="A12" s="212"/>
      <c r="B12" s="210"/>
      <c r="C12" s="210"/>
      <c r="D12" s="210"/>
      <c r="E12" s="210"/>
      <c r="F12" s="210"/>
      <c r="G12" s="210"/>
      <c r="H12" s="210"/>
      <c r="I12" s="210"/>
      <c r="J12" s="210"/>
      <c r="K12" s="210"/>
      <c r="L12" s="210"/>
      <c r="M12" s="153" t="s">
        <v>25</v>
      </c>
      <c r="N12" s="211">
        <f>SUM(N11:N11)</f>
        <v>5.1662812500000007E-3</v>
      </c>
      <c r="O12" s="207"/>
    </row>
    <row r="13" spans="1:15">
      <c r="A13" s="209"/>
      <c r="B13" s="208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7"/>
    </row>
    <row r="14" spans="1:15">
      <c r="A14" s="224" t="s">
        <v>35</v>
      </c>
      <c r="B14" s="223" t="s">
        <v>89</v>
      </c>
      <c r="C14" s="223" t="s">
        <v>33</v>
      </c>
      <c r="D14" s="223" t="s">
        <v>32</v>
      </c>
      <c r="E14" s="223" t="s">
        <v>31</v>
      </c>
      <c r="F14" s="223" t="s">
        <v>8</v>
      </c>
      <c r="G14" s="223" t="s">
        <v>88</v>
      </c>
      <c r="H14" s="223" t="s">
        <v>87</v>
      </c>
      <c r="I14" s="223" t="s">
        <v>25</v>
      </c>
      <c r="J14" s="210"/>
      <c r="K14" s="210"/>
      <c r="L14" s="210"/>
      <c r="M14" s="210"/>
      <c r="N14" s="210"/>
      <c r="O14" s="207"/>
    </row>
    <row r="15" spans="1:15" s="217" customFormat="1">
      <c r="A15" s="222">
        <v>10</v>
      </c>
      <c r="B15" s="213" t="s">
        <v>178</v>
      </c>
      <c r="C15" s="220" t="s">
        <v>177</v>
      </c>
      <c r="D15" s="221">
        <v>1.3</v>
      </c>
      <c r="E15" s="213" t="s">
        <v>36</v>
      </c>
      <c r="F15" s="220">
        <v>1</v>
      </c>
      <c r="G15" s="147" t="s">
        <v>186</v>
      </c>
      <c r="H15" s="174">
        <f>1/3</f>
        <v>0.33333333333333331</v>
      </c>
      <c r="I15" s="146">
        <f>IF(H15="",D15*F15,D15*F15*H15)</f>
        <v>0.43333333333333335</v>
      </c>
      <c r="J15" s="219"/>
      <c r="K15" s="219"/>
      <c r="L15" s="219"/>
      <c r="M15" s="219"/>
      <c r="N15" s="219"/>
      <c r="O15" s="218"/>
    </row>
    <row r="16" spans="1:15" s="217" customFormat="1">
      <c r="A16" s="331">
        <v>20</v>
      </c>
      <c r="B16" s="213" t="s">
        <v>175</v>
      </c>
      <c r="C16" s="147" t="s">
        <v>174</v>
      </c>
      <c r="D16" s="221">
        <v>0.01</v>
      </c>
      <c r="E16" s="147" t="s">
        <v>62</v>
      </c>
      <c r="F16" s="280">
        <v>3.6</v>
      </c>
      <c r="G16" s="213" t="s">
        <v>173</v>
      </c>
      <c r="H16" s="220">
        <v>3</v>
      </c>
      <c r="I16" s="221">
        <f>IF(H16="",D16*F16,D16*F16*H16)</f>
        <v>0.10800000000000001</v>
      </c>
      <c r="J16" s="219"/>
      <c r="K16" s="219"/>
      <c r="L16" s="219"/>
      <c r="M16" s="219"/>
      <c r="N16" s="219"/>
      <c r="O16" s="218"/>
    </row>
    <row r="17" spans="1:15">
      <c r="A17" s="212"/>
      <c r="B17" s="210"/>
      <c r="C17" s="210"/>
      <c r="D17" s="210"/>
      <c r="E17" s="210"/>
      <c r="F17" s="210"/>
      <c r="G17" s="210"/>
      <c r="H17" s="141" t="s">
        <v>25</v>
      </c>
      <c r="I17" s="211">
        <f>SUM(I15:I16)</f>
        <v>0.54133333333333333</v>
      </c>
      <c r="J17" s="210"/>
      <c r="K17" s="210"/>
      <c r="L17" s="210"/>
      <c r="M17" s="210"/>
      <c r="N17" s="210"/>
      <c r="O17" s="207"/>
    </row>
    <row r="18" spans="1:15">
      <c r="A18" s="209"/>
      <c r="B18" s="208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7"/>
    </row>
    <row r="19" spans="1:15" ht="15.75" thickBot="1">
      <c r="A19" s="206"/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4"/>
    </row>
  </sheetData>
  <hyperlinks>
    <hyperlink ref="B4" location="EL_A0002" display="EL_A0002" xr:uid="{00000000-0004-0000-0900-000000000000}"/>
    <hyperlink ref="E3" location="dEL_02004" display="Drawing" xr:uid="{00000000-0004-0000-0900-000001000000}"/>
    <hyperlink ref="B6" location="EL_A0001!A1" display="EL_02004" xr:uid="{00000000-0004-0000-0900-000002000000}"/>
    <hyperlink ref="G2" location="EL_A0002_BOM" display="Back to BOM" xr:uid="{513A7C6F-FBF9-450D-A698-4811517F9222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591D-A45F-4A37-B11F-502918B61CDF}">
  <sheetPr>
    <tabColor theme="9"/>
    <pageSetUpPr fitToPage="1"/>
  </sheetPr>
  <dimension ref="A1:O116"/>
  <sheetViews>
    <sheetView topLeftCell="A10" zoomScale="70" zoomScaleNormal="70" workbookViewId="0">
      <selection activeCell="G17" sqref="G17"/>
    </sheetView>
  </sheetViews>
  <sheetFormatPr baseColWidth="10" defaultColWidth="9.140625" defaultRowHeight="15"/>
  <cols>
    <col min="1" max="1" width="10.5703125" style="63" customWidth="1"/>
    <col min="2" max="2" width="36.28515625" style="63" customWidth="1"/>
    <col min="3" max="3" width="40" style="63" customWidth="1"/>
    <col min="4" max="4" width="9.5703125" style="63" customWidth="1"/>
    <col min="5" max="5" width="12.28515625" style="63" customWidth="1"/>
    <col min="6" max="6" width="8.85546875" style="63" customWidth="1"/>
    <col min="7" max="7" width="10" style="63" customWidth="1"/>
    <col min="8" max="8" width="8.7109375" style="63" customWidth="1"/>
    <col min="9" max="9" width="11" style="63" customWidth="1"/>
    <col min="10" max="10" width="9.140625" style="63"/>
    <col min="11" max="11" width="7.140625" style="63" customWidth="1"/>
    <col min="12" max="12" width="7.85546875" style="63" customWidth="1"/>
    <col min="13" max="13" width="9.140625" style="63" customWidth="1"/>
    <col min="14" max="14" width="11.28515625" style="63" customWidth="1"/>
    <col min="15" max="15" width="5.28515625" style="63" customWidth="1"/>
    <col min="16" max="16384" width="9.140625" style="63"/>
  </cols>
  <sheetData>
    <row r="1" spans="1:15">
      <c r="A1" s="139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7"/>
    </row>
    <row r="2" spans="1:15">
      <c r="A2" s="75" t="s">
        <v>24</v>
      </c>
      <c r="B2" s="132" t="s">
        <v>23</v>
      </c>
      <c r="C2" s="64"/>
      <c r="D2" s="64"/>
      <c r="E2" s="170" t="s">
        <v>172</v>
      </c>
      <c r="F2" s="64"/>
      <c r="G2" s="64"/>
      <c r="H2" s="64"/>
      <c r="I2" s="64"/>
      <c r="J2" s="75" t="s">
        <v>18</v>
      </c>
      <c r="K2" s="136">
        <v>81</v>
      </c>
      <c r="L2" s="64"/>
      <c r="M2" s="75" t="s">
        <v>171</v>
      </c>
      <c r="N2" s="135">
        <f>EL_A0001_pa+EL_A0001_m+EL_A0001_p+EL_A0001_f+EL_A0001_t</f>
        <v>1316.3379529791664</v>
      </c>
      <c r="O2" s="68"/>
    </row>
    <row r="3" spans="1:15">
      <c r="A3" s="75" t="s">
        <v>170</v>
      </c>
      <c r="B3" s="132" t="s">
        <v>169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75" t="s">
        <v>168</v>
      </c>
      <c r="N3" s="82">
        <v>1</v>
      </c>
      <c r="O3" s="68"/>
    </row>
    <row r="4" spans="1:15">
      <c r="A4" s="75" t="s">
        <v>167</v>
      </c>
      <c r="B4" s="81" t="s">
        <v>166</v>
      </c>
      <c r="C4" s="64"/>
      <c r="D4" s="64"/>
      <c r="E4" s="64"/>
      <c r="F4" s="64"/>
      <c r="G4" s="64"/>
      <c r="H4" s="64"/>
      <c r="I4" s="64"/>
      <c r="J4" s="133" t="s">
        <v>165</v>
      </c>
      <c r="K4" s="64"/>
      <c r="L4" s="64"/>
      <c r="M4" s="64"/>
      <c r="N4" s="64"/>
      <c r="O4" s="68"/>
    </row>
    <row r="5" spans="1:15">
      <c r="A5" s="75" t="s">
        <v>164</v>
      </c>
      <c r="B5" s="134" t="s">
        <v>335</v>
      </c>
      <c r="C5" s="64"/>
      <c r="D5" s="64"/>
      <c r="E5" s="64"/>
      <c r="F5" s="64"/>
      <c r="G5" s="64"/>
      <c r="H5" s="64"/>
      <c r="I5" s="64"/>
      <c r="J5" s="133" t="s">
        <v>163</v>
      </c>
      <c r="K5" s="64"/>
      <c r="L5" s="64"/>
      <c r="M5" s="75" t="s">
        <v>162</v>
      </c>
      <c r="N5" s="73">
        <f>N2*N3</f>
        <v>1316.3379529791664</v>
      </c>
      <c r="O5" s="68"/>
    </row>
    <row r="6" spans="1:15">
      <c r="A6" s="75" t="s">
        <v>161</v>
      </c>
      <c r="B6" s="132" t="s">
        <v>1</v>
      </c>
      <c r="C6" s="64"/>
      <c r="D6" s="64"/>
      <c r="E6" s="64"/>
      <c r="F6" s="64"/>
      <c r="G6" s="64"/>
      <c r="H6" s="64"/>
      <c r="I6" s="64"/>
      <c r="J6" s="133" t="s">
        <v>160</v>
      </c>
      <c r="K6" s="64"/>
      <c r="L6" s="64"/>
      <c r="M6" s="64"/>
      <c r="N6" s="64"/>
      <c r="O6" s="68"/>
    </row>
    <row r="7" spans="1:15">
      <c r="A7" s="75" t="s">
        <v>159</v>
      </c>
      <c r="B7" s="132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8"/>
    </row>
    <row r="8" spans="1:15">
      <c r="A8" s="76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8"/>
    </row>
    <row r="9" spans="1:15">
      <c r="A9" s="75" t="s">
        <v>35</v>
      </c>
      <c r="B9" s="75" t="s">
        <v>158</v>
      </c>
      <c r="C9" s="75" t="s">
        <v>157</v>
      </c>
      <c r="D9" s="75" t="s">
        <v>8</v>
      </c>
      <c r="E9" s="75" t="s">
        <v>25</v>
      </c>
      <c r="F9" s="64"/>
      <c r="G9" s="64"/>
      <c r="H9" s="64"/>
      <c r="I9" s="64"/>
      <c r="J9" s="64"/>
      <c r="K9" s="64"/>
      <c r="L9" s="64"/>
      <c r="M9" s="64"/>
      <c r="N9" s="64"/>
      <c r="O9" s="68"/>
    </row>
    <row r="10" spans="1:15">
      <c r="A10" s="74">
        <v>10</v>
      </c>
      <c r="B10" s="130" t="str">
        <f>EL_01001!B5</f>
        <v>Fuse box bracket</v>
      </c>
      <c r="C10" s="73">
        <f>EL_01001!N2</f>
        <v>0.88343210000000005</v>
      </c>
      <c r="D10" s="131">
        <f>EL_01001_q</f>
        <v>2</v>
      </c>
      <c r="E10" s="73">
        <f>C10*D10</f>
        <v>1.7668642000000001</v>
      </c>
      <c r="F10" s="64"/>
      <c r="G10" s="64"/>
      <c r="H10" s="64"/>
      <c r="I10" s="64"/>
      <c r="J10" s="64"/>
      <c r="K10" s="64"/>
      <c r="L10" s="64"/>
      <c r="M10" s="64"/>
      <c r="N10" s="64"/>
      <c r="O10" s="68"/>
    </row>
    <row r="11" spans="1:15">
      <c r="A11" s="74">
        <v>20</v>
      </c>
      <c r="B11" s="130" t="str">
        <f>EL_01002!B5</f>
        <v>Ground bracket</v>
      </c>
      <c r="C11" s="73">
        <f>EL_01002!N2</f>
        <v>0.54649961458333329</v>
      </c>
      <c r="D11" s="131">
        <f>EL_01002_q</f>
        <v>2</v>
      </c>
      <c r="E11" s="73">
        <f>C11*D11</f>
        <v>1.0929992291666666</v>
      </c>
      <c r="F11" s="81"/>
      <c r="G11" s="81"/>
      <c r="H11" s="81"/>
      <c r="I11" s="81"/>
      <c r="J11" s="81"/>
      <c r="K11" s="81"/>
      <c r="L11" s="81"/>
      <c r="M11" s="81"/>
      <c r="N11" s="81"/>
      <c r="O11" s="68"/>
    </row>
    <row r="12" spans="1:15">
      <c r="A12" s="74">
        <v>30</v>
      </c>
      <c r="B12" s="130" t="str">
        <f>EL_01003!B5</f>
        <v>Break light bracket</v>
      </c>
      <c r="C12" s="73">
        <f>EL_01003!N2</f>
        <v>0.82069615625000003</v>
      </c>
      <c r="D12" s="131">
        <f>EL_01003_q</f>
        <v>2</v>
      </c>
      <c r="E12" s="73">
        <f>C12*D12</f>
        <v>1.6413923125000001</v>
      </c>
      <c r="F12" s="81"/>
      <c r="G12" s="81"/>
      <c r="H12" s="81"/>
      <c r="I12" s="81"/>
      <c r="J12" s="81"/>
      <c r="K12" s="81"/>
      <c r="L12" s="81"/>
      <c r="M12" s="81"/>
      <c r="N12" s="81"/>
      <c r="O12" s="129"/>
    </row>
    <row r="13" spans="1:15" s="79" customFormat="1">
      <c r="A13" s="74">
        <v>40</v>
      </c>
      <c r="B13" s="130" t="str">
        <f>EL_01004!B5</f>
        <v>Master switch panel</v>
      </c>
      <c r="C13" s="73">
        <f>EL_01004!N2</f>
        <v>75.943999999999988</v>
      </c>
      <c r="D13" s="131">
        <f>EL_01004_q</f>
        <v>1</v>
      </c>
      <c r="E13" s="73">
        <f>C13*D13</f>
        <v>75.943999999999988</v>
      </c>
      <c r="F13" s="81"/>
      <c r="G13" s="81"/>
      <c r="H13" s="81"/>
      <c r="I13" s="81"/>
      <c r="J13" s="81"/>
      <c r="K13" s="81"/>
      <c r="L13" s="81"/>
      <c r="M13" s="81"/>
      <c r="N13" s="81"/>
      <c r="O13" s="129"/>
    </row>
    <row r="14" spans="1:15" s="79" customFormat="1">
      <c r="A14" s="74">
        <v>50</v>
      </c>
      <c r="B14" s="130" t="str">
        <f>EL_01005!B5</f>
        <v>Master switch panel bracket</v>
      </c>
      <c r="C14" s="73">
        <f>EL_01005!N2</f>
        <v>0.82552265000000014</v>
      </c>
      <c r="D14" s="131">
        <f>EL_01005_q</f>
        <v>2</v>
      </c>
      <c r="E14" s="73">
        <f>C14*D14</f>
        <v>1.6510453000000003</v>
      </c>
      <c r="F14" s="81"/>
      <c r="G14" s="81"/>
      <c r="H14" s="81"/>
      <c r="I14" s="81"/>
      <c r="J14" s="81"/>
      <c r="K14" s="81"/>
      <c r="L14" s="81"/>
      <c r="M14" s="81"/>
      <c r="N14" s="81"/>
      <c r="O14" s="80"/>
    </row>
    <row r="15" spans="1:15">
      <c r="A15" s="74">
        <v>60</v>
      </c>
      <c r="B15" s="128" t="str">
        <f>EL_01006!B5</f>
        <v>Crash sensor bracket</v>
      </c>
      <c r="C15" s="73">
        <f>EL_01006!N2</f>
        <v>2.0872411375</v>
      </c>
      <c r="D15" s="131">
        <f>EL_01006_q</f>
        <v>1</v>
      </c>
      <c r="E15" s="73">
        <f>C15*D15</f>
        <v>2.0872411375</v>
      </c>
      <c r="F15" s="64"/>
      <c r="G15" s="64"/>
      <c r="H15" s="64"/>
      <c r="I15" s="64"/>
      <c r="J15" s="64"/>
      <c r="K15" s="64"/>
      <c r="L15" s="64"/>
      <c r="M15" s="64"/>
      <c r="N15" s="64"/>
      <c r="O15" s="68"/>
    </row>
    <row r="16" spans="1:15">
      <c r="A16" s="76"/>
      <c r="B16" s="64"/>
      <c r="C16" s="64"/>
      <c r="D16" s="78" t="s">
        <v>25</v>
      </c>
      <c r="E16" s="77">
        <f>SUM(E10:E15)</f>
        <v>84.183542179166665</v>
      </c>
      <c r="F16" s="81"/>
      <c r="G16" s="81"/>
      <c r="H16" s="81"/>
      <c r="I16" s="81"/>
      <c r="J16" s="81"/>
      <c r="K16" s="81"/>
      <c r="L16" s="81"/>
      <c r="M16" s="81"/>
      <c r="N16" s="81"/>
      <c r="O16" s="68"/>
    </row>
    <row r="17" spans="1:15">
      <c r="A17" s="76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8"/>
    </row>
    <row r="18" spans="1:15">
      <c r="A18" s="75" t="s">
        <v>35</v>
      </c>
      <c r="B18" s="75" t="s">
        <v>156</v>
      </c>
      <c r="C18" s="75" t="s">
        <v>33</v>
      </c>
      <c r="D18" s="75" t="s">
        <v>32</v>
      </c>
      <c r="E18" s="75" t="s">
        <v>56</v>
      </c>
      <c r="F18" s="75" t="s">
        <v>55</v>
      </c>
      <c r="G18" s="75" t="s">
        <v>54</v>
      </c>
      <c r="H18" s="75" t="s">
        <v>53</v>
      </c>
      <c r="I18" s="75" t="s">
        <v>155</v>
      </c>
      <c r="J18" s="75" t="s">
        <v>154</v>
      </c>
      <c r="K18" s="75" t="s">
        <v>153</v>
      </c>
      <c r="L18" s="75" t="s">
        <v>152</v>
      </c>
      <c r="M18" s="75" t="s">
        <v>8</v>
      </c>
      <c r="N18" s="75" t="s">
        <v>25</v>
      </c>
      <c r="O18" s="68"/>
    </row>
    <row r="19" spans="1:15">
      <c r="A19" s="74">
        <v>10</v>
      </c>
      <c r="B19" s="74" t="s">
        <v>151</v>
      </c>
      <c r="C19" s="74" t="s">
        <v>150</v>
      </c>
      <c r="D19" s="73">
        <v>850</v>
      </c>
      <c r="E19" s="74"/>
      <c r="F19" s="74" t="s">
        <v>36</v>
      </c>
      <c r="G19" s="74"/>
      <c r="H19" s="116"/>
      <c r="I19" s="127"/>
      <c r="J19" s="126"/>
      <c r="K19" s="116"/>
      <c r="L19" s="116"/>
      <c r="M19" s="116">
        <v>1</v>
      </c>
      <c r="N19" s="73">
        <f>M19*D19</f>
        <v>850</v>
      </c>
      <c r="O19" s="68"/>
    </row>
    <row r="20" spans="1:15" s="120" customFormat="1">
      <c r="A20" s="74">
        <v>20</v>
      </c>
      <c r="B20" s="74" t="s">
        <v>149</v>
      </c>
      <c r="C20" s="85" t="s">
        <v>148</v>
      </c>
      <c r="D20" s="73">
        <v>4</v>
      </c>
      <c r="E20" s="125"/>
      <c r="F20" s="125" t="s">
        <v>36</v>
      </c>
      <c r="G20" s="125"/>
      <c r="H20" s="116"/>
      <c r="I20" s="124"/>
      <c r="J20" s="119"/>
      <c r="K20" s="123"/>
      <c r="L20" s="122"/>
      <c r="M20" s="118">
        <v>1</v>
      </c>
      <c r="N20" s="73">
        <f>M20*D20</f>
        <v>4</v>
      </c>
      <c r="O20" s="121"/>
    </row>
    <row r="21" spans="1:15">
      <c r="A21" s="74">
        <v>30</v>
      </c>
      <c r="B21" s="74" t="s">
        <v>147</v>
      </c>
      <c r="C21" s="74" t="s">
        <v>146</v>
      </c>
      <c r="D21" s="73">
        <v>4</v>
      </c>
      <c r="E21" s="74"/>
      <c r="F21" s="74" t="s">
        <v>36</v>
      </c>
      <c r="G21" s="74"/>
      <c r="H21" s="116"/>
      <c r="I21" s="118"/>
      <c r="J21" s="117"/>
      <c r="K21" s="116"/>
      <c r="L21" s="119"/>
      <c r="M21" s="116">
        <v>1</v>
      </c>
      <c r="N21" s="73">
        <f>M21*D21</f>
        <v>4</v>
      </c>
      <c r="O21" s="68"/>
    </row>
    <row r="22" spans="1:15">
      <c r="A22" s="74">
        <v>40</v>
      </c>
      <c r="B22" s="74" t="s">
        <v>143</v>
      </c>
      <c r="C22" s="74" t="s">
        <v>145</v>
      </c>
      <c r="D22" s="73">
        <v>4</v>
      </c>
      <c r="E22" s="74"/>
      <c r="F22" s="74" t="s">
        <v>36</v>
      </c>
      <c r="G22" s="74"/>
      <c r="H22" s="116"/>
      <c r="I22" s="118"/>
      <c r="J22" s="117"/>
      <c r="K22" s="116"/>
      <c r="L22" s="119"/>
      <c r="M22" s="116">
        <v>2</v>
      </c>
      <c r="N22" s="73">
        <f>M22*D22</f>
        <v>8</v>
      </c>
      <c r="O22" s="68"/>
    </row>
    <row r="23" spans="1:15">
      <c r="A23" s="74">
        <v>50</v>
      </c>
      <c r="B23" s="74" t="s">
        <v>143</v>
      </c>
      <c r="C23" s="74" t="s">
        <v>144</v>
      </c>
      <c r="D23" s="73">
        <v>4</v>
      </c>
      <c r="E23" s="74"/>
      <c r="F23" s="74" t="s">
        <v>36</v>
      </c>
      <c r="G23" s="74"/>
      <c r="H23" s="116"/>
      <c r="I23" s="118"/>
      <c r="J23" s="117"/>
      <c r="K23" s="116"/>
      <c r="L23" s="119"/>
      <c r="M23" s="116">
        <v>1</v>
      </c>
      <c r="N23" s="73">
        <f>M23*D23</f>
        <v>4</v>
      </c>
      <c r="O23" s="68"/>
    </row>
    <row r="24" spans="1:15">
      <c r="A24" s="74">
        <v>60</v>
      </c>
      <c r="B24" s="74" t="s">
        <v>143</v>
      </c>
      <c r="C24" s="74" t="s">
        <v>142</v>
      </c>
      <c r="D24" s="73">
        <v>4</v>
      </c>
      <c r="E24" s="74"/>
      <c r="F24" s="74" t="s">
        <v>36</v>
      </c>
      <c r="G24" s="74"/>
      <c r="H24" s="116"/>
      <c r="I24" s="118"/>
      <c r="J24" s="117"/>
      <c r="K24" s="116"/>
      <c r="L24" s="119"/>
      <c r="M24" s="116">
        <v>1</v>
      </c>
      <c r="N24" s="73">
        <f>M24*D24</f>
        <v>4</v>
      </c>
      <c r="O24" s="68"/>
    </row>
    <row r="25" spans="1:15">
      <c r="A25" s="74">
        <v>70</v>
      </c>
      <c r="B25" s="74" t="s">
        <v>141</v>
      </c>
      <c r="C25" s="74"/>
      <c r="D25" s="73">
        <v>4</v>
      </c>
      <c r="E25" s="74"/>
      <c r="F25" s="74" t="s">
        <v>36</v>
      </c>
      <c r="G25" s="74"/>
      <c r="H25" s="116"/>
      <c r="I25" s="118"/>
      <c r="J25" s="117"/>
      <c r="K25" s="116"/>
      <c r="L25" s="119"/>
      <c r="M25" s="116">
        <v>1</v>
      </c>
      <c r="N25" s="73">
        <f>M25*D25</f>
        <v>4</v>
      </c>
      <c r="O25" s="68"/>
    </row>
    <row r="26" spans="1:15">
      <c r="A26" s="74">
        <v>80</v>
      </c>
      <c r="B26" s="74" t="s">
        <v>140</v>
      </c>
      <c r="C26" s="74" t="s">
        <v>139</v>
      </c>
      <c r="D26" s="73">
        <v>8</v>
      </c>
      <c r="E26" s="74"/>
      <c r="F26" s="74" t="s">
        <v>36</v>
      </c>
      <c r="G26" s="74"/>
      <c r="H26" s="116"/>
      <c r="I26" s="118"/>
      <c r="J26" s="117"/>
      <c r="K26" s="116"/>
      <c r="L26" s="119"/>
      <c r="M26" s="116">
        <v>1</v>
      </c>
      <c r="N26" s="73">
        <f>M26*D26</f>
        <v>8</v>
      </c>
      <c r="O26" s="68"/>
    </row>
    <row r="27" spans="1:15">
      <c r="A27" s="74">
        <v>90</v>
      </c>
      <c r="B27" s="74" t="s">
        <v>137</v>
      </c>
      <c r="C27" s="74" t="s">
        <v>138</v>
      </c>
      <c r="D27" s="73">
        <v>4</v>
      </c>
      <c r="E27" s="74"/>
      <c r="F27" s="74" t="s">
        <v>36</v>
      </c>
      <c r="G27" s="74"/>
      <c r="H27" s="116"/>
      <c r="I27" s="118"/>
      <c r="J27" s="117"/>
      <c r="K27" s="116"/>
      <c r="L27" s="119"/>
      <c r="M27" s="116">
        <v>1</v>
      </c>
      <c r="N27" s="73">
        <f>M27*D27</f>
        <v>4</v>
      </c>
      <c r="O27" s="68"/>
    </row>
    <row r="28" spans="1:15">
      <c r="A28" s="74">
        <v>100</v>
      </c>
      <c r="B28" s="74" t="s">
        <v>137</v>
      </c>
      <c r="C28" s="74" t="s">
        <v>44</v>
      </c>
      <c r="D28" s="73">
        <v>4</v>
      </c>
      <c r="E28" s="74"/>
      <c r="F28" s="74" t="s">
        <v>36</v>
      </c>
      <c r="G28" s="74"/>
      <c r="H28" s="116"/>
      <c r="I28" s="118"/>
      <c r="J28" s="117"/>
      <c r="K28" s="116"/>
      <c r="L28" s="119"/>
      <c r="M28" s="116">
        <v>1</v>
      </c>
      <c r="N28" s="73">
        <f>M28*D28</f>
        <v>4</v>
      </c>
      <c r="O28" s="68"/>
    </row>
    <row r="29" spans="1:15">
      <c r="A29" s="74">
        <v>110</v>
      </c>
      <c r="B29" s="74" t="s">
        <v>136</v>
      </c>
      <c r="C29" s="74" t="s">
        <v>135</v>
      </c>
      <c r="D29" s="73">
        <v>4</v>
      </c>
      <c r="E29" s="74"/>
      <c r="F29" s="74" t="s">
        <v>36</v>
      </c>
      <c r="G29" s="74"/>
      <c r="H29" s="116"/>
      <c r="I29" s="118"/>
      <c r="J29" s="117"/>
      <c r="K29" s="116"/>
      <c r="L29" s="119"/>
      <c r="M29" s="116">
        <v>1</v>
      </c>
      <c r="N29" s="73">
        <f>M29*D29</f>
        <v>4</v>
      </c>
      <c r="O29" s="68"/>
    </row>
    <row r="30" spans="1:15">
      <c r="A30" s="74">
        <v>120</v>
      </c>
      <c r="B30" s="74" t="s">
        <v>134</v>
      </c>
      <c r="C30" s="74"/>
      <c r="D30" s="73">
        <v>35</v>
      </c>
      <c r="E30" s="74"/>
      <c r="F30" s="74" t="s">
        <v>36</v>
      </c>
      <c r="G30" s="74"/>
      <c r="H30" s="116"/>
      <c r="I30" s="118"/>
      <c r="J30" s="117"/>
      <c r="K30" s="116"/>
      <c r="L30" s="119"/>
      <c r="M30" s="116">
        <v>1</v>
      </c>
      <c r="N30" s="73">
        <f>M30*D30</f>
        <v>35</v>
      </c>
      <c r="O30" s="68"/>
    </row>
    <row r="31" spans="1:15">
      <c r="A31" s="74">
        <v>130</v>
      </c>
      <c r="B31" s="74" t="s">
        <v>132</v>
      </c>
      <c r="C31" s="74" t="s">
        <v>133</v>
      </c>
      <c r="D31" s="73">
        <v>1</v>
      </c>
      <c r="E31" s="74"/>
      <c r="F31" s="74" t="s">
        <v>103</v>
      </c>
      <c r="G31" s="74"/>
      <c r="H31" s="116"/>
      <c r="I31" s="118"/>
      <c r="J31" s="117"/>
      <c r="K31" s="116"/>
      <c r="L31" s="119"/>
      <c r="M31" s="116">
        <v>8</v>
      </c>
      <c r="N31" s="73">
        <f>M31*D31</f>
        <v>8</v>
      </c>
      <c r="O31" s="68"/>
    </row>
    <row r="32" spans="1:15">
      <c r="A32" s="74">
        <v>140</v>
      </c>
      <c r="B32" s="74" t="s">
        <v>132</v>
      </c>
      <c r="C32" s="74" t="s">
        <v>131</v>
      </c>
      <c r="D32" s="73">
        <v>1</v>
      </c>
      <c r="E32" s="74"/>
      <c r="F32" s="74" t="s">
        <v>103</v>
      </c>
      <c r="G32" s="74"/>
      <c r="H32" s="116"/>
      <c r="I32" s="118"/>
      <c r="J32" s="117"/>
      <c r="K32" s="116"/>
      <c r="L32" s="119"/>
      <c r="M32" s="116">
        <v>22</v>
      </c>
      <c r="N32" s="73">
        <f>M32*D32</f>
        <v>22</v>
      </c>
      <c r="O32" s="68"/>
    </row>
    <row r="33" spans="1:15">
      <c r="A33" s="74">
        <v>150</v>
      </c>
      <c r="B33" s="74" t="s">
        <v>130</v>
      </c>
      <c r="C33" s="74" t="s">
        <v>129</v>
      </c>
      <c r="D33" s="73">
        <v>1</v>
      </c>
      <c r="E33" s="74"/>
      <c r="F33" s="74" t="s">
        <v>103</v>
      </c>
      <c r="G33" s="74"/>
      <c r="H33" s="116"/>
      <c r="I33" s="118"/>
      <c r="J33" s="117"/>
      <c r="K33" s="116"/>
      <c r="L33" s="119"/>
      <c r="M33" s="116">
        <v>9</v>
      </c>
      <c r="N33" s="73">
        <f>M33*D33</f>
        <v>9</v>
      </c>
      <c r="O33" s="68"/>
    </row>
    <row r="34" spans="1:15">
      <c r="A34" s="74">
        <v>160</v>
      </c>
      <c r="B34" s="74" t="s">
        <v>116</v>
      </c>
      <c r="C34" s="74" t="s">
        <v>128</v>
      </c>
      <c r="D34" s="73">
        <v>0.05</v>
      </c>
      <c r="E34" s="74"/>
      <c r="F34" s="74" t="s">
        <v>103</v>
      </c>
      <c r="G34" s="74"/>
      <c r="H34" s="116"/>
      <c r="I34" s="118"/>
      <c r="J34" s="117"/>
      <c r="K34" s="116"/>
      <c r="L34" s="119"/>
      <c r="M34" s="116">
        <v>3</v>
      </c>
      <c r="N34" s="73">
        <f>M34*D34</f>
        <v>0.15000000000000002</v>
      </c>
      <c r="O34" s="68"/>
    </row>
    <row r="35" spans="1:15">
      <c r="A35" s="74">
        <v>170</v>
      </c>
      <c r="B35" s="74" t="s">
        <v>116</v>
      </c>
      <c r="C35" s="74" t="s">
        <v>127</v>
      </c>
      <c r="D35" s="73">
        <v>0.05</v>
      </c>
      <c r="E35" s="74"/>
      <c r="F35" s="74" t="s">
        <v>103</v>
      </c>
      <c r="G35" s="74"/>
      <c r="H35" s="116"/>
      <c r="I35" s="118"/>
      <c r="J35" s="117"/>
      <c r="K35" s="116"/>
      <c r="L35" s="119"/>
      <c r="M35" s="116">
        <v>2</v>
      </c>
      <c r="N35" s="73">
        <f>M35*D35</f>
        <v>0.1</v>
      </c>
      <c r="O35" s="68"/>
    </row>
    <row r="36" spans="1:15">
      <c r="A36" s="74">
        <v>180</v>
      </c>
      <c r="B36" s="74" t="s">
        <v>116</v>
      </c>
      <c r="C36" s="74" t="s">
        <v>126</v>
      </c>
      <c r="D36" s="73">
        <v>0.05</v>
      </c>
      <c r="E36" s="74"/>
      <c r="F36" s="74" t="s">
        <v>103</v>
      </c>
      <c r="G36" s="74"/>
      <c r="H36" s="116"/>
      <c r="I36" s="118"/>
      <c r="J36" s="117"/>
      <c r="K36" s="116"/>
      <c r="L36" s="119"/>
      <c r="M36" s="116">
        <v>1</v>
      </c>
      <c r="N36" s="73">
        <f>M36*D36</f>
        <v>0.05</v>
      </c>
      <c r="O36" s="68"/>
    </row>
    <row r="37" spans="1:15">
      <c r="A37" s="74">
        <v>190</v>
      </c>
      <c r="B37" s="74" t="s">
        <v>116</v>
      </c>
      <c r="C37" s="74" t="s">
        <v>125</v>
      </c>
      <c r="D37" s="73">
        <v>0.05</v>
      </c>
      <c r="E37" s="74"/>
      <c r="F37" s="74" t="s">
        <v>103</v>
      </c>
      <c r="G37" s="74"/>
      <c r="H37" s="116"/>
      <c r="I37" s="118"/>
      <c r="J37" s="117"/>
      <c r="K37" s="116"/>
      <c r="L37" s="119"/>
      <c r="M37" s="116">
        <v>2</v>
      </c>
      <c r="N37" s="73">
        <f>M37*D37</f>
        <v>0.1</v>
      </c>
      <c r="O37" s="68"/>
    </row>
    <row r="38" spans="1:15">
      <c r="A38" s="74">
        <v>200</v>
      </c>
      <c r="B38" s="74" t="s">
        <v>116</v>
      </c>
      <c r="C38" s="74" t="s">
        <v>124</v>
      </c>
      <c r="D38" s="73">
        <v>0.05</v>
      </c>
      <c r="E38" s="74"/>
      <c r="F38" s="74" t="s">
        <v>103</v>
      </c>
      <c r="G38" s="74"/>
      <c r="H38" s="116"/>
      <c r="I38" s="118"/>
      <c r="J38" s="117"/>
      <c r="K38" s="116"/>
      <c r="L38" s="119"/>
      <c r="M38" s="116">
        <v>6</v>
      </c>
      <c r="N38" s="73">
        <f>M38*D38</f>
        <v>0.30000000000000004</v>
      </c>
      <c r="O38" s="68"/>
    </row>
    <row r="39" spans="1:15">
      <c r="A39" s="74">
        <v>210</v>
      </c>
      <c r="B39" s="74" t="s">
        <v>116</v>
      </c>
      <c r="C39" s="74" t="s">
        <v>123</v>
      </c>
      <c r="D39" s="73">
        <v>0.05</v>
      </c>
      <c r="E39" s="74"/>
      <c r="F39" s="74" t="s">
        <v>103</v>
      </c>
      <c r="G39" s="74"/>
      <c r="H39" s="116"/>
      <c r="I39" s="118"/>
      <c r="J39" s="117"/>
      <c r="K39" s="116"/>
      <c r="L39" s="119"/>
      <c r="M39" s="116">
        <v>2</v>
      </c>
      <c r="N39" s="73">
        <f>M39*D39</f>
        <v>0.1</v>
      </c>
      <c r="O39" s="68"/>
    </row>
    <row r="40" spans="1:15">
      <c r="A40" s="74">
        <v>220</v>
      </c>
      <c r="B40" s="74" t="s">
        <v>116</v>
      </c>
      <c r="C40" s="74" t="s">
        <v>122</v>
      </c>
      <c r="D40" s="73">
        <v>0.05</v>
      </c>
      <c r="E40" s="74"/>
      <c r="F40" s="74" t="s">
        <v>103</v>
      </c>
      <c r="G40" s="74"/>
      <c r="H40" s="116"/>
      <c r="I40" s="118"/>
      <c r="J40" s="117"/>
      <c r="K40" s="116"/>
      <c r="L40" s="119"/>
      <c r="M40" s="116">
        <v>2</v>
      </c>
      <c r="N40" s="73">
        <f>M40*D40</f>
        <v>0.1</v>
      </c>
      <c r="O40" s="68"/>
    </row>
    <row r="41" spans="1:15">
      <c r="A41" s="74">
        <v>230</v>
      </c>
      <c r="B41" s="74" t="s">
        <v>116</v>
      </c>
      <c r="C41" s="74" t="s">
        <v>121</v>
      </c>
      <c r="D41" s="73">
        <v>0.05</v>
      </c>
      <c r="E41" s="74"/>
      <c r="F41" s="74" t="s">
        <v>103</v>
      </c>
      <c r="G41" s="74"/>
      <c r="H41" s="116"/>
      <c r="I41" s="118"/>
      <c r="J41" s="117"/>
      <c r="K41" s="116"/>
      <c r="L41" s="119"/>
      <c r="M41" s="116">
        <v>38</v>
      </c>
      <c r="N41" s="73">
        <f>M41*D41</f>
        <v>1.9000000000000001</v>
      </c>
      <c r="O41" s="68"/>
    </row>
    <row r="42" spans="1:15">
      <c r="A42" s="74">
        <v>240</v>
      </c>
      <c r="B42" s="74" t="s">
        <v>116</v>
      </c>
      <c r="C42" s="74" t="s">
        <v>120</v>
      </c>
      <c r="D42" s="73">
        <v>0.05</v>
      </c>
      <c r="E42" s="74"/>
      <c r="F42" s="74" t="s">
        <v>103</v>
      </c>
      <c r="G42" s="74"/>
      <c r="H42" s="116"/>
      <c r="I42" s="118"/>
      <c r="J42" s="117"/>
      <c r="K42" s="116"/>
      <c r="L42" s="119"/>
      <c r="M42" s="116">
        <v>2</v>
      </c>
      <c r="N42" s="73">
        <f>M42*D42</f>
        <v>0.1</v>
      </c>
      <c r="O42" s="68"/>
    </row>
    <row r="43" spans="1:15">
      <c r="A43" s="74">
        <v>250</v>
      </c>
      <c r="B43" s="74" t="s">
        <v>116</v>
      </c>
      <c r="C43" s="74" t="s">
        <v>119</v>
      </c>
      <c r="D43" s="73">
        <v>0.05</v>
      </c>
      <c r="E43" s="74"/>
      <c r="F43" s="74" t="s">
        <v>103</v>
      </c>
      <c r="G43" s="74"/>
      <c r="H43" s="116"/>
      <c r="I43" s="118"/>
      <c r="J43" s="117"/>
      <c r="K43" s="116"/>
      <c r="L43" s="119"/>
      <c r="M43" s="116">
        <v>8</v>
      </c>
      <c r="N43" s="73">
        <f>M43*D43</f>
        <v>0.4</v>
      </c>
      <c r="O43" s="68"/>
    </row>
    <row r="44" spans="1:15">
      <c r="A44" s="74">
        <v>260</v>
      </c>
      <c r="B44" s="74" t="s">
        <v>116</v>
      </c>
      <c r="C44" s="74" t="s">
        <v>118</v>
      </c>
      <c r="D44" s="73">
        <v>0.05</v>
      </c>
      <c r="E44" s="74"/>
      <c r="F44" s="74" t="s">
        <v>103</v>
      </c>
      <c r="G44" s="74"/>
      <c r="H44" s="116"/>
      <c r="I44" s="118"/>
      <c r="J44" s="117"/>
      <c r="K44" s="116"/>
      <c r="L44" s="119"/>
      <c r="M44" s="116">
        <v>8</v>
      </c>
      <c r="N44" s="73">
        <f>M44*D44</f>
        <v>0.4</v>
      </c>
      <c r="O44" s="68"/>
    </row>
    <row r="45" spans="1:15">
      <c r="A45" s="74">
        <v>270</v>
      </c>
      <c r="B45" s="74" t="s">
        <v>116</v>
      </c>
      <c r="C45" s="74" t="s">
        <v>117</v>
      </c>
      <c r="D45" s="73">
        <v>0.05</v>
      </c>
      <c r="E45" s="74"/>
      <c r="F45" s="74" t="s">
        <v>103</v>
      </c>
      <c r="G45" s="74"/>
      <c r="H45" s="116"/>
      <c r="I45" s="118"/>
      <c r="J45" s="117"/>
      <c r="K45" s="116"/>
      <c r="L45" s="119"/>
      <c r="M45" s="116">
        <v>2</v>
      </c>
      <c r="N45" s="73">
        <f>M45*D45</f>
        <v>0.1</v>
      </c>
      <c r="O45" s="68"/>
    </row>
    <row r="46" spans="1:15">
      <c r="A46" s="74">
        <v>280</v>
      </c>
      <c r="B46" s="74" t="s">
        <v>116</v>
      </c>
      <c r="C46" s="74" t="s">
        <v>115</v>
      </c>
      <c r="D46" s="73">
        <v>0.05</v>
      </c>
      <c r="E46" s="74"/>
      <c r="F46" s="74" t="s">
        <v>103</v>
      </c>
      <c r="G46" s="74"/>
      <c r="H46" s="116"/>
      <c r="I46" s="118"/>
      <c r="J46" s="117"/>
      <c r="K46" s="116"/>
      <c r="L46" s="119"/>
      <c r="M46" s="116">
        <v>4</v>
      </c>
      <c r="N46" s="73">
        <f>M46*D46</f>
        <v>0.2</v>
      </c>
      <c r="O46" s="68"/>
    </row>
    <row r="47" spans="1:15">
      <c r="A47" s="74">
        <v>290</v>
      </c>
      <c r="B47" s="74" t="s">
        <v>111</v>
      </c>
      <c r="C47" s="74" t="s">
        <v>114</v>
      </c>
      <c r="D47" s="73">
        <v>2</v>
      </c>
      <c r="E47" s="74"/>
      <c r="F47" s="74" t="s">
        <v>103</v>
      </c>
      <c r="G47" s="74"/>
      <c r="H47" s="116"/>
      <c r="I47" s="118"/>
      <c r="J47" s="117"/>
      <c r="K47" s="116"/>
      <c r="L47" s="119"/>
      <c r="M47" s="116">
        <v>3</v>
      </c>
      <c r="N47" s="73">
        <f>M47*D47</f>
        <v>6</v>
      </c>
      <c r="O47" s="68"/>
    </row>
    <row r="48" spans="1:15">
      <c r="A48" s="74">
        <v>300</v>
      </c>
      <c r="B48" s="74" t="s">
        <v>111</v>
      </c>
      <c r="C48" s="74" t="s">
        <v>113</v>
      </c>
      <c r="D48" s="73">
        <v>2</v>
      </c>
      <c r="E48" s="74"/>
      <c r="F48" s="74" t="s">
        <v>103</v>
      </c>
      <c r="G48" s="74"/>
      <c r="H48" s="116"/>
      <c r="I48" s="118"/>
      <c r="J48" s="117"/>
      <c r="K48" s="116"/>
      <c r="L48" s="119"/>
      <c r="M48" s="116">
        <v>2</v>
      </c>
      <c r="N48" s="73">
        <f>M48*D48</f>
        <v>4</v>
      </c>
      <c r="O48" s="68"/>
    </row>
    <row r="49" spans="1:15">
      <c r="A49" s="74">
        <v>310</v>
      </c>
      <c r="B49" s="74" t="s">
        <v>111</v>
      </c>
      <c r="C49" s="74" t="s">
        <v>112</v>
      </c>
      <c r="D49" s="73">
        <v>2</v>
      </c>
      <c r="E49" s="74"/>
      <c r="F49" s="74" t="s">
        <v>103</v>
      </c>
      <c r="G49" s="74"/>
      <c r="H49" s="116"/>
      <c r="I49" s="118"/>
      <c r="J49" s="117"/>
      <c r="K49" s="116"/>
      <c r="L49" s="119"/>
      <c r="M49" s="116">
        <v>1</v>
      </c>
      <c r="N49" s="73">
        <f>M49*D49</f>
        <v>2</v>
      </c>
      <c r="O49" s="68"/>
    </row>
    <row r="50" spans="1:15">
      <c r="A50" s="74">
        <v>320</v>
      </c>
      <c r="B50" s="74" t="s">
        <v>111</v>
      </c>
      <c r="C50" s="74" t="s">
        <v>110</v>
      </c>
      <c r="D50" s="73">
        <v>2</v>
      </c>
      <c r="E50" s="74"/>
      <c r="F50" s="74" t="s">
        <v>103</v>
      </c>
      <c r="G50" s="74"/>
      <c r="H50" s="116"/>
      <c r="I50" s="118"/>
      <c r="J50" s="117"/>
      <c r="K50" s="116"/>
      <c r="L50" s="119"/>
      <c r="M50" s="116">
        <v>2</v>
      </c>
      <c r="N50" s="73">
        <f>M50*D50</f>
        <v>4</v>
      </c>
      <c r="O50" s="68"/>
    </row>
    <row r="51" spans="1:15">
      <c r="A51" s="74">
        <v>330</v>
      </c>
      <c r="B51" s="74" t="s">
        <v>107</v>
      </c>
      <c r="C51" s="74" t="s">
        <v>109</v>
      </c>
      <c r="D51" s="73">
        <v>0.05</v>
      </c>
      <c r="E51" s="74"/>
      <c r="F51" s="74" t="s">
        <v>105</v>
      </c>
      <c r="G51" s="74"/>
      <c r="H51" s="116"/>
      <c r="I51" s="118"/>
      <c r="J51" s="117"/>
      <c r="K51" s="116"/>
      <c r="L51" s="119"/>
      <c r="M51" s="116">
        <v>2</v>
      </c>
      <c r="N51" s="73">
        <f>M51*D51</f>
        <v>0.1</v>
      </c>
      <c r="O51" s="68"/>
    </row>
    <row r="52" spans="1:15">
      <c r="A52" s="74">
        <v>340</v>
      </c>
      <c r="B52" s="74" t="s">
        <v>107</v>
      </c>
      <c r="C52" s="74" t="s">
        <v>108</v>
      </c>
      <c r="D52" s="73">
        <v>0.05</v>
      </c>
      <c r="E52" s="74"/>
      <c r="F52" s="74" t="s">
        <v>105</v>
      </c>
      <c r="G52" s="74"/>
      <c r="H52" s="116"/>
      <c r="I52" s="118"/>
      <c r="J52" s="117"/>
      <c r="K52" s="116"/>
      <c r="L52" s="119"/>
      <c r="M52" s="116">
        <v>6</v>
      </c>
      <c r="N52" s="73">
        <f>M52*D52</f>
        <v>0.30000000000000004</v>
      </c>
      <c r="O52" s="68"/>
    </row>
    <row r="53" spans="1:15">
      <c r="A53" s="74">
        <v>350</v>
      </c>
      <c r="B53" s="74" t="s">
        <v>107</v>
      </c>
      <c r="C53" s="74" t="s">
        <v>106</v>
      </c>
      <c r="D53" s="73">
        <v>0.05</v>
      </c>
      <c r="E53" s="74"/>
      <c r="F53" s="74" t="s">
        <v>105</v>
      </c>
      <c r="G53" s="74"/>
      <c r="H53" s="116"/>
      <c r="I53" s="118"/>
      <c r="J53" s="117"/>
      <c r="K53" s="116"/>
      <c r="L53" s="119"/>
      <c r="M53" s="116">
        <v>4</v>
      </c>
      <c r="N53" s="73">
        <f>M53*D53</f>
        <v>0.2</v>
      </c>
      <c r="O53" s="68"/>
    </row>
    <row r="54" spans="1:15">
      <c r="A54" s="74">
        <v>360</v>
      </c>
      <c r="B54" s="74" t="s">
        <v>51</v>
      </c>
      <c r="C54" s="74" t="s">
        <v>104</v>
      </c>
      <c r="D54" s="73">
        <v>0.25</v>
      </c>
      <c r="E54" s="74"/>
      <c r="F54" s="74" t="s">
        <v>103</v>
      </c>
      <c r="G54" s="74"/>
      <c r="H54" s="116"/>
      <c r="I54" s="118"/>
      <c r="J54" s="117"/>
      <c r="K54" s="116"/>
      <c r="L54" s="119"/>
      <c r="M54" s="116">
        <v>32</v>
      </c>
      <c r="N54" s="73">
        <f>M54*D54</f>
        <v>8</v>
      </c>
      <c r="O54" s="68"/>
    </row>
    <row r="55" spans="1:15">
      <c r="A55" s="74">
        <v>370</v>
      </c>
      <c r="B55" s="74" t="s">
        <v>102</v>
      </c>
      <c r="C55" s="74" t="s">
        <v>101</v>
      </c>
      <c r="D55" s="73">
        <v>4</v>
      </c>
      <c r="E55" s="74"/>
      <c r="F55" s="74" t="s">
        <v>36</v>
      </c>
      <c r="G55" s="74"/>
      <c r="H55" s="116"/>
      <c r="I55" s="118"/>
      <c r="J55" s="117"/>
      <c r="K55" s="116"/>
      <c r="L55" s="119"/>
      <c r="M55" s="116">
        <v>5</v>
      </c>
      <c r="N55" s="73">
        <f>M55*D55</f>
        <v>20</v>
      </c>
      <c r="O55" s="68"/>
    </row>
    <row r="56" spans="1:15">
      <c r="A56" s="74">
        <v>380</v>
      </c>
      <c r="B56" s="74" t="s">
        <v>99</v>
      </c>
      <c r="C56" s="74"/>
      <c r="D56" s="73">
        <v>1</v>
      </c>
      <c r="E56" s="74"/>
      <c r="F56" s="74" t="s">
        <v>36</v>
      </c>
      <c r="G56" s="74"/>
      <c r="H56" s="116"/>
      <c r="I56" s="118"/>
      <c r="J56" s="117"/>
      <c r="K56" s="116"/>
      <c r="L56" s="119"/>
      <c r="M56" s="116">
        <v>8</v>
      </c>
      <c r="N56" s="73">
        <f>M56*D56</f>
        <v>8</v>
      </c>
      <c r="O56" s="68"/>
    </row>
    <row r="57" spans="1:15">
      <c r="A57" s="74">
        <v>390</v>
      </c>
      <c r="B57" s="74" t="s">
        <v>51</v>
      </c>
      <c r="C57" s="74" t="s">
        <v>100</v>
      </c>
      <c r="D57" s="73">
        <v>0.25</v>
      </c>
      <c r="E57" s="74"/>
      <c r="F57" s="74" t="s">
        <v>36</v>
      </c>
      <c r="G57" s="74"/>
      <c r="H57" s="116"/>
      <c r="I57" s="118"/>
      <c r="J57" s="117"/>
      <c r="K57" s="116"/>
      <c r="L57" s="119"/>
      <c r="M57" s="116">
        <v>2</v>
      </c>
      <c r="N57" s="73">
        <f>M57*D57</f>
        <v>0.5</v>
      </c>
      <c r="O57" s="68"/>
    </row>
    <row r="58" spans="1:15">
      <c r="A58" s="74">
        <v>400</v>
      </c>
      <c r="B58" s="74" t="s">
        <v>99</v>
      </c>
      <c r="C58" s="74" t="s">
        <v>98</v>
      </c>
      <c r="D58" s="73">
        <v>1</v>
      </c>
      <c r="E58" s="74"/>
      <c r="F58" s="74" t="s">
        <v>36</v>
      </c>
      <c r="G58" s="74"/>
      <c r="H58" s="116"/>
      <c r="I58" s="118"/>
      <c r="J58" s="117"/>
      <c r="K58" s="116"/>
      <c r="L58" s="119"/>
      <c r="M58" s="116">
        <v>1</v>
      </c>
      <c r="N58" s="73">
        <f>M58*D58</f>
        <v>1</v>
      </c>
      <c r="O58" s="68"/>
    </row>
    <row r="59" spans="1:15">
      <c r="A59" s="74">
        <v>410</v>
      </c>
      <c r="B59" s="74" t="s">
        <v>97</v>
      </c>
      <c r="C59" s="74"/>
      <c r="D59" s="73">
        <v>1</v>
      </c>
      <c r="E59" s="74"/>
      <c r="F59" s="74" t="s">
        <v>60</v>
      </c>
      <c r="G59" s="74"/>
      <c r="H59" s="116"/>
      <c r="I59" s="118"/>
      <c r="J59" s="117"/>
      <c r="K59" s="116"/>
      <c r="L59" s="116"/>
      <c r="M59" s="116">
        <v>35</v>
      </c>
      <c r="N59" s="73">
        <f>M59*D59</f>
        <v>35</v>
      </c>
      <c r="O59" s="68"/>
    </row>
    <row r="60" spans="1:15">
      <c r="A60" s="74">
        <v>420</v>
      </c>
      <c r="B60" s="74" t="s">
        <v>96</v>
      </c>
      <c r="C60" s="74"/>
      <c r="D60" s="73">
        <v>0.5</v>
      </c>
      <c r="E60" s="74"/>
      <c r="F60" s="74" t="s">
        <v>60</v>
      </c>
      <c r="G60" s="74"/>
      <c r="H60" s="116"/>
      <c r="I60" s="118"/>
      <c r="J60" s="117"/>
      <c r="K60" s="116"/>
      <c r="L60" s="116"/>
      <c r="M60" s="116">
        <v>1.5</v>
      </c>
      <c r="N60" s="73">
        <f>M60*D60</f>
        <v>0.75</v>
      </c>
      <c r="O60" s="68"/>
    </row>
    <row r="61" spans="1:15">
      <c r="A61" s="74">
        <v>430</v>
      </c>
      <c r="B61" s="74" t="s">
        <v>95</v>
      </c>
      <c r="C61" s="74"/>
      <c r="D61" s="73">
        <v>3</v>
      </c>
      <c r="E61" s="74"/>
      <c r="F61" s="74" t="s">
        <v>60</v>
      </c>
      <c r="G61" s="74"/>
      <c r="H61" s="116"/>
      <c r="I61" s="118"/>
      <c r="J61" s="117"/>
      <c r="K61" s="116"/>
      <c r="L61" s="116"/>
      <c r="M61" s="116">
        <v>10</v>
      </c>
      <c r="N61" s="73">
        <f>M61*D61</f>
        <v>30</v>
      </c>
      <c r="O61" s="68"/>
    </row>
    <row r="62" spans="1:15">
      <c r="A62" s="74">
        <v>440</v>
      </c>
      <c r="B62" s="74" t="s">
        <v>94</v>
      </c>
      <c r="C62" s="74"/>
      <c r="D62" s="73">
        <v>0.5</v>
      </c>
      <c r="E62" s="74"/>
      <c r="F62" s="74" t="s">
        <v>60</v>
      </c>
      <c r="G62" s="74"/>
      <c r="H62" s="116"/>
      <c r="I62" s="118"/>
      <c r="J62" s="117"/>
      <c r="K62" s="116"/>
      <c r="L62" s="116"/>
      <c r="M62" s="116">
        <v>4</v>
      </c>
      <c r="N62" s="73">
        <f>M62*D62</f>
        <v>2</v>
      </c>
      <c r="O62" s="68"/>
    </row>
    <row r="63" spans="1:15">
      <c r="A63" s="74">
        <v>450</v>
      </c>
      <c r="B63" s="115" t="s">
        <v>93</v>
      </c>
      <c r="C63" s="115" t="s">
        <v>49</v>
      </c>
      <c r="D63" s="111">
        <v>3</v>
      </c>
      <c r="E63" s="115"/>
      <c r="F63" s="115" t="s">
        <v>36</v>
      </c>
      <c r="G63" s="115"/>
      <c r="H63" s="112"/>
      <c r="I63" s="114"/>
      <c r="J63" s="113"/>
      <c r="K63" s="112"/>
      <c r="L63" s="112"/>
      <c r="M63" s="112">
        <v>1</v>
      </c>
      <c r="N63" s="111">
        <f>M63*D63</f>
        <v>3</v>
      </c>
      <c r="O63" s="68"/>
    </row>
    <row r="64" spans="1:15">
      <c r="A64" s="74">
        <v>460</v>
      </c>
      <c r="B64" s="110" t="s">
        <v>92</v>
      </c>
      <c r="C64" s="107" t="s">
        <v>90</v>
      </c>
      <c r="D64" s="103">
        <v>25</v>
      </c>
      <c r="E64" s="107"/>
      <c r="F64" s="107" t="s">
        <v>36</v>
      </c>
      <c r="G64" s="107"/>
      <c r="H64" s="104"/>
      <c r="I64" s="106"/>
      <c r="J64" s="105"/>
      <c r="K64" s="104"/>
      <c r="L64" s="104"/>
      <c r="M64" s="104">
        <v>1</v>
      </c>
      <c r="N64" s="103">
        <f>M64*D64</f>
        <v>25</v>
      </c>
      <c r="O64" s="68"/>
    </row>
    <row r="65" spans="1:15">
      <c r="A65" s="74">
        <v>470</v>
      </c>
      <c r="B65" s="109" t="s">
        <v>91</v>
      </c>
      <c r="C65" s="108" t="s">
        <v>90</v>
      </c>
      <c r="D65" s="103">
        <v>5</v>
      </c>
      <c r="E65" s="107"/>
      <c r="F65" s="107" t="s">
        <v>36</v>
      </c>
      <c r="G65" s="107"/>
      <c r="H65" s="104"/>
      <c r="I65" s="106"/>
      <c r="J65" s="105"/>
      <c r="K65" s="104"/>
      <c r="L65" s="104"/>
      <c r="M65" s="104">
        <v>1</v>
      </c>
      <c r="N65" s="103">
        <f>M65*D65</f>
        <v>5</v>
      </c>
      <c r="O65" s="68"/>
    </row>
    <row r="66" spans="1:15">
      <c r="A66" s="72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102" t="s">
        <v>25</v>
      </c>
      <c r="N66" s="70">
        <f>SUM(N19:N65)</f>
        <v>1130.8499999999999</v>
      </c>
      <c r="O66" s="68"/>
    </row>
    <row r="67" spans="1:15">
      <c r="A67" s="76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8"/>
    </row>
    <row r="68" spans="1:15" s="92" customFormat="1">
      <c r="A68" s="75" t="s">
        <v>35</v>
      </c>
      <c r="B68" s="75" t="s">
        <v>89</v>
      </c>
      <c r="C68" s="75" t="s">
        <v>33</v>
      </c>
      <c r="D68" s="75" t="s">
        <v>32</v>
      </c>
      <c r="E68" s="75" t="s">
        <v>31</v>
      </c>
      <c r="F68" s="75" t="s">
        <v>8</v>
      </c>
      <c r="G68" s="75" t="s">
        <v>88</v>
      </c>
      <c r="H68" s="75" t="s">
        <v>87</v>
      </c>
      <c r="I68" s="75" t="s">
        <v>25</v>
      </c>
      <c r="J68" s="69"/>
      <c r="K68" s="69"/>
      <c r="L68" s="69"/>
      <c r="M68" s="69"/>
      <c r="N68" s="69"/>
      <c r="O68" s="93"/>
    </row>
    <row r="69" spans="1:15">
      <c r="A69" s="74">
        <v>10</v>
      </c>
      <c r="B69" s="74" t="s">
        <v>86</v>
      </c>
      <c r="C69" s="74" t="s">
        <v>27</v>
      </c>
      <c r="D69" s="73">
        <v>0.15</v>
      </c>
      <c r="E69" s="74" t="s">
        <v>62</v>
      </c>
      <c r="F69" s="94">
        <v>15</v>
      </c>
      <c r="G69" s="94"/>
      <c r="H69" s="94"/>
      <c r="I69" s="73">
        <f>IF(H69="",D69*F69,D69*F69*H69)</f>
        <v>2.25</v>
      </c>
      <c r="J69" s="64"/>
      <c r="K69" s="64"/>
      <c r="L69" s="64"/>
      <c r="M69" s="64"/>
      <c r="N69" s="64"/>
      <c r="O69" s="68"/>
    </row>
    <row r="70" spans="1:15">
      <c r="A70" s="74">
        <v>20</v>
      </c>
      <c r="B70" s="100" t="s">
        <v>84</v>
      </c>
      <c r="C70" s="74" t="s">
        <v>85</v>
      </c>
      <c r="D70" s="73">
        <v>5.25</v>
      </c>
      <c r="E70" s="100" t="s">
        <v>82</v>
      </c>
      <c r="F70" s="101">
        <v>8.3800000000000003E-3</v>
      </c>
      <c r="G70" s="74"/>
      <c r="H70" s="74"/>
      <c r="I70" s="73">
        <f>IF(H70="",D70*F70,D70*F70*H70)</f>
        <v>4.3994999999999999E-2</v>
      </c>
      <c r="J70" s="64"/>
      <c r="K70" s="64"/>
      <c r="L70" s="64"/>
      <c r="M70" s="64"/>
      <c r="N70" s="64"/>
      <c r="O70" s="68"/>
    </row>
    <row r="71" spans="1:15">
      <c r="A71" s="74">
        <v>30</v>
      </c>
      <c r="B71" s="100" t="s">
        <v>84</v>
      </c>
      <c r="C71" s="74" t="s">
        <v>83</v>
      </c>
      <c r="D71" s="73">
        <v>5.25</v>
      </c>
      <c r="E71" s="74" t="s">
        <v>82</v>
      </c>
      <c r="F71" s="101">
        <v>7.9200000000000001E-5</v>
      </c>
      <c r="G71" s="74"/>
      <c r="H71" s="74"/>
      <c r="I71" s="73">
        <f>IF(H71="",D71*F71,D71*F71*H71)</f>
        <v>4.1580000000000002E-4</v>
      </c>
      <c r="J71" s="64"/>
      <c r="K71" s="64"/>
      <c r="L71" s="64"/>
      <c r="M71" s="64"/>
      <c r="N71" s="64"/>
      <c r="O71" s="68"/>
    </row>
    <row r="72" spans="1:15">
      <c r="A72" s="74">
        <v>40</v>
      </c>
      <c r="B72" s="100" t="s">
        <v>77</v>
      </c>
      <c r="C72" s="74" t="s">
        <v>81</v>
      </c>
      <c r="D72" s="73">
        <v>0.06</v>
      </c>
      <c r="E72" s="74" t="s">
        <v>36</v>
      </c>
      <c r="F72" s="99">
        <v>1</v>
      </c>
      <c r="G72" s="74"/>
      <c r="H72" s="74"/>
      <c r="I72" s="73">
        <f>IF(H72="",D72*F72,D72*F72*H72)</f>
        <v>0.06</v>
      </c>
      <c r="J72" s="64"/>
      <c r="K72" s="64"/>
      <c r="L72" s="64"/>
      <c r="M72" s="64"/>
      <c r="N72" s="64"/>
      <c r="O72" s="68"/>
    </row>
    <row r="73" spans="1:15">
      <c r="A73" s="74">
        <v>50</v>
      </c>
      <c r="B73" s="100" t="s">
        <v>80</v>
      </c>
      <c r="C73" s="74" t="s">
        <v>79</v>
      </c>
      <c r="D73" s="73">
        <v>0.19</v>
      </c>
      <c r="E73" s="74" t="s">
        <v>36</v>
      </c>
      <c r="F73" s="99">
        <v>1</v>
      </c>
      <c r="G73" s="74"/>
      <c r="H73" s="74"/>
      <c r="I73" s="73">
        <f>IF(H73="",D73*F73,D73*F73*H73)</f>
        <v>0.19</v>
      </c>
      <c r="J73" s="64"/>
      <c r="K73" s="64"/>
      <c r="L73" s="64"/>
      <c r="M73" s="64"/>
      <c r="N73" s="64"/>
      <c r="O73" s="68"/>
    </row>
    <row r="74" spans="1:15">
      <c r="A74" s="74">
        <v>60</v>
      </c>
      <c r="B74" s="100" t="s">
        <v>77</v>
      </c>
      <c r="C74" s="74" t="s">
        <v>78</v>
      </c>
      <c r="D74" s="73">
        <v>0.06</v>
      </c>
      <c r="E74" s="74" t="s">
        <v>36</v>
      </c>
      <c r="F74" s="99">
        <v>1</v>
      </c>
      <c r="G74" s="74"/>
      <c r="H74" s="74"/>
      <c r="I74" s="73">
        <f>IF(H74="",D74*F74,D74*F74*H74)</f>
        <v>0.06</v>
      </c>
      <c r="J74" s="64"/>
      <c r="K74" s="64"/>
      <c r="L74" s="64"/>
      <c r="M74" s="64"/>
      <c r="N74" s="64"/>
      <c r="O74" s="68"/>
    </row>
    <row r="75" spans="1:15">
      <c r="A75" s="74">
        <v>70</v>
      </c>
      <c r="B75" s="100" t="s">
        <v>77</v>
      </c>
      <c r="C75" s="74" t="s">
        <v>76</v>
      </c>
      <c r="D75" s="73">
        <v>0.06</v>
      </c>
      <c r="E75" s="74" t="s">
        <v>36</v>
      </c>
      <c r="F75" s="99">
        <v>1</v>
      </c>
      <c r="G75" s="74"/>
      <c r="H75" s="74"/>
      <c r="I75" s="73">
        <f>IF(H75="",D75*F75,D75*F75*H75)</f>
        <v>0.06</v>
      </c>
      <c r="J75" s="64"/>
      <c r="K75" s="64"/>
      <c r="L75" s="64"/>
      <c r="M75" s="64"/>
      <c r="N75" s="64"/>
      <c r="O75" s="68"/>
    </row>
    <row r="76" spans="1:15">
      <c r="A76" s="74">
        <v>80</v>
      </c>
      <c r="B76" s="100" t="s">
        <v>75</v>
      </c>
      <c r="C76" s="74" t="s">
        <v>74</v>
      </c>
      <c r="D76" s="73">
        <v>0.08</v>
      </c>
      <c r="E76" s="74" t="s">
        <v>36</v>
      </c>
      <c r="F76" s="99">
        <v>104</v>
      </c>
      <c r="G76" s="74"/>
      <c r="H76" s="74"/>
      <c r="I76" s="73">
        <f>IF(H76="",D76*F76,D76*F76*H76)</f>
        <v>8.32</v>
      </c>
      <c r="J76" s="64"/>
      <c r="K76" s="64"/>
      <c r="L76" s="64"/>
      <c r="M76" s="64"/>
      <c r="N76" s="64"/>
      <c r="O76" s="68"/>
    </row>
    <row r="77" spans="1:15">
      <c r="A77" s="74">
        <v>90</v>
      </c>
      <c r="B77" s="100" t="s">
        <v>73</v>
      </c>
      <c r="C77" s="74" t="s">
        <v>72</v>
      </c>
      <c r="D77" s="73">
        <v>0.08</v>
      </c>
      <c r="E77" s="74" t="s">
        <v>36</v>
      </c>
      <c r="F77" s="99">
        <v>208</v>
      </c>
      <c r="G77" s="74"/>
      <c r="H77" s="74"/>
      <c r="I77" s="73">
        <f>IF(H77="",D77*F77,D77*F77*H77)</f>
        <v>16.64</v>
      </c>
      <c r="J77" s="64"/>
      <c r="K77" s="64"/>
      <c r="L77" s="64"/>
      <c r="M77" s="64"/>
      <c r="N77" s="64"/>
      <c r="O77" s="68"/>
    </row>
    <row r="78" spans="1:15">
      <c r="A78" s="74">
        <v>100</v>
      </c>
      <c r="B78" s="100" t="s">
        <v>71</v>
      </c>
      <c r="C78" s="74" t="s">
        <v>70</v>
      </c>
      <c r="D78" s="73">
        <v>0.06</v>
      </c>
      <c r="E78" s="74" t="s">
        <v>62</v>
      </c>
      <c r="F78" s="99">
        <v>1</v>
      </c>
      <c r="G78" s="74" t="s">
        <v>69</v>
      </c>
      <c r="H78" s="74">
        <v>15</v>
      </c>
      <c r="I78" s="73">
        <f>IF(H78="",D78*F78,D78*F78*H78)</f>
        <v>0.89999999999999991</v>
      </c>
      <c r="J78" s="64"/>
      <c r="K78" s="64"/>
      <c r="L78" s="64"/>
      <c r="M78" s="64"/>
      <c r="N78" s="64"/>
      <c r="O78" s="68"/>
    </row>
    <row r="79" spans="1:15">
      <c r="A79" s="74">
        <v>110</v>
      </c>
      <c r="B79" s="100" t="s">
        <v>68</v>
      </c>
      <c r="C79" s="74" t="s">
        <v>67</v>
      </c>
      <c r="D79" s="73">
        <v>0.15</v>
      </c>
      <c r="E79" s="74" t="s">
        <v>62</v>
      </c>
      <c r="F79" s="99">
        <v>30</v>
      </c>
      <c r="G79" s="74"/>
      <c r="H79" s="74"/>
      <c r="I79" s="73">
        <f>IF(H79="",D79*F79,D79*F79*H79)</f>
        <v>4.5</v>
      </c>
      <c r="J79" s="64"/>
      <c r="K79" s="64"/>
      <c r="L79" s="64"/>
      <c r="M79" s="64"/>
      <c r="N79" s="64"/>
      <c r="O79" s="68"/>
    </row>
    <row r="80" spans="1:15">
      <c r="A80" s="74">
        <v>120</v>
      </c>
      <c r="B80" s="100" t="s">
        <v>66</v>
      </c>
      <c r="C80" s="74"/>
      <c r="D80" s="73">
        <v>0.36</v>
      </c>
      <c r="E80" s="74" t="s">
        <v>65</v>
      </c>
      <c r="F80" s="99">
        <v>108</v>
      </c>
      <c r="G80" s="74"/>
      <c r="H80" s="74"/>
      <c r="I80" s="73">
        <f>IF(H80="",D80*F80,D80*F80*H80)</f>
        <v>38.879999999999995</v>
      </c>
      <c r="J80" s="64"/>
      <c r="K80" s="64"/>
      <c r="L80" s="64"/>
      <c r="M80" s="64"/>
      <c r="N80" s="64"/>
      <c r="O80" s="68"/>
    </row>
    <row r="81" spans="1:15">
      <c r="A81" s="74">
        <v>130</v>
      </c>
      <c r="B81" s="63" t="s">
        <v>64</v>
      </c>
      <c r="C81" s="74"/>
      <c r="D81" s="73">
        <v>0.11</v>
      </c>
      <c r="E81" s="74" t="s">
        <v>36</v>
      </c>
      <c r="F81" s="99">
        <v>5</v>
      </c>
      <c r="G81" s="74"/>
      <c r="H81" s="74"/>
      <c r="I81" s="73">
        <f>IF(H81="",D81*F81,D81*F81*H81)</f>
        <v>0.55000000000000004</v>
      </c>
      <c r="J81" s="64"/>
      <c r="K81" s="64"/>
      <c r="L81" s="64"/>
      <c r="M81" s="64"/>
      <c r="N81" s="64"/>
      <c r="O81" s="68"/>
    </row>
    <row r="82" spans="1:15">
      <c r="A82" s="74">
        <v>140</v>
      </c>
      <c r="B82" s="63" t="s">
        <v>63</v>
      </c>
      <c r="C82" s="74"/>
      <c r="D82" s="73">
        <v>0.04</v>
      </c>
      <c r="E82" s="74" t="s">
        <v>62</v>
      </c>
      <c r="F82" s="99">
        <v>300</v>
      </c>
      <c r="G82" s="74"/>
      <c r="H82" s="74"/>
      <c r="I82" s="73">
        <f>IF(H82="",D82*F82,D82*F82*H82)</f>
        <v>12</v>
      </c>
      <c r="J82" s="64"/>
      <c r="K82" s="64"/>
      <c r="L82" s="64"/>
      <c r="M82" s="64"/>
      <c r="N82" s="64"/>
      <c r="O82" s="68"/>
    </row>
    <row r="83" spans="1:15">
      <c r="A83" s="74">
        <v>150</v>
      </c>
      <c r="B83" s="100" t="s">
        <v>61</v>
      </c>
      <c r="C83" s="74"/>
      <c r="D83" s="73">
        <v>1</v>
      </c>
      <c r="E83" s="74" t="s">
        <v>60</v>
      </c>
      <c r="F83" s="99">
        <v>4</v>
      </c>
      <c r="G83" s="74"/>
      <c r="H83" s="74"/>
      <c r="I83" s="73">
        <f>IF(H83="",D83*F83,D83*F83*H83)</f>
        <v>4</v>
      </c>
      <c r="J83" s="64"/>
      <c r="K83" s="64"/>
      <c r="L83" s="64"/>
      <c r="M83" s="64"/>
      <c r="N83" s="64"/>
      <c r="O83" s="68"/>
    </row>
    <row r="84" spans="1:15" s="79" customFormat="1">
      <c r="A84" s="74">
        <v>160</v>
      </c>
      <c r="B84" s="98" t="s">
        <v>59</v>
      </c>
      <c r="C84" s="74"/>
      <c r="D84" s="73">
        <v>0.5</v>
      </c>
      <c r="E84" s="74" t="s">
        <v>36</v>
      </c>
      <c r="F84" s="94">
        <v>12</v>
      </c>
      <c r="G84" s="74"/>
      <c r="H84" s="74"/>
      <c r="I84" s="73">
        <f>IF(H84="",D84*F84,D84*F84*H84)</f>
        <v>6</v>
      </c>
      <c r="J84" s="81"/>
      <c r="K84" s="81"/>
      <c r="L84" s="81"/>
      <c r="M84" s="81"/>
      <c r="N84" s="81"/>
      <c r="O84" s="80"/>
    </row>
    <row r="85" spans="1:15" s="92" customFormat="1">
      <c r="A85" s="97">
        <v>170</v>
      </c>
      <c r="B85" s="96" t="s">
        <v>58</v>
      </c>
      <c r="C85" s="95"/>
      <c r="D85" s="73">
        <v>0.25</v>
      </c>
      <c r="E85" s="74" t="s">
        <v>36</v>
      </c>
      <c r="F85" s="94">
        <v>12</v>
      </c>
      <c r="G85" s="94"/>
      <c r="H85" s="94"/>
      <c r="I85" s="73">
        <f>IF(H85="",D85*F85,D85*F85*H85)</f>
        <v>3</v>
      </c>
      <c r="J85" s="81"/>
      <c r="K85" s="81"/>
      <c r="L85" s="81"/>
      <c r="M85" s="81"/>
      <c r="N85" s="81"/>
      <c r="O85" s="93"/>
    </row>
    <row r="86" spans="1:15">
      <c r="A86" s="72"/>
      <c r="B86" s="69"/>
      <c r="C86" s="69"/>
      <c r="D86" s="69"/>
      <c r="E86" s="69"/>
      <c r="F86" s="69"/>
      <c r="G86" s="69"/>
      <c r="H86" s="78" t="s">
        <v>25</v>
      </c>
      <c r="I86" s="77">
        <f>SUM(I69:I85)</f>
        <v>97.454410799999991</v>
      </c>
      <c r="J86" s="64"/>
      <c r="K86" s="64"/>
      <c r="L86" s="64"/>
      <c r="M86" s="64"/>
      <c r="N86" s="64"/>
      <c r="O86" s="68"/>
    </row>
    <row r="87" spans="1:15">
      <c r="A87" s="76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8"/>
    </row>
    <row r="88" spans="1:15">
      <c r="A88" s="75" t="s">
        <v>35</v>
      </c>
      <c r="B88" s="75" t="s">
        <v>57</v>
      </c>
      <c r="C88" s="75" t="s">
        <v>33</v>
      </c>
      <c r="D88" s="75" t="s">
        <v>32</v>
      </c>
      <c r="E88" s="75" t="s">
        <v>56</v>
      </c>
      <c r="F88" s="75" t="s">
        <v>55</v>
      </c>
      <c r="G88" s="75" t="s">
        <v>54</v>
      </c>
      <c r="H88" s="75" t="s">
        <v>53</v>
      </c>
      <c r="I88" s="75" t="s">
        <v>8</v>
      </c>
      <c r="J88" s="75" t="s">
        <v>25</v>
      </c>
      <c r="K88" s="64"/>
      <c r="L88" s="64"/>
      <c r="M88" s="64"/>
      <c r="N88" s="64"/>
      <c r="O88" s="68"/>
    </row>
    <row r="89" spans="1:15">
      <c r="A89" s="74">
        <v>10</v>
      </c>
      <c r="B89" s="74" t="s">
        <v>47</v>
      </c>
      <c r="C89" s="74" t="s">
        <v>52</v>
      </c>
      <c r="D89" s="84">
        <v>0.04</v>
      </c>
      <c r="E89" s="91">
        <v>3</v>
      </c>
      <c r="F89" s="91" t="s">
        <v>43</v>
      </c>
      <c r="G89" s="91">
        <v>15</v>
      </c>
      <c r="H89" s="91" t="s">
        <v>43</v>
      </c>
      <c r="I89" s="82">
        <v>3</v>
      </c>
      <c r="J89" s="73">
        <f>I89*D89</f>
        <v>0.12</v>
      </c>
      <c r="K89" s="64"/>
      <c r="L89" s="64"/>
      <c r="M89" s="64"/>
      <c r="N89" s="64"/>
      <c r="O89" s="68"/>
    </row>
    <row r="90" spans="1:15">
      <c r="A90" s="74">
        <v>20</v>
      </c>
      <c r="B90" s="74" t="s">
        <v>46</v>
      </c>
      <c r="C90" s="74" t="s">
        <v>52</v>
      </c>
      <c r="D90" s="84">
        <v>0.01</v>
      </c>
      <c r="E90" s="74">
        <v>3</v>
      </c>
      <c r="F90" s="83" t="s">
        <v>43</v>
      </c>
      <c r="G90" s="74"/>
      <c r="H90" s="74"/>
      <c r="I90" s="82">
        <v>3</v>
      </c>
      <c r="J90" s="73">
        <f>I90*D90</f>
        <v>0.03</v>
      </c>
      <c r="K90" s="64"/>
      <c r="L90" s="64"/>
      <c r="M90" s="64"/>
      <c r="N90" s="64"/>
      <c r="O90" s="68"/>
    </row>
    <row r="91" spans="1:15">
      <c r="A91" s="74">
        <v>30</v>
      </c>
      <c r="B91" s="74" t="s">
        <v>45</v>
      </c>
      <c r="C91" s="74" t="s">
        <v>52</v>
      </c>
      <c r="D91" s="84">
        <v>0.01</v>
      </c>
      <c r="E91" s="74">
        <v>3</v>
      </c>
      <c r="F91" s="83" t="s">
        <v>43</v>
      </c>
      <c r="G91" s="74"/>
      <c r="H91" s="74"/>
      <c r="I91" s="82">
        <v>3</v>
      </c>
      <c r="J91" s="73">
        <f>I91*D91</f>
        <v>0.03</v>
      </c>
      <c r="K91" s="64"/>
      <c r="L91" s="64"/>
      <c r="M91" s="64"/>
      <c r="N91" s="64"/>
      <c r="O91" s="68"/>
    </row>
    <row r="92" spans="1:15">
      <c r="A92" s="74">
        <v>40</v>
      </c>
      <c r="B92" s="74" t="s">
        <v>47</v>
      </c>
      <c r="C92" s="85" t="s">
        <v>51</v>
      </c>
      <c r="D92" s="90">
        <v>0.04</v>
      </c>
      <c r="E92" s="85">
        <v>4</v>
      </c>
      <c r="F92" s="89" t="s">
        <v>43</v>
      </c>
      <c r="G92" s="85">
        <v>15</v>
      </c>
      <c r="H92" s="85" t="s">
        <v>43</v>
      </c>
      <c r="I92" s="88">
        <v>2</v>
      </c>
      <c r="J92" s="73">
        <f>I92*D92</f>
        <v>0.08</v>
      </c>
      <c r="K92" s="87"/>
      <c r="L92" s="87"/>
      <c r="M92" s="87"/>
      <c r="N92" s="87"/>
      <c r="O92" s="68"/>
    </row>
    <row r="93" spans="1:15">
      <c r="A93" s="74">
        <v>50</v>
      </c>
      <c r="B93" s="74" t="s">
        <v>46</v>
      </c>
      <c r="C93" s="85" t="s">
        <v>51</v>
      </c>
      <c r="D93" s="90">
        <v>0.02</v>
      </c>
      <c r="E93" s="85">
        <v>4</v>
      </c>
      <c r="F93" s="89" t="s">
        <v>43</v>
      </c>
      <c r="G93" s="85"/>
      <c r="H93" s="85"/>
      <c r="I93" s="88">
        <v>2</v>
      </c>
      <c r="J93" s="73">
        <f>I93*D93</f>
        <v>0.04</v>
      </c>
      <c r="K93" s="87"/>
      <c r="L93" s="87"/>
      <c r="M93" s="87"/>
      <c r="N93" s="87"/>
      <c r="O93" s="68"/>
    </row>
    <row r="94" spans="1:15" s="79" customFormat="1">
      <c r="A94" s="74">
        <v>60</v>
      </c>
      <c r="B94" s="74" t="s">
        <v>45</v>
      </c>
      <c r="C94" s="85" t="s">
        <v>51</v>
      </c>
      <c r="D94" s="84">
        <v>0.01</v>
      </c>
      <c r="E94" s="74">
        <v>4</v>
      </c>
      <c r="F94" s="83" t="s">
        <v>43</v>
      </c>
      <c r="G94" s="74"/>
      <c r="H94" s="74"/>
      <c r="I94" s="82">
        <v>2</v>
      </c>
      <c r="J94" s="73">
        <f>I94*D94</f>
        <v>0.02</v>
      </c>
      <c r="K94" s="81"/>
      <c r="L94" s="81"/>
      <c r="M94" s="81"/>
      <c r="N94" s="81"/>
      <c r="O94" s="80"/>
    </row>
    <row r="95" spans="1:15" s="79" customFormat="1">
      <c r="A95" s="74">
        <v>70</v>
      </c>
      <c r="B95" s="74" t="s">
        <v>47</v>
      </c>
      <c r="C95" s="85" t="s">
        <v>50</v>
      </c>
      <c r="D95" s="84">
        <v>0.04</v>
      </c>
      <c r="E95" s="74">
        <v>4</v>
      </c>
      <c r="F95" s="83" t="s">
        <v>43</v>
      </c>
      <c r="G95" s="74">
        <v>15</v>
      </c>
      <c r="H95" s="74" t="s">
        <v>43</v>
      </c>
      <c r="I95" s="82">
        <v>2</v>
      </c>
      <c r="J95" s="73">
        <f>I95*D95</f>
        <v>0.08</v>
      </c>
      <c r="K95" s="81"/>
      <c r="L95" s="81"/>
      <c r="M95" s="81"/>
      <c r="N95" s="81"/>
      <c r="O95" s="80"/>
    </row>
    <row r="96" spans="1:15" s="79" customFormat="1">
      <c r="A96" s="74">
        <v>80</v>
      </c>
      <c r="B96" s="74" t="s">
        <v>46</v>
      </c>
      <c r="C96" s="85" t="s">
        <v>50</v>
      </c>
      <c r="D96" s="84">
        <v>0.02</v>
      </c>
      <c r="E96" s="74">
        <v>4</v>
      </c>
      <c r="F96" s="83" t="s">
        <v>43</v>
      </c>
      <c r="G96" s="74"/>
      <c r="H96" s="74"/>
      <c r="I96" s="82">
        <v>2</v>
      </c>
      <c r="J96" s="73">
        <f>I96*D96</f>
        <v>0.04</v>
      </c>
      <c r="K96" s="81"/>
      <c r="L96" s="81"/>
      <c r="M96" s="81"/>
      <c r="N96" s="81"/>
      <c r="O96" s="80"/>
    </row>
    <row r="97" spans="1:15" s="79" customFormat="1">
      <c r="A97" s="74">
        <v>90</v>
      </c>
      <c r="B97" s="74" t="s">
        <v>45</v>
      </c>
      <c r="C97" s="85" t="s">
        <v>50</v>
      </c>
      <c r="D97" s="84">
        <v>0.01</v>
      </c>
      <c r="E97" s="74">
        <v>4</v>
      </c>
      <c r="F97" s="83" t="s">
        <v>43</v>
      </c>
      <c r="G97" s="74"/>
      <c r="H97" s="74"/>
      <c r="I97" s="82">
        <v>2</v>
      </c>
      <c r="J97" s="73">
        <f>I97*D97</f>
        <v>0.02</v>
      </c>
      <c r="K97" s="81"/>
      <c r="L97" s="81"/>
      <c r="M97" s="81"/>
      <c r="N97" s="81"/>
      <c r="O97" s="80"/>
    </row>
    <row r="98" spans="1:15" s="79" customFormat="1">
      <c r="A98" s="74">
        <v>100</v>
      </c>
      <c r="B98" s="74" t="s">
        <v>47</v>
      </c>
      <c r="C98" s="85" t="s">
        <v>49</v>
      </c>
      <c r="D98" s="84">
        <v>0.04</v>
      </c>
      <c r="E98" s="74">
        <v>4</v>
      </c>
      <c r="F98" s="83" t="s">
        <v>43</v>
      </c>
      <c r="G98" s="74">
        <v>15</v>
      </c>
      <c r="H98" s="74" t="s">
        <v>43</v>
      </c>
      <c r="I98" s="82">
        <v>2</v>
      </c>
      <c r="J98" s="73">
        <f>I98*D98</f>
        <v>0.08</v>
      </c>
      <c r="K98" s="81"/>
      <c r="L98" s="81"/>
      <c r="M98" s="81"/>
      <c r="N98" s="81"/>
      <c r="O98" s="80"/>
    </row>
    <row r="99" spans="1:15" s="79" customFormat="1">
      <c r="A99" s="74">
        <v>110</v>
      </c>
      <c r="B99" s="74" t="s">
        <v>46</v>
      </c>
      <c r="C99" s="85" t="s">
        <v>49</v>
      </c>
      <c r="D99" s="84">
        <v>0.02</v>
      </c>
      <c r="E99" s="74">
        <v>4</v>
      </c>
      <c r="F99" s="83" t="s">
        <v>43</v>
      </c>
      <c r="G99" s="74"/>
      <c r="H99" s="74"/>
      <c r="I99" s="82">
        <v>2</v>
      </c>
      <c r="J99" s="73">
        <f>I99*D99</f>
        <v>0.04</v>
      </c>
      <c r="K99" s="81"/>
      <c r="L99" s="81"/>
      <c r="M99" s="81"/>
      <c r="N99" s="81"/>
      <c r="O99" s="80"/>
    </row>
    <row r="100" spans="1:15" s="79" customFormat="1">
      <c r="A100" s="74">
        <v>120</v>
      </c>
      <c r="B100" s="74" t="s">
        <v>45</v>
      </c>
      <c r="C100" s="85" t="s">
        <v>49</v>
      </c>
      <c r="D100" s="84">
        <v>0.01</v>
      </c>
      <c r="E100" s="74">
        <v>4</v>
      </c>
      <c r="F100" s="83" t="s">
        <v>43</v>
      </c>
      <c r="G100" s="74"/>
      <c r="H100" s="74"/>
      <c r="I100" s="82">
        <v>2</v>
      </c>
      <c r="J100" s="73">
        <f>I100*D100</f>
        <v>0.02</v>
      </c>
      <c r="K100" s="81"/>
      <c r="L100" s="81"/>
      <c r="M100" s="81"/>
      <c r="N100" s="81"/>
      <c r="O100" s="80"/>
    </row>
    <row r="101" spans="1:15" s="79" customFormat="1">
      <c r="A101" s="74">
        <v>130</v>
      </c>
      <c r="B101" s="74" t="s">
        <v>47</v>
      </c>
      <c r="C101" s="85" t="s">
        <v>48</v>
      </c>
      <c r="D101" s="84">
        <v>0.04</v>
      </c>
      <c r="E101" s="74">
        <v>4</v>
      </c>
      <c r="F101" s="83" t="s">
        <v>43</v>
      </c>
      <c r="G101" s="74">
        <v>15</v>
      </c>
      <c r="H101" s="74" t="s">
        <v>43</v>
      </c>
      <c r="I101" s="82">
        <v>3</v>
      </c>
      <c r="J101" s="73">
        <f>I101*D101</f>
        <v>0.12</v>
      </c>
      <c r="K101" s="81"/>
      <c r="L101" s="81"/>
      <c r="M101" s="81"/>
      <c r="N101" s="81"/>
      <c r="O101" s="80"/>
    </row>
    <row r="102" spans="1:15" s="79" customFormat="1">
      <c r="A102" s="74">
        <v>140</v>
      </c>
      <c r="B102" s="74" t="s">
        <v>46</v>
      </c>
      <c r="C102" s="85" t="s">
        <v>48</v>
      </c>
      <c r="D102" s="84">
        <v>0.02</v>
      </c>
      <c r="E102" s="74">
        <v>4</v>
      </c>
      <c r="F102" s="83" t="s">
        <v>43</v>
      </c>
      <c r="G102" s="74"/>
      <c r="H102" s="74"/>
      <c r="I102" s="82">
        <v>3</v>
      </c>
      <c r="J102" s="73">
        <f>I102*D102</f>
        <v>0.06</v>
      </c>
      <c r="K102" s="81"/>
      <c r="L102" s="81"/>
      <c r="M102" s="81"/>
      <c r="N102" s="81"/>
      <c r="O102" s="80"/>
    </row>
    <row r="103" spans="1:15" s="79" customFormat="1">
      <c r="A103" s="74">
        <v>150</v>
      </c>
      <c r="B103" s="74" t="s">
        <v>45</v>
      </c>
      <c r="C103" s="85" t="s">
        <v>48</v>
      </c>
      <c r="D103" s="84">
        <v>0.01</v>
      </c>
      <c r="E103" s="74">
        <v>4</v>
      </c>
      <c r="F103" s="83" t="s">
        <v>43</v>
      </c>
      <c r="G103" s="74"/>
      <c r="H103" s="74"/>
      <c r="I103" s="82">
        <v>3</v>
      </c>
      <c r="J103" s="73">
        <f>I103*D103</f>
        <v>0.03</v>
      </c>
      <c r="K103" s="81"/>
      <c r="L103" s="81"/>
      <c r="M103" s="81"/>
      <c r="N103" s="81"/>
      <c r="O103" s="80"/>
    </row>
    <row r="104" spans="1:15" s="79" customFormat="1">
      <c r="A104" s="74">
        <v>160</v>
      </c>
      <c r="B104" s="74" t="s">
        <v>47</v>
      </c>
      <c r="C104" s="85" t="s">
        <v>44</v>
      </c>
      <c r="D104" s="84">
        <v>0.04</v>
      </c>
      <c r="E104" s="74">
        <v>3</v>
      </c>
      <c r="F104" s="83" t="s">
        <v>43</v>
      </c>
      <c r="G104" s="74">
        <v>15</v>
      </c>
      <c r="H104" s="74" t="s">
        <v>43</v>
      </c>
      <c r="I104" s="82">
        <v>2</v>
      </c>
      <c r="J104" s="73">
        <f>I104*D104</f>
        <v>0.08</v>
      </c>
      <c r="K104" s="81"/>
      <c r="L104" s="81"/>
      <c r="M104" s="81"/>
      <c r="N104" s="81"/>
      <c r="O104" s="80"/>
    </row>
    <row r="105" spans="1:15" s="79" customFormat="1">
      <c r="A105" s="74">
        <v>170</v>
      </c>
      <c r="B105" s="74" t="s">
        <v>46</v>
      </c>
      <c r="C105" s="85" t="s">
        <v>44</v>
      </c>
      <c r="D105" s="84">
        <v>0.02</v>
      </c>
      <c r="E105" s="74">
        <v>3</v>
      </c>
      <c r="F105" s="83" t="s">
        <v>43</v>
      </c>
      <c r="G105" s="74"/>
      <c r="H105" s="74"/>
      <c r="I105" s="82">
        <v>2</v>
      </c>
      <c r="J105" s="73">
        <f>I105*D105</f>
        <v>0.04</v>
      </c>
      <c r="K105" s="81"/>
      <c r="L105" s="81"/>
      <c r="M105" s="81"/>
      <c r="N105" s="81"/>
      <c r="O105" s="80"/>
    </row>
    <row r="106" spans="1:15" s="79" customFormat="1">
      <c r="A106" s="74">
        <v>180</v>
      </c>
      <c r="B106" s="74" t="s">
        <v>45</v>
      </c>
      <c r="C106" s="85" t="s">
        <v>44</v>
      </c>
      <c r="D106" s="84">
        <v>0.01</v>
      </c>
      <c r="E106" s="74">
        <v>3</v>
      </c>
      <c r="F106" s="83" t="s">
        <v>43</v>
      </c>
      <c r="G106" s="74"/>
      <c r="H106" s="74"/>
      <c r="I106" s="82">
        <v>2</v>
      </c>
      <c r="J106" s="73">
        <f>I106*D106</f>
        <v>0.02</v>
      </c>
      <c r="K106" s="81"/>
      <c r="L106" s="81"/>
      <c r="M106" s="81"/>
      <c r="N106" s="81"/>
      <c r="O106" s="80"/>
    </row>
    <row r="107" spans="1:15" s="79" customFormat="1">
      <c r="A107" s="74">
        <v>190</v>
      </c>
      <c r="B107" s="74" t="s">
        <v>42</v>
      </c>
      <c r="C107" s="85" t="s">
        <v>40</v>
      </c>
      <c r="D107" s="84">
        <v>3.0000000000000001E-3</v>
      </c>
      <c r="E107" s="74">
        <v>60</v>
      </c>
      <c r="F107" s="83" t="s">
        <v>39</v>
      </c>
      <c r="G107" s="74"/>
      <c r="H107" s="74"/>
      <c r="I107" s="86">
        <v>1</v>
      </c>
      <c r="J107" s="73">
        <f>I107*D107*E107</f>
        <v>0.18</v>
      </c>
      <c r="K107" s="81"/>
      <c r="L107" s="81"/>
      <c r="M107" s="81"/>
      <c r="N107" s="81"/>
      <c r="O107" s="80"/>
    </row>
    <row r="108" spans="1:15" s="79" customFormat="1">
      <c r="A108" s="74">
        <v>200</v>
      </c>
      <c r="B108" s="74" t="s">
        <v>41</v>
      </c>
      <c r="C108" s="85" t="s">
        <v>40</v>
      </c>
      <c r="D108" s="84">
        <v>2E-3</v>
      </c>
      <c r="E108" s="74">
        <v>60</v>
      </c>
      <c r="F108" s="83" t="s">
        <v>39</v>
      </c>
      <c r="G108" s="74"/>
      <c r="H108" s="74"/>
      <c r="I108" s="86">
        <v>1</v>
      </c>
      <c r="J108" s="73">
        <f>I108*D108*E108</f>
        <v>0.12</v>
      </c>
      <c r="K108" s="81"/>
      <c r="L108" s="81"/>
      <c r="M108" s="81"/>
      <c r="N108" s="81"/>
      <c r="O108" s="80"/>
    </row>
    <row r="109" spans="1:15" s="79" customFormat="1">
      <c r="A109" s="74">
        <v>210</v>
      </c>
      <c r="B109" s="74" t="s">
        <v>38</v>
      </c>
      <c r="C109" s="85" t="s">
        <v>37</v>
      </c>
      <c r="D109" s="84">
        <v>0.04</v>
      </c>
      <c r="E109" s="74">
        <v>1</v>
      </c>
      <c r="F109" s="83" t="s">
        <v>36</v>
      </c>
      <c r="G109" s="74"/>
      <c r="H109" s="74"/>
      <c r="I109" s="82">
        <v>15</v>
      </c>
      <c r="J109" s="73">
        <f>I109*D109*E109</f>
        <v>0.6</v>
      </c>
      <c r="K109" s="81"/>
      <c r="L109" s="81"/>
      <c r="M109" s="81"/>
      <c r="N109" s="81"/>
      <c r="O109" s="80"/>
    </row>
    <row r="110" spans="1:15">
      <c r="A110" s="72"/>
      <c r="B110" s="69"/>
      <c r="C110" s="69"/>
      <c r="D110" s="69"/>
      <c r="E110" s="69"/>
      <c r="F110" s="69"/>
      <c r="G110" s="69"/>
      <c r="H110" s="69"/>
      <c r="I110" s="78" t="s">
        <v>25</v>
      </c>
      <c r="J110" s="77">
        <f>SUM(J89:J109)</f>
        <v>1.85</v>
      </c>
      <c r="K110" s="64"/>
      <c r="L110" s="64"/>
      <c r="M110" s="64"/>
      <c r="N110" s="64"/>
      <c r="O110" s="68"/>
    </row>
    <row r="111" spans="1:15">
      <c r="A111" s="76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8"/>
    </row>
    <row r="112" spans="1:15">
      <c r="A112" s="75" t="s">
        <v>35</v>
      </c>
      <c r="B112" s="75" t="s">
        <v>34</v>
      </c>
      <c r="C112" s="75" t="s">
        <v>33</v>
      </c>
      <c r="D112" s="75" t="s">
        <v>32</v>
      </c>
      <c r="E112" s="75" t="s">
        <v>31</v>
      </c>
      <c r="F112" s="75" t="s">
        <v>8</v>
      </c>
      <c r="G112" s="75" t="s">
        <v>30</v>
      </c>
      <c r="H112" s="75" t="s">
        <v>29</v>
      </c>
      <c r="I112" s="75" t="s">
        <v>25</v>
      </c>
      <c r="J112" s="69"/>
      <c r="K112" s="64"/>
      <c r="L112" s="64"/>
      <c r="M112" s="64"/>
      <c r="N112" s="64"/>
      <c r="O112" s="68"/>
    </row>
    <row r="113" spans="1:15">
      <c r="A113" s="74">
        <v>10</v>
      </c>
      <c r="B113" s="74" t="s">
        <v>28</v>
      </c>
      <c r="C113" s="74" t="s">
        <v>27</v>
      </c>
      <c r="D113" s="73">
        <v>500</v>
      </c>
      <c r="E113" s="74" t="s">
        <v>26</v>
      </c>
      <c r="F113" s="74">
        <v>12</v>
      </c>
      <c r="G113" s="74">
        <v>3000</v>
      </c>
      <c r="H113" s="74">
        <v>1</v>
      </c>
      <c r="I113" s="73">
        <f>D113*F113/G113*H113</f>
        <v>2</v>
      </c>
      <c r="J113" s="69"/>
      <c r="K113" s="64"/>
      <c r="L113" s="64"/>
      <c r="M113" s="64"/>
      <c r="N113" s="64"/>
      <c r="O113" s="68"/>
    </row>
    <row r="114" spans="1:15">
      <c r="A114" s="72"/>
      <c r="B114" s="69"/>
      <c r="C114" s="69"/>
      <c r="D114" s="69"/>
      <c r="E114" s="69"/>
      <c r="F114" s="69"/>
      <c r="G114" s="69"/>
      <c r="H114" s="71" t="s">
        <v>25</v>
      </c>
      <c r="I114" s="70">
        <f>SUM(I113:I113)</f>
        <v>2</v>
      </c>
      <c r="J114" s="69"/>
      <c r="K114" s="64"/>
      <c r="L114" s="64"/>
      <c r="M114" s="64"/>
      <c r="N114" s="64"/>
      <c r="O114" s="68"/>
    </row>
    <row r="115" spans="1:15" ht="15.75" thickBot="1">
      <c r="A115" s="67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5"/>
    </row>
    <row r="116" spans="1:15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</row>
  </sheetData>
  <hyperlinks>
    <hyperlink ref="B10" location="EL_01001" display="EL_01001" xr:uid="{00000000-0004-0000-0200-000000000000}"/>
    <hyperlink ref="B11" location="EL_01002" display="EL_01002" xr:uid="{00000000-0004-0000-0200-000001000000}"/>
    <hyperlink ref="B12" location="EL_01003" display="EL_01003" xr:uid="{00000000-0004-0000-0200-000002000000}"/>
    <hyperlink ref="B14" location="EL_01005" display="EL_01005" xr:uid="{00000000-0004-0000-0200-000003000000}"/>
    <hyperlink ref="B13" location="EL_01004" display="EL_01004" xr:uid="{00000000-0004-0000-0200-000004000000}"/>
    <hyperlink ref="B15" location="EL_01006" display="EL_01006" xr:uid="{00000000-0004-0000-0200-000005000000}"/>
    <hyperlink ref="E2" location="EL_A0001_BOM" display="Back to BOM" xr:uid="{564F1D83-A32B-41A9-A816-ADA95365302A}"/>
  </hyperlinks>
  <pageMargins left="0.69930555555555596" right="0.69930555555555596" top="0.75" bottom="0.75" header="0.51041666666666696" footer="0.3"/>
  <pageSetup paperSize="9" scale="39" firstPageNumber="0" fitToHeight="0" orientation="portrait" useFirstPageNumber="1"/>
  <headerFooter>
    <oddFooter>&amp;C&amp;P</oddFooter>
  </headerFooter>
  <rowBreaks count="1" manualBreakCount="1">
    <brk id="115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37718-1903-4610-AEDD-02CF64A6C91B}">
  <sheetPr>
    <tabColor theme="9" tint="0.39991454817346722"/>
    <pageSetUpPr fitToPage="1"/>
  </sheetPr>
  <dimension ref="A1:B1"/>
  <sheetViews>
    <sheetView workbookViewId="0">
      <selection activeCell="B1" sqref="B1"/>
    </sheetView>
  </sheetViews>
  <sheetFormatPr baseColWidth="10" defaultColWidth="9" defaultRowHeight="15"/>
  <cols>
    <col min="1" max="1" width="14" style="203" customWidth="1"/>
    <col min="2" max="16384" width="9" style="203"/>
  </cols>
  <sheetData>
    <row r="1" spans="1:2">
      <c r="A1" s="171" t="s">
        <v>185</v>
      </c>
      <c r="B1" s="171" t="str">
        <f>EL_02004</f>
        <v>EL 02004</v>
      </c>
    </row>
  </sheetData>
  <hyperlinks>
    <hyperlink ref="B1" location="EL_01001" display="=EL_02004" xr:uid="{00000000-0004-0000-0A00-000000000000}"/>
    <hyperlink ref="A1" location="EL_01001" display="Drawing part :" xr:uid="{00000000-0004-0000-0A00-000001000000}"/>
    <hyperlink ref="A1:B1" location="EL_02004" display="Drawing part :" xr:uid="{00000000-0004-0000-0A00-000002000000}"/>
  </hyperlinks>
  <pageMargins left="0.69930555555555596" right="0.69930555555555596" top="0.75" bottom="0.75" header="0.3" footer="0.3"/>
  <pageSetup paperSize="9" fitToHeight="0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DFA8-B580-4365-B54F-B4E7833C44E5}">
  <sheetPr>
    <tabColor theme="9"/>
    <pageSetUpPr fitToPage="1"/>
  </sheetPr>
  <dimension ref="A1:O41"/>
  <sheetViews>
    <sheetView workbookViewId="0">
      <selection activeCell="B10" sqref="B10"/>
    </sheetView>
  </sheetViews>
  <sheetFormatPr baseColWidth="10" defaultColWidth="9.140625" defaultRowHeight="15"/>
  <cols>
    <col min="1" max="1" width="9.140625" style="63"/>
    <col min="2" max="2" width="33.7109375" style="63" customWidth="1"/>
    <col min="3" max="13" width="9.140625" style="63"/>
    <col min="14" max="14" width="11.85546875" style="63" customWidth="1"/>
    <col min="15" max="15" width="5.28515625" style="63" customWidth="1"/>
    <col min="16" max="16384" width="9.140625" style="63"/>
  </cols>
  <sheetData>
    <row r="1" spans="1:15">
      <c r="A1" s="139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7"/>
    </row>
    <row r="2" spans="1:15">
      <c r="A2" s="182" t="s">
        <v>24</v>
      </c>
      <c r="B2" s="132" t="s">
        <v>23</v>
      </c>
      <c r="C2" s="64"/>
      <c r="D2" s="64"/>
      <c r="E2" s="170" t="s">
        <v>172</v>
      </c>
      <c r="F2" s="64"/>
      <c r="G2" s="64"/>
      <c r="H2" s="64"/>
      <c r="I2" s="64"/>
      <c r="J2" s="182" t="s">
        <v>18</v>
      </c>
      <c r="K2" s="136">
        <v>81</v>
      </c>
      <c r="L2" s="64"/>
      <c r="M2" s="182" t="s">
        <v>171</v>
      </c>
      <c r="N2" s="135">
        <f>EL_A0003_pa+EL_A0003_m+EL_A0003_p+EL_A0003_f+EL_A0003_t</f>
        <v>103.44822224666667</v>
      </c>
      <c r="O2" s="68"/>
    </row>
    <row r="3" spans="1:15">
      <c r="A3" s="182" t="s">
        <v>170</v>
      </c>
      <c r="B3" s="132" t="s">
        <v>169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182" t="s">
        <v>168</v>
      </c>
      <c r="N3" s="82">
        <v>1</v>
      </c>
      <c r="O3" s="68"/>
    </row>
    <row r="4" spans="1:15">
      <c r="A4" s="182" t="s">
        <v>167</v>
      </c>
      <c r="B4" s="81" t="s">
        <v>319</v>
      </c>
      <c r="C4" s="64"/>
      <c r="D4" s="64"/>
      <c r="E4" s="64"/>
      <c r="F4" s="64"/>
      <c r="G4" s="64"/>
      <c r="H4" s="64"/>
      <c r="I4" s="64"/>
      <c r="J4" s="192" t="s">
        <v>165</v>
      </c>
      <c r="K4" s="64"/>
      <c r="L4" s="64"/>
      <c r="M4" s="64"/>
      <c r="N4" s="64"/>
      <c r="O4" s="68"/>
    </row>
    <row r="5" spans="1:15">
      <c r="A5" s="182" t="s">
        <v>164</v>
      </c>
      <c r="B5" s="134" t="s">
        <v>342</v>
      </c>
      <c r="C5" s="64"/>
      <c r="D5" s="64"/>
      <c r="E5" s="64"/>
      <c r="F5" s="64"/>
      <c r="G5" s="64"/>
      <c r="H5" s="64"/>
      <c r="I5" s="64"/>
      <c r="J5" s="192" t="s">
        <v>163</v>
      </c>
      <c r="K5" s="64"/>
      <c r="L5" s="64"/>
      <c r="M5" s="182" t="s">
        <v>162</v>
      </c>
      <c r="N5" s="73">
        <f>N2*N3</f>
        <v>103.44822224666667</v>
      </c>
      <c r="O5" s="68"/>
    </row>
    <row r="6" spans="1:15">
      <c r="A6" s="182" t="s">
        <v>161</v>
      </c>
      <c r="B6" s="132" t="s">
        <v>1</v>
      </c>
      <c r="C6" s="64"/>
      <c r="D6" s="64"/>
      <c r="E6" s="64"/>
      <c r="F6" s="64"/>
      <c r="G6" s="64"/>
      <c r="H6" s="64"/>
      <c r="I6" s="64"/>
      <c r="J6" s="192" t="s">
        <v>160</v>
      </c>
      <c r="K6" s="64"/>
      <c r="L6" s="64"/>
      <c r="M6" s="64"/>
      <c r="N6" s="64"/>
      <c r="O6" s="68"/>
    </row>
    <row r="7" spans="1:15">
      <c r="A7" s="182" t="s">
        <v>159</v>
      </c>
      <c r="B7" s="132" t="s">
        <v>318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8"/>
    </row>
    <row r="8" spans="1:15">
      <c r="A8" s="76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8"/>
    </row>
    <row r="9" spans="1:15">
      <c r="A9" s="182" t="s">
        <v>35</v>
      </c>
      <c r="B9" s="182" t="s">
        <v>158</v>
      </c>
      <c r="C9" s="182" t="s">
        <v>157</v>
      </c>
      <c r="D9" s="182" t="s">
        <v>8</v>
      </c>
      <c r="E9" s="182" t="s">
        <v>25</v>
      </c>
      <c r="F9" s="64"/>
      <c r="G9" s="64"/>
      <c r="H9" s="64"/>
      <c r="I9" s="64"/>
      <c r="J9" s="64"/>
      <c r="K9" s="64"/>
      <c r="L9" s="64"/>
      <c r="M9" s="64"/>
      <c r="N9" s="64"/>
      <c r="O9" s="68"/>
    </row>
    <row r="10" spans="1:15">
      <c r="A10" s="74">
        <v>10</v>
      </c>
      <c r="B10" s="130" t="str">
        <f>EL_03001!B5</f>
        <v>Main battery mount</v>
      </c>
      <c r="C10" s="73">
        <f>EL_03001!N2</f>
        <v>4.8295401599999996</v>
      </c>
      <c r="D10" s="131">
        <f>EL_03001_q</f>
        <v>1</v>
      </c>
      <c r="E10" s="73">
        <f>C10*D10</f>
        <v>4.8295401599999996</v>
      </c>
      <c r="F10" s="64"/>
      <c r="G10" s="64"/>
      <c r="H10" s="64"/>
      <c r="I10" s="64"/>
      <c r="J10" s="64"/>
      <c r="K10" s="64"/>
      <c r="L10" s="64"/>
      <c r="M10" s="64"/>
      <c r="N10" s="64"/>
      <c r="O10" s="68"/>
    </row>
    <row r="11" spans="1:15">
      <c r="A11" s="74">
        <v>20</v>
      </c>
      <c r="B11" s="130" t="str">
        <f>EL_03002!B5</f>
        <v>Side battery mount</v>
      </c>
      <c r="C11" s="73">
        <f>EL_03002!N2</f>
        <v>3.6553449599999999</v>
      </c>
      <c r="D11" s="131">
        <f>EL_03002_q</f>
        <v>2</v>
      </c>
      <c r="E11" s="73">
        <f>C11*D11</f>
        <v>7.3106899199999997</v>
      </c>
      <c r="F11" s="81"/>
      <c r="G11" s="81"/>
      <c r="H11" s="81"/>
      <c r="I11" s="81"/>
      <c r="J11" s="81"/>
      <c r="K11" s="81"/>
      <c r="L11" s="81"/>
      <c r="M11" s="81"/>
      <c r="N11" s="81"/>
      <c r="O11" s="68"/>
    </row>
    <row r="12" spans="1:15">
      <c r="A12" s="74">
        <v>30</v>
      </c>
      <c r="B12" s="130" t="str">
        <f>EL_03003!B5</f>
        <v>Battery bracket</v>
      </c>
      <c r="C12" s="73">
        <f>EL_03003!N2</f>
        <v>0.58544183333333344</v>
      </c>
      <c r="D12" s="131">
        <f>EL_03003_q</f>
        <v>3</v>
      </c>
      <c r="E12" s="73">
        <f>C12*D12</f>
        <v>1.7563255000000004</v>
      </c>
      <c r="F12" s="81"/>
      <c r="G12" s="81"/>
      <c r="H12" s="81"/>
      <c r="I12" s="81"/>
      <c r="J12" s="81"/>
      <c r="K12" s="81"/>
      <c r="L12" s="81"/>
      <c r="M12" s="81"/>
      <c r="N12" s="81"/>
      <c r="O12" s="129"/>
    </row>
    <row r="13" spans="1:15">
      <c r="A13" s="76"/>
      <c r="B13" s="64"/>
      <c r="C13" s="64"/>
      <c r="D13" s="184" t="s">
        <v>25</v>
      </c>
      <c r="E13" s="183">
        <f>SUM(E10:E12)</f>
        <v>13.896555579999999</v>
      </c>
      <c r="F13" s="81"/>
      <c r="G13" s="81"/>
      <c r="H13" s="81"/>
      <c r="I13" s="81"/>
      <c r="J13" s="81"/>
      <c r="K13" s="81"/>
      <c r="L13" s="81"/>
      <c r="M13" s="81"/>
      <c r="N13" s="81"/>
      <c r="O13" s="68"/>
    </row>
    <row r="14" spans="1:15">
      <c r="A14" s="76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8"/>
    </row>
    <row r="15" spans="1:15">
      <c r="A15" s="182" t="s">
        <v>35</v>
      </c>
      <c r="B15" s="182" t="s">
        <v>156</v>
      </c>
      <c r="C15" s="182" t="s">
        <v>33</v>
      </c>
      <c r="D15" s="182" t="s">
        <v>32</v>
      </c>
      <c r="E15" s="182" t="s">
        <v>56</v>
      </c>
      <c r="F15" s="182" t="s">
        <v>55</v>
      </c>
      <c r="G15" s="182" t="s">
        <v>54</v>
      </c>
      <c r="H15" s="182" t="s">
        <v>53</v>
      </c>
      <c r="I15" s="182" t="s">
        <v>155</v>
      </c>
      <c r="J15" s="182" t="s">
        <v>154</v>
      </c>
      <c r="K15" s="182" t="s">
        <v>153</v>
      </c>
      <c r="L15" s="182" t="s">
        <v>152</v>
      </c>
      <c r="M15" s="182" t="s">
        <v>8</v>
      </c>
      <c r="N15" s="182" t="s">
        <v>25</v>
      </c>
      <c r="O15" s="68"/>
    </row>
    <row r="16" spans="1:15">
      <c r="A16" s="74">
        <v>10</v>
      </c>
      <c r="B16" s="74" t="s">
        <v>317</v>
      </c>
      <c r="C16" s="74" t="s">
        <v>316</v>
      </c>
      <c r="D16" s="73">
        <v>65</v>
      </c>
      <c r="E16" s="74">
        <v>1.3</v>
      </c>
      <c r="F16" s="74" t="s">
        <v>180</v>
      </c>
      <c r="G16" s="74"/>
      <c r="H16" s="116"/>
      <c r="I16" s="127"/>
      <c r="J16" s="126"/>
      <c r="K16" s="116"/>
      <c r="L16" s="116"/>
      <c r="M16" s="116">
        <v>1</v>
      </c>
      <c r="N16" s="73">
        <f>M16*D16*E16</f>
        <v>84.5</v>
      </c>
      <c r="O16" s="68"/>
    </row>
    <row r="17" spans="1:15" s="120" customFormat="1" ht="30">
      <c r="A17" s="74">
        <v>20</v>
      </c>
      <c r="B17" s="74" t="s">
        <v>315</v>
      </c>
      <c r="C17" s="85" t="s">
        <v>85</v>
      </c>
      <c r="D17" s="73">
        <v>10</v>
      </c>
      <c r="E17" s="124">
        <v>5.0000000000000001E-4</v>
      </c>
      <c r="F17" s="125" t="s">
        <v>82</v>
      </c>
      <c r="G17" s="125"/>
      <c r="H17" s="116"/>
      <c r="I17" s="124"/>
      <c r="J17" s="119"/>
      <c r="K17" s="123"/>
      <c r="L17" s="122"/>
      <c r="M17" s="118">
        <v>3</v>
      </c>
      <c r="N17" s="73">
        <f>D17*E17*M17</f>
        <v>1.4999999999999999E-2</v>
      </c>
      <c r="O17" s="121"/>
    </row>
    <row r="18" spans="1:15">
      <c r="A18" s="72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182" t="s">
        <v>25</v>
      </c>
      <c r="N18" s="183">
        <f>SUM(N16:N17)</f>
        <v>84.515000000000001</v>
      </c>
      <c r="O18" s="68"/>
    </row>
    <row r="19" spans="1:15">
      <c r="A19" s="76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8"/>
    </row>
    <row r="20" spans="1:15" s="92" customFormat="1">
      <c r="A20" s="182" t="s">
        <v>35</v>
      </c>
      <c r="B20" s="182" t="s">
        <v>89</v>
      </c>
      <c r="C20" s="182" t="s">
        <v>33</v>
      </c>
      <c r="D20" s="182" t="s">
        <v>32</v>
      </c>
      <c r="E20" s="182" t="s">
        <v>31</v>
      </c>
      <c r="F20" s="182" t="s">
        <v>8</v>
      </c>
      <c r="G20" s="182" t="s">
        <v>88</v>
      </c>
      <c r="H20" s="182" t="s">
        <v>87</v>
      </c>
      <c r="I20" s="182" t="s">
        <v>25</v>
      </c>
      <c r="J20" s="69"/>
      <c r="K20" s="69"/>
      <c r="L20" s="69"/>
      <c r="M20" s="69"/>
      <c r="N20" s="69"/>
      <c r="O20" s="93"/>
    </row>
    <row r="21" spans="1:15">
      <c r="A21" s="74">
        <v>10</v>
      </c>
      <c r="B21" s="74" t="s">
        <v>86</v>
      </c>
      <c r="C21" s="74" t="s">
        <v>314</v>
      </c>
      <c r="D21" s="73">
        <v>0.15</v>
      </c>
      <c r="E21" s="74" t="s">
        <v>62</v>
      </c>
      <c r="F21" s="94"/>
      <c r="G21" s="94"/>
      <c r="H21" s="94"/>
      <c r="I21" s="73">
        <f>IF(H21="",D21*F21,D21*F21*H21)</f>
        <v>0</v>
      </c>
      <c r="J21" s="64"/>
      <c r="K21" s="64"/>
      <c r="L21" s="64"/>
      <c r="M21" s="64"/>
      <c r="N21" s="64"/>
      <c r="O21" s="68"/>
    </row>
    <row r="22" spans="1:15" ht="30">
      <c r="A22" s="74">
        <v>20</v>
      </c>
      <c r="B22" s="100" t="s">
        <v>84</v>
      </c>
      <c r="C22" s="74" t="s">
        <v>313</v>
      </c>
      <c r="D22" s="73">
        <v>5.25</v>
      </c>
      <c r="E22" s="100" t="s">
        <v>82</v>
      </c>
      <c r="F22" s="94"/>
      <c r="G22" s="74"/>
      <c r="H22" s="74"/>
      <c r="I22" s="73">
        <f>IF(H22="",D22*F22,D22*F22*H22)</f>
        <v>0</v>
      </c>
      <c r="J22" s="64"/>
      <c r="K22" s="64"/>
      <c r="L22" s="64"/>
      <c r="M22" s="64"/>
      <c r="N22" s="64"/>
      <c r="O22" s="68"/>
    </row>
    <row r="23" spans="1:15" ht="45">
      <c r="A23" s="74">
        <v>30</v>
      </c>
      <c r="B23" s="100" t="s">
        <v>77</v>
      </c>
      <c r="C23" s="74" t="s">
        <v>312</v>
      </c>
      <c r="D23" s="73">
        <v>0.25</v>
      </c>
      <c r="E23" s="74" t="s">
        <v>36</v>
      </c>
      <c r="F23" s="94">
        <v>2</v>
      </c>
      <c r="G23" s="74"/>
      <c r="H23" s="74"/>
      <c r="I23" s="73">
        <f>IF(H23="",D23*F23,D23*F23*H23)</f>
        <v>0.5</v>
      </c>
      <c r="J23" s="64"/>
      <c r="K23" s="64"/>
      <c r="L23" s="64"/>
      <c r="M23" s="64"/>
      <c r="N23" s="64"/>
      <c r="O23" s="68"/>
    </row>
    <row r="24" spans="1:15" s="79" customFormat="1">
      <c r="A24" s="74">
        <v>40</v>
      </c>
      <c r="B24" s="100" t="s">
        <v>311</v>
      </c>
      <c r="C24" s="74" t="s">
        <v>310</v>
      </c>
      <c r="D24" s="73">
        <v>0.25</v>
      </c>
      <c r="E24" s="74" t="s">
        <v>36</v>
      </c>
      <c r="F24" s="94">
        <v>8</v>
      </c>
      <c r="G24" s="74"/>
      <c r="H24" s="74"/>
      <c r="I24" s="73">
        <f>IF(H24="",D24*F24,D24*F24*H24)</f>
        <v>2</v>
      </c>
      <c r="J24" s="81"/>
      <c r="K24" s="81"/>
      <c r="L24" s="81"/>
      <c r="M24" s="81"/>
      <c r="N24" s="81"/>
      <c r="O24" s="80"/>
    </row>
    <row r="25" spans="1:15" s="92" customFormat="1">
      <c r="A25" s="74">
        <v>50</v>
      </c>
      <c r="B25" s="74" t="s">
        <v>309</v>
      </c>
      <c r="C25" s="74" t="s">
        <v>308</v>
      </c>
      <c r="D25" s="73">
        <v>0.13</v>
      </c>
      <c r="E25" s="74" t="s">
        <v>36</v>
      </c>
      <c r="F25" s="94">
        <v>1</v>
      </c>
      <c r="G25" s="94"/>
      <c r="H25" s="94"/>
      <c r="I25" s="73">
        <f>IF(H25="",D25*F25,D25*F25*H25)</f>
        <v>0.13</v>
      </c>
      <c r="J25" s="81"/>
      <c r="K25" s="81"/>
      <c r="L25" s="81"/>
      <c r="M25" s="81"/>
      <c r="N25" s="81"/>
      <c r="O25" s="93"/>
    </row>
    <row r="26" spans="1:15" s="92" customFormat="1">
      <c r="A26" s="74">
        <v>60</v>
      </c>
      <c r="B26" s="74" t="s">
        <v>77</v>
      </c>
      <c r="C26" s="74" t="s">
        <v>307</v>
      </c>
      <c r="D26" s="73">
        <v>0.06</v>
      </c>
      <c r="E26" s="74" t="s">
        <v>36</v>
      </c>
      <c r="F26" s="94">
        <v>1</v>
      </c>
      <c r="G26" s="94"/>
      <c r="H26" s="94"/>
      <c r="I26" s="73">
        <f>IF(H26="",D26*F26,D26*F26*H26)</f>
        <v>0.06</v>
      </c>
      <c r="J26" s="81"/>
      <c r="K26" s="81"/>
      <c r="L26" s="81"/>
      <c r="M26" s="81"/>
      <c r="N26" s="81"/>
      <c r="O26" s="93"/>
    </row>
    <row r="27" spans="1:15" s="92" customFormat="1">
      <c r="A27" s="74">
        <v>70</v>
      </c>
      <c r="B27" s="74" t="s">
        <v>59</v>
      </c>
      <c r="C27" s="74" t="s">
        <v>305</v>
      </c>
      <c r="D27" s="73">
        <v>0.5</v>
      </c>
      <c r="E27" s="74"/>
      <c r="F27" s="94">
        <v>2</v>
      </c>
      <c r="G27" s="94"/>
      <c r="H27" s="94"/>
      <c r="I27" s="73">
        <f>IF(H27="",D27*F27,D27*F27*H27)</f>
        <v>1</v>
      </c>
      <c r="J27" s="81"/>
      <c r="K27" s="81"/>
      <c r="L27" s="81"/>
      <c r="M27" s="81"/>
      <c r="N27" s="81"/>
      <c r="O27" s="93"/>
    </row>
    <row r="28" spans="1:15" s="92" customFormat="1">
      <c r="A28" s="74">
        <v>80</v>
      </c>
      <c r="B28" s="74" t="s">
        <v>306</v>
      </c>
      <c r="C28" s="74" t="s">
        <v>305</v>
      </c>
      <c r="D28" s="73">
        <v>0.25</v>
      </c>
      <c r="E28" s="74"/>
      <c r="F28" s="94">
        <v>2</v>
      </c>
      <c r="G28" s="94"/>
      <c r="H28" s="94"/>
      <c r="I28" s="73">
        <f>IF(H28="",D28*F28,D28*F28*H28)</f>
        <v>0.5</v>
      </c>
      <c r="J28" s="81"/>
      <c r="K28" s="81"/>
      <c r="L28" s="81"/>
      <c r="M28" s="81"/>
      <c r="N28" s="81"/>
      <c r="O28" s="93"/>
    </row>
    <row r="29" spans="1:15">
      <c r="A29" s="72"/>
      <c r="B29" s="69"/>
      <c r="C29" s="69"/>
      <c r="D29" s="69"/>
      <c r="E29" s="69"/>
      <c r="F29" s="69"/>
      <c r="G29" s="69"/>
      <c r="H29" s="184" t="s">
        <v>25</v>
      </c>
      <c r="I29" s="183">
        <f>SUM(I21:I28)</f>
        <v>4.1899999999999995</v>
      </c>
      <c r="J29" s="64"/>
      <c r="K29" s="64"/>
      <c r="L29" s="64"/>
      <c r="M29" s="64"/>
      <c r="N29" s="64"/>
      <c r="O29" s="68"/>
    </row>
    <row r="30" spans="1:15">
      <c r="A30" s="76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8"/>
    </row>
    <row r="31" spans="1:15">
      <c r="A31" s="182" t="s">
        <v>35</v>
      </c>
      <c r="B31" s="182" t="s">
        <v>57</v>
      </c>
      <c r="C31" s="182" t="s">
        <v>33</v>
      </c>
      <c r="D31" s="182" t="s">
        <v>32</v>
      </c>
      <c r="E31" s="182" t="s">
        <v>56</v>
      </c>
      <c r="F31" s="182" t="s">
        <v>55</v>
      </c>
      <c r="G31" s="182" t="s">
        <v>54</v>
      </c>
      <c r="H31" s="182" t="s">
        <v>53</v>
      </c>
      <c r="I31" s="182" t="s">
        <v>8</v>
      </c>
      <c r="J31" s="182" t="s">
        <v>25</v>
      </c>
      <c r="K31" s="64"/>
      <c r="L31" s="64"/>
      <c r="M31" s="64"/>
      <c r="N31" s="64"/>
      <c r="O31" s="68"/>
    </row>
    <row r="32" spans="1:15">
      <c r="A32" s="74">
        <v>10</v>
      </c>
      <c r="B32" s="74" t="s">
        <v>304</v>
      </c>
      <c r="C32" s="74" t="s">
        <v>303</v>
      </c>
      <c r="D32" s="84">
        <v>0.04</v>
      </c>
      <c r="E32" s="91">
        <v>6</v>
      </c>
      <c r="F32" s="91" t="s">
        <v>43</v>
      </c>
      <c r="G32" s="91">
        <v>20</v>
      </c>
      <c r="H32" s="91" t="s">
        <v>43</v>
      </c>
      <c r="I32" s="82">
        <v>2</v>
      </c>
      <c r="J32" s="73">
        <f>I32*D32</f>
        <v>0.08</v>
      </c>
      <c r="K32" s="64"/>
      <c r="L32" s="64"/>
      <c r="M32" s="64"/>
      <c r="N32" s="64"/>
      <c r="O32" s="68"/>
    </row>
    <row r="33" spans="1:15">
      <c r="A33" s="74">
        <v>20</v>
      </c>
      <c r="B33" s="74" t="s">
        <v>45</v>
      </c>
      <c r="C33" s="74" t="s">
        <v>303</v>
      </c>
      <c r="D33" s="84">
        <v>0.03</v>
      </c>
      <c r="E33" s="74">
        <v>6</v>
      </c>
      <c r="F33" s="83" t="s">
        <v>43</v>
      </c>
      <c r="G33" s="74"/>
      <c r="H33" s="74"/>
      <c r="I33" s="82">
        <v>2</v>
      </c>
      <c r="J33" s="73">
        <f>I33*D33</f>
        <v>0.06</v>
      </c>
      <c r="K33" s="64"/>
      <c r="L33" s="64"/>
      <c r="M33" s="64"/>
      <c r="N33" s="64"/>
      <c r="O33" s="68"/>
    </row>
    <row r="34" spans="1:15" ht="60">
      <c r="A34" s="74">
        <v>30</v>
      </c>
      <c r="B34" s="245" t="s">
        <v>46</v>
      </c>
      <c r="C34" s="74" t="s">
        <v>303</v>
      </c>
      <c r="D34" s="90">
        <v>0.01</v>
      </c>
      <c r="E34" s="85">
        <v>6</v>
      </c>
      <c r="F34" s="89" t="s">
        <v>43</v>
      </c>
      <c r="G34" s="85"/>
      <c r="H34" s="85"/>
      <c r="I34" s="88">
        <v>4</v>
      </c>
      <c r="J34" s="73">
        <f>I34*D34</f>
        <v>0.04</v>
      </c>
      <c r="K34" s="87"/>
      <c r="L34" s="87"/>
      <c r="M34" s="87"/>
      <c r="N34" s="87"/>
      <c r="O34" s="68"/>
    </row>
    <row r="35" spans="1:15">
      <c r="A35" s="72"/>
      <c r="B35" s="69"/>
      <c r="C35" s="69"/>
      <c r="D35" s="69"/>
      <c r="E35" s="69"/>
      <c r="F35" s="69"/>
      <c r="G35" s="69"/>
      <c r="H35" s="69"/>
      <c r="I35" s="184" t="s">
        <v>25</v>
      </c>
      <c r="J35" s="183">
        <f>SUM(J32:J34)</f>
        <v>0.18000000000000002</v>
      </c>
      <c r="K35" s="64"/>
      <c r="L35" s="64"/>
      <c r="M35" s="64"/>
      <c r="N35" s="64"/>
      <c r="O35" s="68"/>
    </row>
    <row r="36" spans="1:15">
      <c r="A36" s="76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8"/>
    </row>
    <row r="37" spans="1:15">
      <c r="A37" s="182" t="s">
        <v>35</v>
      </c>
      <c r="B37" s="182" t="s">
        <v>34</v>
      </c>
      <c r="C37" s="182" t="s">
        <v>33</v>
      </c>
      <c r="D37" s="182" t="s">
        <v>32</v>
      </c>
      <c r="E37" s="182" t="s">
        <v>31</v>
      </c>
      <c r="F37" s="182" t="s">
        <v>8</v>
      </c>
      <c r="G37" s="182" t="s">
        <v>30</v>
      </c>
      <c r="H37" s="182" t="s">
        <v>29</v>
      </c>
      <c r="I37" s="182" t="s">
        <v>25</v>
      </c>
      <c r="J37" s="69"/>
      <c r="K37" s="64"/>
      <c r="L37" s="64"/>
      <c r="M37" s="64"/>
      <c r="N37" s="64"/>
      <c r="O37" s="68"/>
    </row>
    <row r="38" spans="1:15">
      <c r="A38" s="74">
        <v>10</v>
      </c>
      <c r="B38" s="74" t="s">
        <v>28</v>
      </c>
      <c r="C38" s="74" t="s">
        <v>302</v>
      </c>
      <c r="D38" s="73">
        <v>500</v>
      </c>
      <c r="E38" s="74" t="s">
        <v>26</v>
      </c>
      <c r="F38" s="74">
        <v>4</v>
      </c>
      <c r="G38" s="74">
        <v>3000</v>
      </c>
      <c r="H38" s="74">
        <v>1</v>
      </c>
      <c r="I38" s="73">
        <f>D38*F38/G38*H38</f>
        <v>0.66666666666666663</v>
      </c>
      <c r="J38" s="69"/>
      <c r="K38" s="64"/>
      <c r="L38" s="64"/>
      <c r="M38" s="64"/>
      <c r="N38" s="64"/>
      <c r="O38" s="68"/>
    </row>
    <row r="39" spans="1:15">
      <c r="A39" s="72"/>
      <c r="B39" s="69"/>
      <c r="C39" s="69"/>
      <c r="D39" s="69"/>
      <c r="E39" s="69"/>
      <c r="F39" s="69"/>
      <c r="G39" s="69"/>
      <c r="H39" s="181" t="s">
        <v>25</v>
      </c>
      <c r="I39" s="180">
        <f>SUM(I38:I38)</f>
        <v>0.66666666666666663</v>
      </c>
      <c r="J39" s="69"/>
      <c r="K39" s="64"/>
      <c r="L39" s="64"/>
      <c r="M39" s="64"/>
      <c r="N39" s="64"/>
      <c r="O39" s="68"/>
    </row>
    <row r="40" spans="1:15" ht="15.75" thickBot="1">
      <c r="A40" s="67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5"/>
    </row>
    <row r="41" spans="1:15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</row>
  </sheetData>
  <hyperlinks>
    <hyperlink ref="B10" location="EL_03001" display="EL_03001" xr:uid="{00000000-0004-0000-0200-000000000000}"/>
    <hyperlink ref="B11" location="EL_03002" display="EL_03002" xr:uid="{00000000-0004-0000-0200-000001000000}"/>
    <hyperlink ref="B12" location="EL_03003" display="EL_03003" xr:uid="{00000000-0004-0000-0200-000002000000}"/>
    <hyperlink ref="E2" location="EL_A0003_BOM" display="Back to BOM" xr:uid="{8E22D683-58A2-454A-9DCE-62526FC3D5D1}"/>
  </hyperlinks>
  <pageMargins left="0.69930555555555596" right="0.69930555555555596" top="0.75" bottom="0.75" header="0.51041666666666696" footer="0.3"/>
  <pageSetup paperSize="9" scale="39" firstPageNumber="0" fitToHeight="0" orientation="portrait" useFirstPageNumber="1"/>
  <headerFooter>
    <oddFooter>&amp;C&amp;P</oddFooter>
  </headerFooter>
  <rowBreaks count="1" manualBreakCount="1">
    <brk id="40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6EA5-56AE-42A7-B8B9-BD671A3712DD}">
  <sheetPr>
    <tabColor theme="9" tint="0.39994506668294322"/>
    <pageSetUpPr fitToPage="1"/>
  </sheetPr>
  <dimension ref="A1:O19"/>
  <sheetViews>
    <sheetView tabSelected="1" workbookViewId="0">
      <selection activeCell="B6" sqref="B6"/>
    </sheetView>
  </sheetViews>
  <sheetFormatPr baseColWidth="10" defaultColWidth="9.140625" defaultRowHeight="15"/>
  <cols>
    <col min="1" max="1" width="9.140625" style="63"/>
    <col min="2" max="2" width="17.85546875" style="63" customWidth="1"/>
    <col min="3" max="3" width="20.7109375" style="63" customWidth="1"/>
    <col min="4" max="8" width="9.140625" style="63"/>
    <col min="9" max="9" width="10.7109375" style="63" customWidth="1"/>
    <col min="10" max="14" width="9.140625" style="63"/>
    <col min="15" max="15" width="3.140625" style="63" customWidth="1"/>
    <col min="16" max="16384" width="9.140625" style="63"/>
  </cols>
  <sheetData>
    <row r="1" spans="1:15">
      <c r="A1" s="139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7"/>
    </row>
    <row r="2" spans="1:15">
      <c r="A2" s="167" t="s">
        <v>24</v>
      </c>
      <c r="B2" s="132" t="s">
        <v>23</v>
      </c>
      <c r="C2" s="64"/>
      <c r="D2" s="64"/>
      <c r="E2" s="64"/>
      <c r="F2" s="64"/>
      <c r="G2" s="170" t="s">
        <v>172</v>
      </c>
      <c r="H2" s="64"/>
      <c r="I2" s="64"/>
      <c r="J2" s="172" t="s">
        <v>18</v>
      </c>
      <c r="K2" s="136">
        <v>81</v>
      </c>
      <c r="L2" s="64"/>
      <c r="M2" s="167" t="s">
        <v>157</v>
      </c>
      <c r="N2" s="73">
        <f>EL_03001_m+EL_03001_p</f>
        <v>4.8295401599999996</v>
      </c>
      <c r="O2" s="68"/>
    </row>
    <row r="3" spans="1:15">
      <c r="A3" s="167" t="s">
        <v>170</v>
      </c>
      <c r="B3" s="132" t="str">
        <f>EL_A0300!B3</f>
        <v>Electrical</v>
      </c>
      <c r="C3" s="64"/>
      <c r="D3" s="167" t="s">
        <v>165</v>
      </c>
      <c r="E3" s="171" t="s">
        <v>184</v>
      </c>
      <c r="F3" s="64"/>
      <c r="G3" s="64"/>
      <c r="H3" s="64"/>
      <c r="I3" s="64"/>
      <c r="J3" s="64"/>
      <c r="K3" s="64"/>
      <c r="L3" s="64"/>
      <c r="M3" s="167" t="s">
        <v>168</v>
      </c>
      <c r="N3" s="82">
        <v>1</v>
      </c>
      <c r="O3" s="68"/>
    </row>
    <row r="4" spans="1:15">
      <c r="A4" s="167" t="s">
        <v>167</v>
      </c>
      <c r="B4" s="170" t="str">
        <f>EL_A0300!B4</f>
        <v>Battery assembly</v>
      </c>
      <c r="C4" s="64"/>
      <c r="D4" s="167" t="s">
        <v>163</v>
      </c>
      <c r="E4" s="64"/>
      <c r="F4" s="64"/>
      <c r="G4" s="64"/>
      <c r="H4" s="64"/>
      <c r="I4" s="64"/>
      <c r="J4" s="168" t="s">
        <v>165</v>
      </c>
      <c r="K4" s="64"/>
      <c r="L4" s="64"/>
      <c r="M4" s="64"/>
      <c r="N4" s="64"/>
      <c r="O4" s="68"/>
    </row>
    <row r="5" spans="1:15">
      <c r="A5" s="167" t="s">
        <v>158</v>
      </c>
      <c r="B5" s="134" t="s">
        <v>325</v>
      </c>
      <c r="C5" s="64"/>
      <c r="D5" s="167" t="s">
        <v>160</v>
      </c>
      <c r="E5" s="64"/>
      <c r="F5" s="64"/>
      <c r="G5" s="64"/>
      <c r="H5" s="64"/>
      <c r="I5" s="64"/>
      <c r="J5" s="168" t="s">
        <v>163</v>
      </c>
      <c r="K5" s="64"/>
      <c r="L5" s="64"/>
      <c r="M5" s="167" t="s">
        <v>162</v>
      </c>
      <c r="N5" s="73">
        <f>N3*N2</f>
        <v>4.8295401599999996</v>
      </c>
      <c r="O5" s="68"/>
    </row>
    <row r="6" spans="1:15">
      <c r="A6" s="167" t="s">
        <v>164</v>
      </c>
      <c r="B6" s="179" t="s">
        <v>324</v>
      </c>
      <c r="C6" s="64"/>
      <c r="D6" s="64"/>
      <c r="E6" s="64"/>
      <c r="F6" s="64"/>
      <c r="G6" s="64"/>
      <c r="H6" s="64"/>
      <c r="I6" s="64"/>
      <c r="J6" s="168" t="s">
        <v>160</v>
      </c>
      <c r="K6" s="64"/>
      <c r="L6" s="64"/>
      <c r="M6" s="64"/>
      <c r="N6" s="64"/>
      <c r="O6" s="68"/>
    </row>
    <row r="7" spans="1:15">
      <c r="A7" s="167" t="s">
        <v>161</v>
      </c>
      <c r="B7" s="132" t="s">
        <v>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8"/>
    </row>
    <row r="8" spans="1:15">
      <c r="A8" s="167" t="s">
        <v>159</v>
      </c>
      <c r="B8" s="132" t="s">
        <v>323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8"/>
    </row>
    <row r="9" spans="1:15">
      <c r="A9" s="166"/>
      <c r="B9" s="165"/>
      <c r="C9" s="165"/>
      <c r="D9" s="165"/>
      <c r="E9" s="165"/>
      <c r="F9" s="64"/>
      <c r="G9" s="64"/>
      <c r="H9" s="64"/>
      <c r="I9" s="64"/>
      <c r="J9" s="64"/>
      <c r="K9" s="64"/>
      <c r="L9" s="64"/>
      <c r="M9" s="64"/>
      <c r="N9" s="64"/>
      <c r="O9" s="68"/>
    </row>
    <row r="10" spans="1:15">
      <c r="A10" s="164" t="s">
        <v>35</v>
      </c>
      <c r="B10" s="163" t="s">
        <v>156</v>
      </c>
      <c r="C10" s="163" t="s">
        <v>33</v>
      </c>
      <c r="D10" s="163" t="s">
        <v>32</v>
      </c>
      <c r="E10" s="163" t="s">
        <v>56</v>
      </c>
      <c r="F10" s="151" t="s">
        <v>55</v>
      </c>
      <c r="G10" s="151" t="s">
        <v>54</v>
      </c>
      <c r="H10" s="151" t="s">
        <v>53</v>
      </c>
      <c r="I10" s="151" t="s">
        <v>155</v>
      </c>
      <c r="J10" s="151" t="s">
        <v>154</v>
      </c>
      <c r="K10" s="151" t="s">
        <v>153</v>
      </c>
      <c r="L10" s="151" t="s">
        <v>152</v>
      </c>
      <c r="M10" s="151" t="s">
        <v>8</v>
      </c>
      <c r="N10" s="151" t="s">
        <v>25</v>
      </c>
      <c r="O10" s="68"/>
    </row>
    <row r="11" spans="1:15" s="120" customFormat="1">
      <c r="A11" s="162">
        <v>10</v>
      </c>
      <c r="B11" s="161" t="s">
        <v>322</v>
      </c>
      <c r="C11" s="159"/>
      <c r="D11" s="103">
        <v>4.2</v>
      </c>
      <c r="E11" s="159">
        <v>0.23100000000000001</v>
      </c>
      <c r="F11" s="159" t="s">
        <v>180</v>
      </c>
      <c r="G11" s="159"/>
      <c r="H11" s="104"/>
      <c r="I11" s="158" t="s">
        <v>321</v>
      </c>
      <c r="J11" s="157">
        <v>4.2700000000000002E-2</v>
      </c>
      <c r="K11" s="156">
        <v>2E-3</v>
      </c>
      <c r="L11" s="177">
        <v>2712</v>
      </c>
      <c r="M11" s="106">
        <v>1</v>
      </c>
      <c r="N11" s="103">
        <f>IF(J11="",D11*M11,D11*J11*K11*L11*M11)</f>
        <v>0.97274016000000019</v>
      </c>
      <c r="O11" s="121"/>
    </row>
    <row r="12" spans="1:15">
      <c r="A12" s="72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153" t="s">
        <v>25</v>
      </c>
      <c r="N12" s="140">
        <f>SUM(N11:N11)</f>
        <v>0.97274016000000019</v>
      </c>
      <c r="O12" s="68"/>
    </row>
    <row r="13" spans="1:15">
      <c r="A13" s="76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8"/>
    </row>
    <row r="14" spans="1:15">
      <c r="A14" s="152" t="s">
        <v>35</v>
      </c>
      <c r="B14" s="151" t="s">
        <v>89</v>
      </c>
      <c r="C14" s="151" t="s">
        <v>33</v>
      </c>
      <c r="D14" s="151" t="s">
        <v>32</v>
      </c>
      <c r="E14" s="151" t="s">
        <v>31</v>
      </c>
      <c r="F14" s="151" t="s">
        <v>8</v>
      </c>
      <c r="G14" s="151" t="s">
        <v>88</v>
      </c>
      <c r="H14" s="151" t="s">
        <v>87</v>
      </c>
      <c r="I14" s="151" t="s">
        <v>25</v>
      </c>
      <c r="J14" s="69"/>
      <c r="K14" s="69"/>
      <c r="L14" s="69"/>
      <c r="M14" s="69"/>
      <c r="N14" s="69"/>
      <c r="O14" s="68"/>
    </row>
    <row r="15" spans="1:15" s="92" customFormat="1" ht="30">
      <c r="A15" s="150">
        <v>10</v>
      </c>
      <c r="B15" s="143" t="s">
        <v>178</v>
      </c>
      <c r="C15" s="148" t="s">
        <v>177</v>
      </c>
      <c r="D15" s="149">
        <v>1.3</v>
      </c>
      <c r="E15" s="143" t="s">
        <v>36</v>
      </c>
      <c r="F15" s="148">
        <v>1</v>
      </c>
      <c r="G15" s="148"/>
      <c r="H15" s="148">
        <v>1</v>
      </c>
      <c r="I15" s="146">
        <f>IF(H15="",D15*F15,D15*F15*H15)</f>
        <v>1.3</v>
      </c>
      <c r="J15" s="87"/>
      <c r="K15" s="87"/>
      <c r="L15" s="87"/>
      <c r="M15" s="87"/>
      <c r="N15" s="87"/>
      <c r="O15" s="93"/>
    </row>
    <row r="16" spans="1:15">
      <c r="A16" s="145">
        <v>20</v>
      </c>
      <c r="B16" s="143" t="s">
        <v>175</v>
      </c>
      <c r="C16" s="107" t="s">
        <v>174</v>
      </c>
      <c r="D16" s="103">
        <v>0.01</v>
      </c>
      <c r="E16" s="107" t="s">
        <v>62</v>
      </c>
      <c r="F16" s="176">
        <v>185.68</v>
      </c>
      <c r="G16" s="143"/>
      <c r="H16" s="142">
        <v>1</v>
      </c>
      <c r="I16" s="103">
        <f>IF(H16="",D16*F16,D16*F16*H16)</f>
        <v>1.8568</v>
      </c>
      <c r="J16" s="64"/>
      <c r="K16" s="64"/>
      <c r="L16" s="64"/>
      <c r="M16" s="64"/>
      <c r="N16" s="64"/>
      <c r="O16" s="68"/>
    </row>
    <row r="17" spans="1:15" s="79" customFormat="1">
      <c r="A17" s="200">
        <v>30</v>
      </c>
      <c r="B17" s="143" t="s">
        <v>295</v>
      </c>
      <c r="C17" s="142"/>
      <c r="D17" s="103">
        <v>0.35</v>
      </c>
      <c r="E17" s="143" t="s">
        <v>320</v>
      </c>
      <c r="F17" s="142">
        <v>2</v>
      </c>
      <c r="G17" s="142"/>
      <c r="H17" s="142">
        <v>1</v>
      </c>
      <c r="I17" s="103">
        <f>IF(H17="",D17*F17,D17*F17*H17)</f>
        <v>0.7</v>
      </c>
      <c r="J17" s="81"/>
      <c r="K17" s="81"/>
      <c r="L17" s="81"/>
      <c r="M17" s="81"/>
      <c r="N17" s="81"/>
      <c r="O17" s="80"/>
    </row>
    <row r="18" spans="1:15">
      <c r="A18" s="72"/>
      <c r="B18" s="69"/>
      <c r="C18" s="69"/>
      <c r="D18" s="69"/>
      <c r="E18" s="69"/>
      <c r="F18" s="69"/>
      <c r="G18" s="69"/>
      <c r="H18" s="141" t="s">
        <v>25</v>
      </c>
      <c r="I18" s="140">
        <f>SUM(I15:I17)</f>
        <v>3.8567999999999998</v>
      </c>
      <c r="J18" s="69"/>
      <c r="K18" s="69"/>
      <c r="L18" s="69"/>
      <c r="M18" s="69"/>
      <c r="N18" s="69"/>
      <c r="O18" s="68"/>
    </row>
    <row r="19" spans="1:15" ht="15.75" thickBot="1">
      <c r="A19" s="67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5"/>
    </row>
  </sheetData>
  <hyperlinks>
    <hyperlink ref="B4" location="EL_A0003" display="EL_A0003" xr:uid="{00000000-0004-0000-0300-000000000000}"/>
    <hyperlink ref="E3" location="dEL_03001" display="Drawing" xr:uid="{00000000-0004-0000-0300-000001000000}"/>
    <hyperlink ref="G2" location="EL_A0003_BOM" display="Back to BOM" xr:uid="{D6DE18C0-818C-43AD-9959-E6F99F2A780E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6CC8-9733-4B20-B4A2-888715E92828}">
  <sheetPr>
    <tabColor theme="9" tint="0.39994506668294322"/>
    <pageSetUpPr fitToPage="1"/>
  </sheetPr>
  <dimension ref="A1:B1"/>
  <sheetViews>
    <sheetView zoomScale="130" zoomScaleNormal="130" workbookViewId="0">
      <selection activeCell="B1" sqref="B1"/>
    </sheetView>
  </sheetViews>
  <sheetFormatPr baseColWidth="10" defaultColWidth="9" defaultRowHeight="15"/>
  <cols>
    <col min="1" max="1" width="14" style="63" customWidth="1"/>
    <col min="2" max="16384" width="9" style="63"/>
  </cols>
  <sheetData>
    <row r="1" spans="1:2">
      <c r="A1" s="171" t="s">
        <v>185</v>
      </c>
      <c r="B1" s="171" t="str">
        <f>EL_03001</f>
        <v>EL 03001</v>
      </c>
    </row>
  </sheetData>
  <hyperlinks>
    <hyperlink ref="B1" location="EL_01001" display="=EL_03001" xr:uid="{00000000-0004-0000-0400-000000000000}"/>
    <hyperlink ref="A1" location="EL_01001" display="Drawing part :" xr:uid="{00000000-0004-0000-0400-000001000000}"/>
    <hyperlink ref="A1:B1" location="EL_03001" display="Drawing part :" xr:uid="{00000000-0004-0000-0400-000002000000}"/>
  </hyperlinks>
  <pageMargins left="0.69930555555555596" right="0.69930555555555596" top="0.75" bottom="0.75" header="0.3" footer="0.3"/>
  <pageSetup paperSize="9" fitToHeight="0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C5CE-BE86-4494-A863-ADD45E4C0767}">
  <sheetPr>
    <tabColor theme="9" tint="0.39994506668294322"/>
    <pageSetUpPr fitToPage="1"/>
  </sheetPr>
  <dimension ref="A1:O20"/>
  <sheetViews>
    <sheetView zoomScale="75" zoomScaleNormal="75" workbookViewId="0">
      <selection activeCell="B4" sqref="B4"/>
    </sheetView>
  </sheetViews>
  <sheetFormatPr baseColWidth="10" defaultColWidth="9.140625" defaultRowHeight="15"/>
  <cols>
    <col min="1" max="1" width="9.140625" style="63"/>
    <col min="2" max="2" width="17" style="63" customWidth="1"/>
    <col min="3" max="3" width="13.5703125" style="63" customWidth="1"/>
    <col min="4" max="14" width="9.140625" style="63"/>
    <col min="15" max="15" width="3.140625" style="63" customWidth="1"/>
    <col min="16" max="16384" width="9.140625" style="63"/>
  </cols>
  <sheetData>
    <row r="1" spans="1:15">
      <c r="A1" s="139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7"/>
    </row>
    <row r="2" spans="1:15">
      <c r="A2" s="167" t="s">
        <v>24</v>
      </c>
      <c r="B2" s="132" t="s">
        <v>23</v>
      </c>
      <c r="C2" s="64"/>
      <c r="D2" s="64"/>
      <c r="E2" s="64"/>
      <c r="F2" s="64"/>
      <c r="G2" s="170" t="s">
        <v>172</v>
      </c>
      <c r="H2" s="64"/>
      <c r="I2" s="64"/>
      <c r="J2" s="172" t="s">
        <v>18</v>
      </c>
      <c r="K2" s="136">
        <v>81</v>
      </c>
      <c r="L2" s="64"/>
      <c r="M2" s="167" t="s">
        <v>157</v>
      </c>
      <c r="N2" s="73">
        <f>EL_03002_m+EL_03002_p</f>
        <v>3.6553449599999999</v>
      </c>
      <c r="O2" s="68"/>
    </row>
    <row r="3" spans="1:15">
      <c r="A3" s="167" t="s">
        <v>170</v>
      </c>
      <c r="B3" s="132" t="str">
        <f>EL_A0300!B3</f>
        <v>Electrical</v>
      </c>
      <c r="C3" s="64"/>
      <c r="D3" s="167" t="s">
        <v>165</v>
      </c>
      <c r="E3" s="171" t="s">
        <v>184</v>
      </c>
      <c r="F3" s="64"/>
      <c r="G3" s="64"/>
      <c r="H3" s="64"/>
      <c r="I3" s="64"/>
      <c r="J3" s="64"/>
      <c r="K3" s="64"/>
      <c r="L3" s="64"/>
      <c r="M3" s="167" t="s">
        <v>168</v>
      </c>
      <c r="N3" s="82">
        <v>2</v>
      </c>
      <c r="O3" s="68"/>
    </row>
    <row r="4" spans="1:15">
      <c r="A4" s="167" t="s">
        <v>167</v>
      </c>
      <c r="B4" s="170" t="str">
        <f>EL_A0300!B4</f>
        <v>Battery assembly</v>
      </c>
      <c r="C4" s="64"/>
      <c r="D4" s="167" t="s">
        <v>163</v>
      </c>
      <c r="E4" s="64"/>
      <c r="F4" s="64"/>
      <c r="G4" s="64"/>
      <c r="H4" s="64"/>
      <c r="I4" s="64"/>
      <c r="J4" s="168" t="s">
        <v>165</v>
      </c>
      <c r="K4" s="64"/>
      <c r="L4" s="64"/>
      <c r="M4" s="64"/>
      <c r="N4" s="64"/>
      <c r="O4" s="68"/>
    </row>
    <row r="5" spans="1:15">
      <c r="A5" s="167" t="s">
        <v>158</v>
      </c>
      <c r="B5" s="134" t="s">
        <v>329</v>
      </c>
      <c r="C5" s="64"/>
      <c r="D5" s="167" t="s">
        <v>160</v>
      </c>
      <c r="E5" s="64"/>
      <c r="F5" s="64"/>
      <c r="G5" s="64"/>
      <c r="H5" s="64"/>
      <c r="I5" s="64"/>
      <c r="J5" s="168" t="s">
        <v>163</v>
      </c>
      <c r="K5" s="64"/>
      <c r="L5" s="64"/>
      <c r="M5" s="167" t="s">
        <v>162</v>
      </c>
      <c r="N5" s="73">
        <f>N3*N2</f>
        <v>7.3106899199999997</v>
      </c>
      <c r="O5" s="68"/>
    </row>
    <row r="6" spans="1:15">
      <c r="A6" s="167" t="s">
        <v>164</v>
      </c>
      <c r="B6" s="179" t="s">
        <v>328</v>
      </c>
      <c r="C6" s="64"/>
      <c r="D6" s="64"/>
      <c r="E6" s="64"/>
      <c r="F6" s="64"/>
      <c r="G6" s="64"/>
      <c r="H6" s="64"/>
      <c r="I6" s="64"/>
      <c r="J6" s="168" t="s">
        <v>160</v>
      </c>
      <c r="K6" s="64"/>
      <c r="L6" s="64"/>
      <c r="M6" s="64"/>
      <c r="N6" s="64"/>
      <c r="O6" s="68"/>
    </row>
    <row r="7" spans="1:15">
      <c r="A7" s="167" t="s">
        <v>161</v>
      </c>
      <c r="B7" s="132" t="s">
        <v>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8"/>
    </row>
    <row r="8" spans="1:15">
      <c r="A8" s="167" t="s">
        <v>159</v>
      </c>
      <c r="B8" s="132" t="s">
        <v>323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8"/>
    </row>
    <row r="9" spans="1:15">
      <c r="A9" s="166"/>
      <c r="B9" s="165"/>
      <c r="C9" s="165"/>
      <c r="D9" s="165"/>
      <c r="E9" s="165"/>
      <c r="F9" s="64"/>
      <c r="G9" s="64"/>
      <c r="H9" s="64"/>
      <c r="I9" s="64"/>
      <c r="J9" s="64"/>
      <c r="K9" s="64"/>
      <c r="L9" s="64"/>
      <c r="M9" s="64"/>
      <c r="N9" s="64"/>
      <c r="O9" s="68"/>
    </row>
    <row r="10" spans="1:15">
      <c r="A10" s="164" t="s">
        <v>35</v>
      </c>
      <c r="B10" s="163" t="s">
        <v>156</v>
      </c>
      <c r="C10" s="163" t="s">
        <v>33</v>
      </c>
      <c r="D10" s="163" t="s">
        <v>32</v>
      </c>
      <c r="E10" s="163" t="s">
        <v>56</v>
      </c>
      <c r="F10" s="151" t="s">
        <v>55</v>
      </c>
      <c r="G10" s="151" t="s">
        <v>54</v>
      </c>
      <c r="H10" s="151" t="s">
        <v>53</v>
      </c>
      <c r="I10" s="151" t="s">
        <v>155</v>
      </c>
      <c r="J10" s="151" t="s">
        <v>154</v>
      </c>
      <c r="K10" s="151" t="s">
        <v>153</v>
      </c>
      <c r="L10" s="151" t="s">
        <v>152</v>
      </c>
      <c r="M10" s="151" t="s">
        <v>8</v>
      </c>
      <c r="N10" s="151" t="s">
        <v>25</v>
      </c>
      <c r="O10" s="68"/>
    </row>
    <row r="11" spans="1:15" s="120" customFormat="1">
      <c r="A11" s="162">
        <v>10</v>
      </c>
      <c r="B11" s="161" t="s">
        <v>322</v>
      </c>
      <c r="C11" s="159"/>
      <c r="D11" s="103">
        <v>4.2</v>
      </c>
      <c r="E11" s="159">
        <v>6.0999999999999999E-2</v>
      </c>
      <c r="F11" s="159" t="s">
        <v>180</v>
      </c>
      <c r="G11" s="159"/>
      <c r="H11" s="104"/>
      <c r="I11" s="158" t="s">
        <v>327</v>
      </c>
      <c r="J11" s="157">
        <v>1.12E-2</v>
      </c>
      <c r="K11" s="156">
        <v>2E-3</v>
      </c>
      <c r="L11" s="177">
        <v>2712</v>
      </c>
      <c r="M11" s="106">
        <v>1</v>
      </c>
      <c r="N11" s="103">
        <f>IF(J11="",D11*M11,D11*J11*K11*L11*M11)</f>
        <v>0.25514495999999998</v>
      </c>
      <c r="O11" s="121"/>
    </row>
    <row r="12" spans="1:15">
      <c r="A12" s="72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153" t="s">
        <v>25</v>
      </c>
      <c r="N12" s="140">
        <f>SUM(N11:N11)</f>
        <v>0.25514495999999998</v>
      </c>
      <c r="O12" s="68"/>
    </row>
    <row r="13" spans="1:15">
      <c r="A13" s="76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8"/>
    </row>
    <row r="14" spans="1:15">
      <c r="A14" s="152" t="s">
        <v>35</v>
      </c>
      <c r="B14" s="151" t="s">
        <v>89</v>
      </c>
      <c r="C14" s="151" t="s">
        <v>33</v>
      </c>
      <c r="D14" s="151" t="s">
        <v>32</v>
      </c>
      <c r="E14" s="151" t="s">
        <v>31</v>
      </c>
      <c r="F14" s="151" t="s">
        <v>8</v>
      </c>
      <c r="G14" s="151" t="s">
        <v>88</v>
      </c>
      <c r="H14" s="151" t="s">
        <v>87</v>
      </c>
      <c r="I14" s="151" t="s">
        <v>25</v>
      </c>
      <c r="J14" s="69"/>
      <c r="K14" s="69"/>
      <c r="L14" s="69"/>
      <c r="M14" s="69"/>
      <c r="N14" s="69"/>
      <c r="O14" s="68"/>
    </row>
    <row r="15" spans="1:15" s="92" customFormat="1" ht="30">
      <c r="A15" s="150">
        <v>10</v>
      </c>
      <c r="B15" s="143" t="s">
        <v>178</v>
      </c>
      <c r="C15" s="148"/>
      <c r="D15" s="149">
        <v>1.3</v>
      </c>
      <c r="E15" s="143" t="s">
        <v>36</v>
      </c>
      <c r="F15" s="148">
        <v>1</v>
      </c>
      <c r="G15" s="148"/>
      <c r="H15" s="148"/>
      <c r="I15" s="146">
        <f>IF(H15="",D15*F15,D15*F15*H15)</f>
        <v>1.3</v>
      </c>
      <c r="J15" s="87"/>
      <c r="K15" s="87"/>
      <c r="L15" s="87"/>
      <c r="M15" s="87"/>
      <c r="N15" s="87"/>
      <c r="O15" s="93"/>
    </row>
    <row r="16" spans="1:15">
      <c r="A16" s="145">
        <v>20</v>
      </c>
      <c r="B16" s="143" t="s">
        <v>175</v>
      </c>
      <c r="C16" s="107" t="s">
        <v>174</v>
      </c>
      <c r="D16" s="103">
        <v>0.01</v>
      </c>
      <c r="E16" s="107" t="s">
        <v>62</v>
      </c>
      <c r="F16" s="176">
        <v>70.02</v>
      </c>
      <c r="G16" s="143"/>
      <c r="H16" s="142"/>
      <c r="I16" s="103">
        <f>IF(H16="",D16*F16,D16*F16*H16)</f>
        <v>0.70019999999999993</v>
      </c>
      <c r="J16" s="64"/>
      <c r="K16" s="64"/>
      <c r="L16" s="64"/>
      <c r="M16" s="64"/>
      <c r="N16" s="64"/>
      <c r="O16" s="68"/>
    </row>
    <row r="17" spans="1:15" s="79" customFormat="1">
      <c r="A17" s="200">
        <v>30</v>
      </c>
      <c r="B17" s="143" t="s">
        <v>326</v>
      </c>
      <c r="C17" s="142"/>
      <c r="D17" s="103">
        <v>0.35</v>
      </c>
      <c r="E17" s="143" t="s">
        <v>320</v>
      </c>
      <c r="F17" s="142">
        <v>4</v>
      </c>
      <c r="G17" s="142"/>
      <c r="H17" s="142"/>
      <c r="I17" s="103">
        <f>IF(H17="",D17*F17,D17*F17*H17)</f>
        <v>1.4</v>
      </c>
      <c r="J17" s="81"/>
      <c r="K17" s="81"/>
      <c r="L17" s="81"/>
      <c r="M17" s="81"/>
      <c r="N17" s="81"/>
      <c r="O17" s="80"/>
    </row>
    <row r="18" spans="1:15">
      <c r="A18" s="72"/>
      <c r="B18" s="69"/>
      <c r="C18" s="69"/>
      <c r="D18" s="69"/>
      <c r="E18" s="69"/>
      <c r="F18" s="69"/>
      <c r="G18" s="69"/>
      <c r="H18" s="141" t="s">
        <v>25</v>
      </c>
      <c r="I18" s="140">
        <f>SUM(I15:I17)</f>
        <v>3.4001999999999999</v>
      </c>
      <c r="J18" s="69"/>
      <c r="K18" s="69"/>
      <c r="L18" s="69"/>
      <c r="M18" s="69"/>
      <c r="N18" s="69"/>
      <c r="O18" s="68"/>
    </row>
    <row r="19" spans="1:15">
      <c r="A19" s="76"/>
      <c r="B19" s="64"/>
      <c r="C19" s="64"/>
      <c r="D19" s="64"/>
      <c r="E19" s="64"/>
      <c r="F19" s="64"/>
      <c r="G19" s="64"/>
      <c r="H19" s="64"/>
      <c r="I19" s="81"/>
      <c r="J19" s="64"/>
      <c r="K19" s="64"/>
      <c r="L19" s="64"/>
      <c r="M19" s="64"/>
      <c r="N19" s="64"/>
      <c r="O19" s="68"/>
    </row>
    <row r="20" spans="1:15" ht="15.75" thickBot="1">
      <c r="A20" s="67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5"/>
    </row>
  </sheetData>
  <hyperlinks>
    <hyperlink ref="B4" location="EL_A0003" display="EL_A0003" xr:uid="{00000000-0004-0000-0500-000000000000}"/>
    <hyperlink ref="E3" location="dEL_03002" display="Drawing" xr:uid="{00000000-0004-0000-0500-000001000000}"/>
    <hyperlink ref="G2" location="EL_A0003_BOM" display="Back to BOM" xr:uid="{3E64E77A-225C-47AC-9BDC-0DC3728D08A4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20" max="16383" man="1"/>
    <brk id="54" max="16383" man="1"/>
  </rowBreak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A36E-54CC-45B9-A1FB-17AE7CEB9BC4}">
  <sheetPr>
    <tabColor theme="9" tint="0.39994506668294322"/>
    <pageSetUpPr fitToPage="1"/>
  </sheetPr>
  <dimension ref="A1:B1"/>
  <sheetViews>
    <sheetView zoomScale="70" zoomScaleNormal="70" workbookViewId="0">
      <selection activeCell="B1" sqref="B1"/>
    </sheetView>
  </sheetViews>
  <sheetFormatPr baseColWidth="10" defaultColWidth="9" defaultRowHeight="15"/>
  <cols>
    <col min="1" max="1" width="14" style="63" customWidth="1"/>
    <col min="2" max="16384" width="9" style="63"/>
  </cols>
  <sheetData>
    <row r="1" spans="1:2">
      <c r="A1" s="171" t="s">
        <v>185</v>
      </c>
      <c r="B1" s="171" t="str">
        <f>EL_03002</f>
        <v>EL 03002</v>
      </c>
    </row>
  </sheetData>
  <hyperlinks>
    <hyperlink ref="B1" location="EL_01001" display="=EL_03002" xr:uid="{00000000-0004-0000-0600-000000000000}"/>
    <hyperlink ref="A1" location="EL_01001" display="Drawing part :" xr:uid="{00000000-0004-0000-0600-000001000000}"/>
    <hyperlink ref="A1:B1" location="EL_03002" display="Drawing part :" xr:uid="{00000000-0004-0000-0600-000002000000}"/>
  </hyperlinks>
  <pageMargins left="0.69930555555555596" right="0.69930555555555596" top="0.75" bottom="0.75" header="0.3" footer="0.3"/>
  <pageSetup paperSize="9" fitToHeight="0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C6C3-68D1-43D2-8DE1-EAD9E1C0C93D}">
  <sheetPr>
    <tabColor theme="9" tint="0.39994506668294322"/>
    <pageSetUpPr fitToPage="1"/>
  </sheetPr>
  <dimension ref="A1:O18"/>
  <sheetViews>
    <sheetView zoomScale="85" zoomScaleNormal="85" workbookViewId="0">
      <selection activeCell="D21" sqref="D21"/>
    </sheetView>
  </sheetViews>
  <sheetFormatPr baseColWidth="10" defaultColWidth="9.140625" defaultRowHeight="15"/>
  <cols>
    <col min="1" max="1" width="9.140625" style="63"/>
    <col min="2" max="2" width="33.140625" style="63" customWidth="1"/>
    <col min="3" max="3" width="21.140625" style="63" customWidth="1"/>
    <col min="4" max="6" width="9.140625" style="63"/>
    <col min="7" max="7" width="35" style="63" customWidth="1"/>
    <col min="8" max="12" width="9.140625" style="63"/>
    <col min="13" max="13" width="11.28515625" style="63" customWidth="1"/>
    <col min="14" max="14" width="9.140625" style="63"/>
    <col min="15" max="15" width="3.140625" style="63" customWidth="1"/>
    <col min="16" max="16384" width="9.140625" style="63"/>
  </cols>
  <sheetData>
    <row r="1" spans="1:15">
      <c r="A1" s="139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7"/>
    </row>
    <row r="2" spans="1:15">
      <c r="A2" s="167" t="s">
        <v>24</v>
      </c>
      <c r="B2" s="132" t="s">
        <v>23</v>
      </c>
      <c r="C2" s="64"/>
      <c r="D2" s="64"/>
      <c r="E2" s="64"/>
      <c r="F2" s="64"/>
      <c r="G2" s="170" t="s">
        <v>172</v>
      </c>
      <c r="H2" s="64"/>
      <c r="I2" s="64"/>
      <c r="J2" s="172" t="s">
        <v>18</v>
      </c>
      <c r="K2" s="136">
        <v>81</v>
      </c>
      <c r="L2" s="64"/>
      <c r="M2" s="167" t="s">
        <v>157</v>
      </c>
      <c r="N2" s="73">
        <f>EL_03003_m+EL_03003_p</f>
        <v>0.58544183333333344</v>
      </c>
      <c r="O2" s="68"/>
    </row>
    <row r="3" spans="1:15">
      <c r="A3" s="167" t="s">
        <v>170</v>
      </c>
      <c r="B3" s="132" t="str">
        <f>EL_A0300!B3</f>
        <v>Electrical</v>
      </c>
      <c r="C3" s="64"/>
      <c r="D3" s="167" t="s">
        <v>165</v>
      </c>
      <c r="E3" s="171" t="s">
        <v>184</v>
      </c>
      <c r="F3" s="64"/>
      <c r="G3" s="64"/>
      <c r="H3" s="64"/>
      <c r="I3" s="64"/>
      <c r="J3" s="64"/>
      <c r="K3" s="64"/>
      <c r="L3" s="64"/>
      <c r="M3" s="167" t="s">
        <v>168</v>
      </c>
      <c r="N3" s="82">
        <v>3</v>
      </c>
      <c r="O3" s="68"/>
    </row>
    <row r="4" spans="1:15">
      <c r="A4" s="167" t="s">
        <v>167</v>
      </c>
      <c r="B4" s="170" t="str">
        <f>EL_A0300!B4</f>
        <v>Battery assembly</v>
      </c>
      <c r="C4" s="64"/>
      <c r="D4" s="167" t="s">
        <v>163</v>
      </c>
      <c r="E4" s="64"/>
      <c r="F4" s="64"/>
      <c r="G4" s="64"/>
      <c r="H4" s="64"/>
      <c r="I4" s="64"/>
      <c r="J4" s="168" t="s">
        <v>165</v>
      </c>
      <c r="K4" s="64"/>
      <c r="L4" s="64"/>
      <c r="M4" s="64"/>
      <c r="N4" s="64"/>
      <c r="O4" s="68"/>
    </row>
    <row r="5" spans="1:15">
      <c r="A5" s="167" t="s">
        <v>158</v>
      </c>
      <c r="B5" s="134" t="s">
        <v>334</v>
      </c>
      <c r="C5" s="64"/>
      <c r="D5" s="167" t="s">
        <v>160</v>
      </c>
      <c r="E5" s="64"/>
      <c r="F5" s="64"/>
      <c r="G5" s="64"/>
      <c r="H5" s="64"/>
      <c r="I5" s="64"/>
      <c r="J5" s="168" t="s">
        <v>163</v>
      </c>
      <c r="K5" s="64"/>
      <c r="L5" s="64"/>
      <c r="M5" s="167" t="s">
        <v>162</v>
      </c>
      <c r="N5" s="73">
        <f>N3*N2</f>
        <v>1.7563255000000004</v>
      </c>
      <c r="O5" s="68"/>
    </row>
    <row r="6" spans="1:15">
      <c r="A6" s="167" t="s">
        <v>164</v>
      </c>
      <c r="B6" s="179" t="s">
        <v>333</v>
      </c>
      <c r="C6" s="64"/>
      <c r="D6" s="64"/>
      <c r="E6" s="64"/>
      <c r="F6" s="64"/>
      <c r="G6" s="64"/>
      <c r="H6" s="64"/>
      <c r="I6" s="64"/>
      <c r="J6" s="168" t="s">
        <v>160</v>
      </c>
      <c r="K6" s="64"/>
      <c r="L6" s="64"/>
      <c r="M6" s="64"/>
      <c r="N6" s="64"/>
      <c r="O6" s="68"/>
    </row>
    <row r="7" spans="1:15">
      <c r="A7" s="167" t="s">
        <v>161</v>
      </c>
      <c r="B7" s="132" t="s">
        <v>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8"/>
    </row>
    <row r="8" spans="1:15">
      <c r="A8" s="167" t="s">
        <v>159</v>
      </c>
      <c r="B8" s="132" t="s">
        <v>332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8"/>
    </row>
    <row r="9" spans="1:15">
      <c r="A9" s="166"/>
      <c r="B9" s="165"/>
      <c r="C9" s="165"/>
      <c r="D9" s="165"/>
      <c r="E9" s="165"/>
      <c r="F9" s="64"/>
      <c r="G9" s="64"/>
      <c r="H9" s="64"/>
      <c r="I9" s="64"/>
      <c r="J9" s="64"/>
      <c r="K9" s="64"/>
      <c r="L9" s="64"/>
      <c r="M9" s="64"/>
      <c r="N9" s="64"/>
      <c r="O9" s="68"/>
    </row>
    <row r="10" spans="1:15">
      <c r="A10" s="164" t="s">
        <v>35</v>
      </c>
      <c r="B10" s="163" t="s">
        <v>156</v>
      </c>
      <c r="C10" s="163" t="s">
        <v>33</v>
      </c>
      <c r="D10" s="163" t="s">
        <v>32</v>
      </c>
      <c r="E10" s="163" t="s">
        <v>56</v>
      </c>
      <c r="F10" s="151" t="s">
        <v>55</v>
      </c>
      <c r="G10" s="151" t="s">
        <v>54</v>
      </c>
      <c r="H10" s="151" t="s">
        <v>53</v>
      </c>
      <c r="I10" s="151" t="s">
        <v>155</v>
      </c>
      <c r="J10" s="151" t="s">
        <v>154</v>
      </c>
      <c r="K10" s="151" t="s">
        <v>153</v>
      </c>
      <c r="L10" s="151" t="s">
        <v>152</v>
      </c>
      <c r="M10" s="151" t="s">
        <v>8</v>
      </c>
      <c r="N10" s="151" t="s">
        <v>25</v>
      </c>
      <c r="O10" s="68"/>
    </row>
    <row r="11" spans="1:15" s="120" customFormat="1">
      <c r="A11" s="162">
        <v>10</v>
      </c>
      <c r="B11" s="161" t="s">
        <v>182</v>
      </c>
      <c r="C11" s="159" t="s">
        <v>181</v>
      </c>
      <c r="D11" s="103">
        <v>2.25</v>
      </c>
      <c r="E11" s="159">
        <v>12</v>
      </c>
      <c r="F11" s="159" t="s">
        <v>43</v>
      </c>
      <c r="G11" s="159">
        <v>20</v>
      </c>
      <c r="H11" s="104" t="s">
        <v>43</v>
      </c>
      <c r="I11" s="158" t="s">
        <v>331</v>
      </c>
      <c r="J11" s="157">
        <f>E11*G11*0.000001</f>
        <v>2.3999999999999998E-4</v>
      </c>
      <c r="K11" s="156">
        <v>1.5E-3</v>
      </c>
      <c r="L11" s="177">
        <v>7850</v>
      </c>
      <c r="M11" s="106">
        <v>1</v>
      </c>
      <c r="N11" s="103">
        <f>IF(J11="",D11*M11,D11*J11*K11*L11*M11)</f>
        <v>6.3584999999999987E-3</v>
      </c>
      <c r="O11" s="121"/>
    </row>
    <row r="12" spans="1:15">
      <c r="A12" s="72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153" t="s">
        <v>25</v>
      </c>
      <c r="N12" s="140">
        <f>SUM(N11:N11)</f>
        <v>6.3584999999999987E-3</v>
      </c>
      <c r="O12" s="68"/>
    </row>
    <row r="13" spans="1:15">
      <c r="A13" s="76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8"/>
    </row>
    <row r="14" spans="1:15">
      <c r="A14" s="152" t="s">
        <v>35</v>
      </c>
      <c r="B14" s="151" t="s">
        <v>89</v>
      </c>
      <c r="C14" s="151" t="s">
        <v>33</v>
      </c>
      <c r="D14" s="151" t="s">
        <v>32</v>
      </c>
      <c r="E14" s="151" t="s">
        <v>31</v>
      </c>
      <c r="F14" s="151" t="s">
        <v>8</v>
      </c>
      <c r="G14" s="151" t="s">
        <v>88</v>
      </c>
      <c r="H14" s="151" t="s">
        <v>87</v>
      </c>
      <c r="I14" s="151" t="s">
        <v>25</v>
      </c>
      <c r="J14" s="69"/>
      <c r="K14" s="69"/>
      <c r="L14" s="69"/>
      <c r="M14" s="69"/>
      <c r="N14" s="69"/>
      <c r="O14" s="68"/>
    </row>
    <row r="15" spans="1:15" s="120" customFormat="1">
      <c r="A15" s="281">
        <v>10</v>
      </c>
      <c r="B15" s="282" t="s">
        <v>178</v>
      </c>
      <c r="C15" s="283" t="s">
        <v>177</v>
      </c>
      <c r="D15" s="103">
        <v>1.3</v>
      </c>
      <c r="E15" s="282" t="s">
        <v>36</v>
      </c>
      <c r="F15" s="283">
        <v>1</v>
      </c>
      <c r="G15" s="215" t="s">
        <v>186</v>
      </c>
      <c r="H15" s="283">
        <f>1/3</f>
        <v>0.33333333333333331</v>
      </c>
      <c r="I15" s="285">
        <f>IF(H15="",D15*F15,D15*F15*H15)</f>
        <v>0.43333333333333335</v>
      </c>
      <c r="J15" s="286"/>
      <c r="K15" s="286"/>
      <c r="L15" s="286"/>
      <c r="M15" s="286"/>
      <c r="N15" s="286"/>
      <c r="O15" s="121"/>
    </row>
    <row r="16" spans="1:15" s="120" customFormat="1">
      <c r="A16" s="162">
        <v>20</v>
      </c>
      <c r="B16" s="282" t="s">
        <v>175</v>
      </c>
      <c r="C16" s="159" t="s">
        <v>174</v>
      </c>
      <c r="D16" s="103">
        <v>0.01</v>
      </c>
      <c r="E16" s="159" t="s">
        <v>62</v>
      </c>
      <c r="F16" s="328">
        <v>5.83</v>
      </c>
      <c r="G16" s="282" t="s">
        <v>330</v>
      </c>
      <c r="H16" s="283">
        <v>2.5</v>
      </c>
      <c r="I16" s="103">
        <f>IF(H16="",D16*F16,D16*F16*H16)</f>
        <v>0.14575000000000002</v>
      </c>
      <c r="J16" s="286"/>
      <c r="K16" s="286"/>
      <c r="L16" s="286"/>
      <c r="M16" s="286"/>
      <c r="N16" s="286"/>
      <c r="O16" s="121"/>
    </row>
    <row r="17" spans="1:15">
      <c r="A17" s="72"/>
      <c r="B17" s="69"/>
      <c r="C17" s="69"/>
      <c r="D17" s="69"/>
      <c r="E17" s="69"/>
      <c r="F17" s="69"/>
      <c r="G17" s="69"/>
      <c r="H17" s="141" t="s">
        <v>25</v>
      </c>
      <c r="I17" s="140">
        <f>SUM(I15:I16)</f>
        <v>0.57908333333333339</v>
      </c>
      <c r="J17" s="69"/>
      <c r="K17" s="69"/>
      <c r="L17" s="69"/>
      <c r="M17" s="69"/>
      <c r="N17" s="69"/>
      <c r="O17" s="68"/>
    </row>
    <row r="18" spans="1:15" ht="15.75" thickBot="1">
      <c r="A18" s="67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5"/>
    </row>
  </sheetData>
  <hyperlinks>
    <hyperlink ref="B4" location="EL_A0003" display="EL_A0003" xr:uid="{00000000-0004-0000-0700-000000000000}"/>
    <hyperlink ref="E3" location="dEL_03003" display="Drawing" xr:uid="{00000000-0004-0000-0700-000001000000}"/>
    <hyperlink ref="G2" location="EL_A0003_BOM" display="Back to BOM" xr:uid="{C539F05D-FE8E-454F-9876-818B1ED29471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1532-8292-4A30-B695-14570232BF0A}">
  <sheetPr>
    <tabColor theme="9" tint="0.39994506668294322"/>
    <pageSetUpPr fitToPage="1"/>
  </sheetPr>
  <dimension ref="A1:B1"/>
  <sheetViews>
    <sheetView zoomScale="115" zoomScaleNormal="115" workbookViewId="0">
      <selection activeCell="B1" sqref="B1"/>
    </sheetView>
  </sheetViews>
  <sheetFormatPr baseColWidth="10" defaultColWidth="9" defaultRowHeight="15"/>
  <cols>
    <col min="1" max="1" width="14" style="63" customWidth="1"/>
    <col min="2" max="16384" width="9" style="63"/>
  </cols>
  <sheetData>
    <row r="1" spans="1:2">
      <c r="A1" s="171" t="s">
        <v>185</v>
      </c>
      <c r="B1" s="171" t="str">
        <f>EL_03003</f>
        <v>EL 03003</v>
      </c>
    </row>
  </sheetData>
  <hyperlinks>
    <hyperlink ref="B1" location="EL_01001" display="=EL_03003" xr:uid="{00000000-0004-0000-0800-000000000000}"/>
    <hyperlink ref="A1" location="EL_01001" display="Drawing part :" xr:uid="{00000000-0004-0000-0800-000001000000}"/>
    <hyperlink ref="A1:B1" location="EL_03003" display="Drawing part :" xr:uid="{00000000-0004-0000-0800-000002000000}"/>
  </hyperlinks>
  <pageMargins left="0.69930555555555596" right="0.69930555555555596" top="0.75" bottom="0.75" header="0.3" footer="0.3"/>
  <pageSetup paperSize="9"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7093D-AE8B-4EA1-A0CD-DE841572C5C9}">
  <sheetPr>
    <tabColor theme="9" tint="0.39991454817346722"/>
    <pageSetUpPr fitToPage="1"/>
  </sheetPr>
  <dimension ref="A1:O18"/>
  <sheetViews>
    <sheetView zoomScale="85" zoomScaleNormal="85" workbookViewId="0">
      <selection activeCell="F24" sqref="F24"/>
    </sheetView>
  </sheetViews>
  <sheetFormatPr baseColWidth="10" defaultColWidth="9.140625" defaultRowHeight="15"/>
  <cols>
    <col min="1" max="1" width="10.28515625" style="63" customWidth="1"/>
    <col min="2" max="2" width="34.7109375" style="63" customWidth="1"/>
    <col min="3" max="3" width="22.140625" style="63" customWidth="1"/>
    <col min="4" max="4" width="8.85546875" style="63" customWidth="1"/>
    <col min="5" max="5" width="8.28515625" style="63" customWidth="1"/>
    <col min="6" max="6" width="8.7109375" style="63" customWidth="1"/>
    <col min="7" max="7" width="37.85546875" style="63" customWidth="1"/>
    <col min="8" max="8" width="9.7109375" style="63" customWidth="1"/>
    <col min="9" max="9" width="11.42578125" style="63" customWidth="1"/>
    <col min="10" max="10" width="8.85546875" style="63" customWidth="1"/>
    <col min="11" max="11" width="7" style="63" customWidth="1"/>
    <col min="12" max="12" width="7.7109375" style="63" customWidth="1"/>
    <col min="13" max="13" width="12.7109375" style="63" customWidth="1"/>
    <col min="14" max="14" width="9.140625" style="63"/>
    <col min="15" max="15" width="3.140625" style="63" customWidth="1"/>
    <col min="16" max="16384" width="9.140625" style="63"/>
  </cols>
  <sheetData>
    <row r="1" spans="1:15">
      <c r="A1" s="139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7"/>
    </row>
    <row r="2" spans="1:15">
      <c r="A2" s="167" t="s">
        <v>24</v>
      </c>
      <c r="B2" s="132" t="s">
        <v>23</v>
      </c>
      <c r="C2" s="64"/>
      <c r="D2" s="64"/>
      <c r="E2" s="64"/>
      <c r="F2" s="64"/>
      <c r="G2" s="170" t="s">
        <v>172</v>
      </c>
      <c r="H2" s="64"/>
      <c r="I2" s="64"/>
      <c r="J2" s="172" t="s">
        <v>18</v>
      </c>
      <c r="K2" s="136">
        <v>81</v>
      </c>
      <c r="L2" s="64"/>
      <c r="M2" s="167" t="s">
        <v>157</v>
      </c>
      <c r="N2" s="73">
        <f>EL_01001_m+EL_01001_p</f>
        <v>0.88343210000000005</v>
      </c>
      <c r="O2" s="68"/>
    </row>
    <row r="3" spans="1:15">
      <c r="A3" s="167" t="s">
        <v>170</v>
      </c>
      <c r="B3" s="132" t="str">
        <f>EL_A0100!B3</f>
        <v>Electrical</v>
      </c>
      <c r="C3" s="64"/>
      <c r="D3" s="167" t="s">
        <v>165</v>
      </c>
      <c r="E3" s="171" t="s">
        <v>184</v>
      </c>
      <c r="F3" s="64"/>
      <c r="G3" s="64"/>
      <c r="H3" s="64"/>
      <c r="I3" s="64"/>
      <c r="J3" s="64"/>
      <c r="K3" s="64"/>
      <c r="L3" s="64"/>
      <c r="M3" s="167" t="s">
        <v>168</v>
      </c>
      <c r="N3" s="82">
        <v>2</v>
      </c>
      <c r="O3" s="68"/>
    </row>
    <row r="4" spans="1:15">
      <c r="A4" s="167" t="s">
        <v>167</v>
      </c>
      <c r="B4" s="170" t="str">
        <f>EL_A0100!B4</f>
        <v>Rear firewall instruments and wires</v>
      </c>
      <c r="C4" s="64"/>
      <c r="D4" s="167" t="s">
        <v>163</v>
      </c>
      <c r="E4" s="64"/>
      <c r="F4" s="64"/>
      <c r="G4" s="64"/>
      <c r="H4" s="64"/>
      <c r="I4" s="64"/>
      <c r="J4" s="168" t="s">
        <v>165</v>
      </c>
      <c r="K4" s="64"/>
      <c r="L4" s="64"/>
      <c r="M4" s="64"/>
      <c r="N4" s="64"/>
      <c r="O4" s="68"/>
    </row>
    <row r="5" spans="1:15">
      <c r="A5" s="167" t="s">
        <v>158</v>
      </c>
      <c r="B5" s="134" t="s">
        <v>183</v>
      </c>
      <c r="C5" s="64"/>
      <c r="D5" s="167" t="s">
        <v>160</v>
      </c>
      <c r="E5" s="64"/>
      <c r="F5" s="64"/>
      <c r="G5" s="64"/>
      <c r="H5" s="64"/>
      <c r="I5" s="64"/>
      <c r="J5" s="168" t="s">
        <v>163</v>
      </c>
      <c r="K5" s="64"/>
      <c r="L5" s="64"/>
      <c r="M5" s="167" t="s">
        <v>162</v>
      </c>
      <c r="N5" s="73">
        <f>N3*N2</f>
        <v>1.7668642000000001</v>
      </c>
      <c r="O5" s="68"/>
    </row>
    <row r="6" spans="1:15">
      <c r="A6" s="167" t="s">
        <v>164</v>
      </c>
      <c r="B6" s="169" t="s">
        <v>336</v>
      </c>
      <c r="C6" s="64"/>
      <c r="D6" s="64"/>
      <c r="E6" s="64"/>
      <c r="F6" s="64"/>
      <c r="G6" s="64"/>
      <c r="H6" s="64"/>
      <c r="I6" s="64"/>
      <c r="J6" s="168" t="s">
        <v>160</v>
      </c>
      <c r="K6" s="64"/>
      <c r="L6" s="64"/>
      <c r="M6" s="64"/>
      <c r="N6" s="64"/>
      <c r="O6" s="68"/>
    </row>
    <row r="7" spans="1:15">
      <c r="A7" s="167" t="s">
        <v>161</v>
      </c>
      <c r="B7" s="132" t="s">
        <v>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8"/>
    </row>
    <row r="8" spans="1:15">
      <c r="A8" s="167" t="s">
        <v>159</v>
      </c>
      <c r="B8" s="13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8"/>
    </row>
    <row r="9" spans="1:15">
      <c r="A9" s="166"/>
      <c r="B9" s="165"/>
      <c r="C9" s="165"/>
      <c r="D9" s="165"/>
      <c r="E9" s="165"/>
      <c r="F9" s="64"/>
      <c r="G9" s="64"/>
      <c r="H9" s="64"/>
      <c r="I9" s="64"/>
      <c r="J9" s="64"/>
      <c r="K9" s="64"/>
      <c r="L9" s="64"/>
      <c r="M9" s="64"/>
      <c r="N9" s="64"/>
      <c r="O9" s="68"/>
    </row>
    <row r="10" spans="1:15">
      <c r="A10" s="164" t="s">
        <v>35</v>
      </c>
      <c r="B10" s="163" t="s">
        <v>156</v>
      </c>
      <c r="C10" s="163" t="s">
        <v>33</v>
      </c>
      <c r="D10" s="163" t="s">
        <v>32</v>
      </c>
      <c r="E10" s="163" t="s">
        <v>56</v>
      </c>
      <c r="F10" s="151" t="s">
        <v>55</v>
      </c>
      <c r="G10" s="151" t="s">
        <v>54</v>
      </c>
      <c r="H10" s="151" t="s">
        <v>53</v>
      </c>
      <c r="I10" s="151" t="s">
        <v>155</v>
      </c>
      <c r="J10" s="151" t="s">
        <v>154</v>
      </c>
      <c r="K10" s="151" t="s">
        <v>153</v>
      </c>
      <c r="L10" s="151" t="s">
        <v>152</v>
      </c>
      <c r="M10" s="151" t="s">
        <v>8</v>
      </c>
      <c r="N10" s="151" t="s">
        <v>25</v>
      </c>
      <c r="O10" s="68"/>
    </row>
    <row r="11" spans="1:15" s="120" customFormat="1">
      <c r="A11" s="162">
        <v>10</v>
      </c>
      <c r="B11" s="161" t="s">
        <v>182</v>
      </c>
      <c r="C11" s="159" t="s">
        <v>181</v>
      </c>
      <c r="D11" s="103">
        <v>2.25</v>
      </c>
      <c r="E11" s="160">
        <f>J11*K11*L11</f>
        <v>7.3476000000000001E-3</v>
      </c>
      <c r="F11" s="159" t="s">
        <v>180</v>
      </c>
      <c r="G11" s="159"/>
      <c r="H11" s="104"/>
      <c r="I11" s="158" t="s">
        <v>179</v>
      </c>
      <c r="J11" s="157">
        <f>24*13/1000000</f>
        <v>3.1199999999999999E-4</v>
      </c>
      <c r="K11" s="156">
        <v>3.0000000000000001E-3</v>
      </c>
      <c r="L11" s="155">
        <v>7850</v>
      </c>
      <c r="M11" s="154">
        <v>1</v>
      </c>
      <c r="N11" s="103">
        <f>IF(J11="",D11*M11,D11*J11*K11*L11*M11)</f>
        <v>1.6532099999999997E-2</v>
      </c>
      <c r="O11" s="121"/>
    </row>
    <row r="12" spans="1:15">
      <c r="A12" s="72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153" t="s">
        <v>25</v>
      </c>
      <c r="N12" s="140">
        <f>SUM(N11:N11)</f>
        <v>1.6532099999999997E-2</v>
      </c>
      <c r="O12" s="68"/>
    </row>
    <row r="13" spans="1:15">
      <c r="A13" s="76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8"/>
    </row>
    <row r="14" spans="1:15">
      <c r="A14" s="152" t="s">
        <v>35</v>
      </c>
      <c r="B14" s="151" t="s">
        <v>89</v>
      </c>
      <c r="C14" s="151" t="s">
        <v>33</v>
      </c>
      <c r="D14" s="151" t="s">
        <v>32</v>
      </c>
      <c r="E14" s="151" t="s">
        <v>31</v>
      </c>
      <c r="F14" s="151" t="s">
        <v>8</v>
      </c>
      <c r="G14" s="151" t="s">
        <v>88</v>
      </c>
      <c r="H14" s="151" t="s">
        <v>87</v>
      </c>
      <c r="I14" s="151" t="s">
        <v>25</v>
      </c>
      <c r="J14" s="69"/>
      <c r="K14" s="69"/>
      <c r="L14" s="69"/>
      <c r="M14" s="69"/>
      <c r="N14" s="69"/>
      <c r="O14" s="68"/>
    </row>
    <row r="15" spans="1:15" s="92" customFormat="1">
      <c r="A15" s="150">
        <v>10</v>
      </c>
      <c r="B15" s="143" t="s">
        <v>178</v>
      </c>
      <c r="C15" s="148" t="s">
        <v>177</v>
      </c>
      <c r="D15" s="149">
        <v>1.3</v>
      </c>
      <c r="E15" s="143" t="s">
        <v>36</v>
      </c>
      <c r="F15" s="148">
        <v>1</v>
      </c>
      <c r="G15" s="147" t="s">
        <v>176</v>
      </c>
      <c r="H15" s="147">
        <v>0.5</v>
      </c>
      <c r="I15" s="146">
        <f>IF(H15="",D15*F15,D15*F15*H15)</f>
        <v>0.65</v>
      </c>
      <c r="J15" s="87"/>
      <c r="K15" s="87"/>
      <c r="L15" s="87"/>
      <c r="M15" s="87"/>
      <c r="N15" s="87"/>
      <c r="O15" s="93"/>
    </row>
    <row r="16" spans="1:15" s="92" customFormat="1">
      <c r="A16" s="278">
        <v>20</v>
      </c>
      <c r="B16" s="143" t="s">
        <v>175</v>
      </c>
      <c r="C16" s="279" t="s">
        <v>174</v>
      </c>
      <c r="D16" s="149">
        <v>0.01</v>
      </c>
      <c r="E16" s="279" t="s">
        <v>62</v>
      </c>
      <c r="F16" s="280">
        <v>7.23</v>
      </c>
      <c r="G16" s="143" t="s">
        <v>173</v>
      </c>
      <c r="H16" s="148">
        <v>3</v>
      </c>
      <c r="I16" s="149">
        <f>IF(H16="",D16*F16,D16*F16*H16)</f>
        <v>0.21690000000000001</v>
      </c>
      <c r="J16" s="87"/>
      <c r="K16" s="87"/>
      <c r="L16" s="87"/>
      <c r="M16" s="87"/>
      <c r="N16" s="87"/>
      <c r="O16" s="93"/>
    </row>
    <row r="17" spans="1:15">
      <c r="A17" s="72"/>
      <c r="B17" s="69"/>
      <c r="C17" s="69"/>
      <c r="D17" s="69"/>
      <c r="E17" s="69"/>
      <c r="F17" s="69"/>
      <c r="G17" s="69"/>
      <c r="H17" s="141" t="s">
        <v>25</v>
      </c>
      <c r="I17" s="140">
        <f>SUM(I15:I16)</f>
        <v>0.8669</v>
      </c>
      <c r="J17" s="69"/>
      <c r="K17" s="69"/>
      <c r="L17" s="69"/>
      <c r="M17" s="69"/>
      <c r="N17" s="69"/>
      <c r="O17" s="68"/>
    </row>
    <row r="18" spans="1:15" ht="15.75" thickBot="1">
      <c r="A18" s="67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5"/>
    </row>
  </sheetData>
  <hyperlinks>
    <hyperlink ref="B4" location="EL_A0001" display="EL_A0001" xr:uid="{00000000-0004-0000-0300-000000000000}"/>
    <hyperlink ref="E3" location="dEL_01001!dEL_01001" display="Drawing" xr:uid="{00000000-0004-0000-0300-000001000000}"/>
    <hyperlink ref="B6" location="EL_A0001!A1" display="EL_01001" xr:uid="{00000000-0004-0000-0300-000002000000}"/>
    <hyperlink ref="G2" location="EL_A0001_BOM" display="Back to BOM" xr:uid="{20743176-86A6-4E60-92C6-7163C3A036AC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9D63-CA4B-4EB2-B0C5-B2AEC8497628}">
  <sheetPr>
    <tabColor theme="9" tint="0.39991454817346722"/>
    <pageSetUpPr fitToPage="1"/>
  </sheetPr>
  <dimension ref="A1:B1"/>
  <sheetViews>
    <sheetView workbookViewId="0">
      <selection activeCell="C1" sqref="C1"/>
    </sheetView>
  </sheetViews>
  <sheetFormatPr baseColWidth="10" defaultColWidth="9" defaultRowHeight="15"/>
  <cols>
    <col min="1" max="1" width="14" style="63" customWidth="1"/>
    <col min="2" max="16384" width="9" style="63"/>
  </cols>
  <sheetData>
    <row r="1" spans="1:2">
      <c r="A1" s="171" t="s">
        <v>185</v>
      </c>
      <c r="B1" s="171" t="str">
        <f>EL_01001</f>
        <v>EL 01001</v>
      </c>
    </row>
  </sheetData>
  <hyperlinks>
    <hyperlink ref="B1" location="EL_01001" display="EL_01001" xr:uid="{00000000-0004-0000-0400-000000000000}"/>
    <hyperlink ref="A1" location="EL_01001" display="Drawing part :" xr:uid="{00000000-0004-0000-0400-000001000000}"/>
    <hyperlink ref="A1:B1" location="EL_01001" display="Drawing part :" xr:uid="{00000000-0004-0000-0400-000002000000}"/>
  </hyperlinks>
  <pageMargins left="0.69930555555555596" right="0.69930555555555596" top="0.75" bottom="0.75" header="0.3" footer="0.3"/>
  <pageSetup paperSize="9" fitToHeight="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6827-5719-41FD-8DC5-80411128AF7C}">
  <sheetPr>
    <tabColor theme="9" tint="0.39991454817346722"/>
    <pageSetUpPr fitToPage="1"/>
  </sheetPr>
  <dimension ref="A1:O18"/>
  <sheetViews>
    <sheetView zoomScale="85" zoomScaleNormal="85" workbookViewId="0">
      <selection activeCell="G15" sqref="G15"/>
    </sheetView>
  </sheetViews>
  <sheetFormatPr baseColWidth="10" defaultColWidth="9.140625" defaultRowHeight="15"/>
  <cols>
    <col min="1" max="1" width="9.140625" style="63"/>
    <col min="2" max="2" width="33" style="63" customWidth="1"/>
    <col min="3" max="3" width="21.5703125" style="63" customWidth="1"/>
    <col min="4" max="4" width="8.85546875" style="63" customWidth="1"/>
    <col min="5" max="5" width="8.28515625" style="63" customWidth="1"/>
    <col min="6" max="6" width="8.85546875" style="63" customWidth="1"/>
    <col min="7" max="7" width="36.7109375" style="63" customWidth="1"/>
    <col min="8" max="8" width="9.85546875" style="63" customWidth="1"/>
    <col min="9" max="9" width="11.42578125" style="63" customWidth="1"/>
    <col min="10" max="10" width="8.85546875" style="63" customWidth="1"/>
    <col min="11" max="11" width="7.28515625" style="63" customWidth="1"/>
    <col min="12" max="12" width="7.85546875" style="63" customWidth="1"/>
    <col min="13" max="13" width="12.85546875" style="63" customWidth="1"/>
    <col min="14" max="14" width="9.140625" style="63"/>
    <col min="15" max="15" width="3.140625" style="63" customWidth="1"/>
    <col min="16" max="16384" width="9.140625" style="63"/>
  </cols>
  <sheetData>
    <row r="1" spans="1:15">
      <c r="A1" s="139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7"/>
    </row>
    <row r="2" spans="1:15">
      <c r="A2" s="167" t="s">
        <v>24</v>
      </c>
      <c r="B2" s="132" t="s">
        <v>23</v>
      </c>
      <c r="C2" s="64"/>
      <c r="D2" s="64"/>
      <c r="E2" s="64"/>
      <c r="F2" s="64"/>
      <c r="G2" s="170" t="s">
        <v>172</v>
      </c>
      <c r="H2" s="64"/>
      <c r="I2" s="64"/>
      <c r="J2" s="172" t="s">
        <v>18</v>
      </c>
      <c r="K2" s="136">
        <v>81</v>
      </c>
      <c r="L2" s="64"/>
      <c r="M2" s="167" t="s">
        <v>157</v>
      </c>
      <c r="N2" s="73">
        <f>EL_01002_m+EL_01002_p</f>
        <v>0.54649961458333329</v>
      </c>
      <c r="O2" s="68"/>
    </row>
    <row r="3" spans="1:15">
      <c r="A3" s="167" t="s">
        <v>170</v>
      </c>
      <c r="B3" s="132" t="str">
        <f>EL_A0100!B3</f>
        <v>Electrical</v>
      </c>
      <c r="C3" s="64"/>
      <c r="D3" s="167" t="s">
        <v>165</v>
      </c>
      <c r="E3" s="171" t="s">
        <v>184</v>
      </c>
      <c r="F3" s="64"/>
      <c r="G3" s="64"/>
      <c r="H3" s="64"/>
      <c r="I3" s="64"/>
      <c r="J3" s="64"/>
      <c r="K3" s="64"/>
      <c r="L3" s="64"/>
      <c r="M3" s="167" t="s">
        <v>168</v>
      </c>
      <c r="N3" s="82">
        <v>2</v>
      </c>
      <c r="O3" s="68"/>
    </row>
    <row r="4" spans="1:15">
      <c r="A4" s="167" t="s">
        <v>167</v>
      </c>
      <c r="B4" s="170" t="str">
        <f>EL_A0100!B4</f>
        <v>Rear firewall instruments and wires</v>
      </c>
      <c r="C4" s="64"/>
      <c r="D4" s="167" t="s">
        <v>163</v>
      </c>
      <c r="E4" s="64"/>
      <c r="F4" s="64"/>
      <c r="G4" s="64"/>
      <c r="H4" s="64"/>
      <c r="I4" s="64"/>
      <c r="J4" s="168" t="s">
        <v>165</v>
      </c>
      <c r="K4" s="64"/>
      <c r="L4" s="64"/>
      <c r="M4" s="64"/>
      <c r="N4" s="64"/>
      <c r="O4" s="68"/>
    </row>
    <row r="5" spans="1:15">
      <c r="A5" s="167" t="s">
        <v>158</v>
      </c>
      <c r="B5" s="134" t="s">
        <v>187</v>
      </c>
      <c r="C5" s="64"/>
      <c r="D5" s="167" t="s">
        <v>160</v>
      </c>
      <c r="E5" s="64"/>
      <c r="F5" s="64"/>
      <c r="G5" s="64"/>
      <c r="H5" s="64"/>
      <c r="I5" s="64"/>
      <c r="J5" s="168" t="s">
        <v>163</v>
      </c>
      <c r="K5" s="64"/>
      <c r="L5" s="64"/>
      <c r="M5" s="167" t="s">
        <v>162</v>
      </c>
      <c r="N5" s="73">
        <f>N3*N2</f>
        <v>1.0929992291666666</v>
      </c>
      <c r="O5" s="68"/>
    </row>
    <row r="6" spans="1:15">
      <c r="A6" s="167" t="s">
        <v>164</v>
      </c>
      <c r="B6" s="169" t="s">
        <v>337</v>
      </c>
      <c r="C6" s="64"/>
      <c r="D6" s="64"/>
      <c r="E6" s="64"/>
      <c r="F6" s="64"/>
      <c r="G6" s="64"/>
      <c r="H6" s="64"/>
      <c r="I6" s="64"/>
      <c r="J6" s="168" t="s">
        <v>160</v>
      </c>
      <c r="K6" s="64"/>
      <c r="L6" s="64"/>
      <c r="M6" s="64"/>
      <c r="N6" s="64"/>
      <c r="O6" s="68"/>
    </row>
    <row r="7" spans="1:15">
      <c r="A7" s="167" t="s">
        <v>161</v>
      </c>
      <c r="B7" s="132" t="s">
        <v>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8"/>
    </row>
    <row r="8" spans="1:15">
      <c r="A8" s="167" t="s">
        <v>159</v>
      </c>
      <c r="B8" s="13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8"/>
    </row>
    <row r="9" spans="1:15">
      <c r="A9" s="166"/>
      <c r="B9" s="165"/>
      <c r="C9" s="165"/>
      <c r="D9" s="165"/>
      <c r="E9" s="165"/>
      <c r="F9" s="64"/>
      <c r="G9" s="64"/>
      <c r="H9" s="64"/>
      <c r="I9" s="64"/>
      <c r="J9" s="64"/>
      <c r="K9" s="64"/>
      <c r="L9" s="64"/>
      <c r="M9" s="64"/>
      <c r="N9" s="64"/>
      <c r="O9" s="68"/>
    </row>
    <row r="10" spans="1:15">
      <c r="A10" s="164" t="s">
        <v>35</v>
      </c>
      <c r="B10" s="163" t="s">
        <v>156</v>
      </c>
      <c r="C10" s="163" t="s">
        <v>33</v>
      </c>
      <c r="D10" s="163" t="s">
        <v>32</v>
      </c>
      <c r="E10" s="163" t="s">
        <v>56</v>
      </c>
      <c r="F10" s="151" t="s">
        <v>55</v>
      </c>
      <c r="G10" s="151" t="s">
        <v>54</v>
      </c>
      <c r="H10" s="151" t="s">
        <v>53</v>
      </c>
      <c r="I10" s="151" t="s">
        <v>155</v>
      </c>
      <c r="J10" s="151" t="s">
        <v>154</v>
      </c>
      <c r="K10" s="151" t="s">
        <v>153</v>
      </c>
      <c r="L10" s="151" t="s">
        <v>152</v>
      </c>
      <c r="M10" s="151" t="s">
        <v>8</v>
      </c>
      <c r="N10" s="151" t="s">
        <v>25</v>
      </c>
      <c r="O10" s="68"/>
    </row>
    <row r="11" spans="1:15" s="120" customFormat="1">
      <c r="A11" s="162">
        <v>10</v>
      </c>
      <c r="B11" s="161" t="s">
        <v>182</v>
      </c>
      <c r="C11" s="159" t="s">
        <v>181</v>
      </c>
      <c r="D11" s="103">
        <v>2.25</v>
      </c>
      <c r="E11" s="160">
        <f>J11*K11*L11</f>
        <v>2.296125E-3</v>
      </c>
      <c r="F11" s="159" t="s">
        <v>180</v>
      </c>
      <c r="G11" s="159"/>
      <c r="H11" s="104"/>
      <c r="I11" s="158" t="s">
        <v>179</v>
      </c>
      <c r="J11" s="157">
        <f>13*15/1000000</f>
        <v>1.95E-4</v>
      </c>
      <c r="K11" s="156">
        <v>1.5E-3</v>
      </c>
      <c r="L11" s="155">
        <v>7850</v>
      </c>
      <c r="M11" s="154">
        <v>1</v>
      </c>
      <c r="N11" s="103">
        <f>IF(J11="",D11*M11,D11*J11*K11*L11*M11)</f>
        <v>5.1662812500000007E-3</v>
      </c>
      <c r="O11" s="121"/>
    </row>
    <row r="12" spans="1:15">
      <c r="A12" s="72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153" t="s">
        <v>25</v>
      </c>
      <c r="N12" s="140">
        <f>SUM(N11:N11)</f>
        <v>5.1662812500000007E-3</v>
      </c>
      <c r="O12" s="68"/>
    </row>
    <row r="13" spans="1:15">
      <c r="A13" s="76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8"/>
    </row>
    <row r="14" spans="1:15">
      <c r="A14" s="152" t="s">
        <v>35</v>
      </c>
      <c r="B14" s="151" t="s">
        <v>89</v>
      </c>
      <c r="C14" s="151" t="s">
        <v>33</v>
      </c>
      <c r="D14" s="151" t="s">
        <v>32</v>
      </c>
      <c r="E14" s="151" t="s">
        <v>31</v>
      </c>
      <c r="F14" s="151" t="s">
        <v>8</v>
      </c>
      <c r="G14" s="151" t="s">
        <v>88</v>
      </c>
      <c r="H14" s="151" t="s">
        <v>87</v>
      </c>
      <c r="I14" s="151" t="s">
        <v>25</v>
      </c>
      <c r="J14" s="69"/>
      <c r="K14" s="69"/>
      <c r="L14" s="69"/>
      <c r="M14" s="69"/>
      <c r="N14" s="69"/>
      <c r="O14" s="68"/>
    </row>
    <row r="15" spans="1:15" s="120" customFormat="1">
      <c r="A15" s="281">
        <v>10</v>
      </c>
      <c r="B15" s="282" t="s">
        <v>178</v>
      </c>
      <c r="C15" s="283" t="s">
        <v>177</v>
      </c>
      <c r="D15" s="103">
        <v>1.3</v>
      </c>
      <c r="E15" s="282" t="s">
        <v>36</v>
      </c>
      <c r="F15" s="283">
        <v>1</v>
      </c>
      <c r="G15" s="215" t="s">
        <v>186</v>
      </c>
      <c r="H15" s="284">
        <f>1/3</f>
        <v>0.33333333333333331</v>
      </c>
      <c r="I15" s="285">
        <f>IF(H15="",D15*F15,D15*F15*H15)</f>
        <v>0.43333333333333335</v>
      </c>
      <c r="J15" s="286"/>
      <c r="K15" s="286"/>
      <c r="L15" s="286"/>
      <c r="M15" s="286"/>
      <c r="N15" s="286"/>
      <c r="O15" s="121"/>
    </row>
    <row r="16" spans="1:15" s="120" customFormat="1">
      <c r="A16" s="162">
        <v>20</v>
      </c>
      <c r="B16" s="282" t="s">
        <v>175</v>
      </c>
      <c r="C16" s="159" t="s">
        <v>174</v>
      </c>
      <c r="D16" s="103">
        <v>0.01</v>
      </c>
      <c r="E16" s="159" t="s">
        <v>62</v>
      </c>
      <c r="F16" s="214">
        <v>3.6</v>
      </c>
      <c r="G16" s="282" t="s">
        <v>173</v>
      </c>
      <c r="H16" s="283">
        <v>3</v>
      </c>
      <c r="I16" s="103">
        <f>IF(H16="",D16*F16,D16*F16*H16)</f>
        <v>0.10800000000000001</v>
      </c>
      <c r="J16" s="286"/>
      <c r="K16" s="286"/>
      <c r="L16" s="286"/>
      <c r="M16" s="286"/>
      <c r="N16" s="286"/>
      <c r="O16" s="121"/>
    </row>
    <row r="17" spans="1:15">
      <c r="A17" s="72"/>
      <c r="B17" s="69"/>
      <c r="C17" s="69"/>
      <c r="D17" s="69"/>
      <c r="E17" s="69"/>
      <c r="F17" s="69"/>
      <c r="G17" s="69"/>
      <c r="H17" s="141" t="s">
        <v>25</v>
      </c>
      <c r="I17" s="140">
        <f>SUM(I15:I16)</f>
        <v>0.54133333333333333</v>
      </c>
      <c r="J17" s="69"/>
      <c r="K17" s="69"/>
      <c r="L17" s="69"/>
      <c r="M17" s="69"/>
      <c r="N17" s="69"/>
      <c r="O17" s="68"/>
    </row>
    <row r="18" spans="1:15" ht="15.75" thickBot="1">
      <c r="A18" s="67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5"/>
    </row>
  </sheetData>
  <hyperlinks>
    <hyperlink ref="B4" location="EL_A0001" display="EL_A0001" xr:uid="{00000000-0004-0000-0500-000000000000}"/>
    <hyperlink ref="E3" location="dEL_01002" display="Drawing" xr:uid="{00000000-0004-0000-0500-000001000000}"/>
    <hyperlink ref="B6" location="EL_A0001!A1" display="EL_01002" xr:uid="{00000000-0004-0000-0500-000002000000}"/>
    <hyperlink ref="G2" location="EL_A0001_BOM" display="Back to BOM" xr:uid="{7304EDDB-A2F6-417B-92BA-087C196AEB29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A9327-49D6-48E2-A7C2-AE58E3D7A13E}">
  <sheetPr>
    <tabColor theme="9" tint="0.39991454817346722"/>
    <pageSetUpPr fitToPage="1"/>
  </sheetPr>
  <dimension ref="A1:B1"/>
  <sheetViews>
    <sheetView workbookViewId="0">
      <selection activeCell="L10" sqref="L10"/>
    </sheetView>
  </sheetViews>
  <sheetFormatPr baseColWidth="10" defaultColWidth="9" defaultRowHeight="15"/>
  <cols>
    <col min="1" max="1" width="14" style="63" customWidth="1"/>
    <col min="2" max="16384" width="9" style="63"/>
  </cols>
  <sheetData>
    <row r="1" spans="1:2">
      <c r="A1" s="171" t="s">
        <v>185</v>
      </c>
      <c r="B1" s="171" t="str">
        <f>EL_01002</f>
        <v>EL 01002</v>
      </c>
    </row>
  </sheetData>
  <hyperlinks>
    <hyperlink ref="B1" location="EL_01001" display="=EL_01002" xr:uid="{00000000-0004-0000-0600-000000000000}"/>
    <hyperlink ref="A1" location="EL_01001" display="Drawing part :" xr:uid="{00000000-0004-0000-0600-000001000000}"/>
    <hyperlink ref="A1:B1" location="EL_01002" display="Drawing part :" xr:uid="{00000000-0004-0000-0600-000002000000}"/>
  </hyperlinks>
  <pageMargins left="0.69930555555555596" right="0.69930555555555596" top="0.75" bottom="0.75" header="0.3" footer="0.3"/>
  <pageSetup paperSize="9" fitToHeight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20270-F220-4B0A-A3D2-AC0F53A84C39}">
  <sheetPr>
    <tabColor theme="9" tint="0.39991454817346722"/>
    <pageSetUpPr fitToPage="1"/>
  </sheetPr>
  <dimension ref="A1:O19"/>
  <sheetViews>
    <sheetView zoomScale="85" zoomScaleNormal="85" workbookViewId="0">
      <selection activeCell="C20" sqref="C20"/>
    </sheetView>
  </sheetViews>
  <sheetFormatPr baseColWidth="10" defaultColWidth="9.140625" defaultRowHeight="15"/>
  <cols>
    <col min="1" max="1" width="9.140625" style="63"/>
    <col min="2" max="2" width="34" style="63" customWidth="1"/>
    <col min="3" max="3" width="20.7109375" style="63" customWidth="1"/>
    <col min="4" max="4" width="8.85546875" style="63" customWidth="1"/>
    <col min="5" max="5" width="8.28515625" style="63" customWidth="1"/>
    <col min="6" max="6" width="8.85546875" style="63" customWidth="1"/>
    <col min="7" max="7" width="35.42578125" style="63" customWidth="1"/>
    <col min="8" max="8" width="9.85546875" style="63" customWidth="1"/>
    <col min="9" max="9" width="11.42578125" style="63" customWidth="1"/>
    <col min="10" max="10" width="8.85546875" style="63" customWidth="1"/>
    <col min="11" max="11" width="7.28515625" style="63" customWidth="1"/>
    <col min="12" max="12" width="7.85546875" style="63" customWidth="1"/>
    <col min="13" max="13" width="13.85546875" style="63" customWidth="1"/>
    <col min="14" max="14" width="9.140625" style="63"/>
    <col min="15" max="15" width="3.140625" style="63" customWidth="1"/>
    <col min="16" max="16384" width="9.140625" style="63"/>
  </cols>
  <sheetData>
    <row r="1" spans="1:15">
      <c r="A1" s="139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7"/>
    </row>
    <row r="2" spans="1:15">
      <c r="A2" s="167" t="s">
        <v>24</v>
      </c>
      <c r="B2" s="132" t="s">
        <v>23</v>
      </c>
      <c r="C2" s="64"/>
      <c r="D2" s="64"/>
      <c r="E2" s="64"/>
      <c r="F2" s="64"/>
      <c r="G2" s="170" t="s">
        <v>172</v>
      </c>
      <c r="H2" s="64"/>
      <c r="I2" s="64"/>
      <c r="J2" s="172" t="s">
        <v>18</v>
      </c>
      <c r="K2" s="136">
        <v>81</v>
      </c>
      <c r="L2" s="64"/>
      <c r="M2" s="167" t="s">
        <v>157</v>
      </c>
      <c r="N2" s="73">
        <f>EL_01003_m+EL_01003_p</f>
        <v>0.82069615625000003</v>
      </c>
      <c r="O2" s="68"/>
    </row>
    <row r="3" spans="1:15">
      <c r="A3" s="167" t="s">
        <v>170</v>
      </c>
      <c r="B3" s="132" t="str">
        <f>EL_A0100!B3</f>
        <v>Electrical</v>
      </c>
      <c r="C3" s="64"/>
      <c r="D3" s="167" t="s">
        <v>165</v>
      </c>
      <c r="E3" s="171" t="s">
        <v>184</v>
      </c>
      <c r="F3" s="64"/>
      <c r="G3" s="64"/>
      <c r="H3" s="64"/>
      <c r="I3" s="64"/>
      <c r="J3" s="64"/>
      <c r="K3" s="64"/>
      <c r="L3" s="64"/>
      <c r="M3" s="167" t="s">
        <v>168</v>
      </c>
      <c r="N3" s="82">
        <v>2</v>
      </c>
      <c r="O3" s="68"/>
    </row>
    <row r="4" spans="1:15">
      <c r="A4" s="167" t="s">
        <v>167</v>
      </c>
      <c r="B4" s="170" t="str">
        <f>EL_A0100!B4</f>
        <v>Rear firewall instruments and wires</v>
      </c>
      <c r="C4" s="64"/>
      <c r="D4" s="167" t="s">
        <v>163</v>
      </c>
      <c r="E4" s="64"/>
      <c r="F4" s="64"/>
      <c r="G4" s="64"/>
      <c r="H4" s="64"/>
      <c r="I4" s="64"/>
      <c r="J4" s="168" t="s">
        <v>165</v>
      </c>
      <c r="K4" s="64"/>
      <c r="L4" s="64"/>
      <c r="M4" s="64"/>
      <c r="N4" s="64"/>
      <c r="O4" s="68"/>
    </row>
    <row r="5" spans="1:15">
      <c r="A5" s="167" t="s">
        <v>158</v>
      </c>
      <c r="B5" s="134" t="s">
        <v>188</v>
      </c>
      <c r="C5" s="64"/>
      <c r="D5" s="167" t="s">
        <v>160</v>
      </c>
      <c r="E5" s="64"/>
      <c r="F5" s="64"/>
      <c r="G5" s="64"/>
      <c r="H5" s="64"/>
      <c r="I5" s="64"/>
      <c r="J5" s="168" t="s">
        <v>163</v>
      </c>
      <c r="K5" s="64"/>
      <c r="L5" s="64"/>
      <c r="M5" s="167" t="s">
        <v>162</v>
      </c>
      <c r="N5" s="73">
        <f>N3*N2</f>
        <v>1.6413923125000001</v>
      </c>
      <c r="O5" s="68"/>
    </row>
    <row r="6" spans="1:15">
      <c r="A6" s="167" t="s">
        <v>164</v>
      </c>
      <c r="B6" s="169" t="s">
        <v>338</v>
      </c>
      <c r="C6" s="64"/>
      <c r="D6" s="64"/>
      <c r="E6" s="64"/>
      <c r="F6" s="64"/>
      <c r="G6" s="64"/>
      <c r="H6" s="64"/>
      <c r="I6" s="64"/>
      <c r="J6" s="168" t="s">
        <v>160</v>
      </c>
      <c r="K6" s="64"/>
      <c r="L6" s="64"/>
      <c r="M6" s="64"/>
      <c r="N6" s="64"/>
      <c r="O6" s="68"/>
    </row>
    <row r="7" spans="1:15">
      <c r="A7" s="167" t="s">
        <v>161</v>
      </c>
      <c r="B7" s="132" t="s">
        <v>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8"/>
    </row>
    <row r="8" spans="1:15">
      <c r="A8" s="167" t="s">
        <v>159</v>
      </c>
      <c r="B8" s="13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8"/>
    </row>
    <row r="9" spans="1:15">
      <c r="A9" s="166"/>
      <c r="B9" s="165"/>
      <c r="C9" s="165"/>
      <c r="D9" s="165"/>
      <c r="E9" s="165"/>
      <c r="F9" s="64"/>
      <c r="G9" s="64"/>
      <c r="H9" s="64"/>
      <c r="I9" s="64"/>
      <c r="J9" s="64"/>
      <c r="K9" s="64"/>
      <c r="L9" s="64"/>
      <c r="M9" s="64"/>
      <c r="N9" s="64"/>
      <c r="O9" s="68"/>
    </row>
    <row r="10" spans="1:15">
      <c r="A10" s="164" t="s">
        <v>35</v>
      </c>
      <c r="B10" s="163" t="s">
        <v>156</v>
      </c>
      <c r="C10" s="163" t="s">
        <v>33</v>
      </c>
      <c r="D10" s="163" t="s">
        <v>32</v>
      </c>
      <c r="E10" s="163" t="s">
        <v>56</v>
      </c>
      <c r="F10" s="151" t="s">
        <v>55</v>
      </c>
      <c r="G10" s="151" t="s">
        <v>54</v>
      </c>
      <c r="H10" s="151" t="s">
        <v>53</v>
      </c>
      <c r="I10" s="151" t="s">
        <v>155</v>
      </c>
      <c r="J10" s="151" t="s">
        <v>154</v>
      </c>
      <c r="K10" s="151" t="s">
        <v>153</v>
      </c>
      <c r="L10" s="151" t="s">
        <v>152</v>
      </c>
      <c r="M10" s="151" t="s">
        <v>8</v>
      </c>
      <c r="N10" s="151" t="s">
        <v>25</v>
      </c>
      <c r="O10" s="68"/>
    </row>
    <row r="11" spans="1:15" s="120" customFormat="1">
      <c r="A11" s="162">
        <v>10</v>
      </c>
      <c r="B11" s="161" t="s">
        <v>182</v>
      </c>
      <c r="C11" s="159" t="s">
        <v>181</v>
      </c>
      <c r="D11" s="103">
        <v>2.25</v>
      </c>
      <c r="E11" s="175">
        <f>J11*K11*L11</f>
        <v>2.531625E-3</v>
      </c>
      <c r="F11" s="159" t="s">
        <v>180</v>
      </c>
      <c r="G11" s="159"/>
      <c r="H11" s="104"/>
      <c r="I11" s="158" t="s">
        <v>179</v>
      </c>
      <c r="J11" s="157">
        <f>10*21.5/1000000</f>
        <v>2.1499999999999999E-4</v>
      </c>
      <c r="K11" s="156">
        <v>1.5E-3</v>
      </c>
      <c r="L11" s="155">
        <v>7850</v>
      </c>
      <c r="M11" s="154">
        <v>1</v>
      </c>
      <c r="N11" s="103">
        <f>IF(J11="",D11*M11,D11*J11*K11*L11*M11)</f>
        <v>5.6961562499999998E-3</v>
      </c>
      <c r="O11" s="121"/>
    </row>
    <row r="12" spans="1:15">
      <c r="A12" s="72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153" t="s">
        <v>25</v>
      </c>
      <c r="N12" s="140">
        <f>SUM(N11:N11)</f>
        <v>5.6961562499999998E-3</v>
      </c>
      <c r="O12" s="68"/>
    </row>
    <row r="13" spans="1:15">
      <c r="A13" s="76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8"/>
    </row>
    <row r="14" spans="1:15">
      <c r="A14" s="152" t="s">
        <v>35</v>
      </c>
      <c r="B14" s="151" t="s">
        <v>89</v>
      </c>
      <c r="C14" s="151" t="s">
        <v>33</v>
      </c>
      <c r="D14" s="151" t="s">
        <v>32</v>
      </c>
      <c r="E14" s="151" t="s">
        <v>31</v>
      </c>
      <c r="F14" s="151" t="s">
        <v>8</v>
      </c>
      <c r="G14" s="151" t="s">
        <v>88</v>
      </c>
      <c r="H14" s="151" t="s">
        <v>87</v>
      </c>
      <c r="I14" s="151" t="s">
        <v>25</v>
      </c>
      <c r="J14" s="69"/>
      <c r="K14" s="69"/>
      <c r="L14" s="69"/>
      <c r="M14" s="69"/>
      <c r="N14" s="69"/>
      <c r="O14" s="68"/>
    </row>
    <row r="15" spans="1:15" s="120" customFormat="1">
      <c r="A15" s="281">
        <v>10</v>
      </c>
      <c r="B15" s="282" t="s">
        <v>178</v>
      </c>
      <c r="C15" s="283" t="s">
        <v>177</v>
      </c>
      <c r="D15" s="103">
        <v>1.3</v>
      </c>
      <c r="E15" s="282" t="s">
        <v>36</v>
      </c>
      <c r="F15" s="283">
        <v>1</v>
      </c>
      <c r="G15" s="215" t="s">
        <v>176</v>
      </c>
      <c r="H15" s="215">
        <v>0.5</v>
      </c>
      <c r="I15" s="285">
        <f>IF(H15="",D15*F15,D15*F15*H15)</f>
        <v>0.65</v>
      </c>
      <c r="J15" s="286"/>
      <c r="K15" s="286"/>
      <c r="L15" s="286"/>
      <c r="M15" s="286"/>
      <c r="N15" s="286"/>
      <c r="O15" s="121"/>
    </row>
    <row r="16" spans="1:15" s="120" customFormat="1">
      <c r="A16" s="162">
        <v>20</v>
      </c>
      <c r="B16" s="282" t="s">
        <v>175</v>
      </c>
      <c r="C16" s="159" t="s">
        <v>174</v>
      </c>
      <c r="D16" s="103">
        <v>0.01</v>
      </c>
      <c r="E16" s="159" t="s">
        <v>62</v>
      </c>
      <c r="F16" s="214">
        <v>5.5</v>
      </c>
      <c r="G16" s="282" t="s">
        <v>173</v>
      </c>
      <c r="H16" s="283">
        <v>3</v>
      </c>
      <c r="I16" s="103">
        <f>IF(H16="",D16*F16,D16*F16*H16)</f>
        <v>0.16500000000000001</v>
      </c>
      <c r="J16" s="286"/>
      <c r="K16" s="286"/>
      <c r="L16" s="286"/>
      <c r="M16" s="286"/>
      <c r="N16" s="286"/>
      <c r="O16" s="121"/>
    </row>
    <row r="17" spans="1:15">
      <c r="A17" s="72"/>
      <c r="B17" s="69"/>
      <c r="C17" s="69"/>
      <c r="D17" s="69"/>
      <c r="E17" s="69"/>
      <c r="F17" s="69"/>
      <c r="G17" s="69"/>
      <c r="H17" s="141" t="s">
        <v>25</v>
      </c>
      <c r="I17" s="140">
        <f>SUM(I15:I16)</f>
        <v>0.81500000000000006</v>
      </c>
      <c r="J17" s="69"/>
      <c r="K17" s="69"/>
      <c r="L17" s="69"/>
      <c r="M17" s="69"/>
      <c r="N17" s="69"/>
      <c r="O17" s="68"/>
    </row>
    <row r="18" spans="1:15">
      <c r="A18" s="76"/>
      <c r="B18" s="64"/>
      <c r="C18" s="64"/>
      <c r="D18" s="64"/>
      <c r="E18" s="64"/>
      <c r="F18" s="64"/>
      <c r="G18" s="64"/>
      <c r="H18" s="64"/>
      <c r="I18" s="81"/>
      <c r="J18" s="64"/>
      <c r="K18" s="64"/>
      <c r="L18" s="64"/>
      <c r="M18" s="64"/>
      <c r="N18" s="64"/>
      <c r="O18" s="68"/>
    </row>
    <row r="19" spans="1:15" ht="15.75" thickBot="1">
      <c r="A19" s="67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5"/>
    </row>
  </sheetData>
  <hyperlinks>
    <hyperlink ref="B4" location="EL_A0001" display="EL_A0001" xr:uid="{00000000-0004-0000-0700-000000000000}"/>
    <hyperlink ref="E3" location="dEL_01003" display="Drawing" xr:uid="{00000000-0004-0000-0700-000001000000}"/>
    <hyperlink ref="B6" location="EL_A0001!A1" display="EL_01003" xr:uid="{00000000-0004-0000-0700-000002000000}"/>
    <hyperlink ref="G2" location="EL_A0001_BOM" display="Back to BOM" xr:uid="{77C688AC-761B-477B-BFA6-5569D0E62453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FB6C-7AB0-449F-BD79-0C5BF4BDBD07}">
  <sheetPr>
    <tabColor theme="9" tint="0.39991454817346722"/>
    <pageSetUpPr fitToPage="1"/>
  </sheetPr>
  <dimension ref="A1:B1"/>
  <sheetViews>
    <sheetView zoomScale="115" zoomScaleNormal="115" workbookViewId="0">
      <selection activeCell="B1" sqref="B1"/>
    </sheetView>
  </sheetViews>
  <sheetFormatPr baseColWidth="10" defaultColWidth="9" defaultRowHeight="15"/>
  <cols>
    <col min="1" max="1" width="14" style="63" customWidth="1"/>
    <col min="2" max="16384" width="9" style="63"/>
  </cols>
  <sheetData>
    <row r="1" spans="1:2">
      <c r="A1" s="171" t="s">
        <v>185</v>
      </c>
      <c r="B1" s="171" t="str">
        <f>EL_01003</f>
        <v>EL 01003</v>
      </c>
    </row>
  </sheetData>
  <hyperlinks>
    <hyperlink ref="B1" location="EL_01001" display="=EL_01003" xr:uid="{00000000-0004-0000-0800-000000000000}"/>
    <hyperlink ref="A1" location="EL_01001" display="Drawing part :" xr:uid="{00000000-0004-0000-0800-000001000000}"/>
    <hyperlink ref="A1:B1" location="EL_01003" display="Drawing part :" xr:uid="{00000000-0004-0000-0800-000002000000}"/>
  </hyperlinks>
  <pageMargins left="0.69930555555555596" right="0.69930555555555596" top="0.75" bottom="0.75" header="0.3" footer="0.3"/>
  <pageSetup paperSize="9" fitToHeight="0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CD28E-6437-45E7-839A-F40545F8FBAF}">
  <sheetPr>
    <tabColor theme="9" tint="0.39991454817346722"/>
    <pageSetUpPr fitToPage="1"/>
  </sheetPr>
  <dimension ref="A1:O18"/>
  <sheetViews>
    <sheetView zoomScale="70" zoomScaleNormal="70" workbookViewId="0">
      <selection activeCell="I18" sqref="I18"/>
    </sheetView>
  </sheetViews>
  <sheetFormatPr baseColWidth="10" defaultColWidth="9.140625" defaultRowHeight="15"/>
  <cols>
    <col min="1" max="1" width="9.140625" style="63"/>
    <col min="2" max="2" width="35.42578125" style="63" customWidth="1"/>
    <col min="3" max="3" width="20.7109375" style="63" customWidth="1"/>
    <col min="4" max="4" width="9.5703125" style="63" customWidth="1"/>
    <col min="5" max="5" width="8.28515625" style="63" customWidth="1"/>
    <col min="6" max="6" width="8.85546875" style="63" customWidth="1"/>
    <col min="7" max="7" width="20.85546875" style="63" customWidth="1"/>
    <col min="8" max="8" width="9.85546875" style="63" customWidth="1"/>
    <col min="9" max="9" width="11" style="63" customWidth="1"/>
    <col min="10" max="10" width="8.85546875" style="63" customWidth="1"/>
    <col min="11" max="11" width="7.140625" style="63" customWidth="1"/>
    <col min="12" max="12" width="7.85546875" style="63" customWidth="1"/>
    <col min="13" max="13" width="13.85546875" style="63" customWidth="1"/>
    <col min="14" max="14" width="9.140625" style="63"/>
    <col min="15" max="15" width="3.140625" style="63" customWidth="1"/>
    <col min="16" max="16384" width="9.140625" style="63"/>
  </cols>
  <sheetData>
    <row r="1" spans="1:15">
      <c r="A1" s="139"/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7"/>
    </row>
    <row r="2" spans="1:15">
      <c r="A2" s="167" t="s">
        <v>24</v>
      </c>
      <c r="B2" s="132" t="s">
        <v>23</v>
      </c>
      <c r="C2" s="64"/>
      <c r="D2" s="64"/>
      <c r="E2" s="64"/>
      <c r="F2" s="64"/>
      <c r="G2" s="170" t="s">
        <v>172</v>
      </c>
      <c r="H2" s="64"/>
      <c r="I2" s="64"/>
      <c r="J2" s="172" t="s">
        <v>18</v>
      </c>
      <c r="K2" s="136">
        <v>81</v>
      </c>
      <c r="L2" s="64"/>
      <c r="M2" s="167" t="s">
        <v>157</v>
      </c>
      <c r="N2" s="73">
        <f>EL_01004_m+EL_01004_p</f>
        <v>75.943999999999988</v>
      </c>
      <c r="O2" s="68"/>
    </row>
    <row r="3" spans="1:15">
      <c r="A3" s="167" t="s">
        <v>170</v>
      </c>
      <c r="B3" s="132" t="str">
        <f>EL_A0100!B3</f>
        <v>Electrical</v>
      </c>
      <c r="C3" s="64"/>
      <c r="D3" s="167" t="s">
        <v>165</v>
      </c>
      <c r="E3" s="173"/>
      <c r="F3" s="64"/>
      <c r="G3" s="64"/>
      <c r="H3" s="64"/>
      <c r="I3" s="64"/>
      <c r="J3" s="64"/>
      <c r="K3" s="64"/>
      <c r="L3" s="64"/>
      <c r="M3" s="167" t="s">
        <v>168</v>
      </c>
      <c r="N3" s="82">
        <v>1</v>
      </c>
      <c r="O3" s="68"/>
    </row>
    <row r="4" spans="1:15">
      <c r="A4" s="167" t="s">
        <v>167</v>
      </c>
      <c r="B4" s="170" t="str">
        <f>EL_A0100!B4</f>
        <v>Rear firewall instruments and wires</v>
      </c>
      <c r="C4" s="64"/>
      <c r="D4" s="167" t="s">
        <v>163</v>
      </c>
      <c r="E4" s="64"/>
      <c r="F4" s="64"/>
      <c r="G4" s="64"/>
      <c r="H4" s="64"/>
      <c r="I4" s="64"/>
      <c r="J4" s="168" t="s">
        <v>165</v>
      </c>
      <c r="K4" s="64"/>
      <c r="L4" s="64"/>
      <c r="M4" s="64"/>
      <c r="N4" s="64"/>
      <c r="O4" s="68"/>
    </row>
    <row r="5" spans="1:15">
      <c r="A5" s="167" t="s">
        <v>158</v>
      </c>
      <c r="B5" s="134" t="s">
        <v>193</v>
      </c>
      <c r="C5" s="64"/>
      <c r="D5" s="167" t="s">
        <v>160</v>
      </c>
      <c r="E5" s="64"/>
      <c r="F5" s="64"/>
      <c r="G5" s="64"/>
      <c r="H5" s="64"/>
      <c r="I5" s="64"/>
      <c r="J5" s="168" t="s">
        <v>163</v>
      </c>
      <c r="K5" s="64"/>
      <c r="L5" s="64"/>
      <c r="M5" s="167" t="s">
        <v>162</v>
      </c>
      <c r="N5" s="73">
        <f>N3*N2</f>
        <v>75.943999999999988</v>
      </c>
      <c r="O5" s="68"/>
    </row>
    <row r="6" spans="1:15">
      <c r="A6" s="167" t="s">
        <v>164</v>
      </c>
      <c r="B6" s="179" t="s">
        <v>192</v>
      </c>
      <c r="C6" s="64"/>
      <c r="D6" s="64"/>
      <c r="E6" s="64"/>
      <c r="F6" s="64"/>
      <c r="G6" s="64"/>
      <c r="H6" s="64"/>
      <c r="I6" s="64"/>
      <c r="J6" s="168" t="s">
        <v>160</v>
      </c>
      <c r="K6" s="64"/>
      <c r="L6" s="64"/>
      <c r="M6" s="64"/>
      <c r="N6" s="64"/>
      <c r="O6" s="68"/>
    </row>
    <row r="7" spans="1:15">
      <c r="A7" s="167" t="s">
        <v>161</v>
      </c>
      <c r="B7" s="132" t="s">
        <v>1</v>
      </c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8"/>
    </row>
    <row r="8" spans="1:15">
      <c r="A8" s="167" t="s">
        <v>159</v>
      </c>
      <c r="B8" s="132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8"/>
    </row>
    <row r="9" spans="1:15">
      <c r="A9" s="166"/>
      <c r="B9" s="165"/>
      <c r="C9" s="165"/>
      <c r="D9" s="165"/>
      <c r="E9" s="165"/>
      <c r="F9" s="64"/>
      <c r="G9" s="64"/>
      <c r="H9" s="64"/>
      <c r="I9" s="64"/>
      <c r="J9" s="64"/>
      <c r="K9" s="64"/>
      <c r="L9" s="64"/>
      <c r="M9" s="64"/>
      <c r="N9" s="64"/>
      <c r="O9" s="68"/>
    </row>
    <row r="10" spans="1:15">
      <c r="A10" s="164" t="s">
        <v>35</v>
      </c>
      <c r="B10" s="163" t="s">
        <v>156</v>
      </c>
      <c r="C10" s="163" t="s">
        <v>33</v>
      </c>
      <c r="D10" s="163" t="s">
        <v>32</v>
      </c>
      <c r="E10" s="163" t="s">
        <v>56</v>
      </c>
      <c r="F10" s="151" t="s">
        <v>55</v>
      </c>
      <c r="G10" s="151" t="s">
        <v>54</v>
      </c>
      <c r="H10" s="151" t="s">
        <v>53</v>
      </c>
      <c r="I10" s="151" t="s">
        <v>155</v>
      </c>
      <c r="J10" s="151" t="s">
        <v>154</v>
      </c>
      <c r="K10" s="151" t="s">
        <v>153</v>
      </c>
      <c r="L10" s="151" t="s">
        <v>152</v>
      </c>
      <c r="M10" s="151" t="s">
        <v>8</v>
      </c>
      <c r="N10" s="151" t="s">
        <v>25</v>
      </c>
      <c r="O10" s="68"/>
    </row>
    <row r="11" spans="1:15" s="120" customFormat="1">
      <c r="A11" s="162">
        <v>10</v>
      </c>
      <c r="B11" s="142" t="s">
        <v>191</v>
      </c>
      <c r="C11" s="159" t="s">
        <v>181</v>
      </c>
      <c r="D11" s="178">
        <v>9.1999999999999998E-3</v>
      </c>
      <c r="E11" s="159">
        <v>8000</v>
      </c>
      <c r="F11" s="159" t="s">
        <v>190</v>
      </c>
      <c r="G11" s="159"/>
      <c r="H11" s="104"/>
      <c r="I11" s="158"/>
      <c r="J11" s="157"/>
      <c r="K11" s="156"/>
      <c r="L11" s="177"/>
      <c r="M11" s="154">
        <v>1</v>
      </c>
      <c r="N11" s="103">
        <f>D11*E11</f>
        <v>73.599999999999994</v>
      </c>
      <c r="O11" s="121"/>
    </row>
    <row r="12" spans="1:15">
      <c r="A12" s="72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153" t="s">
        <v>25</v>
      </c>
      <c r="N12" s="140">
        <f>SUM(N11:N11)</f>
        <v>73.599999999999994</v>
      </c>
      <c r="O12" s="68"/>
    </row>
    <row r="13" spans="1:15">
      <c r="A13" s="76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8"/>
    </row>
    <row r="14" spans="1:15">
      <c r="A14" s="152" t="s">
        <v>35</v>
      </c>
      <c r="B14" s="151" t="s">
        <v>89</v>
      </c>
      <c r="C14" s="151" t="s">
        <v>33</v>
      </c>
      <c r="D14" s="151" t="s">
        <v>32</v>
      </c>
      <c r="E14" s="151" t="s">
        <v>31</v>
      </c>
      <c r="F14" s="151" t="s">
        <v>8</v>
      </c>
      <c r="G14" s="151" t="s">
        <v>88</v>
      </c>
      <c r="H14" s="151" t="s">
        <v>87</v>
      </c>
      <c r="I14" s="151" t="s">
        <v>25</v>
      </c>
      <c r="J14" s="69"/>
      <c r="K14" s="69"/>
      <c r="L14" s="69"/>
      <c r="M14" s="69"/>
      <c r="N14" s="69"/>
      <c r="O14" s="68"/>
    </row>
    <row r="15" spans="1:15" s="92" customFormat="1">
      <c r="A15" s="150">
        <v>10</v>
      </c>
      <c r="B15" s="143" t="s">
        <v>178</v>
      </c>
      <c r="C15" s="148" t="s">
        <v>177</v>
      </c>
      <c r="D15" s="149">
        <v>1.3</v>
      </c>
      <c r="E15" s="143" t="s">
        <v>36</v>
      </c>
      <c r="F15" s="148">
        <v>1</v>
      </c>
      <c r="G15" s="148"/>
      <c r="H15" s="148"/>
      <c r="I15" s="146">
        <f>IF(H15="",D15*F15,D15*F15*H15)</f>
        <v>1.3</v>
      </c>
      <c r="J15" s="87"/>
      <c r="K15" s="87"/>
      <c r="L15" s="87"/>
      <c r="M15" s="87"/>
      <c r="N15" s="87"/>
      <c r="O15" s="93"/>
    </row>
    <row r="16" spans="1:15" s="92" customFormat="1">
      <c r="A16" s="278">
        <v>20</v>
      </c>
      <c r="B16" s="143" t="s">
        <v>175</v>
      </c>
      <c r="C16" s="279" t="s">
        <v>174</v>
      </c>
      <c r="D16" s="149">
        <v>0.01</v>
      </c>
      <c r="E16" s="279" t="s">
        <v>62</v>
      </c>
      <c r="F16" s="287">
        <v>52.2</v>
      </c>
      <c r="G16" s="143" t="s">
        <v>189</v>
      </c>
      <c r="H16" s="148">
        <v>2</v>
      </c>
      <c r="I16" s="149">
        <f>IF(H16="",D16*F16,D16*F16*H16)</f>
        <v>1.044</v>
      </c>
      <c r="J16" s="87"/>
      <c r="K16" s="87"/>
      <c r="L16" s="87"/>
      <c r="M16" s="87"/>
      <c r="N16" s="87"/>
      <c r="O16" s="93"/>
    </row>
    <row r="17" spans="1:15">
      <c r="A17" s="72"/>
      <c r="B17" s="69"/>
      <c r="C17" s="69"/>
      <c r="D17" s="69"/>
      <c r="E17" s="69"/>
      <c r="F17" s="69"/>
      <c r="G17" s="69"/>
      <c r="H17" s="141" t="s">
        <v>25</v>
      </c>
      <c r="I17" s="140">
        <f>SUM(I15:I16)</f>
        <v>2.3440000000000003</v>
      </c>
      <c r="J17" s="69"/>
      <c r="K17" s="69"/>
      <c r="L17" s="69"/>
      <c r="M17" s="69"/>
      <c r="N17" s="69"/>
      <c r="O17" s="68"/>
    </row>
    <row r="18" spans="1:15" ht="15.75" thickBot="1">
      <c r="A18" s="67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5"/>
    </row>
  </sheetData>
  <hyperlinks>
    <hyperlink ref="B4" location="EL_A0001" display="EL_A0001" xr:uid="{00000000-0004-0000-0900-000000000000}"/>
    <hyperlink ref="G2" location="EL_A0001_BOM" display="Back to BOM" xr:uid="{1B667E8F-0E90-4CCF-B338-DB3FE826BB63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8" max="16383" man="1"/>
    <brk id="52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87</vt:i4>
      </vt:variant>
    </vt:vector>
  </HeadingPairs>
  <TitlesOfParts>
    <vt:vector size="114" baseType="lpstr">
      <vt:lpstr>BOM</vt:lpstr>
      <vt:lpstr>EL_A0100</vt:lpstr>
      <vt:lpstr>EL_01001</vt:lpstr>
      <vt:lpstr>dEL_01001</vt:lpstr>
      <vt:lpstr>EL_01002</vt:lpstr>
      <vt:lpstr>dEL_01002</vt:lpstr>
      <vt:lpstr>EL_01003</vt:lpstr>
      <vt:lpstr>dEL_01003</vt:lpstr>
      <vt:lpstr>EL_01004</vt:lpstr>
      <vt:lpstr>EL_01005</vt:lpstr>
      <vt:lpstr>dEL_01005</vt:lpstr>
      <vt:lpstr>EL_01006</vt:lpstr>
      <vt:lpstr>dEL_01006</vt:lpstr>
      <vt:lpstr>EL A0200</vt:lpstr>
      <vt:lpstr>EL 02001</vt:lpstr>
      <vt:lpstr>EL 02002</vt:lpstr>
      <vt:lpstr>EL 02003</vt:lpstr>
      <vt:lpstr>dEL 02003</vt:lpstr>
      <vt:lpstr>EL_02004</vt:lpstr>
      <vt:lpstr>dEL 02004</vt:lpstr>
      <vt:lpstr>EL_A0300</vt:lpstr>
      <vt:lpstr>EL_03001</vt:lpstr>
      <vt:lpstr>dEL_03001</vt:lpstr>
      <vt:lpstr>EL_03002</vt:lpstr>
      <vt:lpstr>dEL_03002</vt:lpstr>
      <vt:lpstr>EL_03003</vt:lpstr>
      <vt:lpstr>dEL_03003</vt:lpstr>
      <vt:lpstr>dEL_01001!dEL_01001</vt:lpstr>
      <vt:lpstr>dEL_01002</vt:lpstr>
      <vt:lpstr>dEL_01003</vt:lpstr>
      <vt:lpstr>dEL_01005</vt:lpstr>
      <vt:lpstr>dEL_01006</vt:lpstr>
      <vt:lpstr>dEL_02004</vt:lpstr>
      <vt:lpstr>dEL_03001</vt:lpstr>
      <vt:lpstr>dEL_03002</vt:lpstr>
      <vt:lpstr>dEL_03003</vt:lpstr>
      <vt:lpstr>EL_01001</vt:lpstr>
      <vt:lpstr>EL_01001_m</vt:lpstr>
      <vt:lpstr>EL_01001_p</vt:lpstr>
      <vt:lpstr>EL_01001_q</vt:lpstr>
      <vt:lpstr>EL_01002</vt:lpstr>
      <vt:lpstr>EL_01002_m</vt:lpstr>
      <vt:lpstr>EL_01002_p</vt:lpstr>
      <vt:lpstr>EL_01002_q</vt:lpstr>
      <vt:lpstr>EL_01003</vt:lpstr>
      <vt:lpstr>EL_01003_m</vt:lpstr>
      <vt:lpstr>EL_01003_p</vt:lpstr>
      <vt:lpstr>EL_01003_q</vt:lpstr>
      <vt:lpstr>EL_01004</vt:lpstr>
      <vt:lpstr>EL_01004_m</vt:lpstr>
      <vt:lpstr>EL_01004_p</vt:lpstr>
      <vt:lpstr>EL_01004_q</vt:lpstr>
      <vt:lpstr>EL_01005</vt:lpstr>
      <vt:lpstr>EL_01005_m</vt:lpstr>
      <vt:lpstr>EL_01005_p</vt:lpstr>
      <vt:lpstr>EL_01005_q</vt:lpstr>
      <vt:lpstr>EL_01006</vt:lpstr>
      <vt:lpstr>EL_01006_m</vt:lpstr>
      <vt:lpstr>EL_01006_p</vt:lpstr>
      <vt:lpstr>EL_01006_q</vt:lpstr>
      <vt:lpstr>EL_02001</vt:lpstr>
      <vt:lpstr>EL_02001_m</vt:lpstr>
      <vt:lpstr>EL_02001_p</vt:lpstr>
      <vt:lpstr>EL_02001_q</vt:lpstr>
      <vt:lpstr>EL_02001_t</vt:lpstr>
      <vt:lpstr>EL_02002</vt:lpstr>
      <vt:lpstr>EL_02002_f</vt:lpstr>
      <vt:lpstr>EL_02002_m</vt:lpstr>
      <vt:lpstr>EL_02002_p</vt:lpstr>
      <vt:lpstr>EL_02002_q</vt:lpstr>
      <vt:lpstr>EL_02003</vt:lpstr>
      <vt:lpstr>EL_02003_m</vt:lpstr>
      <vt:lpstr>EL_02003_p</vt:lpstr>
      <vt:lpstr>EL_02003_q</vt:lpstr>
      <vt:lpstr>EL_02004</vt:lpstr>
      <vt:lpstr>EL_02004_m</vt:lpstr>
      <vt:lpstr>EL_02004_p</vt:lpstr>
      <vt:lpstr>EL_02004_q</vt:lpstr>
      <vt:lpstr>EL_03001</vt:lpstr>
      <vt:lpstr>EL_03001_m</vt:lpstr>
      <vt:lpstr>EL_03001_p</vt:lpstr>
      <vt:lpstr>EL_03001_q</vt:lpstr>
      <vt:lpstr>EL_03002</vt:lpstr>
      <vt:lpstr>EL_03002_m</vt:lpstr>
      <vt:lpstr>EL_03002_p</vt:lpstr>
      <vt:lpstr>EL_03002_q</vt:lpstr>
      <vt:lpstr>EL_03003</vt:lpstr>
      <vt:lpstr>EL_03003_m</vt:lpstr>
      <vt:lpstr>EL_03003_p</vt:lpstr>
      <vt:lpstr>EL_03003_q</vt:lpstr>
      <vt:lpstr>EL_A0001</vt:lpstr>
      <vt:lpstr>EL_A0001_BOM</vt:lpstr>
      <vt:lpstr>EL_A0001_f</vt:lpstr>
      <vt:lpstr>EL_A0001_m</vt:lpstr>
      <vt:lpstr>EL_A0001_p</vt:lpstr>
      <vt:lpstr>EL_A0001_pa</vt:lpstr>
      <vt:lpstr>EL_A0001_q</vt:lpstr>
      <vt:lpstr>EL_A0001_t</vt:lpstr>
      <vt:lpstr>EL_A0002</vt:lpstr>
      <vt:lpstr>EL_A0002_BOM</vt:lpstr>
      <vt:lpstr>EL_A0002_f</vt:lpstr>
      <vt:lpstr>EL_A0002_m</vt:lpstr>
      <vt:lpstr>EL_A0002_p</vt:lpstr>
      <vt:lpstr>EL_A0002_pa</vt:lpstr>
      <vt:lpstr>EL_A0002_q</vt:lpstr>
      <vt:lpstr>EL_A0002_t</vt:lpstr>
      <vt:lpstr>EL_A0003</vt:lpstr>
      <vt:lpstr>EL_A0003_BOM</vt:lpstr>
      <vt:lpstr>EL_A0003_f</vt:lpstr>
      <vt:lpstr>EL_A0003_m</vt:lpstr>
      <vt:lpstr>EL_A0003_p</vt:lpstr>
      <vt:lpstr>EL_A0003_pa</vt:lpstr>
      <vt:lpstr>EL_A0003_q</vt:lpstr>
      <vt:lpstr>EL_A0003_t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2018-05-04T19:11:52Z</dcterms:modified>
</cp:coreProperties>
</file>