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en\Documents\Vulcanix-v1.0\EN - Engine &amp; Powertrain\Cost\"/>
    </mc:Choice>
  </mc:AlternateContent>
  <bookViews>
    <workbookView xWindow="4740" yWindow="60" windowWidth="16380" windowHeight="8190" activeTab="1"/>
  </bookViews>
  <sheets>
    <sheet name="Instructions" sheetId="7" r:id="rId1"/>
    <sheet name="BOM" sheetId="8" r:id="rId2"/>
    <sheet name="EN_A0300" sheetId="1" r:id="rId3"/>
    <sheet name="EN_0300_001" sheetId="2" r:id="rId4"/>
    <sheet name="EN_0300_002" sheetId="12" r:id="rId5"/>
    <sheet name="dEN_0300_002" sheetId="9" r:id="rId6"/>
    <sheet name="EN_0300_003" sheetId="10" r:id="rId7"/>
    <sheet name="EN_0300_009" sheetId="13" r:id="rId8"/>
    <sheet name="dEN_0300_009" sheetId="18" r:id="rId9"/>
    <sheet name="EN_0300_010" sheetId="14" r:id="rId10"/>
    <sheet name="dEN_0300_010" sheetId="19" r:id="rId11"/>
    <sheet name="EN_0300_011" sheetId="16" r:id="rId12"/>
    <sheet name="dEN_0300_011" sheetId="20" r:id="rId13"/>
    <sheet name="EN_0300_012" sheetId="15" r:id="rId14"/>
    <sheet name="dEN_0300_012" sheetId="21" r:id="rId15"/>
    <sheet name="EN_0300_013" sheetId="17" r:id="rId16"/>
    <sheet name="dEN_0300_013" sheetId="22" r:id="rId17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EN_0300_002">dEN_0300_002!$A$1</definedName>
    <definedName name="dEN_0300_009">dEN_0300_009!$A$1</definedName>
    <definedName name="dEN_0300_010">dEN_0300_010!$A$1</definedName>
    <definedName name="dEN_0300_011">dEN_0300_011!$A$1</definedName>
    <definedName name="dEN_0300_012">dEN_0300_012!$A$1</definedName>
    <definedName name="dEN_0300_013">dEN_0300_013!$A$1</definedName>
    <definedName name="dqwdqd">#REF!</definedName>
    <definedName name="eded">#REF!</definedName>
    <definedName name="EN">EN_A0300!$B$5</definedName>
    <definedName name="EN_0300_001">EN_0300_001!$B$5</definedName>
    <definedName name="EN_0300_001_f">EN_0300_001!$I$19</definedName>
    <definedName name="EN_0300_001_m">EN_0300_001!$N$12</definedName>
    <definedName name="EN_0300_001_p">EN_0300_001!$I$17</definedName>
    <definedName name="EN_0300_001_q">EN_0300_001!$N$3</definedName>
    <definedName name="EN_0300_001_t">EN_0300_001!$I$21</definedName>
    <definedName name="EN_0300_002">EN_0300_002!$B$5</definedName>
    <definedName name="EN_0300_002_f">EN_0300_002!$I$19</definedName>
    <definedName name="EN_0300_002_m">EN_0300_002!$N$12</definedName>
    <definedName name="EN_0300_002_p">EN_0300_002!$I$17</definedName>
    <definedName name="EN_0300_002_q">EN_0300_002!$N$3</definedName>
    <definedName name="EN_0300_002_t">EN_0300_002!$I$20</definedName>
    <definedName name="EN_0300_003">EN_0300_003!$B$5</definedName>
    <definedName name="EN_0300_003_f">EN_0300_003!$I$19</definedName>
    <definedName name="EN_0300_003_m">EN_0300_003!$N$12</definedName>
    <definedName name="EN_0300_003_p">EN_0300_003!$I$17</definedName>
    <definedName name="EN_0300_003_q">EN_0300_003!$N$3</definedName>
    <definedName name="EN_0300_003_t">EN_0300_003!$I$20</definedName>
    <definedName name="EN_0300_009">EN_0300_009!$B$5</definedName>
    <definedName name="EN_0300_009_f">EN_0300_009!$I$19</definedName>
    <definedName name="EN_0300_009_m">EN_0300_009!$N$12</definedName>
    <definedName name="EN_0300_009_p">EN_0300_009!$I$17</definedName>
    <definedName name="EN_0300_009_q">EN_0300_009!$N$3</definedName>
    <definedName name="EN_0300_009_t">EN_0300_009!$I$21</definedName>
    <definedName name="EN_0300_010">EN_0300_010!$B$5</definedName>
    <definedName name="EN_0300_010_f">EN_0300_010!$I$19</definedName>
    <definedName name="EN_0300_010_m">EN_0300_010!$N$12</definedName>
    <definedName name="EN_0300_010_p">EN_0300_010!$I$17</definedName>
    <definedName name="EN_0300_010_q">EN_0300_010!$N$3</definedName>
    <definedName name="EN_0300_010_t">EN_0300_010!$I$20</definedName>
    <definedName name="EN_0300_011">EN_0300_011!$B$5</definedName>
    <definedName name="EN_0300_011_f">EN_0300_011!$I$19</definedName>
    <definedName name="EN_0300_011_m">EN_0300_011!$N$12</definedName>
    <definedName name="EN_0300_011_p">EN_0300_011!$I$17</definedName>
    <definedName name="EN_0300_011_q">EN_0300_011!$N$3</definedName>
    <definedName name="EN_0300_011_t">EN_0300_011!$I$20</definedName>
    <definedName name="EN_0300_012">EN_0300_012!$B$5</definedName>
    <definedName name="EN_0300_012_f">EN_0300_012!$I$20</definedName>
    <definedName name="EN_0300_012_m">EN_0300_012!$N$12</definedName>
    <definedName name="EN_0300_012_p">EN_0300_012!$I$18</definedName>
    <definedName name="EN_0300_012_q">EN_0300_012!$N$3</definedName>
    <definedName name="EN_0300_012_t">EN_0300_012!$I$21</definedName>
    <definedName name="EN_0300_013">EN_0300_013!$B$5</definedName>
    <definedName name="EN_0300_013_f">EN_0300_013!$I$19</definedName>
    <definedName name="EN_0300_013_m">EN_0300_013!$N$12</definedName>
    <definedName name="EN_0300_013_p">EN_0300_013!$I$17</definedName>
    <definedName name="EN_0300_013_q">EN_0300_013!$N$3</definedName>
    <definedName name="EN_0300_013_t">EN_0300_013!$I$20</definedName>
    <definedName name="EN_A0300">EN_A0300!$B$4</definedName>
    <definedName name="EN_A0300_f">EN_A0300!$J$67</definedName>
    <definedName name="EN_A0300_m">EN_A0300!$N$24</definedName>
    <definedName name="EN_A0300_p">EN_A0300!$I$57</definedName>
    <definedName name="EN_A0300_pa">EN_A0300!$E$18</definedName>
    <definedName name="EN_A0300_q">EN_A0300!$N$3</definedName>
    <definedName name="EN_A0300_t">EN_A0300!$I$71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IT_A0001">EN_A0300!$B$5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52511" iterateDelta="1E-4"/>
</workbook>
</file>

<file path=xl/calcChain.xml><?xml version="1.0" encoding="utf-8"?>
<calcChain xmlns="http://schemas.openxmlformats.org/spreadsheetml/2006/main">
  <c r="E18" i="1" l="1"/>
  <c r="N2" i="1"/>
  <c r="M15" i="8"/>
  <c r="M14" i="8"/>
  <c r="M13" i="8"/>
  <c r="L15" i="8"/>
  <c r="L14" i="8"/>
  <c r="L13" i="8"/>
  <c r="K15" i="8"/>
  <c r="K14" i="8"/>
  <c r="K13" i="8"/>
  <c r="J15" i="8"/>
  <c r="J14" i="8"/>
  <c r="J13" i="8"/>
  <c r="M12" i="8"/>
  <c r="M11" i="8"/>
  <c r="M10" i="8"/>
  <c r="M9" i="8"/>
  <c r="L12" i="8"/>
  <c r="L11" i="8"/>
  <c r="L10" i="8"/>
  <c r="L9" i="8"/>
  <c r="K12" i="8"/>
  <c r="K11" i="8"/>
  <c r="K10" i="8"/>
  <c r="K9" i="8"/>
  <c r="J12" i="8"/>
  <c r="J11" i="8"/>
  <c r="J10" i="8"/>
  <c r="J9" i="8"/>
  <c r="I15" i="8"/>
  <c r="I14" i="8"/>
  <c r="I13" i="8"/>
  <c r="I12" i="8"/>
  <c r="I11" i="8"/>
  <c r="I10" i="8"/>
  <c r="I9" i="8"/>
  <c r="M8" i="8"/>
  <c r="L8" i="8"/>
  <c r="K8" i="8"/>
  <c r="J8" i="8"/>
  <c r="I8" i="8"/>
  <c r="F15" i="8"/>
  <c r="F14" i="8"/>
  <c r="F13" i="8"/>
  <c r="F12" i="8"/>
  <c r="F11" i="8"/>
  <c r="F10" i="8"/>
  <c r="F9" i="8"/>
  <c r="F8" i="8"/>
  <c r="M7" i="8"/>
  <c r="L7" i="8"/>
  <c r="K7" i="8"/>
  <c r="J7" i="8"/>
  <c r="I7" i="8"/>
  <c r="F7" i="8"/>
  <c r="E15" i="8" s="1"/>
  <c r="B1" i="22"/>
  <c r="B1" i="21"/>
  <c r="B1" i="20"/>
  <c r="B1" i="19"/>
  <c r="B1" i="18"/>
  <c r="B1" i="9"/>
  <c r="E13" i="8" l="1"/>
  <c r="E12" i="8"/>
  <c r="E14" i="8"/>
  <c r="E11" i="8"/>
  <c r="E10" i="8"/>
  <c r="E9" i="8"/>
  <c r="E8" i="8"/>
  <c r="I47" i="1"/>
  <c r="I27" i="1"/>
  <c r="N21" i="1"/>
  <c r="B17" i="1" l="1"/>
  <c r="B16" i="1"/>
  <c r="B15" i="1"/>
  <c r="B14" i="1"/>
  <c r="B13" i="1"/>
  <c r="B12" i="1"/>
  <c r="B11" i="1"/>
  <c r="B10" i="1"/>
  <c r="D17" i="1" l="1"/>
  <c r="N11" i="17" l="1"/>
  <c r="N12" i="17" s="1"/>
  <c r="I16" i="17"/>
  <c r="I15" i="17"/>
  <c r="B4" i="17"/>
  <c r="B3" i="17"/>
  <c r="D16" i="1"/>
  <c r="D15" i="1"/>
  <c r="D14" i="1"/>
  <c r="D13" i="1"/>
  <c r="D12" i="1"/>
  <c r="D11" i="1"/>
  <c r="J11" i="16"/>
  <c r="I16" i="16"/>
  <c r="I15" i="16"/>
  <c r="N11" i="16"/>
  <c r="N12" i="16" s="1"/>
  <c r="B4" i="16"/>
  <c r="B3" i="16"/>
  <c r="I16" i="15"/>
  <c r="N11" i="14"/>
  <c r="N11" i="15"/>
  <c r="J11" i="15"/>
  <c r="I17" i="15"/>
  <c r="I15" i="15"/>
  <c r="N12" i="15"/>
  <c r="B4" i="15"/>
  <c r="B3" i="15"/>
  <c r="J11" i="14"/>
  <c r="J11" i="13"/>
  <c r="N11" i="13"/>
  <c r="N12" i="13" s="1"/>
  <c r="J11" i="12"/>
  <c r="N11" i="12"/>
  <c r="N12" i="12"/>
  <c r="I16" i="14"/>
  <c r="I15" i="14"/>
  <c r="N12" i="14"/>
  <c r="B4" i="14"/>
  <c r="B3" i="14"/>
  <c r="B3" i="13"/>
  <c r="B4" i="13"/>
  <c r="I15" i="13"/>
  <c r="I16" i="13"/>
  <c r="I16" i="12"/>
  <c r="I15" i="12"/>
  <c r="C12" i="1"/>
  <c r="N2" i="10"/>
  <c r="N2" i="2"/>
  <c r="B4" i="12"/>
  <c r="B3" i="12"/>
  <c r="I17" i="10"/>
  <c r="I17" i="2"/>
  <c r="I16" i="2"/>
  <c r="I16" i="10"/>
  <c r="I17" i="14" l="1"/>
  <c r="N2" i="14" s="1"/>
  <c r="I17" i="17"/>
  <c r="N2" i="17" s="1"/>
  <c r="C17" i="1" s="1"/>
  <c r="I17" i="16"/>
  <c r="I18" i="15"/>
  <c r="N2" i="15" s="1"/>
  <c r="I17" i="13"/>
  <c r="N2" i="13" s="1"/>
  <c r="I17" i="12"/>
  <c r="N2" i="12" s="1"/>
  <c r="N5" i="12" s="1"/>
  <c r="N5" i="13" l="1"/>
  <c r="C13" i="1"/>
  <c r="N5" i="14"/>
  <c r="C14" i="1"/>
  <c r="N5" i="17"/>
  <c r="N2" i="16"/>
  <c r="N5" i="15"/>
  <c r="C16" i="1"/>
  <c r="C11" i="1"/>
  <c r="N5" i="16" l="1"/>
  <c r="C15" i="1"/>
  <c r="I15" i="10"/>
  <c r="N11" i="10"/>
  <c r="N12" i="10" s="1"/>
  <c r="B4" i="10"/>
  <c r="B3" i="10"/>
  <c r="I15" i="2" l="1"/>
  <c r="E15" i="1" l="1"/>
  <c r="E16" i="1"/>
  <c r="E17" i="1"/>
  <c r="D66" i="1"/>
  <c r="J66" i="1" s="1"/>
  <c r="D65" i="1"/>
  <c r="J65" i="1" s="1"/>
  <c r="J63" i="1"/>
  <c r="J64" i="1"/>
  <c r="D62" i="1"/>
  <c r="J62" i="1" s="1"/>
  <c r="D61" i="1"/>
  <c r="D60" i="1"/>
  <c r="I56" i="1"/>
  <c r="I55" i="1"/>
  <c r="I54" i="1"/>
  <c r="I52" i="1"/>
  <c r="I53" i="1"/>
  <c r="I51" i="1"/>
  <c r="I50" i="1"/>
  <c r="I49" i="1"/>
  <c r="I48" i="1"/>
  <c r="I46" i="1"/>
  <c r="I45" i="1"/>
  <c r="I42" i="1"/>
  <c r="I44" i="1"/>
  <c r="I43" i="1"/>
  <c r="I41" i="1"/>
  <c r="I40" i="1"/>
  <c r="I39" i="1"/>
  <c r="I29" i="1"/>
  <c r="I30" i="1"/>
  <c r="I31" i="1"/>
  <c r="I32" i="1"/>
  <c r="I33" i="1"/>
  <c r="I34" i="1"/>
  <c r="I35" i="1"/>
  <c r="I36" i="1"/>
  <c r="I37" i="1"/>
  <c r="I38" i="1"/>
  <c r="I28" i="1"/>
  <c r="N22" i="1"/>
  <c r="N23" i="1"/>
  <c r="D10" i="1"/>
  <c r="E11" i="1"/>
  <c r="E14" i="1"/>
  <c r="E12" i="1"/>
  <c r="E13" i="1"/>
  <c r="J61" i="1" l="1"/>
  <c r="N24" i="1"/>
  <c r="B9" i="8" l="1"/>
  <c r="B10" i="8"/>
  <c r="B11" i="8"/>
  <c r="B12" i="8"/>
  <c r="B13" i="8"/>
  <c r="B14" i="8"/>
  <c r="B15" i="8"/>
  <c r="B8" i="8"/>
  <c r="B7" i="8"/>
  <c r="B3" i="2" l="1"/>
  <c r="B16" i="8"/>
  <c r="B4" i="2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N11" i="2"/>
  <c r="N12" i="2" s="1"/>
  <c r="N5" i="10" s="1"/>
  <c r="I70" i="1"/>
  <c r="J60" i="1"/>
  <c r="I57" i="1" l="1"/>
  <c r="J67" i="1"/>
  <c r="I71" i="1"/>
  <c r="M16" i="8" l="1"/>
  <c r="L16" i="8"/>
  <c r="C10" i="1"/>
  <c r="E10" i="1" s="1"/>
  <c r="H7" i="8"/>
  <c r="N7" i="8" s="1"/>
  <c r="K16" i="8"/>
  <c r="H8" i="8"/>
  <c r="N8" i="8" s="1"/>
  <c r="J16" i="8"/>
  <c r="O1" i="8"/>
  <c r="N5" i="2" l="1"/>
  <c r="N16" i="8"/>
  <c r="N5" i="1" l="1"/>
</calcChain>
</file>

<file path=xl/sharedStrings.xml><?xml version="1.0" encoding="utf-8"?>
<sst xmlns="http://schemas.openxmlformats.org/spreadsheetml/2006/main" count="784" uniqueCount="233">
  <si>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</si>
  <si>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</si>
  <si>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</si>
  <si>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</si>
  <si>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</si>
  <si>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</si>
  <si>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</si>
  <si>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</si>
  <si>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</si>
  <si>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</si>
  <si>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</si>
  <si>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</si>
  <si>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</si>
  <si>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</si>
  <si>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</si>
  <si>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</si>
  <si>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</si>
  <si>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</si>
  <si>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</si>
  <si>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</si>
  <si>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</si>
  <si>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</si>
  <si>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</si>
  <si>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</si>
  <si>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</si>
  <si>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</si>
  <si>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</si>
  <si>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</si>
  <si>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</si>
  <si>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</si>
  <si>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</si>
  <si>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</si>
  <si>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</si>
  <si>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</si>
  <si>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</si>
  <si>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</si>
  <si>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</si>
  <si>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</si>
  <si>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</si>
  <si>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</si>
  <si>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</si>
  <si>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</si>
  <si>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</si>
  <si>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</si>
  <si>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</si>
  <si>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</si>
  <si>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</si>
  <si>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</si>
  <si>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</si>
  <si>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</si>
  <si>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</si>
  <si>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</si>
  <si>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</si>
  <si>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</si>
  <si>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</si>
  <si>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</si>
  <si>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</si>
  <si>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</si>
  <si>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</si>
  <si>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</si>
  <si>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</si>
  <si>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</si>
  <si>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</si>
  <si>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</si>
  <si>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</si>
  <si>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</si>
  <si>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</si>
  <si>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</si>
  <si>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</si>
  <si>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</si>
  <si>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</si>
  <si>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</si>
  <si>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</si>
  <si>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</si>
  <si>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</si>
  <si>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</si>
  <si>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</si>
  <si>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</si>
  <si>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</si>
  <si>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</si>
  <si>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</si>
  <si>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</si>
  <si>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</si>
  <si>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</si>
  <si>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</si>
  <si>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</si>
  <si>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</si>
  <si>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</si>
  <si>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</si>
  <si>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</si>
  <si>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</si>
  <si>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</si>
  <si>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</si>
  <si>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</si>
  <si>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</si>
  <si>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</si>
  <si>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</si>
  <si>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</si>
  <si>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</si>
  <si>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</si>
  <si>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</si>
  <si>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</si>
  <si>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</si>
  <si>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</si>
  <si>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</si>
  <si>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</si>
  <si>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</si>
  <si>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</si>
  <si>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</si>
  <si>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</si>
  <si>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</si>
  <si>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</si>
  <si>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</si>
  <si>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</si>
  <si>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</si>
  <si>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</si>
  <si>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</si>
  <si>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</si>
  <si>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</si>
  <si>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</si>
  <si>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</si>
  <si>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</si>
  <si>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</si>
  <si>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</si>
  <si>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</si>
  <si>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</si>
  <si>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</si>
  <si>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</si>
  <si>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</si>
  <si>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</si>
  <si>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</si>
  <si>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</si>
  <si>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</si>
  <si>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</si>
  <si>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Engine and Drivetrain</t>
  </si>
  <si>
    <t>Consulter le tutoriel disponible sur GitHub, dans Vulcanix-v1.0/Cost Report, pour plus d'informations sur cette étape.</t>
  </si>
  <si>
    <t>Upper plenum</t>
  </si>
  <si>
    <t>CD</t>
  </si>
  <si>
    <t>Made by 3D printing</t>
  </si>
  <si>
    <t>Air Intake System</t>
  </si>
  <si>
    <t>Air Intake Assembly</t>
  </si>
  <si>
    <t>EN_A0300</t>
  </si>
  <si>
    <t>Intake manifold</t>
  </si>
  <si>
    <t>Left frame bracket</t>
  </si>
  <si>
    <t>Right frame bracket</t>
  </si>
  <si>
    <t>Motor bracket</t>
  </si>
  <si>
    <t>PAIR plate</t>
  </si>
  <si>
    <t>Rapid Prototype - Plastic</t>
  </si>
  <si>
    <t>Producing the left frame bracket</t>
  </si>
  <si>
    <t>Producing the right frame bracket</t>
  </si>
  <si>
    <t>Printing the upper plenum</t>
  </si>
  <si>
    <t>kg</t>
  </si>
  <si>
    <t>Aerosol Aplly</t>
  </si>
  <si>
    <t>m^2</t>
  </si>
  <si>
    <t>Applying varnish inside the intake manifold</t>
  </si>
  <si>
    <t>Applying varnish inside the upper plenum</t>
  </si>
  <si>
    <t>Reaction Tool &lt;= 25,4 mm</t>
  </si>
  <si>
    <t>Plenum plate</t>
  </si>
  <si>
    <t>Producing the plenum plate</t>
  </si>
  <si>
    <t>Fixing the plenum plate to the intake manifold</t>
  </si>
  <si>
    <t>Fixing the plenum to the plenum plate</t>
  </si>
  <si>
    <t>Seal, O-ring, Elastomer</t>
  </si>
  <si>
    <t>Positionning the left and right frame bracket</t>
  </si>
  <si>
    <t>Fixing the left and right frame bracket on the plenum</t>
  </si>
  <si>
    <t>Fixing the motor bracket to the plenum plate</t>
  </si>
  <si>
    <t>Positionning the intake assembly on the motor</t>
  </si>
  <si>
    <t>Drilled holes &lt; 25,4 mm dia.</t>
  </si>
  <si>
    <t>Drilling holes inside the PAIR plates</t>
  </si>
  <si>
    <t>Positionning the PAIR plates on the motor</t>
  </si>
  <si>
    <t>Wrench &lt;= 25,4 mm</t>
  </si>
  <si>
    <t>Positionning the PAIR plates on the motor bracket</t>
  </si>
  <si>
    <t>Fixing the PAIR plates to the motor bracket</t>
  </si>
  <si>
    <t>Fixing the PAIR plates to the motor</t>
  </si>
  <si>
    <t>Positionning the motor bracket on the plenum plate</t>
  </si>
  <si>
    <t>Screwdriver &gt; 1 Turn</t>
  </si>
  <si>
    <t>Positionning the frame brackets on the frame</t>
  </si>
  <si>
    <t>Drilling holes inside the frame brackets</t>
  </si>
  <si>
    <t>Sheet metal bends</t>
  </si>
  <si>
    <t>Bending the frame brackets to align with the intake brackets</t>
  </si>
  <si>
    <t>bend</t>
  </si>
  <si>
    <t>Fixing the frame brackets on the frame</t>
  </si>
  <si>
    <t>Weld</t>
  </si>
  <si>
    <t>Welding the intake brackets on the frame</t>
  </si>
  <si>
    <t>Hose Clamp, Worm Drive</t>
  </si>
  <si>
    <t>Tightening the intake pipes with the intake manifold</t>
  </si>
  <si>
    <t>Fastening brackets</t>
  </si>
  <si>
    <t>Wrench &lt;= 6,35 mm</t>
  </si>
  <si>
    <t>Reaction Tool &lt;= 6,35 mm</t>
  </si>
  <si>
    <t>Washer, Grade 8,8 (SAE 5)</t>
  </si>
  <si>
    <t>Bolt, Grade 8.8 (SAE 5)</t>
  </si>
  <si>
    <t>Fastening plenum, plenum plate and intake manifold</t>
  </si>
  <si>
    <t>Plasti, Nylon</t>
  </si>
  <si>
    <t>Material for part</t>
  </si>
  <si>
    <t>DA</t>
  </si>
  <si>
    <t>BA</t>
  </si>
  <si>
    <t>EN_0300_002</t>
  </si>
  <si>
    <t>EN_0300_003</t>
  </si>
  <si>
    <t>Aluminium, Normal</t>
  </si>
  <si>
    <t>Machinnig Setup, Install and remove</t>
  </si>
  <si>
    <t>EN_0300_009</t>
  </si>
  <si>
    <t>Made by laser cutting</t>
  </si>
  <si>
    <t>Setup for laser cutting</t>
  </si>
  <si>
    <t>EN_0300_010</t>
  </si>
  <si>
    <t>Rectangular area 200x215 mm</t>
  </si>
  <si>
    <t>Rectangular area 225x16 mm</t>
  </si>
  <si>
    <t>Rectangular area 256x16 mm</t>
  </si>
  <si>
    <t>EN_0300_012</t>
  </si>
  <si>
    <t>AB</t>
  </si>
  <si>
    <t>Rectangular area 215x75 mm</t>
  </si>
  <si>
    <t>Bending the motor bracket</t>
  </si>
  <si>
    <t>cut</t>
  </si>
  <si>
    <t>EN_0300_011</t>
  </si>
  <si>
    <t>Rectangular area 80x55 mm</t>
  </si>
  <si>
    <t>Producing the PAIR plate</t>
  </si>
  <si>
    <t>EN_0300_013</t>
  </si>
  <si>
    <t>Intake bracket</t>
  </si>
  <si>
    <t>Steel, Mild</t>
  </si>
  <si>
    <t>Stock material for part</t>
  </si>
  <si>
    <t>EN_0300_001</t>
  </si>
  <si>
    <t>Asemble, 1 kg, Loose</t>
  </si>
  <si>
    <t>Asemble, 3 kg, Loose</t>
  </si>
  <si>
    <t>Asemble, 1 kg, Line-onLine</t>
  </si>
  <si>
    <t>Mount, Vibration-Damping, Sandwich</t>
  </si>
  <si>
    <t>Isolation between throttle and chassis</t>
  </si>
  <si>
    <t>Tightening the hose clamps on the intake manifold and the motor</t>
  </si>
  <si>
    <t>Sealing between upper plenum and plenum plate</t>
  </si>
  <si>
    <t>Sealing between intake manifold and plenum plate</t>
  </si>
  <si>
    <t>Positionning the manifold seal on the manifold</t>
  </si>
  <si>
    <t>Positionning the plenum plate on the manifold seal</t>
  </si>
  <si>
    <t>Positionning the plenum seal on the plenum plate</t>
  </si>
  <si>
    <t>Positionning the plenum on the plenum seal</t>
  </si>
  <si>
    <t>Intake brackets welding</t>
  </si>
  <si>
    <t>Positionning Mount, Vibration-Damping, Sandwich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</si>
</sst>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"/>
    <numFmt numFmtId="174" formatCode="#,##0.00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7" fillId="0" borderId="0"/>
    <xf numFmtId="170" fontId="7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6" fillId="2" borderId="6">
      <alignment vertical="center" wrapText="1"/>
    </xf>
    <xf numFmtId="171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39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1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1" fontId="8" fillId="0" borderId="0" xfId="5" applyFont="1"/>
    <xf numFmtId="0" fontId="8" fillId="0" borderId="0" xfId="1" applyFont="1" applyProtection="1">
      <protection locked="0"/>
    </xf>
    <xf numFmtId="171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1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1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7" applyNumberFormat="1" applyFont="1" applyBorder="1" applyAlignment="1" applyProtection="1"/>
    <xf numFmtId="2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/>
    <xf numFmtId="169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2" fontId="4" fillId="0" borderId="16" xfId="7" applyNumberFormat="1" applyFont="1" applyBorder="1" applyAlignment="1" applyProtection="1"/>
    <xf numFmtId="172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2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2" fontId="11" fillId="7" borderId="3" xfId="1" applyNumberFormat="1" applyFont="1" applyFill="1" applyBorder="1" applyAlignment="1" applyProtection="1">
      <alignment horizontal="center"/>
      <protection locked="0"/>
    </xf>
    <xf numFmtId="172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2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2" fontId="11" fillId="8" borderId="3" xfId="1" applyNumberFormat="1" applyFont="1" applyFill="1" applyBorder="1" applyAlignment="1" applyProtection="1">
      <alignment horizontal="center"/>
      <protection locked="0"/>
    </xf>
    <xf numFmtId="172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173" fontId="4" fillId="0" borderId="3" xfId="7" applyNumberFormat="1" applyFont="1" applyBorder="1" applyAlignment="1" applyProtection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18" fillId="0" borderId="17" xfId="8" applyBorder="1"/>
    <xf numFmtId="0" fontId="3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  <xf numFmtId="174" fontId="0" fillId="0" borderId="3" xfId="0" applyNumberFormat="1" applyBorder="1" applyAlignment="1"/>
    <xf numFmtId="0" fontId="18" fillId="0" borderId="16" xfId="8" applyBorder="1"/>
  </cellXfs>
  <cellStyles count="9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EN_0300_01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EN_0300_012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EN_0300_013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EN_0300_002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EN_0300_009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N_0300_0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259773</xdr:colOff>
      <xdr:row>29</xdr:row>
      <xdr:rowOff>34636</xdr:rowOff>
    </xdr:from>
    <xdr:to>
      <xdr:col>13</xdr:col>
      <xdr:colOff>541157</xdr:colOff>
      <xdr:row>51</xdr:row>
      <xdr:rowOff>121227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1091" y="5559136"/>
          <a:ext cx="3727702" cy="42775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12</xdr:row>
      <xdr:rowOff>140249</xdr:rowOff>
    </xdr:from>
    <xdr:to>
      <xdr:col>12</xdr:col>
      <xdr:colOff>561975</xdr:colOff>
      <xdr:row>21</xdr:row>
      <xdr:rowOff>125460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799" y="2426249"/>
          <a:ext cx="2247901" cy="16997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161480</xdr:rowOff>
    </xdr:from>
    <xdr:to>
      <xdr:col>8</xdr:col>
      <xdr:colOff>28575</xdr:colOff>
      <xdr:row>25</xdr:row>
      <xdr:rowOff>103906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216807</xdr:colOff>
      <xdr:row>12</xdr:row>
      <xdr:rowOff>76200</xdr:rowOff>
    </xdr:from>
    <xdr:to>
      <xdr:col>11</xdr:col>
      <xdr:colOff>485248</xdr:colOff>
      <xdr:row>22</xdr:row>
      <xdr:rowOff>8874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6632" y="2362200"/>
          <a:ext cx="1487641" cy="18376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174396</xdr:rowOff>
    </xdr:from>
    <xdr:to>
      <xdr:col>9</xdr:col>
      <xdr:colOff>419100</xdr:colOff>
      <xdr:row>29</xdr:row>
      <xdr:rowOff>18175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12</xdr:row>
      <xdr:rowOff>173215</xdr:rowOff>
    </xdr:from>
    <xdr:to>
      <xdr:col>12</xdr:col>
      <xdr:colOff>247650</xdr:colOff>
      <xdr:row>21</xdr:row>
      <xdr:rowOff>56789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9850" y="2459215"/>
          <a:ext cx="1914525" cy="15980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142874</xdr:rowOff>
    </xdr:from>
    <xdr:to>
      <xdr:col>9</xdr:col>
      <xdr:colOff>276224</xdr:colOff>
      <xdr:row>28</xdr:row>
      <xdr:rowOff>115986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317502</xdr:colOff>
      <xdr:row>12</xdr:row>
      <xdr:rowOff>140144</xdr:rowOff>
    </xdr:from>
    <xdr:to>
      <xdr:col>12</xdr:col>
      <xdr:colOff>355600</xdr:colOff>
      <xdr:row>20</xdr:row>
      <xdr:rowOff>59668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902" y="2426144"/>
          <a:ext cx="1460498" cy="1443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235324</xdr:colOff>
      <xdr:row>13</xdr:row>
      <xdr:rowOff>26671</xdr:rowOff>
    </xdr:from>
    <xdr:to>
      <xdr:col>13</xdr:col>
      <xdr:colOff>450079</xdr:colOff>
      <xdr:row>21</xdr:row>
      <xdr:rowOff>54344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1324" y="2503171"/>
          <a:ext cx="2635226" cy="15516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99601</xdr:rowOff>
    </xdr:from>
    <xdr:to>
      <xdr:col>10</xdr:col>
      <xdr:colOff>161925</xdr:colOff>
      <xdr:row>30</xdr:row>
      <xdr:rowOff>94370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309255</xdr:colOff>
      <xdr:row>11</xdr:row>
      <xdr:rowOff>98962</xdr:rowOff>
    </xdr:from>
    <xdr:to>
      <xdr:col>11</xdr:col>
      <xdr:colOff>528347</xdr:colOff>
      <xdr:row>19</xdr:row>
      <xdr:rowOff>148442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443" y="2140033"/>
          <a:ext cx="1431365" cy="15338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390821</xdr:colOff>
      <xdr:row>12</xdr:row>
      <xdr:rowOff>85725</xdr:rowOff>
    </xdr:from>
    <xdr:to>
      <xdr:col>11</xdr:col>
      <xdr:colOff>313877</xdr:colOff>
      <xdr:row>20</xdr:row>
      <xdr:rowOff>123213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9196" y="2371725"/>
          <a:ext cx="1142256" cy="15614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247652</xdr:colOff>
      <xdr:row>2</xdr:row>
      <xdr:rowOff>8911</xdr:rowOff>
    </xdr:from>
    <xdr:to>
      <xdr:col>9</xdr:col>
      <xdr:colOff>752476</xdr:colOff>
      <xdr:row>30</xdr:row>
      <xdr:rowOff>8652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12</xdr:row>
      <xdr:rowOff>76940</xdr:rowOff>
    </xdr:from>
    <xdr:to>
      <xdr:col>11</xdr:col>
      <xdr:colOff>447184</xdr:colOff>
      <xdr:row>21</xdr:row>
      <xdr:rowOff>56508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2362940"/>
          <a:ext cx="1294909" cy="169406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152402</xdr:colOff>
      <xdr:row>1</xdr:row>
      <xdr:rowOff>172690</xdr:rowOff>
    </xdr:from>
    <xdr:to>
      <xdr:col>9</xdr:col>
      <xdr:colOff>54201</xdr:colOff>
      <xdr:row>27</xdr:row>
      <xdr:rowOff>114300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M15" sqref="M15"/>
    </sheetView>
  </sheetViews>
  <sheetFormatPr baseColWidth="10" defaultRowHeight="15" x14ac:dyDescent="0.25"/>
  <sheetData>
    <row r="1" spans="1:2" x14ac:dyDescent="0.25">
      <c r="A1" s="89" t="s">
        <v>121</v>
      </c>
    </row>
    <row r="3" spans="1:2" x14ac:dyDescent="0.25">
      <c r="A3" s="88" t="s">
        <v>65</v>
      </c>
      <c r="B3" s="85" t="s">
        <v>66</v>
      </c>
    </row>
    <row r="5" spans="1:2" x14ac:dyDescent="0.25">
      <c r="A5" t="s">
        <v>122</v>
      </c>
    </row>
    <row r="6" spans="1:2" x14ac:dyDescent="0.25">
      <c r="A6" t="s">
        <v>99</v>
      </c>
    </row>
    <row r="7" spans="1:2" x14ac:dyDescent="0.25">
      <c r="A7" t="s">
        <v>105</v>
      </c>
    </row>
    <row r="8" spans="1:2" x14ac:dyDescent="0.25">
      <c r="A8" t="s">
        <v>103</v>
      </c>
    </row>
    <row r="9" spans="1:2" x14ac:dyDescent="0.25">
      <c r="A9" t="s">
        <v>67</v>
      </c>
    </row>
    <row r="10" spans="1:2" x14ac:dyDescent="0.25">
      <c r="A10" s="85" t="s">
        <v>96</v>
      </c>
    </row>
    <row r="11" spans="1:2" x14ac:dyDescent="0.25">
      <c r="A11" t="s">
        <v>133</v>
      </c>
    </row>
    <row r="12" spans="1:2" x14ac:dyDescent="0.25">
      <c r="A12" t="s">
        <v>68</v>
      </c>
    </row>
    <row r="14" spans="1:2" x14ac:dyDescent="0.25">
      <c r="A14" t="s">
        <v>98</v>
      </c>
    </row>
    <row r="15" spans="1:2" x14ac:dyDescent="0.25">
      <c r="A15" t="s">
        <v>123</v>
      </c>
    </row>
    <row r="16" spans="1:2" x14ac:dyDescent="0.25">
      <c r="A16" t="s">
        <v>109</v>
      </c>
    </row>
    <row r="18" spans="1:3" x14ac:dyDescent="0.25">
      <c r="A18" s="88" t="s">
        <v>69</v>
      </c>
      <c r="B18" s="85" t="s">
        <v>101</v>
      </c>
      <c r="C18" s="85"/>
    </row>
    <row r="20" spans="1:3" x14ac:dyDescent="0.25">
      <c r="A20" t="s">
        <v>108</v>
      </c>
    </row>
    <row r="21" spans="1:3" x14ac:dyDescent="0.25">
      <c r="A21" t="s">
        <v>135</v>
      </c>
    </row>
    <row r="23" spans="1:3" x14ac:dyDescent="0.25">
      <c r="A23" s="88" t="s">
        <v>71</v>
      </c>
      <c r="B23" s="85" t="s">
        <v>72</v>
      </c>
    </row>
    <row r="25" spans="1:3" x14ac:dyDescent="0.25">
      <c r="A25" t="s">
        <v>124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106</v>
      </c>
    </row>
    <row r="29" spans="1:3" x14ac:dyDescent="0.25">
      <c r="A29" t="s">
        <v>104</v>
      </c>
    </row>
    <row r="30" spans="1:3" x14ac:dyDescent="0.25">
      <c r="A30" t="s">
        <v>74</v>
      </c>
    </row>
    <row r="31" spans="1:3" x14ac:dyDescent="0.25">
      <c r="A31" s="85" t="s">
        <v>96</v>
      </c>
    </row>
    <row r="32" spans="1:3" x14ac:dyDescent="0.25">
      <c r="A32" t="s">
        <v>125</v>
      </c>
    </row>
    <row r="33" spans="1:2" x14ac:dyDescent="0.25">
      <c r="A33" t="s">
        <v>126</v>
      </c>
    </row>
    <row r="35" spans="1:2" x14ac:dyDescent="0.25">
      <c r="A35" t="s">
        <v>107</v>
      </c>
    </row>
    <row r="36" spans="1:2" x14ac:dyDescent="0.25">
      <c r="A36" t="s">
        <v>127</v>
      </c>
    </row>
    <row r="37" spans="1:2" x14ac:dyDescent="0.25">
      <c r="A37" t="s">
        <v>110</v>
      </c>
    </row>
    <row r="39" spans="1:2" x14ac:dyDescent="0.25">
      <c r="A39" s="88" t="s">
        <v>75</v>
      </c>
      <c r="B39" s="85" t="s">
        <v>70</v>
      </c>
    </row>
    <row r="41" spans="1:2" x14ac:dyDescent="0.25">
      <c r="A41" t="s">
        <v>115</v>
      </c>
    </row>
    <row r="42" spans="1:2" x14ac:dyDescent="0.25">
      <c r="A42" t="s">
        <v>116</v>
      </c>
    </row>
    <row r="43" spans="1:2" x14ac:dyDescent="0.25">
      <c r="A43" t="s">
        <v>100</v>
      </c>
    </row>
    <row r="45" spans="1:2" x14ac:dyDescent="0.25">
      <c r="A45" s="88" t="s">
        <v>76</v>
      </c>
      <c r="B45" s="85" t="s">
        <v>93</v>
      </c>
    </row>
    <row r="47" spans="1:2" x14ac:dyDescent="0.25">
      <c r="A47" t="s">
        <v>128</v>
      </c>
    </row>
    <row r="48" spans="1:2" x14ac:dyDescent="0.25">
      <c r="A48" t="s">
        <v>94</v>
      </c>
    </row>
    <row r="49" spans="1:2" x14ac:dyDescent="0.25">
      <c r="A49" t="s">
        <v>95</v>
      </c>
    </row>
    <row r="50" spans="1:2" x14ac:dyDescent="0.25">
      <c r="A50" t="s">
        <v>129</v>
      </c>
    </row>
    <row r="51" spans="1:2" x14ac:dyDescent="0.25">
      <c r="A51" t="s">
        <v>117</v>
      </c>
    </row>
    <row r="52" spans="1:2" x14ac:dyDescent="0.25">
      <c r="A52" t="s">
        <v>130</v>
      </c>
    </row>
    <row r="53" spans="1:2" x14ac:dyDescent="0.25">
      <c r="A53" t="s">
        <v>132</v>
      </c>
    </row>
    <row r="55" spans="1:2" x14ac:dyDescent="0.25">
      <c r="A55" t="s">
        <v>111</v>
      </c>
    </row>
    <row r="57" spans="1:2" x14ac:dyDescent="0.25">
      <c r="A57" s="88" t="s">
        <v>80</v>
      </c>
      <c r="B57" s="85" t="s">
        <v>77</v>
      </c>
    </row>
    <row r="59" spans="1:2" x14ac:dyDescent="0.25">
      <c r="A59" t="s">
        <v>79</v>
      </c>
    </row>
    <row r="60" spans="1:2" x14ac:dyDescent="0.25">
      <c r="A60" t="s">
        <v>112</v>
      </c>
    </row>
    <row r="61" spans="1:2" x14ac:dyDescent="0.25">
      <c r="A61" t="s">
        <v>131</v>
      </c>
    </row>
    <row r="63" spans="1:2" x14ac:dyDescent="0.25">
      <c r="A63" s="88" t="s">
        <v>92</v>
      </c>
      <c r="B63" s="85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113</v>
      </c>
    </row>
    <row r="72" spans="1:1" x14ac:dyDescent="0.25">
      <c r="A72" t="s">
        <v>114</v>
      </c>
    </row>
    <row r="74" spans="1:1" x14ac:dyDescent="0.25">
      <c r="A74" t="s">
        <v>118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113</v>
      </c>
    </row>
    <row r="78" spans="1:1" x14ac:dyDescent="0.25">
      <c r="A78" t="s">
        <v>114</v>
      </c>
    </row>
    <row r="80" spans="1:1" x14ac:dyDescent="0.25">
      <c r="A80" s="85" t="s">
        <v>97</v>
      </c>
    </row>
    <row r="82" spans="1:1" x14ac:dyDescent="0.25">
      <c r="A82" s="89" t="s">
        <v>102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topLeftCell="B1" workbookViewId="0">
      <selection activeCell="I28" sqref="I28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EN_0300_010_m+EN_0300_010_p</f>
        <v>1.7614000000000001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1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144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1.7614000000000001</v>
      </c>
      <c r="O5" s="60"/>
    </row>
    <row r="6" spans="1:15" x14ac:dyDescent="0.25">
      <c r="A6" s="122" t="s">
        <v>7</v>
      </c>
      <c r="B6" s="27" t="s">
        <v>202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197</v>
      </c>
      <c r="C11" s="20" t="s">
        <v>192</v>
      </c>
      <c r="D11" s="31">
        <v>4.2</v>
      </c>
      <c r="E11" s="20">
        <v>1.2E-2</v>
      </c>
      <c r="F11" s="20" t="s">
        <v>151</v>
      </c>
      <c r="G11" s="20"/>
      <c r="H11" s="19"/>
      <c r="I11" s="21" t="s">
        <v>205</v>
      </c>
      <c r="J11" s="121">
        <f>0.156*0.016</f>
        <v>2.496E-3</v>
      </c>
      <c r="K11" s="22">
        <v>2E-3</v>
      </c>
      <c r="L11" s="30">
        <v>2712</v>
      </c>
      <c r="M11" s="24">
        <v>1</v>
      </c>
      <c r="N11" s="31">
        <f>D11*E11</f>
        <v>5.04E-2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5.04E-2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198</v>
      </c>
      <c r="C15" s="70" t="s">
        <v>201</v>
      </c>
      <c r="D15" s="71">
        <v>1.3</v>
      </c>
      <c r="E15" s="70" t="s">
        <v>35</v>
      </c>
      <c r="F15" s="76">
        <v>1</v>
      </c>
      <c r="G15" s="76"/>
      <c r="H15" s="76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44</v>
      </c>
      <c r="C16" s="70" t="s">
        <v>149</v>
      </c>
      <c r="D16" s="71">
        <v>0.01</v>
      </c>
      <c r="E16" s="70" t="s">
        <v>45</v>
      </c>
      <c r="F16" s="76">
        <v>41.1</v>
      </c>
      <c r="G16" s="76"/>
      <c r="H16" s="76"/>
      <c r="I16" s="71">
        <f>IF(H16="",D16*F16,D16*F16*H16)</f>
        <v>0.41100000000000003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1" t="s">
        <v>18</v>
      </c>
      <c r="I17" s="126">
        <f>SUM(I15:I16)</f>
        <v>1.7110000000000001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3"/>
      <c r="I18" s="134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3"/>
      <c r="I19" s="134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3"/>
      <c r="I20" s="134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3"/>
      <c r="I21" s="134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300" display="EN_A0300"/>
    <hyperlink ref="E3" location="dEN_0300_010" display="Drawing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28" sqref="B28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90</v>
      </c>
      <c r="B1" s="87" t="str">
        <f>EN_0300_010</f>
        <v>Right frame bracket</v>
      </c>
    </row>
    <row r="11" spans="1:8" x14ac:dyDescent="0.25">
      <c r="H11" s="87"/>
    </row>
  </sheetData>
  <hyperlinks>
    <hyperlink ref="A1" location="EL_01001" display="Drawing part :"/>
    <hyperlink ref="B1" location="EN_0300_010" display="EN_0300_010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L27" sqref="L27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EN_0300_011_m+EN_0300_011_p</f>
        <v>1.9656000000000002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2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146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3.9312000000000005</v>
      </c>
      <c r="O5" s="60"/>
    </row>
    <row r="6" spans="1:15" x14ac:dyDescent="0.25">
      <c r="A6" s="122" t="s">
        <v>7</v>
      </c>
      <c r="B6" s="27" t="s">
        <v>211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197</v>
      </c>
      <c r="C11" s="20" t="s">
        <v>192</v>
      </c>
      <c r="D11" s="31">
        <v>4.2</v>
      </c>
      <c r="E11" s="20">
        <v>1.7999999999999999E-2</v>
      </c>
      <c r="F11" s="20" t="s">
        <v>151</v>
      </c>
      <c r="G11" s="20"/>
      <c r="H11" s="19"/>
      <c r="I11" s="21" t="s">
        <v>212</v>
      </c>
      <c r="J11" s="121">
        <f>0.08*0.055</f>
        <v>4.4000000000000003E-3</v>
      </c>
      <c r="K11" s="22">
        <v>2E-3</v>
      </c>
      <c r="L11" s="30">
        <v>2712</v>
      </c>
      <c r="M11" s="24">
        <v>1</v>
      </c>
      <c r="N11" s="31">
        <f>D11*E11</f>
        <v>7.5600000000000001E-2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7.5600000000000001E-2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198</v>
      </c>
      <c r="C15" s="70" t="s">
        <v>201</v>
      </c>
      <c r="D15" s="71">
        <v>1.3</v>
      </c>
      <c r="E15" s="70" t="s">
        <v>35</v>
      </c>
      <c r="F15" s="76">
        <v>1</v>
      </c>
      <c r="G15" s="76"/>
      <c r="H15" s="76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44</v>
      </c>
      <c r="C16" s="70" t="s">
        <v>213</v>
      </c>
      <c r="D16" s="71">
        <v>0.01</v>
      </c>
      <c r="E16" s="70" t="s">
        <v>45</v>
      </c>
      <c r="F16" s="76">
        <v>59</v>
      </c>
      <c r="G16" s="76"/>
      <c r="H16" s="76"/>
      <c r="I16" s="71">
        <f>IF(H16="",D16*F16,D16*F16*H16)</f>
        <v>0.59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1" t="s">
        <v>18</v>
      </c>
      <c r="I17" s="126">
        <f>SUM(I15:I16)</f>
        <v>1.8900000000000001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3"/>
      <c r="I18" s="134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3"/>
      <c r="I19" s="134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3"/>
      <c r="I20" s="134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3"/>
      <c r="I21" s="134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300" display="EN_A0300"/>
    <hyperlink ref="E3" location="dEN_0300_011" display="Drawing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F27" sqref="F27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90</v>
      </c>
      <c r="B1" s="87" t="str">
        <f>EN_0300_011</f>
        <v>PAIR plate</v>
      </c>
    </row>
    <row r="11" spans="1:8" x14ac:dyDescent="0.25">
      <c r="H11" s="87"/>
    </row>
  </sheetData>
  <hyperlinks>
    <hyperlink ref="B1" location="EN_0300_011" display="EN_0300_011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EN_0300_012_m+EN_0300_012_p</f>
        <v>4.1755999999999993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1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145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4.1755999999999993</v>
      </c>
      <c r="O5" s="60"/>
    </row>
    <row r="6" spans="1:15" x14ac:dyDescent="0.25">
      <c r="A6" s="122" t="s">
        <v>7</v>
      </c>
      <c r="B6" s="27" t="s">
        <v>206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207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197</v>
      </c>
      <c r="C11" s="20" t="s">
        <v>192</v>
      </c>
      <c r="D11" s="31">
        <v>4.2</v>
      </c>
      <c r="E11" s="20">
        <v>6.8000000000000005E-2</v>
      </c>
      <c r="F11" s="20" t="s">
        <v>151</v>
      </c>
      <c r="G11" s="20"/>
      <c r="H11" s="19"/>
      <c r="I11" s="21" t="s">
        <v>208</v>
      </c>
      <c r="J11" s="121">
        <f>0.275*0.075</f>
        <v>2.0625000000000001E-2</v>
      </c>
      <c r="K11" s="22">
        <v>2E-3</v>
      </c>
      <c r="L11" s="30">
        <v>2712</v>
      </c>
      <c r="M11" s="24">
        <v>1</v>
      </c>
      <c r="N11" s="31">
        <f>D11*E11</f>
        <v>0.28560000000000002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0.28560000000000002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198</v>
      </c>
      <c r="C15" s="70" t="s">
        <v>201</v>
      </c>
      <c r="D15" s="71">
        <v>1.3</v>
      </c>
      <c r="E15" s="70" t="s">
        <v>35</v>
      </c>
      <c r="F15" s="76">
        <v>1</v>
      </c>
      <c r="G15" s="76"/>
      <c r="H15" s="76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44</v>
      </c>
      <c r="C16" s="70" t="s">
        <v>149</v>
      </c>
      <c r="D16" s="71">
        <v>0.01</v>
      </c>
      <c r="E16" s="70" t="s">
        <v>45</v>
      </c>
      <c r="F16" s="76">
        <v>209</v>
      </c>
      <c r="G16" s="76"/>
      <c r="H16" s="76"/>
      <c r="I16" s="71">
        <f>IF(H16="",D16*F16,D16*F16*H16)</f>
        <v>2.09</v>
      </c>
      <c r="J16" s="55"/>
      <c r="K16" s="55"/>
      <c r="L16" s="55"/>
      <c r="M16" s="55"/>
      <c r="N16" s="55"/>
      <c r="O16" s="60"/>
    </row>
    <row r="17" spans="1:15" x14ac:dyDescent="0.25">
      <c r="A17" s="70">
        <v>30</v>
      </c>
      <c r="B17" s="70" t="s">
        <v>177</v>
      </c>
      <c r="C17" s="70" t="s">
        <v>209</v>
      </c>
      <c r="D17" s="71">
        <v>0.25</v>
      </c>
      <c r="E17" s="70" t="s">
        <v>210</v>
      </c>
      <c r="F17" s="76">
        <v>2</v>
      </c>
      <c r="G17" s="76"/>
      <c r="H17" s="76"/>
      <c r="I17" s="71">
        <f>IF(H17="",D17*F17,D17*F17*H17)</f>
        <v>0.5</v>
      </c>
      <c r="J17" s="55"/>
      <c r="K17" s="55"/>
      <c r="L17" s="55"/>
      <c r="M17" s="55"/>
      <c r="N17" s="5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1" t="s">
        <v>18</v>
      </c>
      <c r="I18" s="126">
        <f>SUM(I15:I17)</f>
        <v>3.8899999999999997</v>
      </c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3"/>
      <c r="I19" s="134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3"/>
      <c r="I20" s="134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3"/>
      <c r="I21" s="134"/>
      <c r="J21" s="25"/>
      <c r="K21" s="25"/>
      <c r="L21" s="25"/>
      <c r="M21" s="25"/>
      <c r="N21" s="25"/>
      <c r="O21" s="60"/>
    </row>
    <row r="22" spans="1:15" x14ac:dyDescent="0.25">
      <c r="A22" s="65"/>
      <c r="B22" s="25"/>
      <c r="C22" s="25"/>
      <c r="D22" s="25"/>
      <c r="E22" s="25"/>
      <c r="F22" s="25"/>
      <c r="G22" s="25"/>
      <c r="H22" s="133"/>
      <c r="I22" s="134"/>
      <c r="J22" s="25"/>
      <c r="K22" s="25"/>
      <c r="L22" s="25"/>
      <c r="M22" s="25"/>
      <c r="N22" s="25"/>
      <c r="O22" s="60"/>
    </row>
    <row r="23" spans="1:15" ht="15.75" thickBot="1" x14ac:dyDescent="0.3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</row>
  </sheetData>
  <hyperlinks>
    <hyperlink ref="B4" location="EN_A0300" display="EN_A0300"/>
    <hyperlink ref="E3" location="dEN_0300_012" display="Drawing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K25" sqref="K25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90</v>
      </c>
      <c r="B1" s="87" t="str">
        <f>EN_0300_012</f>
        <v>Motor bracket</v>
      </c>
    </row>
    <row r="11" spans="1:8" x14ac:dyDescent="0.25">
      <c r="H11" s="87"/>
    </row>
  </sheetData>
  <hyperlinks>
    <hyperlink ref="B1" location="EN_0300_012" display="EN_0300_012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J25" sqref="J25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EN_0300_013_m+EN_0300_013_p</f>
        <v>1.38425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2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215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2.7685</v>
      </c>
      <c r="O5" s="60"/>
    </row>
    <row r="6" spans="1:15" x14ac:dyDescent="0.25">
      <c r="A6" s="122" t="s">
        <v>7</v>
      </c>
      <c r="B6" s="27" t="s">
        <v>214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216</v>
      </c>
      <c r="C11" s="20" t="s">
        <v>217</v>
      </c>
      <c r="D11" s="31">
        <v>2.25</v>
      </c>
      <c r="E11" s="21">
        <v>3.0000000000000001E-3</v>
      </c>
      <c r="F11" s="20" t="s">
        <v>151</v>
      </c>
      <c r="G11" s="20"/>
      <c r="H11" s="19"/>
      <c r="I11" s="21"/>
      <c r="J11" s="121"/>
      <c r="K11" s="22"/>
      <c r="L11" s="137">
        <v>2E-3</v>
      </c>
      <c r="M11" s="24">
        <v>1</v>
      </c>
      <c r="N11" s="31">
        <f>D11*E11</f>
        <v>6.7499999999999999E-3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6.7499999999999999E-3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198</v>
      </c>
      <c r="C15" s="70" t="s">
        <v>201</v>
      </c>
      <c r="D15" s="71">
        <v>1.3</v>
      </c>
      <c r="E15" s="70" t="s">
        <v>35</v>
      </c>
      <c r="F15" s="76">
        <v>1</v>
      </c>
      <c r="G15" s="76"/>
      <c r="H15" s="76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44</v>
      </c>
      <c r="C16" s="70" t="s">
        <v>213</v>
      </c>
      <c r="D16" s="71">
        <v>0.01</v>
      </c>
      <c r="E16" s="70" t="s">
        <v>45</v>
      </c>
      <c r="F16" s="76">
        <v>7.75</v>
      </c>
      <c r="G16" s="76"/>
      <c r="H16" s="76"/>
      <c r="I16" s="71">
        <f>IF(H16="",D16*F16,D16*F16*H16)</f>
        <v>7.7499999999999999E-2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1" t="s">
        <v>18</v>
      </c>
      <c r="I17" s="126">
        <f>SUM(I15:I16)</f>
        <v>1.3774999999999999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3"/>
      <c r="I18" s="134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3"/>
      <c r="I19" s="134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3"/>
      <c r="I20" s="134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3"/>
      <c r="I21" s="134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300" display="EN_A0300"/>
    <hyperlink ref="E3" location="dEN_0300_013" display="Drawing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L23" sqref="L23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90</v>
      </c>
      <c r="B1" s="87" t="str">
        <f>EN_0300_013</f>
        <v>Intake bracket</v>
      </c>
    </row>
    <row r="11" spans="1:8" x14ac:dyDescent="0.25">
      <c r="H11" s="87"/>
    </row>
  </sheetData>
  <hyperlinks>
    <hyperlink ref="B1" location="EN_0300_013" display="EN_0300_013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2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D22" sqref="D22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7.7109375" style="9" customWidth="1"/>
    <col min="4" max="4" width="10" style="9" bestFit="1" customWidth="1"/>
    <col min="5" max="5" width="23" style="9" customWidth="1"/>
    <col min="6" max="6" width="39.140625" style="4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1" t="s">
        <v>0</v>
      </c>
      <c r="B1" s="92" t="s">
        <v>43</v>
      </c>
      <c r="D1" s="42"/>
      <c r="M1" s="54" t="s">
        <v>46</v>
      </c>
      <c r="N1" s="43"/>
      <c r="O1" s="53" t="e">
        <f>#REF!</f>
        <v>#REF!</v>
      </c>
    </row>
    <row r="2" spans="1:15" s="15" customFormat="1" ht="15.75" thickBot="1" x14ac:dyDescent="0.3">
      <c r="A2" s="49" t="s">
        <v>47</v>
      </c>
      <c r="B2" s="91" t="s">
        <v>119</v>
      </c>
      <c r="C2" s="14"/>
      <c r="F2" s="37"/>
    </row>
    <row r="3" spans="1:15" s="15" customFormat="1" ht="16.5" thickTop="1" thickBot="1" x14ac:dyDescent="0.3">
      <c r="A3" s="50" t="s">
        <v>48</v>
      </c>
      <c r="B3" s="52">
        <v>2018</v>
      </c>
      <c r="C3" s="14"/>
      <c r="F3" s="37"/>
    </row>
    <row r="4" spans="1:15" s="15" customFormat="1" ht="16.5" thickTop="1" thickBot="1" x14ac:dyDescent="0.3">
      <c r="A4" s="48" t="s">
        <v>1</v>
      </c>
      <c r="B4" s="90">
        <v>81</v>
      </c>
      <c r="C4" s="14"/>
      <c r="D4" s="42" t="s">
        <v>49</v>
      </c>
      <c r="F4" s="37"/>
    </row>
    <row r="5" spans="1:15" s="35" customFormat="1" ht="15.75" thickTop="1" x14ac:dyDescent="0.25">
      <c r="A5" s="34"/>
      <c r="B5" s="38"/>
      <c r="C5" s="36"/>
      <c r="F5" s="39"/>
    </row>
    <row r="6" spans="1:15" s="33" customFormat="1" ht="49.5" customHeight="1" x14ac:dyDescent="0.25">
      <c r="A6" s="32" t="s">
        <v>50</v>
      </c>
      <c r="B6" s="45" t="s">
        <v>51</v>
      </c>
      <c r="C6" s="45" t="s">
        <v>52</v>
      </c>
      <c r="D6" s="45" t="s">
        <v>53</v>
      </c>
      <c r="E6" s="45" t="s">
        <v>54</v>
      </c>
      <c r="F6" s="45" t="s">
        <v>55</v>
      </c>
      <c r="G6" s="45" t="s">
        <v>56</v>
      </c>
      <c r="H6" s="47" t="s">
        <v>57</v>
      </c>
      <c r="I6" s="45" t="s">
        <v>17</v>
      </c>
      <c r="J6" s="45" t="s">
        <v>58</v>
      </c>
      <c r="K6" s="45" t="s">
        <v>59</v>
      </c>
      <c r="L6" s="45" t="s">
        <v>60</v>
      </c>
      <c r="M6" s="45" t="s">
        <v>61</v>
      </c>
      <c r="N6" s="46" t="s">
        <v>62</v>
      </c>
      <c r="O6" s="45" t="s">
        <v>63</v>
      </c>
    </row>
    <row r="7" spans="1:15" ht="15" x14ac:dyDescent="0.25">
      <c r="A7" s="95"/>
      <c r="B7" s="96" t="str">
        <f>EN_A0300!B3</f>
        <v>Engine and Drivetrain</v>
      </c>
      <c r="C7" s="97" t="s">
        <v>141</v>
      </c>
      <c r="D7" s="97" t="s">
        <v>11</v>
      </c>
      <c r="E7" s="97"/>
      <c r="F7" s="98" t="str">
        <f>EN_A0300</f>
        <v>Air Intake System</v>
      </c>
      <c r="G7" s="97"/>
      <c r="H7" s="99">
        <f>SUM(J7:M7)</f>
        <v>84.192566820826798</v>
      </c>
      <c r="I7" s="100">
        <f>EN_A0300_q</f>
        <v>1</v>
      </c>
      <c r="J7" s="101">
        <f>EN_A0300_m</f>
        <v>16.3</v>
      </c>
      <c r="K7" s="101">
        <f>EN_A0300_p</f>
        <v>62.556999999999995</v>
      </c>
      <c r="L7" s="101">
        <f>EN_A0300_f</f>
        <v>4.6689001541601254</v>
      </c>
      <c r="M7" s="101">
        <f>EN_A0300_t</f>
        <v>0.66666666666666663</v>
      </c>
      <c r="N7" s="102">
        <f t="shared" ref="N7:N15" si="0">H7*I7</f>
        <v>84.192566820826798</v>
      </c>
      <c r="O7" s="103"/>
    </row>
    <row r="8" spans="1:15" ht="15" x14ac:dyDescent="0.25">
      <c r="A8" s="104"/>
      <c r="B8" s="105" t="str">
        <f>EN_A0300!$B$3</f>
        <v>Engine and Drivetrain</v>
      </c>
      <c r="C8" s="106" t="s">
        <v>218</v>
      </c>
      <c r="D8" s="107" t="s">
        <v>11</v>
      </c>
      <c r="E8" s="107" t="str">
        <f>F$7</f>
        <v>Air Intake System</v>
      </c>
      <c r="F8" s="108" t="str">
        <f>EN_0300_001!B$5</f>
        <v>Upper plenum</v>
      </c>
      <c r="G8" s="107"/>
      <c r="H8" s="109">
        <f t="shared" ref="H8:H15" si="1">SUM(J8:M8)</f>
        <v>12.57225</v>
      </c>
      <c r="I8" s="110">
        <f>EN_A0300_q*EN_0300_001_q</f>
        <v>1</v>
      </c>
      <c r="J8" s="111">
        <f>EN_0300_001_m</f>
        <v>1.1384999999999998</v>
      </c>
      <c r="K8" s="111">
        <f>EN_0300_001_p</f>
        <v>11.43375</v>
      </c>
      <c r="L8" s="111">
        <f>EN_0300_001_f</f>
        <v>0</v>
      </c>
      <c r="M8" s="111">
        <f>EN_0300_001_t</f>
        <v>0</v>
      </c>
      <c r="N8" s="112">
        <f t="shared" si="0"/>
        <v>12.57225</v>
      </c>
      <c r="O8" s="113"/>
    </row>
    <row r="9" spans="1:15" ht="15" x14ac:dyDescent="0.25">
      <c r="A9" s="104"/>
      <c r="B9" s="105" t="str">
        <f>EN_A0300!$B$3</f>
        <v>Engine and Drivetrain</v>
      </c>
      <c r="C9" s="106" t="s">
        <v>195</v>
      </c>
      <c r="D9" s="107" t="s">
        <v>11</v>
      </c>
      <c r="E9" s="107" t="str">
        <f t="shared" ref="E9:E15" si="2">F$7</f>
        <v>Air Intake System</v>
      </c>
      <c r="F9" s="108" t="str">
        <f>EN_0300_002!B$5</f>
        <v>Plenum plate</v>
      </c>
      <c r="G9" s="107"/>
      <c r="H9" s="109">
        <f t="shared" si="1"/>
        <v>3.6790000000000003</v>
      </c>
      <c r="I9" s="110">
        <f>EN_A0300_q*EN_0300_002_q</f>
        <v>1</v>
      </c>
      <c r="J9" s="111">
        <f>EN_0300_002_m</f>
        <v>0.58800000000000008</v>
      </c>
      <c r="K9" s="111">
        <f>EN_0300_002_p</f>
        <v>3.0910000000000002</v>
      </c>
      <c r="L9" s="111">
        <f>EN_0300_002_f</f>
        <v>0</v>
      </c>
      <c r="M9" s="111">
        <f>EN_0300_002_t</f>
        <v>0</v>
      </c>
      <c r="N9" s="112">
        <f t="shared" si="0"/>
        <v>3.6790000000000003</v>
      </c>
      <c r="O9" s="113"/>
    </row>
    <row r="10" spans="1:15" ht="15" x14ac:dyDescent="0.25">
      <c r="A10" s="104"/>
      <c r="B10" s="105" t="str">
        <f>EN_A0300!$B$3</f>
        <v>Engine and Drivetrain</v>
      </c>
      <c r="C10" s="106" t="s">
        <v>196</v>
      </c>
      <c r="D10" s="107" t="s">
        <v>11</v>
      </c>
      <c r="E10" s="107" t="str">
        <f t="shared" si="2"/>
        <v>Air Intake System</v>
      </c>
      <c r="F10" s="108" t="str">
        <f>EN_0300_003!B$5</f>
        <v>Intake manifold</v>
      </c>
      <c r="G10" s="107"/>
      <c r="H10" s="109">
        <f t="shared" si="1"/>
        <v>18.119250000000001</v>
      </c>
      <c r="I10" s="110">
        <f>EN_A0300_q*EN_0300_003_q</f>
        <v>1</v>
      </c>
      <c r="J10" s="111">
        <f>EN_0300_003_m</f>
        <v>1.6335</v>
      </c>
      <c r="K10" s="111">
        <f>EN_0300_003_p</f>
        <v>16.485749999999999</v>
      </c>
      <c r="L10" s="111">
        <f>EN_0300_003_f</f>
        <v>0</v>
      </c>
      <c r="M10" s="111">
        <f>EN_0300_003_t</f>
        <v>0</v>
      </c>
      <c r="N10" s="112">
        <f t="shared" si="0"/>
        <v>18.119250000000001</v>
      </c>
      <c r="O10" s="113"/>
    </row>
    <row r="11" spans="1:15" ht="15" x14ac:dyDescent="0.25">
      <c r="A11" s="104"/>
      <c r="B11" s="105" t="str">
        <f>EN_A0300!$B$3</f>
        <v>Engine and Drivetrain</v>
      </c>
      <c r="C11" s="106" t="s">
        <v>199</v>
      </c>
      <c r="D11" s="107" t="s">
        <v>11</v>
      </c>
      <c r="E11" s="107" t="str">
        <f t="shared" si="2"/>
        <v>Air Intake System</v>
      </c>
      <c r="F11" s="108" t="str">
        <f>EN_0300_009!B$5</f>
        <v>Left frame bracket</v>
      </c>
      <c r="G11" s="107"/>
      <c r="H11" s="109">
        <f t="shared" si="1"/>
        <v>1.6890000000000001</v>
      </c>
      <c r="I11" s="110">
        <f>EN_A0300_q*EN_0300_009_q</f>
        <v>1</v>
      </c>
      <c r="J11" s="111">
        <f>EN_0300_009_m</f>
        <v>4.2000000000000003E-2</v>
      </c>
      <c r="K11" s="111">
        <f>EN_0300_009_p</f>
        <v>1.647</v>
      </c>
      <c r="L11" s="111">
        <f>EN_0300_009_f</f>
        <v>0</v>
      </c>
      <c r="M11" s="111">
        <f>EN_0300_009_t</f>
        <v>0</v>
      </c>
      <c r="N11" s="112">
        <f t="shared" si="0"/>
        <v>1.6890000000000001</v>
      </c>
      <c r="O11" s="113"/>
    </row>
    <row r="12" spans="1:15" ht="15" x14ac:dyDescent="0.25">
      <c r="A12" s="104"/>
      <c r="B12" s="105" t="str">
        <f>EN_A0300!$B$3</f>
        <v>Engine and Drivetrain</v>
      </c>
      <c r="C12" s="106" t="s">
        <v>202</v>
      </c>
      <c r="D12" s="107" t="s">
        <v>11</v>
      </c>
      <c r="E12" s="107" t="str">
        <f t="shared" si="2"/>
        <v>Air Intake System</v>
      </c>
      <c r="F12" s="108" t="str">
        <f>EN_0300_010!B$5</f>
        <v>Right frame bracket</v>
      </c>
      <c r="G12" s="107"/>
      <c r="H12" s="109">
        <f t="shared" si="1"/>
        <v>1.7614000000000001</v>
      </c>
      <c r="I12" s="110">
        <f>EN_A0300_q*EN_0300_010_q</f>
        <v>1</v>
      </c>
      <c r="J12" s="111">
        <f>EN_0300_010_m</f>
        <v>5.04E-2</v>
      </c>
      <c r="K12" s="111">
        <f>EN_0300_010_p</f>
        <v>1.7110000000000001</v>
      </c>
      <c r="L12" s="111">
        <f>EN_0300_010_f</f>
        <v>0</v>
      </c>
      <c r="M12" s="111">
        <f>EN_0300_010_t</f>
        <v>0</v>
      </c>
      <c r="N12" s="112">
        <f t="shared" si="0"/>
        <v>1.7614000000000001</v>
      </c>
      <c r="O12" s="113"/>
    </row>
    <row r="13" spans="1:15" ht="15" x14ac:dyDescent="0.25">
      <c r="A13" s="104"/>
      <c r="B13" s="105" t="str">
        <f>EN_A0300!$B$3</f>
        <v>Engine and Drivetrain</v>
      </c>
      <c r="C13" s="106" t="s">
        <v>211</v>
      </c>
      <c r="D13" s="107" t="s">
        <v>11</v>
      </c>
      <c r="E13" s="107" t="str">
        <f t="shared" si="2"/>
        <v>Air Intake System</v>
      </c>
      <c r="F13" s="108" t="str">
        <f>EN_0300_011!B$5</f>
        <v>PAIR plate</v>
      </c>
      <c r="G13" s="107"/>
      <c r="H13" s="109">
        <f t="shared" si="1"/>
        <v>1.9656000000000002</v>
      </c>
      <c r="I13" s="110">
        <f>EN_A0300_q*EN_0300_011_q</f>
        <v>2</v>
      </c>
      <c r="J13" s="111">
        <f>EN_0300_011_m</f>
        <v>7.5600000000000001E-2</v>
      </c>
      <c r="K13" s="111">
        <f>EN_0300_011_p</f>
        <v>1.8900000000000001</v>
      </c>
      <c r="L13" s="111">
        <f>EN_0300_011_f</f>
        <v>0</v>
      </c>
      <c r="M13" s="111">
        <f>EN_0300_011_t</f>
        <v>0</v>
      </c>
      <c r="N13" s="112">
        <f t="shared" si="0"/>
        <v>3.9312000000000005</v>
      </c>
      <c r="O13" s="113"/>
    </row>
    <row r="14" spans="1:15" ht="15" x14ac:dyDescent="0.25">
      <c r="A14" s="104"/>
      <c r="B14" s="105" t="str">
        <f>EN_A0300!$B$3</f>
        <v>Engine and Drivetrain</v>
      </c>
      <c r="C14" s="106" t="s">
        <v>206</v>
      </c>
      <c r="D14" s="107" t="s">
        <v>11</v>
      </c>
      <c r="E14" s="107" t="str">
        <f t="shared" si="2"/>
        <v>Air Intake System</v>
      </c>
      <c r="F14" s="108" t="str">
        <f>EN_0300_012!B$5</f>
        <v>Motor bracket</v>
      </c>
      <c r="G14" s="107"/>
      <c r="H14" s="109">
        <f t="shared" si="1"/>
        <v>4.1755999999999993</v>
      </c>
      <c r="I14" s="110">
        <f>EN_A0300_q*EN_0300_012_q</f>
        <v>1</v>
      </c>
      <c r="J14" s="111">
        <f>EN_0300_012_m</f>
        <v>0.28560000000000002</v>
      </c>
      <c r="K14" s="111">
        <f>EN_0300_012_p</f>
        <v>3.8899999999999997</v>
      </c>
      <c r="L14" s="111">
        <f>EN_0300_012_f</f>
        <v>0</v>
      </c>
      <c r="M14" s="111">
        <f>EN_0300_012_t</f>
        <v>0</v>
      </c>
      <c r="N14" s="112">
        <f t="shared" si="0"/>
        <v>4.1755999999999993</v>
      </c>
      <c r="O14" s="113"/>
    </row>
    <row r="15" spans="1:15" ht="15.75" thickBot="1" x14ac:dyDescent="0.3">
      <c r="A15" s="104"/>
      <c r="B15" s="105" t="str">
        <f>EN_A0300!$B$3</f>
        <v>Engine and Drivetrain</v>
      </c>
      <c r="C15" s="106" t="s">
        <v>214</v>
      </c>
      <c r="D15" s="107" t="s">
        <v>11</v>
      </c>
      <c r="E15" s="107" t="str">
        <f t="shared" si="2"/>
        <v>Air Intake System</v>
      </c>
      <c r="F15" s="108" t="str">
        <f>EN_0300_013!B$5</f>
        <v>Intake bracket</v>
      </c>
      <c r="G15" s="114"/>
      <c r="H15" s="109">
        <f t="shared" si="1"/>
        <v>1.38425</v>
      </c>
      <c r="I15" s="110">
        <f>EN_A0300_q*EN_0300_013_q</f>
        <v>2</v>
      </c>
      <c r="J15" s="111">
        <f>EN_0300_013_m</f>
        <v>6.7499999999999999E-3</v>
      </c>
      <c r="K15" s="111">
        <f>EN_0300_013_p</f>
        <v>1.3774999999999999</v>
      </c>
      <c r="L15" s="111">
        <f>EN_0300_013_f</f>
        <v>0</v>
      </c>
      <c r="M15" s="111">
        <f>EN_0300_013_t</f>
        <v>0</v>
      </c>
      <c r="N15" s="112">
        <f t="shared" si="0"/>
        <v>2.7685</v>
      </c>
      <c r="O15" s="113"/>
    </row>
    <row r="16" spans="1:15" s="12" customFormat="1" ht="15.75" thickTop="1" thickBot="1" x14ac:dyDescent="0.25">
      <c r="A16" s="5"/>
      <c r="B16" s="40" t="str">
        <f>EN_A0300!B3</f>
        <v>Engine and Drivetrain</v>
      </c>
      <c r="C16" s="1"/>
      <c r="D16" s="1"/>
      <c r="E16" s="1"/>
      <c r="F16" s="40" t="s">
        <v>64</v>
      </c>
      <c r="G16" s="1"/>
      <c r="H16" s="3"/>
      <c r="I16" s="4"/>
      <c r="J16" s="94">
        <f>SUMPRODUCT($I7:$I15,J7:J15)</f>
        <v>20.202700000000004</v>
      </c>
      <c r="K16" s="94">
        <f>SUMPRODUCT($I7:$I15,K7:K15)</f>
        <v>107.35049999999998</v>
      </c>
      <c r="L16" s="94">
        <f>SUMPRODUCT($I7:$I15,L7:L15)</f>
        <v>4.6689001541601254</v>
      </c>
      <c r="M16" s="94">
        <f>SUMPRODUCT($I7:$I15,M7:M15)</f>
        <v>0.66666666666666663</v>
      </c>
      <c r="N16" s="94">
        <f>SUM(N7:N15)</f>
        <v>132.88876682082679</v>
      </c>
      <c r="O16" s="2"/>
    </row>
    <row r="17" spans="1:14" ht="13.5" thickTop="1" x14ac:dyDescent="0.2">
      <c r="A17" s="11"/>
      <c r="B17" s="41"/>
      <c r="C17" s="13"/>
      <c r="D17" s="13"/>
      <c r="E17" s="13"/>
      <c r="F17" s="13"/>
      <c r="G17" s="13"/>
      <c r="H17" s="8"/>
      <c r="I17" s="13"/>
      <c r="J17" s="13"/>
      <c r="K17" s="13"/>
      <c r="L17" s="13"/>
      <c r="M17" s="13"/>
      <c r="N17" s="13"/>
    </row>
    <row r="18" spans="1:14" x14ac:dyDescent="0.2">
      <c r="A18" s="11"/>
      <c r="B18" s="41"/>
      <c r="C18" s="13"/>
      <c r="D18" s="13"/>
      <c r="E18" s="13"/>
      <c r="F18" s="13"/>
      <c r="G18" s="13"/>
      <c r="H18" s="8"/>
      <c r="I18" s="13"/>
      <c r="J18" s="13"/>
      <c r="K18" s="13"/>
      <c r="L18" s="13"/>
      <c r="M18" s="13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44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4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s="9" customFormat="1" x14ac:dyDescent="0.2">
      <c r="A47" s="7"/>
      <c r="B47" s="11"/>
      <c r="F47" s="41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1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1"/>
      <c r="I56" s="6"/>
      <c r="J56" s="6"/>
      <c r="K56" s="6"/>
      <c r="L56" s="6"/>
      <c r="M56" s="6"/>
    </row>
    <row r="57" spans="1:14" s="10" customFormat="1" x14ac:dyDescent="0.2">
      <c r="A57" s="7"/>
      <c r="B57" s="11"/>
      <c r="C57" s="9"/>
      <c r="D57" s="9"/>
      <c r="E57" s="9"/>
      <c r="F57" s="41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1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1"/>
      <c r="G162" s="9"/>
      <c r="H162" s="9"/>
      <c r="I162" s="6"/>
      <c r="J162" s="6"/>
      <c r="K162" s="6"/>
      <c r="L162" s="6"/>
      <c r="M162" s="6"/>
      <c r="N162" s="9"/>
    </row>
  </sheetData>
  <hyperlinks>
    <hyperlink ref="F7" location="EN_A0300" display="EN_A0300"/>
    <hyperlink ref="F8" location="EN_0300_001" display="EN_0300_001"/>
    <hyperlink ref="F9:F15" location="BR_01001" display="BR_01001"/>
    <hyperlink ref="F9" location="EN_0300_002" display="EN_0300_002"/>
    <hyperlink ref="F10" location="EN_0300_003" display="EN_0300_003"/>
    <hyperlink ref="F11" location="EN_0300_009" display="EN_0300_009"/>
    <hyperlink ref="F12" location="EN_0300_010" display="EN_0300_010"/>
    <hyperlink ref="F13" location="EN_0300_011" display="EN_0300_011"/>
    <hyperlink ref="F14" location="EN_0300_012" display="EN_0300_012"/>
    <hyperlink ref="F15" location="EN_0300_013" display="EN_0300_013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 H9:H15 H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73"/>
  <sheetViews>
    <sheetView zoomScale="55" zoomScaleNormal="55" zoomScaleSheetLayoutView="80" workbookViewId="0">
      <selection activeCell="I12" sqref="I12"/>
    </sheetView>
  </sheetViews>
  <sheetFormatPr baseColWidth="10" defaultColWidth="9.140625" defaultRowHeight="15" x14ac:dyDescent="0.25"/>
  <cols>
    <col min="1" max="1" width="11.42578125"/>
    <col min="2" max="2" width="36.140625" customWidth="1"/>
    <col min="3" max="3" width="68.42578125" customWidth="1"/>
    <col min="4" max="4" width="11.42578125" customWidth="1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15" t="s">
        <v>0</v>
      </c>
      <c r="B2" s="16" t="s">
        <v>43</v>
      </c>
      <c r="C2" s="55"/>
      <c r="D2" s="55"/>
      <c r="E2" s="55" t="s">
        <v>120</v>
      </c>
      <c r="F2" s="55"/>
      <c r="G2" s="55"/>
      <c r="H2" s="55"/>
      <c r="I2" s="55"/>
      <c r="J2" s="115" t="s">
        <v>1</v>
      </c>
      <c r="K2" s="80">
        <v>81</v>
      </c>
      <c r="L2" s="55"/>
      <c r="M2" s="115" t="s">
        <v>2</v>
      </c>
      <c r="N2" s="93">
        <f>EN_A0300_pa+EN_A0300_m+EN_A0300_p+EN_A0300_f+EN_A0300_t</f>
        <v>132.88876682082679</v>
      </c>
      <c r="O2" s="60"/>
    </row>
    <row r="3" spans="1:15" x14ac:dyDescent="0.25">
      <c r="A3" s="115" t="s">
        <v>3</v>
      </c>
      <c r="B3" s="16" t="s">
        <v>134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115" t="s">
        <v>4</v>
      </c>
      <c r="N3" s="79">
        <v>1</v>
      </c>
      <c r="O3" s="60"/>
    </row>
    <row r="4" spans="1:15" x14ac:dyDescent="0.25">
      <c r="A4" s="115" t="s">
        <v>5</v>
      </c>
      <c r="B4" s="56" t="s">
        <v>139</v>
      </c>
      <c r="C4" s="55"/>
      <c r="D4" s="55"/>
      <c r="E4" s="55"/>
      <c r="F4" s="55"/>
      <c r="G4" s="55"/>
      <c r="H4" s="55"/>
      <c r="I4" s="55"/>
      <c r="J4" s="118" t="s">
        <v>6</v>
      </c>
      <c r="K4" s="55"/>
      <c r="L4" s="55"/>
      <c r="M4" s="55"/>
      <c r="N4" s="55"/>
      <c r="O4" s="60"/>
    </row>
    <row r="5" spans="1:15" x14ac:dyDescent="0.25">
      <c r="A5" s="115" t="s">
        <v>7</v>
      </c>
      <c r="B5" s="18" t="s">
        <v>141</v>
      </c>
      <c r="C5" s="55"/>
      <c r="D5" s="55"/>
      <c r="E5" s="55"/>
      <c r="F5" s="55"/>
      <c r="G5" s="55"/>
      <c r="H5" s="55"/>
      <c r="I5" s="55"/>
      <c r="J5" s="118" t="s">
        <v>8</v>
      </c>
      <c r="K5" s="55"/>
      <c r="L5" s="55"/>
      <c r="M5" s="115" t="s">
        <v>9</v>
      </c>
      <c r="N5" s="71">
        <f>N2*N3</f>
        <v>132.88876682082679</v>
      </c>
      <c r="O5" s="60"/>
    </row>
    <row r="6" spans="1:15" x14ac:dyDescent="0.25">
      <c r="A6" s="115" t="s">
        <v>10</v>
      </c>
      <c r="B6" s="16" t="s">
        <v>11</v>
      </c>
      <c r="C6" s="55"/>
      <c r="D6" s="55"/>
      <c r="E6" s="55"/>
      <c r="F6" s="55"/>
      <c r="G6" s="55"/>
      <c r="H6" s="55"/>
      <c r="I6" s="55"/>
      <c r="J6" s="118" t="s">
        <v>12</v>
      </c>
      <c r="K6" s="55"/>
      <c r="L6" s="55"/>
      <c r="M6" s="55"/>
      <c r="N6" s="55"/>
      <c r="O6" s="60"/>
    </row>
    <row r="7" spans="1:15" x14ac:dyDescent="0.25">
      <c r="A7" s="115" t="s">
        <v>13</v>
      </c>
      <c r="B7" s="16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61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115" t="s">
        <v>14</v>
      </c>
      <c r="B9" s="115" t="s">
        <v>15</v>
      </c>
      <c r="C9" s="115" t="s">
        <v>16</v>
      </c>
      <c r="D9" s="115" t="s">
        <v>17</v>
      </c>
      <c r="E9" s="115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70">
        <v>10</v>
      </c>
      <c r="B10" s="84" t="str">
        <f>EN_0300_001</f>
        <v>Upper plenum</v>
      </c>
      <c r="C10" s="71">
        <f>EN_0300_001!N$2</f>
        <v>12.57225</v>
      </c>
      <c r="D10" s="83">
        <f>EN_0300_001!N$3</f>
        <v>1</v>
      </c>
      <c r="E10" s="71">
        <f>C10*D10</f>
        <v>12.57225</v>
      </c>
      <c r="F10" s="55"/>
      <c r="G10" s="55"/>
      <c r="H10" s="55"/>
      <c r="I10" s="55"/>
      <c r="J10" s="55"/>
      <c r="K10" s="55"/>
      <c r="L10" s="55"/>
      <c r="M10" s="55"/>
      <c r="N10" s="55"/>
      <c r="O10" s="60"/>
    </row>
    <row r="11" spans="1:15" x14ac:dyDescent="0.25">
      <c r="A11" s="70">
        <v>20</v>
      </c>
      <c r="B11" s="87" t="str">
        <f>EN_0300_002</f>
        <v>Plenum plate</v>
      </c>
      <c r="C11" s="71">
        <f>EN_0300_002!N2</f>
        <v>3.6790000000000003</v>
      </c>
      <c r="D11" s="83">
        <f>EN_0300_002!N3</f>
        <v>1</v>
      </c>
      <c r="E11" s="71">
        <f t="shared" ref="E11:E17" si="0">C11*D11</f>
        <v>3.6790000000000003</v>
      </c>
      <c r="F11" s="56"/>
      <c r="G11" s="56"/>
      <c r="H11" s="56"/>
      <c r="I11" s="56"/>
      <c r="J11" s="56"/>
      <c r="K11" s="56"/>
      <c r="L11" s="56"/>
      <c r="M11" s="56"/>
      <c r="N11" s="56"/>
      <c r="O11" s="60"/>
    </row>
    <row r="12" spans="1:15" x14ac:dyDescent="0.25">
      <c r="A12" s="70">
        <v>30</v>
      </c>
      <c r="B12" s="84" t="str">
        <f>EN_0300_003</f>
        <v>Intake manifold</v>
      </c>
      <c r="C12" s="71">
        <f>EN_0300_003!N2</f>
        <v>18.119250000000001</v>
      </c>
      <c r="D12" s="83">
        <f>EN_0300_003!N3</f>
        <v>1</v>
      </c>
      <c r="E12" s="71">
        <f t="shared" si="0"/>
        <v>18.119250000000001</v>
      </c>
      <c r="F12" s="56"/>
      <c r="G12" s="56"/>
      <c r="H12" s="56"/>
      <c r="I12" s="56"/>
      <c r="J12" s="56"/>
      <c r="K12" s="56"/>
      <c r="L12" s="56"/>
      <c r="M12" s="56"/>
      <c r="N12" s="56"/>
      <c r="O12" s="62"/>
    </row>
    <row r="13" spans="1:15" s="17" customFormat="1" x14ac:dyDescent="0.25">
      <c r="A13" s="70">
        <v>40</v>
      </c>
      <c r="B13" s="84" t="str">
        <f>EN_0300_009</f>
        <v>Left frame bracket</v>
      </c>
      <c r="C13" s="71">
        <f>EN_0300_009!N2</f>
        <v>1.6890000000000001</v>
      </c>
      <c r="D13" s="83">
        <f>EN_0300_009!N3</f>
        <v>1</v>
      </c>
      <c r="E13" s="71">
        <f t="shared" si="0"/>
        <v>1.6890000000000001</v>
      </c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s="17" customFormat="1" x14ac:dyDescent="0.25">
      <c r="A14" s="70">
        <v>50</v>
      </c>
      <c r="B14" s="138" t="str">
        <f>EN_0300_010</f>
        <v>Right frame bracket</v>
      </c>
      <c r="C14" s="71">
        <f>EN_0300_010!N2</f>
        <v>1.7614000000000001</v>
      </c>
      <c r="D14" s="83">
        <f>EN_0300_010!N3</f>
        <v>1</v>
      </c>
      <c r="E14" s="71">
        <f t="shared" si="0"/>
        <v>1.7614000000000001</v>
      </c>
      <c r="F14" s="56"/>
      <c r="G14" s="56"/>
      <c r="H14" s="56"/>
      <c r="I14" s="56"/>
      <c r="J14" s="56"/>
      <c r="K14" s="56"/>
      <c r="L14" s="56"/>
      <c r="M14" s="56"/>
      <c r="N14" s="56"/>
      <c r="O14" s="63"/>
    </row>
    <row r="15" spans="1:15" x14ac:dyDescent="0.25">
      <c r="A15" s="70">
        <v>60</v>
      </c>
      <c r="B15" s="138" t="str">
        <f>EN_0300_011</f>
        <v>PAIR plate</v>
      </c>
      <c r="C15" s="71">
        <f>EN_0300_011!N2</f>
        <v>1.9656000000000002</v>
      </c>
      <c r="D15" s="83">
        <f>EN_0300_011!N3</f>
        <v>2</v>
      </c>
      <c r="E15" s="71">
        <f t="shared" si="0"/>
        <v>3.9312000000000005</v>
      </c>
      <c r="F15" s="55"/>
      <c r="G15" s="55"/>
      <c r="H15" s="86"/>
      <c r="I15" s="55"/>
      <c r="J15" s="55"/>
      <c r="K15" s="55"/>
      <c r="L15" s="55"/>
      <c r="M15" s="55"/>
      <c r="N15" s="55"/>
      <c r="O15" s="60"/>
    </row>
    <row r="16" spans="1:15" x14ac:dyDescent="0.25">
      <c r="A16" s="70">
        <v>70</v>
      </c>
      <c r="B16" s="138" t="str">
        <f>EN_0300_012</f>
        <v>Motor bracket</v>
      </c>
      <c r="C16" s="71">
        <f>EN_0300_012!N2</f>
        <v>4.1755999999999993</v>
      </c>
      <c r="D16" s="83">
        <f>EN_0300_012!N3</f>
        <v>1</v>
      </c>
      <c r="E16" s="71">
        <f t="shared" si="0"/>
        <v>4.1755999999999993</v>
      </c>
      <c r="F16" s="55"/>
      <c r="G16" s="55"/>
      <c r="H16" s="55"/>
      <c r="I16" s="55"/>
      <c r="J16" s="55"/>
      <c r="K16" s="55"/>
      <c r="L16" s="55"/>
      <c r="M16" s="55"/>
      <c r="N16" s="55"/>
      <c r="O16" s="60"/>
    </row>
    <row r="17" spans="1:15" x14ac:dyDescent="0.25">
      <c r="A17" s="70">
        <v>80</v>
      </c>
      <c r="B17" s="138" t="str">
        <f>EN_0300_013</f>
        <v>Intake bracket</v>
      </c>
      <c r="C17" s="71">
        <f>EN_0300_013!N2</f>
        <v>1.38425</v>
      </c>
      <c r="D17" s="83">
        <f>EN_0300_013!N3</f>
        <v>2</v>
      </c>
      <c r="E17" s="71">
        <f t="shared" si="0"/>
        <v>2.7685</v>
      </c>
      <c r="F17" s="55"/>
      <c r="G17" s="55"/>
      <c r="H17" s="55"/>
      <c r="I17" s="55"/>
      <c r="J17" s="55"/>
      <c r="K17" s="55"/>
      <c r="L17" s="55"/>
      <c r="M17" s="55"/>
      <c r="N17" s="55"/>
      <c r="O17" s="60"/>
    </row>
    <row r="18" spans="1:15" x14ac:dyDescent="0.25">
      <c r="A18" s="61"/>
      <c r="B18" s="55"/>
      <c r="C18" s="55"/>
      <c r="D18" s="116" t="s">
        <v>18</v>
      </c>
      <c r="E18" s="117">
        <f>SUM(E10:E17)</f>
        <v>48.696200000000005</v>
      </c>
      <c r="F18" s="56"/>
      <c r="G18" s="56"/>
      <c r="H18" s="56"/>
      <c r="I18" s="56"/>
      <c r="J18" s="56"/>
      <c r="K18" s="56"/>
      <c r="L18" s="56"/>
      <c r="M18" s="56"/>
      <c r="N18" s="56"/>
      <c r="O18" s="60"/>
    </row>
    <row r="19" spans="1:15" x14ac:dyDescent="0.25">
      <c r="A19" s="61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0"/>
    </row>
    <row r="20" spans="1:15" x14ac:dyDescent="0.25">
      <c r="A20" s="115" t="s">
        <v>14</v>
      </c>
      <c r="B20" s="115" t="s">
        <v>19</v>
      </c>
      <c r="C20" s="115" t="s">
        <v>20</v>
      </c>
      <c r="D20" s="115" t="s">
        <v>21</v>
      </c>
      <c r="E20" s="115" t="s">
        <v>22</v>
      </c>
      <c r="F20" s="115" t="s">
        <v>23</v>
      </c>
      <c r="G20" s="115" t="s">
        <v>24</v>
      </c>
      <c r="H20" s="115" t="s">
        <v>25</v>
      </c>
      <c r="I20" s="115" t="s">
        <v>26</v>
      </c>
      <c r="J20" s="115" t="s">
        <v>27</v>
      </c>
      <c r="K20" s="115" t="s">
        <v>28</v>
      </c>
      <c r="L20" s="115" t="s">
        <v>29</v>
      </c>
      <c r="M20" s="115" t="s">
        <v>17</v>
      </c>
      <c r="N20" s="115" t="s">
        <v>18</v>
      </c>
      <c r="O20" s="60"/>
    </row>
    <row r="21" spans="1:15" x14ac:dyDescent="0.25">
      <c r="A21" s="70">
        <v>10</v>
      </c>
      <c r="B21" s="70" t="s">
        <v>222</v>
      </c>
      <c r="C21" s="70" t="s">
        <v>223</v>
      </c>
      <c r="D21" s="71">
        <v>8.1</v>
      </c>
      <c r="E21" s="70">
        <v>30</v>
      </c>
      <c r="F21" s="70" t="s">
        <v>30</v>
      </c>
      <c r="G21" s="70"/>
      <c r="H21" s="72"/>
      <c r="I21" s="74"/>
      <c r="J21" s="75"/>
      <c r="K21" s="72"/>
      <c r="L21" s="72"/>
      <c r="M21" s="72">
        <v>2</v>
      </c>
      <c r="N21" s="71">
        <f t="shared" ref="N21" si="1">M21*D21</f>
        <v>16.2</v>
      </c>
      <c r="O21" s="60"/>
    </row>
    <row r="22" spans="1:15" x14ac:dyDescent="0.25">
      <c r="A22" s="70">
        <v>20</v>
      </c>
      <c r="B22" s="70" t="s">
        <v>161</v>
      </c>
      <c r="C22" s="70" t="s">
        <v>225</v>
      </c>
      <c r="D22" s="71">
        <v>0.05</v>
      </c>
      <c r="E22" s="70"/>
      <c r="F22" s="70"/>
      <c r="G22" s="70"/>
      <c r="H22" s="72"/>
      <c r="I22" s="74"/>
      <c r="J22" s="75"/>
      <c r="K22" s="72"/>
      <c r="L22" s="73"/>
      <c r="M22" s="72">
        <v>1</v>
      </c>
      <c r="N22" s="71">
        <f>M22*D22</f>
        <v>0.05</v>
      </c>
      <c r="O22" s="60"/>
    </row>
    <row r="23" spans="1:15" x14ac:dyDescent="0.25">
      <c r="A23" s="70">
        <v>30</v>
      </c>
      <c r="B23" s="70" t="s">
        <v>161</v>
      </c>
      <c r="C23" s="70" t="s">
        <v>226</v>
      </c>
      <c r="D23" s="71">
        <v>0.05</v>
      </c>
      <c r="E23" s="70"/>
      <c r="F23" s="70"/>
      <c r="G23" s="70"/>
      <c r="H23" s="72"/>
      <c r="I23" s="74"/>
      <c r="J23" s="75"/>
      <c r="K23" s="72"/>
      <c r="L23" s="72"/>
      <c r="M23" s="72">
        <v>1</v>
      </c>
      <c r="N23" s="71">
        <f>M23*D23</f>
        <v>0.05</v>
      </c>
      <c r="O23" s="60"/>
    </row>
    <row r="24" spans="1:15" x14ac:dyDescent="0.25">
      <c r="A24" s="6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115" t="s">
        <v>18</v>
      </c>
      <c r="N24" s="117">
        <f>SUM(N21:N23)</f>
        <v>16.3</v>
      </c>
      <c r="O24" s="60"/>
    </row>
    <row r="25" spans="1:15" x14ac:dyDescent="0.25">
      <c r="A25" s="61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0"/>
    </row>
    <row r="26" spans="1:15" s="26" customFormat="1" x14ac:dyDescent="0.25">
      <c r="A26" s="115" t="s">
        <v>14</v>
      </c>
      <c r="B26" s="115" t="s">
        <v>31</v>
      </c>
      <c r="C26" s="115" t="s">
        <v>20</v>
      </c>
      <c r="D26" s="115" t="s">
        <v>21</v>
      </c>
      <c r="E26" s="115" t="s">
        <v>32</v>
      </c>
      <c r="F26" s="115" t="s">
        <v>17</v>
      </c>
      <c r="G26" s="115" t="s">
        <v>33</v>
      </c>
      <c r="H26" s="115" t="s">
        <v>34</v>
      </c>
      <c r="I26" s="115" t="s">
        <v>18</v>
      </c>
      <c r="J26" s="25"/>
      <c r="K26" s="25"/>
      <c r="L26" s="25"/>
      <c r="M26" s="25"/>
      <c r="N26" s="25"/>
      <c r="O26" s="66"/>
    </row>
    <row r="27" spans="1:15" s="26" customFormat="1" x14ac:dyDescent="0.25">
      <c r="A27" s="70">
        <v>10</v>
      </c>
      <c r="B27" s="70" t="s">
        <v>181</v>
      </c>
      <c r="C27" s="70" t="s">
        <v>182</v>
      </c>
      <c r="D27" s="71">
        <v>0.15</v>
      </c>
      <c r="E27" s="70" t="s">
        <v>45</v>
      </c>
      <c r="F27" s="76">
        <v>7.1</v>
      </c>
      <c r="G27" s="76"/>
      <c r="H27" s="76"/>
      <c r="I27" s="71">
        <f t="shared" ref="I27:I38" si="2">IF(H27="",D27*F27,D27*F27*H27)</f>
        <v>1.0649999999999999</v>
      </c>
      <c r="J27" s="56"/>
      <c r="K27" s="56"/>
      <c r="L27" s="56"/>
      <c r="M27" s="56"/>
      <c r="N27" s="56"/>
      <c r="O27" s="66"/>
    </row>
    <row r="28" spans="1:15" s="26" customFormat="1" x14ac:dyDescent="0.25">
      <c r="A28" s="70">
        <v>20</v>
      </c>
      <c r="B28" s="70" t="s">
        <v>219</v>
      </c>
      <c r="C28" s="70" t="s">
        <v>227</v>
      </c>
      <c r="D28" s="71">
        <v>0.06</v>
      </c>
      <c r="E28" s="70" t="s">
        <v>35</v>
      </c>
      <c r="F28" s="76">
        <v>1</v>
      </c>
      <c r="G28" s="76"/>
      <c r="H28" s="76"/>
      <c r="I28" s="71">
        <f t="shared" si="2"/>
        <v>0.06</v>
      </c>
      <c r="J28" s="56"/>
      <c r="K28" s="56"/>
      <c r="L28" s="56"/>
      <c r="M28" s="56"/>
      <c r="N28" s="56"/>
      <c r="O28" s="66"/>
    </row>
    <row r="29" spans="1:15" s="26" customFormat="1" x14ac:dyDescent="0.25">
      <c r="A29" s="70">
        <v>30</v>
      </c>
      <c r="B29" s="70" t="s">
        <v>219</v>
      </c>
      <c r="C29" s="70" t="s">
        <v>228</v>
      </c>
      <c r="D29" s="71">
        <v>0.06</v>
      </c>
      <c r="E29" s="70" t="s">
        <v>35</v>
      </c>
      <c r="F29" s="76">
        <v>1</v>
      </c>
      <c r="G29" s="76"/>
      <c r="H29" s="76"/>
      <c r="I29" s="71">
        <f t="shared" si="2"/>
        <v>0.06</v>
      </c>
      <c r="J29" s="56"/>
      <c r="K29" s="56"/>
      <c r="L29" s="56"/>
      <c r="M29" s="56"/>
      <c r="N29" s="56"/>
      <c r="O29" s="66"/>
    </row>
    <row r="30" spans="1:15" s="26" customFormat="1" x14ac:dyDescent="0.25">
      <c r="A30" s="70">
        <v>40</v>
      </c>
      <c r="B30" s="70" t="s">
        <v>186</v>
      </c>
      <c r="C30" s="70" t="s">
        <v>159</v>
      </c>
      <c r="D30" s="71">
        <v>1</v>
      </c>
      <c r="E30" s="70" t="s">
        <v>35</v>
      </c>
      <c r="F30" s="76">
        <v>12</v>
      </c>
      <c r="G30" s="76"/>
      <c r="H30" s="76"/>
      <c r="I30" s="71">
        <f t="shared" si="2"/>
        <v>12</v>
      </c>
      <c r="J30" s="56"/>
      <c r="K30" s="56"/>
      <c r="L30" s="56"/>
      <c r="M30" s="56"/>
      <c r="N30" s="56"/>
      <c r="O30" s="66"/>
    </row>
    <row r="31" spans="1:15" s="26" customFormat="1" x14ac:dyDescent="0.25">
      <c r="A31" s="70">
        <v>50</v>
      </c>
      <c r="B31" s="70" t="s">
        <v>187</v>
      </c>
      <c r="C31" s="70" t="s">
        <v>159</v>
      </c>
      <c r="D31" s="71">
        <v>0.25</v>
      </c>
      <c r="E31" s="70" t="s">
        <v>35</v>
      </c>
      <c r="F31" s="76">
        <v>12</v>
      </c>
      <c r="G31" s="76"/>
      <c r="H31" s="76"/>
      <c r="I31" s="71">
        <f t="shared" si="2"/>
        <v>3</v>
      </c>
      <c r="J31" s="56"/>
      <c r="K31" s="56"/>
      <c r="L31" s="56"/>
      <c r="M31" s="56"/>
      <c r="N31" s="56"/>
      <c r="O31" s="66"/>
    </row>
    <row r="32" spans="1:15" s="26" customFormat="1" x14ac:dyDescent="0.25">
      <c r="A32" s="70">
        <v>60</v>
      </c>
      <c r="B32" s="70" t="s">
        <v>219</v>
      </c>
      <c r="C32" s="70" t="s">
        <v>229</v>
      </c>
      <c r="D32" s="71">
        <v>6.0000000000000001E-3</v>
      </c>
      <c r="E32" s="70" t="s">
        <v>35</v>
      </c>
      <c r="F32" s="76">
        <v>1</v>
      </c>
      <c r="G32" s="76"/>
      <c r="H32" s="76"/>
      <c r="I32" s="71">
        <f t="shared" si="2"/>
        <v>6.0000000000000001E-3</v>
      </c>
      <c r="J32" s="56"/>
      <c r="K32" s="56"/>
      <c r="L32" s="56"/>
      <c r="M32" s="56"/>
      <c r="N32" s="56"/>
      <c r="O32" s="66"/>
    </row>
    <row r="33" spans="1:15" s="26" customFormat="1" x14ac:dyDescent="0.25">
      <c r="A33" s="70">
        <v>70</v>
      </c>
      <c r="B33" s="70" t="s">
        <v>219</v>
      </c>
      <c r="C33" s="70" t="s">
        <v>230</v>
      </c>
      <c r="D33" s="71">
        <v>6.0000000000000001E-3</v>
      </c>
      <c r="E33" s="70" t="s">
        <v>35</v>
      </c>
      <c r="F33" s="76">
        <v>1</v>
      </c>
      <c r="G33" s="76"/>
      <c r="H33" s="76"/>
      <c r="I33" s="71">
        <f t="shared" si="2"/>
        <v>6.0000000000000001E-3</v>
      </c>
      <c r="J33" s="56"/>
      <c r="K33" s="56"/>
      <c r="L33" s="56"/>
      <c r="M33" s="56"/>
      <c r="N33" s="56"/>
      <c r="O33" s="66"/>
    </row>
    <row r="34" spans="1:15" s="26" customFormat="1" x14ac:dyDescent="0.25">
      <c r="A34" s="70">
        <v>80</v>
      </c>
      <c r="B34" s="70" t="s">
        <v>186</v>
      </c>
      <c r="C34" s="70" t="s">
        <v>160</v>
      </c>
      <c r="D34" s="71">
        <v>1.5</v>
      </c>
      <c r="E34" s="70" t="s">
        <v>35</v>
      </c>
      <c r="F34" s="76">
        <v>12</v>
      </c>
      <c r="G34" s="76"/>
      <c r="H34" s="76"/>
      <c r="I34" s="71">
        <f t="shared" si="2"/>
        <v>18</v>
      </c>
      <c r="J34" s="56"/>
      <c r="K34" s="56"/>
      <c r="L34" s="56"/>
      <c r="M34" s="56"/>
      <c r="N34" s="56"/>
      <c r="O34" s="66"/>
    </row>
    <row r="35" spans="1:15" s="26" customFormat="1" x14ac:dyDescent="0.25">
      <c r="A35" s="70">
        <v>90</v>
      </c>
      <c r="B35" s="70" t="s">
        <v>187</v>
      </c>
      <c r="C35" s="70" t="s">
        <v>160</v>
      </c>
      <c r="D35" s="71">
        <v>0.25</v>
      </c>
      <c r="E35" s="70" t="s">
        <v>35</v>
      </c>
      <c r="F35" s="76">
        <v>12</v>
      </c>
      <c r="G35" s="76"/>
      <c r="H35" s="76"/>
      <c r="I35" s="71">
        <f t="shared" si="2"/>
        <v>3</v>
      </c>
      <c r="J35" s="56"/>
      <c r="K35" s="56"/>
      <c r="L35" s="56"/>
      <c r="M35" s="56"/>
      <c r="N35" s="56"/>
      <c r="O35" s="66"/>
    </row>
    <row r="36" spans="1:15" s="26" customFormat="1" x14ac:dyDescent="0.25">
      <c r="A36" s="70">
        <v>100</v>
      </c>
      <c r="B36" s="70" t="s">
        <v>219</v>
      </c>
      <c r="C36" s="70" t="s">
        <v>162</v>
      </c>
      <c r="D36" s="71">
        <v>0.06</v>
      </c>
      <c r="E36" s="70" t="s">
        <v>35</v>
      </c>
      <c r="F36" s="76">
        <v>2</v>
      </c>
      <c r="G36" s="76"/>
      <c r="H36" s="76"/>
      <c r="I36" s="71">
        <f t="shared" si="2"/>
        <v>0.12</v>
      </c>
      <c r="J36" s="56"/>
      <c r="K36" s="56"/>
      <c r="L36" s="56"/>
      <c r="M36" s="56"/>
      <c r="N36" s="56"/>
      <c r="O36" s="66"/>
    </row>
    <row r="37" spans="1:15" s="26" customFormat="1" x14ac:dyDescent="0.25">
      <c r="A37" s="70">
        <v>110</v>
      </c>
      <c r="B37" s="70" t="s">
        <v>169</v>
      </c>
      <c r="C37" s="70" t="s">
        <v>163</v>
      </c>
      <c r="D37" s="71">
        <v>1.5</v>
      </c>
      <c r="E37" s="70" t="s">
        <v>35</v>
      </c>
      <c r="F37" s="76">
        <v>2</v>
      </c>
      <c r="G37" s="76"/>
      <c r="H37" s="76"/>
      <c r="I37" s="71">
        <f t="shared" si="2"/>
        <v>3</v>
      </c>
      <c r="J37" s="56"/>
      <c r="K37" s="56"/>
      <c r="L37" s="56"/>
      <c r="M37" s="56"/>
      <c r="N37" s="56"/>
      <c r="O37" s="66"/>
    </row>
    <row r="38" spans="1:15" s="26" customFormat="1" x14ac:dyDescent="0.25">
      <c r="A38" s="70">
        <v>120</v>
      </c>
      <c r="B38" s="70" t="s">
        <v>156</v>
      </c>
      <c r="C38" s="70" t="s">
        <v>163</v>
      </c>
      <c r="D38" s="71">
        <v>0.25</v>
      </c>
      <c r="E38" s="70" t="s">
        <v>35</v>
      </c>
      <c r="F38" s="76">
        <v>2</v>
      </c>
      <c r="G38" s="76"/>
      <c r="H38" s="76"/>
      <c r="I38" s="71">
        <f t="shared" si="2"/>
        <v>0.5</v>
      </c>
      <c r="J38" s="56"/>
      <c r="K38" s="56"/>
      <c r="L38" s="56"/>
      <c r="M38" s="56"/>
      <c r="N38" s="56"/>
      <c r="O38" s="66"/>
    </row>
    <row r="39" spans="1:15" s="26" customFormat="1" x14ac:dyDescent="0.25">
      <c r="A39" s="70">
        <v>130</v>
      </c>
      <c r="B39" s="70" t="s">
        <v>219</v>
      </c>
      <c r="C39" s="70" t="s">
        <v>173</v>
      </c>
      <c r="D39" s="71">
        <v>0.06</v>
      </c>
      <c r="E39" s="70" t="s">
        <v>35</v>
      </c>
      <c r="F39" s="76">
        <v>1</v>
      </c>
      <c r="G39" s="76"/>
      <c r="H39" s="76"/>
      <c r="I39" s="71">
        <f t="shared" ref="I39:I42" si="3">IF(H39="",D39*F39,D39*F39*H39)</f>
        <v>0.06</v>
      </c>
      <c r="J39" s="56"/>
      <c r="K39" s="56"/>
      <c r="L39" s="56"/>
      <c r="M39" s="56"/>
      <c r="N39" s="56"/>
      <c r="O39" s="66"/>
    </row>
    <row r="40" spans="1:15" s="26" customFormat="1" x14ac:dyDescent="0.25">
      <c r="A40" s="70">
        <v>140</v>
      </c>
      <c r="B40" s="70" t="s">
        <v>169</v>
      </c>
      <c r="C40" s="70" t="s">
        <v>164</v>
      </c>
      <c r="D40" s="71">
        <v>1.5</v>
      </c>
      <c r="E40" s="70" t="s">
        <v>35</v>
      </c>
      <c r="F40" s="76">
        <v>2</v>
      </c>
      <c r="G40" s="76"/>
      <c r="H40" s="76"/>
      <c r="I40" s="71">
        <f t="shared" si="3"/>
        <v>3</v>
      </c>
      <c r="J40" s="56"/>
      <c r="K40" s="56"/>
      <c r="L40" s="56"/>
      <c r="M40" s="56"/>
      <c r="N40" s="56"/>
      <c r="O40" s="66"/>
    </row>
    <row r="41" spans="1:15" s="26" customFormat="1" x14ac:dyDescent="0.25">
      <c r="A41" s="70">
        <v>150</v>
      </c>
      <c r="B41" s="70" t="s">
        <v>156</v>
      </c>
      <c r="C41" s="70" t="s">
        <v>164</v>
      </c>
      <c r="D41" s="71">
        <v>0.25</v>
      </c>
      <c r="E41" s="70" t="s">
        <v>35</v>
      </c>
      <c r="F41" s="76">
        <v>2</v>
      </c>
      <c r="G41" s="76"/>
      <c r="H41" s="76"/>
      <c r="I41" s="71">
        <f t="shared" si="3"/>
        <v>0.5</v>
      </c>
      <c r="J41" s="56"/>
      <c r="K41" s="56"/>
      <c r="L41" s="56"/>
      <c r="M41" s="56"/>
      <c r="N41" s="56"/>
      <c r="O41" s="66"/>
    </row>
    <row r="42" spans="1:15" s="26" customFormat="1" x14ac:dyDescent="0.25">
      <c r="A42" s="70">
        <v>160</v>
      </c>
      <c r="B42" s="70" t="s">
        <v>219</v>
      </c>
      <c r="C42" s="70" t="s">
        <v>168</v>
      </c>
      <c r="D42" s="71">
        <v>0.06</v>
      </c>
      <c r="E42" s="70" t="s">
        <v>35</v>
      </c>
      <c r="F42" s="76">
        <v>2</v>
      </c>
      <c r="G42" s="76"/>
      <c r="H42" s="76"/>
      <c r="I42" s="71">
        <f t="shared" si="3"/>
        <v>0.12</v>
      </c>
      <c r="J42" s="56"/>
      <c r="K42" s="56"/>
      <c r="L42" s="56"/>
      <c r="M42" s="56"/>
      <c r="N42" s="56"/>
      <c r="O42" s="66"/>
    </row>
    <row r="43" spans="1:15" s="26" customFormat="1" x14ac:dyDescent="0.25">
      <c r="A43" s="70">
        <v>170</v>
      </c>
      <c r="B43" s="70" t="s">
        <v>220</v>
      </c>
      <c r="C43" s="70" t="s">
        <v>165</v>
      </c>
      <c r="D43" s="71">
        <v>0.19</v>
      </c>
      <c r="E43" s="70" t="s">
        <v>35</v>
      </c>
      <c r="F43" s="76">
        <v>1</v>
      </c>
      <c r="G43" s="76"/>
      <c r="H43" s="76"/>
      <c r="I43" s="71">
        <f t="shared" ref="I43:I47" si="4">IF(H43="",D43*F43,D43*F43*H43)</f>
        <v>0.19</v>
      </c>
      <c r="J43" s="56"/>
      <c r="K43" s="56"/>
      <c r="L43" s="56"/>
      <c r="M43" s="56"/>
      <c r="N43" s="56"/>
      <c r="O43" s="66"/>
    </row>
    <row r="44" spans="1:15" s="26" customFormat="1" x14ac:dyDescent="0.25">
      <c r="A44" s="70">
        <v>180</v>
      </c>
      <c r="B44" s="70" t="s">
        <v>166</v>
      </c>
      <c r="C44" s="70" t="s">
        <v>167</v>
      </c>
      <c r="D44" s="71">
        <v>0.35</v>
      </c>
      <c r="E44" s="70" t="s">
        <v>35</v>
      </c>
      <c r="F44" s="76">
        <v>2</v>
      </c>
      <c r="G44" s="76"/>
      <c r="H44" s="76"/>
      <c r="I44" s="71">
        <f t="shared" si="4"/>
        <v>0.7</v>
      </c>
      <c r="J44" s="56"/>
      <c r="K44" s="56"/>
      <c r="L44" s="56"/>
      <c r="M44" s="56"/>
      <c r="N44" s="56"/>
      <c r="O44" s="66"/>
    </row>
    <row r="45" spans="1:15" s="26" customFormat="1" x14ac:dyDescent="0.25">
      <c r="A45" s="70">
        <v>190</v>
      </c>
      <c r="B45" s="70" t="s">
        <v>221</v>
      </c>
      <c r="C45" s="70" t="s">
        <v>170</v>
      </c>
      <c r="D45" s="71">
        <v>0.13</v>
      </c>
      <c r="E45" s="70" t="s">
        <v>35</v>
      </c>
      <c r="F45" s="76">
        <v>2</v>
      </c>
      <c r="G45" s="76"/>
      <c r="H45" s="76"/>
      <c r="I45" s="71">
        <f t="shared" si="4"/>
        <v>0.26</v>
      </c>
      <c r="J45" s="56"/>
      <c r="K45" s="56"/>
      <c r="L45" s="56"/>
      <c r="M45" s="56"/>
      <c r="N45" s="56"/>
      <c r="O45" s="66"/>
    </row>
    <row r="46" spans="1:15" s="26" customFormat="1" x14ac:dyDescent="0.25">
      <c r="A46" s="70">
        <v>200</v>
      </c>
      <c r="B46" s="70" t="s">
        <v>169</v>
      </c>
      <c r="C46" s="70" t="s">
        <v>171</v>
      </c>
      <c r="D46" s="71">
        <v>1.5</v>
      </c>
      <c r="E46" s="70" t="s">
        <v>35</v>
      </c>
      <c r="F46" s="76">
        <v>2</v>
      </c>
      <c r="G46" s="76"/>
      <c r="H46" s="76"/>
      <c r="I46" s="71">
        <f t="shared" si="4"/>
        <v>3</v>
      </c>
      <c r="J46" s="56"/>
      <c r="K46" s="56"/>
      <c r="L46" s="56"/>
      <c r="M46" s="56"/>
      <c r="N46" s="56"/>
      <c r="O46" s="66"/>
    </row>
    <row r="47" spans="1:15" s="26" customFormat="1" x14ac:dyDescent="0.25">
      <c r="A47" s="70">
        <v>210</v>
      </c>
      <c r="B47" s="70" t="s">
        <v>156</v>
      </c>
      <c r="C47" s="70" t="s">
        <v>171</v>
      </c>
      <c r="D47" s="71">
        <v>0.25</v>
      </c>
      <c r="E47" s="70" t="s">
        <v>35</v>
      </c>
      <c r="F47" s="76">
        <v>2</v>
      </c>
      <c r="G47" s="76"/>
      <c r="H47" s="76"/>
      <c r="I47" s="71">
        <f t="shared" si="4"/>
        <v>0.5</v>
      </c>
      <c r="J47" s="56"/>
      <c r="K47" s="56"/>
      <c r="L47" s="56"/>
      <c r="M47" s="56"/>
      <c r="N47" s="56"/>
      <c r="O47" s="66"/>
    </row>
    <row r="48" spans="1:15" s="26" customFormat="1" x14ac:dyDescent="0.25">
      <c r="A48" s="70">
        <v>220</v>
      </c>
      <c r="B48" s="70" t="s">
        <v>220</v>
      </c>
      <c r="C48" s="70" t="s">
        <v>165</v>
      </c>
      <c r="D48" s="71">
        <v>0.19</v>
      </c>
      <c r="E48" s="70" t="s">
        <v>35</v>
      </c>
      <c r="F48" s="76">
        <v>1</v>
      </c>
      <c r="G48" s="76"/>
      <c r="H48" s="76"/>
      <c r="I48" s="71">
        <f t="shared" ref="I48:I56" si="5">IF(H48="",D48*F48,D48*F48*H48)</f>
        <v>0.19</v>
      </c>
      <c r="J48" s="56"/>
      <c r="K48" s="56"/>
      <c r="L48" s="56"/>
      <c r="M48" s="56"/>
      <c r="N48" s="56"/>
      <c r="O48" s="66"/>
    </row>
    <row r="49" spans="1:15" s="26" customFormat="1" x14ac:dyDescent="0.25">
      <c r="A49" s="70">
        <v>230</v>
      </c>
      <c r="B49" s="70" t="s">
        <v>169</v>
      </c>
      <c r="C49" s="70" t="s">
        <v>172</v>
      </c>
      <c r="D49" s="71">
        <v>1.5</v>
      </c>
      <c r="E49" s="70" t="s">
        <v>35</v>
      </c>
      <c r="F49" s="76">
        <v>4</v>
      </c>
      <c r="G49" s="76"/>
      <c r="H49" s="76"/>
      <c r="I49" s="71">
        <f t="shared" si="5"/>
        <v>6</v>
      </c>
      <c r="J49" s="56"/>
      <c r="K49" s="56"/>
      <c r="L49" s="56"/>
      <c r="M49" s="56"/>
      <c r="N49" s="56"/>
      <c r="O49" s="66"/>
    </row>
    <row r="50" spans="1:15" s="26" customFormat="1" x14ac:dyDescent="0.25">
      <c r="A50" s="70">
        <v>240</v>
      </c>
      <c r="B50" s="70" t="s">
        <v>174</v>
      </c>
      <c r="C50" s="70" t="s">
        <v>224</v>
      </c>
      <c r="D50" s="71">
        <v>0.5</v>
      </c>
      <c r="E50" s="70" t="s">
        <v>35</v>
      </c>
      <c r="F50" s="76">
        <v>4</v>
      </c>
      <c r="G50" s="76"/>
      <c r="H50" s="76"/>
      <c r="I50" s="71">
        <f t="shared" si="5"/>
        <v>2</v>
      </c>
      <c r="J50" s="56"/>
      <c r="K50" s="56"/>
      <c r="L50" s="56"/>
      <c r="M50" s="56"/>
      <c r="N50" s="56"/>
      <c r="O50" s="66"/>
    </row>
    <row r="51" spans="1:15" s="26" customFormat="1" x14ac:dyDescent="0.25">
      <c r="A51" s="70">
        <v>250</v>
      </c>
      <c r="B51" s="70" t="s">
        <v>221</v>
      </c>
      <c r="C51" s="70" t="s">
        <v>175</v>
      </c>
      <c r="D51" s="71">
        <v>0.13</v>
      </c>
      <c r="E51" s="70" t="s">
        <v>35</v>
      </c>
      <c r="F51" s="76">
        <v>2</v>
      </c>
      <c r="G51" s="76"/>
      <c r="H51" s="76"/>
      <c r="I51" s="71">
        <f t="shared" si="5"/>
        <v>0.26</v>
      </c>
      <c r="J51" s="56"/>
      <c r="K51" s="56"/>
      <c r="L51" s="56"/>
      <c r="M51" s="56"/>
      <c r="N51" s="56"/>
      <c r="O51" s="66"/>
    </row>
    <row r="52" spans="1:15" s="26" customFormat="1" x14ac:dyDescent="0.25">
      <c r="A52" s="70">
        <v>260</v>
      </c>
      <c r="B52" s="70" t="s">
        <v>177</v>
      </c>
      <c r="C52" s="70" t="s">
        <v>178</v>
      </c>
      <c r="D52" s="71">
        <v>0.25</v>
      </c>
      <c r="E52" s="70" t="s">
        <v>179</v>
      </c>
      <c r="F52" s="76">
        <v>2</v>
      </c>
      <c r="G52" s="76"/>
      <c r="H52" s="76"/>
      <c r="I52" s="71">
        <f t="shared" si="5"/>
        <v>0.5</v>
      </c>
      <c r="J52" s="56"/>
      <c r="K52" s="56"/>
      <c r="L52" s="56"/>
      <c r="M52" s="56"/>
      <c r="N52" s="56"/>
      <c r="O52" s="66"/>
    </row>
    <row r="53" spans="1:15" s="26" customFormat="1" x14ac:dyDescent="0.25">
      <c r="A53" s="70">
        <v>270</v>
      </c>
      <c r="B53" s="70" t="s">
        <v>166</v>
      </c>
      <c r="C53" s="70" t="s">
        <v>176</v>
      </c>
      <c r="D53" s="71">
        <v>0.35</v>
      </c>
      <c r="E53" s="70" t="s">
        <v>35</v>
      </c>
      <c r="F53" s="76">
        <v>2</v>
      </c>
      <c r="G53" s="76"/>
      <c r="H53" s="76"/>
      <c r="I53" s="71">
        <f t="shared" si="5"/>
        <v>0.7</v>
      </c>
      <c r="J53" s="56"/>
      <c r="K53" s="56"/>
      <c r="L53" s="56"/>
      <c r="M53" s="56"/>
      <c r="N53" s="56"/>
      <c r="O53" s="66"/>
    </row>
    <row r="54" spans="1:15" s="26" customFormat="1" x14ac:dyDescent="0.25">
      <c r="A54" s="70">
        <v>280</v>
      </c>
      <c r="B54" s="70" t="s">
        <v>221</v>
      </c>
      <c r="C54" s="70" t="s">
        <v>232</v>
      </c>
      <c r="D54" s="71">
        <v>0.13</v>
      </c>
      <c r="E54" s="70" t="s">
        <v>35</v>
      </c>
      <c r="F54" s="76">
        <v>2</v>
      </c>
      <c r="G54" s="76"/>
      <c r="H54" s="76"/>
      <c r="I54" s="71">
        <f t="shared" si="5"/>
        <v>0.26</v>
      </c>
      <c r="J54" s="56"/>
      <c r="K54" s="56"/>
      <c r="L54" s="56"/>
      <c r="M54" s="56"/>
      <c r="N54" s="56"/>
      <c r="O54" s="66"/>
    </row>
    <row r="55" spans="1:15" s="26" customFormat="1" x14ac:dyDescent="0.25">
      <c r="A55" s="70">
        <v>290</v>
      </c>
      <c r="B55" s="70" t="s">
        <v>169</v>
      </c>
      <c r="C55" s="70" t="s">
        <v>180</v>
      </c>
      <c r="D55" s="71">
        <v>1.5</v>
      </c>
      <c r="E55" s="70" t="s">
        <v>35</v>
      </c>
      <c r="F55" s="76">
        <v>2</v>
      </c>
      <c r="G55" s="76"/>
      <c r="H55" s="76"/>
      <c r="I55" s="71">
        <f t="shared" si="5"/>
        <v>3</v>
      </c>
      <c r="J55" s="56"/>
      <c r="K55" s="56"/>
      <c r="L55" s="56"/>
      <c r="M55" s="56"/>
      <c r="N55" s="56"/>
      <c r="O55" s="66"/>
    </row>
    <row r="56" spans="1:15" s="26" customFormat="1" x14ac:dyDescent="0.25">
      <c r="A56" s="70">
        <v>300</v>
      </c>
      <c r="B56" s="70" t="s">
        <v>156</v>
      </c>
      <c r="C56" s="70" t="s">
        <v>180</v>
      </c>
      <c r="D56" s="71">
        <v>0.25</v>
      </c>
      <c r="E56" s="70" t="s">
        <v>35</v>
      </c>
      <c r="F56" s="76">
        <v>2</v>
      </c>
      <c r="G56" s="76"/>
      <c r="H56" s="76"/>
      <c r="I56" s="71">
        <f t="shared" si="5"/>
        <v>0.5</v>
      </c>
      <c r="J56" s="56"/>
      <c r="K56" s="56"/>
      <c r="L56" s="56"/>
      <c r="M56" s="56"/>
      <c r="N56" s="56"/>
      <c r="O56" s="66"/>
    </row>
    <row r="57" spans="1:15" x14ac:dyDescent="0.25">
      <c r="A57" s="65"/>
      <c r="B57" s="25"/>
      <c r="C57" s="25"/>
      <c r="D57" s="25"/>
      <c r="E57" s="25"/>
      <c r="F57" s="25"/>
      <c r="G57" s="25"/>
      <c r="H57" s="116" t="s">
        <v>18</v>
      </c>
      <c r="I57" s="117">
        <f>SUM(I27:I56)</f>
        <v>62.556999999999995</v>
      </c>
      <c r="J57" s="55"/>
      <c r="K57" s="55"/>
      <c r="L57" s="55"/>
      <c r="M57" s="55"/>
      <c r="N57" s="55"/>
      <c r="O57" s="60"/>
    </row>
    <row r="58" spans="1:15" x14ac:dyDescent="0.25">
      <c r="A58" s="61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60"/>
    </row>
    <row r="59" spans="1:15" x14ac:dyDescent="0.25">
      <c r="A59" s="115" t="s">
        <v>14</v>
      </c>
      <c r="B59" s="115" t="s">
        <v>36</v>
      </c>
      <c r="C59" s="115" t="s">
        <v>20</v>
      </c>
      <c r="D59" s="115" t="s">
        <v>21</v>
      </c>
      <c r="E59" s="115" t="s">
        <v>22</v>
      </c>
      <c r="F59" s="115" t="s">
        <v>23</v>
      </c>
      <c r="G59" s="115" t="s">
        <v>24</v>
      </c>
      <c r="H59" s="115" t="s">
        <v>25</v>
      </c>
      <c r="I59" s="115" t="s">
        <v>17</v>
      </c>
      <c r="J59" s="115" t="s">
        <v>18</v>
      </c>
      <c r="K59" s="55"/>
      <c r="L59" s="55"/>
      <c r="M59" s="55"/>
      <c r="N59" s="55"/>
      <c r="O59" s="60"/>
    </row>
    <row r="60" spans="1:15" x14ac:dyDescent="0.25">
      <c r="A60" s="70">
        <v>10</v>
      </c>
      <c r="B60" s="70" t="s">
        <v>183</v>
      </c>
      <c r="C60" s="70" t="s">
        <v>184</v>
      </c>
      <c r="D60" s="77">
        <f>0.004*E60+0.5</f>
        <v>0.69399999999999995</v>
      </c>
      <c r="E60" s="78">
        <v>48.5</v>
      </c>
      <c r="F60" s="78" t="s">
        <v>30</v>
      </c>
      <c r="G60" s="78"/>
      <c r="H60" s="78"/>
      <c r="I60" s="79">
        <v>4</v>
      </c>
      <c r="J60" s="71">
        <f>I60*D60</f>
        <v>2.7759999999999998</v>
      </c>
      <c r="K60" s="55"/>
      <c r="L60" s="55"/>
      <c r="M60" s="55"/>
      <c r="N60" s="55"/>
      <c r="O60" s="60"/>
    </row>
    <row r="61" spans="1:15" x14ac:dyDescent="0.25">
      <c r="A61" s="70">
        <v>20</v>
      </c>
      <c r="B61" s="70" t="s">
        <v>189</v>
      </c>
      <c r="C61" s="70" t="s">
        <v>185</v>
      </c>
      <c r="D61" s="77">
        <f>0.8/105154*E61^2*G61*SQRT((G61+E61))+(0.003*EXP(0.319*E61))</f>
        <v>4.8271264768582824E-2</v>
      </c>
      <c r="E61" s="78">
        <v>6</v>
      </c>
      <c r="F61" s="78" t="s">
        <v>30</v>
      </c>
      <c r="G61" s="78">
        <v>20</v>
      </c>
      <c r="H61" s="78" t="s">
        <v>30</v>
      </c>
      <c r="I61" s="79">
        <v>8</v>
      </c>
      <c r="J61" s="71">
        <f t="shared" ref="J61:J66" si="6">I61*D61</f>
        <v>0.38617011814866259</v>
      </c>
      <c r="K61" s="55"/>
      <c r="L61" s="55"/>
      <c r="M61" s="55"/>
      <c r="N61" s="55"/>
      <c r="O61" s="60"/>
    </row>
    <row r="62" spans="1:15" x14ac:dyDescent="0.25">
      <c r="A62" s="70">
        <v>30</v>
      </c>
      <c r="B62" s="70" t="s">
        <v>189</v>
      </c>
      <c r="C62" s="70" t="s">
        <v>190</v>
      </c>
      <c r="D62" s="77">
        <f>0.8/105154*E62^2*G62*SQRT((G62+E62))+(0.003*EXP(0.319*E62))</f>
        <v>1.9456865709169109E-2</v>
      </c>
      <c r="E62" s="78">
        <v>4</v>
      </c>
      <c r="F62" s="78" t="s">
        <v>30</v>
      </c>
      <c r="G62" s="78">
        <v>16</v>
      </c>
      <c r="H62" s="78" t="s">
        <v>30</v>
      </c>
      <c r="I62" s="79">
        <v>24</v>
      </c>
      <c r="J62" s="71">
        <f t="shared" si="6"/>
        <v>0.46696477702005862</v>
      </c>
      <c r="K62" s="55"/>
      <c r="L62" s="55"/>
      <c r="M62" s="55"/>
      <c r="N62" s="55"/>
      <c r="O62" s="60"/>
    </row>
    <row r="63" spans="1:15" x14ac:dyDescent="0.25">
      <c r="A63" s="70">
        <v>40</v>
      </c>
      <c r="B63" s="70" t="s">
        <v>188</v>
      </c>
      <c r="C63" s="70" t="s">
        <v>185</v>
      </c>
      <c r="D63" s="77">
        <v>0.01</v>
      </c>
      <c r="E63" s="78">
        <v>6</v>
      </c>
      <c r="F63" s="78" t="s">
        <v>30</v>
      </c>
      <c r="G63" s="78"/>
      <c r="H63" s="78"/>
      <c r="I63" s="79">
        <v>8</v>
      </c>
      <c r="J63" s="71">
        <f t="shared" si="6"/>
        <v>0.08</v>
      </c>
      <c r="K63" s="55"/>
      <c r="L63" s="55"/>
      <c r="M63" s="55"/>
      <c r="N63" s="55"/>
      <c r="O63" s="60"/>
    </row>
    <row r="64" spans="1:15" x14ac:dyDescent="0.25">
      <c r="A64" s="70">
        <v>50</v>
      </c>
      <c r="B64" s="70" t="s">
        <v>188</v>
      </c>
      <c r="C64" s="70" t="s">
        <v>190</v>
      </c>
      <c r="D64" s="77">
        <v>0.01</v>
      </c>
      <c r="E64" s="78">
        <v>4</v>
      </c>
      <c r="F64" s="78" t="s">
        <v>30</v>
      </c>
      <c r="G64" s="78"/>
      <c r="H64" s="78"/>
      <c r="I64" s="79">
        <v>24</v>
      </c>
      <c r="J64" s="71">
        <f t="shared" si="6"/>
        <v>0.24</v>
      </c>
      <c r="K64" s="55"/>
      <c r="L64" s="55"/>
      <c r="M64" s="55"/>
      <c r="N64" s="55"/>
      <c r="O64" s="60"/>
    </row>
    <row r="65" spans="1:15" x14ac:dyDescent="0.25">
      <c r="A65" s="70">
        <v>60</v>
      </c>
      <c r="B65" s="70" t="s">
        <v>37</v>
      </c>
      <c r="C65" s="70" t="s">
        <v>185</v>
      </c>
      <c r="D65" s="77">
        <f>(0.009*EXP(0.2*E65))</f>
        <v>2.9881052304628931E-2</v>
      </c>
      <c r="E65" s="78">
        <v>6</v>
      </c>
      <c r="F65" s="78" t="s">
        <v>30</v>
      </c>
      <c r="G65" s="78"/>
      <c r="H65" s="78"/>
      <c r="I65" s="79">
        <v>8</v>
      </c>
      <c r="J65" s="71">
        <f t="shared" si="6"/>
        <v>0.23904841843703145</v>
      </c>
      <c r="K65" s="55"/>
      <c r="L65" s="55"/>
      <c r="M65" s="55"/>
      <c r="N65" s="55"/>
      <c r="O65" s="60"/>
    </row>
    <row r="66" spans="1:15" x14ac:dyDescent="0.25">
      <c r="A66" s="70">
        <v>70</v>
      </c>
      <c r="B66" s="70" t="s">
        <v>37</v>
      </c>
      <c r="C66" s="70" t="s">
        <v>190</v>
      </c>
      <c r="D66" s="77">
        <f>(0.009*EXP(0.2*E66))</f>
        <v>2.0029868356432209E-2</v>
      </c>
      <c r="E66" s="78">
        <v>4</v>
      </c>
      <c r="F66" s="78" t="s">
        <v>30</v>
      </c>
      <c r="G66" s="78"/>
      <c r="H66" s="78"/>
      <c r="I66" s="79">
        <v>24</v>
      </c>
      <c r="J66" s="71">
        <f t="shared" si="6"/>
        <v>0.48071684055437303</v>
      </c>
      <c r="K66" s="55"/>
      <c r="L66" s="55"/>
      <c r="M66" s="55"/>
      <c r="N66" s="55"/>
      <c r="O66" s="60"/>
    </row>
    <row r="67" spans="1:15" x14ac:dyDescent="0.25">
      <c r="A67" s="65"/>
      <c r="B67" s="25"/>
      <c r="C67" s="25"/>
      <c r="D67" s="25"/>
      <c r="E67" s="25"/>
      <c r="F67" s="25"/>
      <c r="G67" s="25"/>
      <c r="H67" s="25"/>
      <c r="I67" s="116" t="s">
        <v>18</v>
      </c>
      <c r="J67" s="117">
        <f>SUM(J60:J66)</f>
        <v>4.6689001541601254</v>
      </c>
      <c r="K67" s="55"/>
      <c r="L67" s="55"/>
      <c r="M67" s="55"/>
      <c r="N67" s="55"/>
      <c r="O67" s="60"/>
    </row>
    <row r="68" spans="1:15" x14ac:dyDescent="0.25">
      <c r="A68" s="61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60"/>
    </row>
    <row r="69" spans="1:15" x14ac:dyDescent="0.25">
      <c r="A69" s="115" t="s">
        <v>14</v>
      </c>
      <c r="B69" s="115" t="s">
        <v>38</v>
      </c>
      <c r="C69" s="115" t="s">
        <v>20</v>
      </c>
      <c r="D69" s="115" t="s">
        <v>21</v>
      </c>
      <c r="E69" s="115" t="s">
        <v>32</v>
      </c>
      <c r="F69" s="115" t="s">
        <v>17</v>
      </c>
      <c r="G69" s="115" t="s">
        <v>39</v>
      </c>
      <c r="H69" s="115" t="s">
        <v>40</v>
      </c>
      <c r="I69" s="115" t="s">
        <v>18</v>
      </c>
      <c r="J69" s="25"/>
      <c r="K69" s="55"/>
      <c r="L69" s="55"/>
      <c r="M69" s="55"/>
      <c r="N69" s="55"/>
      <c r="O69" s="60"/>
    </row>
    <row r="70" spans="1:15" x14ac:dyDescent="0.25">
      <c r="A70" s="70">
        <v>10</v>
      </c>
      <c r="B70" s="70" t="s">
        <v>41</v>
      </c>
      <c r="C70" s="70" t="s">
        <v>231</v>
      </c>
      <c r="D70" s="71">
        <v>500</v>
      </c>
      <c r="E70" s="70" t="s">
        <v>42</v>
      </c>
      <c r="F70" s="70">
        <v>4</v>
      </c>
      <c r="G70" s="70">
        <v>3000</v>
      </c>
      <c r="H70" s="70">
        <v>1</v>
      </c>
      <c r="I70" s="71">
        <f>D70*F70/G70*H70</f>
        <v>0.66666666666666663</v>
      </c>
      <c r="J70" s="25"/>
      <c r="K70" s="55"/>
      <c r="L70" s="55"/>
      <c r="M70" s="55"/>
      <c r="N70" s="55"/>
      <c r="O70" s="60"/>
    </row>
    <row r="71" spans="1:15" x14ac:dyDescent="0.25">
      <c r="A71" s="65"/>
      <c r="B71" s="25"/>
      <c r="C71" s="25"/>
      <c r="D71" s="25"/>
      <c r="E71" s="25"/>
      <c r="F71" s="25"/>
      <c r="G71" s="25"/>
      <c r="H71" s="119" t="s">
        <v>18</v>
      </c>
      <c r="I71" s="120">
        <f>SUM(I70:I70)</f>
        <v>0.66666666666666663</v>
      </c>
      <c r="J71" s="25"/>
      <c r="K71" s="55"/>
      <c r="L71" s="55"/>
      <c r="M71" s="55"/>
      <c r="N71" s="55"/>
      <c r="O71" s="60"/>
    </row>
    <row r="72" spans="1:15" ht="15.75" thickBo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9"/>
    </row>
    <row r="73" spans="1:15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</sheetData>
  <hyperlinks>
    <hyperlink ref="B10" location="EN_0300_001" display="EN_0300_001"/>
    <hyperlink ref="B11" location="EN_0300_002" display="EN_0300_002"/>
    <hyperlink ref="B12" location="EN_0300_003" display="EN_0300_003"/>
    <hyperlink ref="B13" location="EN_0300_009" display="EN_0300_009"/>
    <hyperlink ref="B14" location="EN_0300_010" display="EN_0300_010"/>
    <hyperlink ref="B15" location="EN_0300_011" display="EN_0300_011"/>
    <hyperlink ref="B16" location="EN_0300_012" display="EN_0300_012"/>
    <hyperlink ref="B17" location="EN_0300_013" display="EN_0300_013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2"/>
  <sheetViews>
    <sheetView zoomScaleNormal="100" workbookViewId="0">
      <selection activeCell="I21" sqref="I21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4.7109375" customWidth="1"/>
    <col min="4" max="4" width="10.5703125"/>
    <col min="5" max="5" width="10.140625" customWidth="1"/>
    <col min="6" max="6" width="10.5703125"/>
    <col min="7" max="7" width="8.85546875" customWidth="1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EN_0300_001_m+EN_0300_001_p</f>
        <v>12.57225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1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136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12.57225</v>
      </c>
      <c r="O5" s="60"/>
    </row>
    <row r="6" spans="1:15" x14ac:dyDescent="0.25">
      <c r="A6" s="122" t="s">
        <v>7</v>
      </c>
      <c r="B6" s="27" t="s">
        <v>218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137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138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191</v>
      </c>
      <c r="C11" s="20" t="s">
        <v>192</v>
      </c>
      <c r="D11" s="31">
        <v>3.3</v>
      </c>
      <c r="E11" s="20"/>
      <c r="F11" s="20" t="s">
        <v>151</v>
      </c>
      <c r="G11" s="20"/>
      <c r="H11" s="19"/>
      <c r="I11" s="21"/>
      <c r="J11" s="121"/>
      <c r="K11" s="22"/>
      <c r="L11" s="30">
        <v>1140</v>
      </c>
      <c r="M11" s="24">
        <v>0.34499999999999997</v>
      </c>
      <c r="N11" s="31">
        <f>IF(J11="",D11*M11,D11*J11*K11*L11*M11)</f>
        <v>1.1384999999999998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1.1384999999999998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147</v>
      </c>
      <c r="C15" s="70" t="s">
        <v>150</v>
      </c>
      <c r="D15" s="71">
        <v>32</v>
      </c>
      <c r="E15" s="70" t="s">
        <v>151</v>
      </c>
      <c r="F15" s="76">
        <v>0.34499999999999997</v>
      </c>
      <c r="G15" s="76"/>
      <c r="H15" s="76"/>
      <c r="I15" s="71">
        <f t="shared" ref="I15:I16" si="0">IF(H15="",D15*F15,D15*F15*H15)</f>
        <v>11.04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/>
      <c r="B16" s="70" t="s">
        <v>152</v>
      </c>
      <c r="C16" s="70" t="s">
        <v>155</v>
      </c>
      <c r="D16" s="71">
        <v>5.25</v>
      </c>
      <c r="E16" s="70" t="s">
        <v>153</v>
      </c>
      <c r="F16" s="76">
        <v>7.4999999999999997E-2</v>
      </c>
      <c r="G16" s="76"/>
      <c r="H16" s="76"/>
      <c r="I16" s="71">
        <f t="shared" si="0"/>
        <v>0.39374999999999999</v>
      </c>
      <c r="J16" s="56"/>
      <c r="K16" s="56"/>
      <c r="L16" s="56"/>
      <c r="M16" s="56"/>
      <c r="N16" s="56"/>
      <c r="O16" s="66"/>
    </row>
    <row r="17" spans="1:15" x14ac:dyDescent="0.25">
      <c r="A17" s="65"/>
      <c r="B17" s="25"/>
      <c r="C17" s="25"/>
      <c r="D17" s="25"/>
      <c r="E17" s="25"/>
      <c r="F17" s="25"/>
      <c r="G17" s="25"/>
      <c r="H17" s="131" t="s">
        <v>18</v>
      </c>
      <c r="I17" s="126">
        <f>SUM(I15:I16)</f>
        <v>11.43375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3"/>
      <c r="I18" s="134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3"/>
      <c r="I19" s="134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3"/>
      <c r="I20" s="134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3"/>
      <c r="I21" s="134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300" display="EN_A0300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zoomScale="85" zoomScaleNormal="85" workbookViewId="0">
      <selection activeCell="M26" sqref="M26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8.85546875" customWidth="1"/>
    <col min="9" max="9" width="29.7109375" customWidth="1"/>
    <col min="15" max="15" width="3.140625" customWidth="1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EN_0300_002_m+EN_0300_002_p</f>
        <v>3.6790000000000003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1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157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3.6790000000000003</v>
      </c>
      <c r="O5" s="60"/>
    </row>
    <row r="6" spans="1:15" x14ac:dyDescent="0.25">
      <c r="A6" s="122" t="s">
        <v>7</v>
      </c>
      <c r="B6" s="27" t="s">
        <v>195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194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197</v>
      </c>
      <c r="C11" s="20" t="s">
        <v>192</v>
      </c>
      <c r="D11" s="31">
        <v>4.2</v>
      </c>
      <c r="E11" s="20">
        <v>0.14000000000000001</v>
      </c>
      <c r="F11" s="20" t="s">
        <v>151</v>
      </c>
      <c r="G11" s="20"/>
      <c r="H11" s="19"/>
      <c r="I11" s="21" t="s">
        <v>203</v>
      </c>
      <c r="J11" s="121">
        <f>0.2*0.215</f>
        <v>4.3000000000000003E-2</v>
      </c>
      <c r="K11" s="22">
        <v>2E-3</v>
      </c>
      <c r="L11" s="30">
        <v>2712</v>
      </c>
      <c r="M11" s="24">
        <v>1</v>
      </c>
      <c r="N11" s="31">
        <f>E11*D11</f>
        <v>0.58800000000000008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0.58800000000000008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198</v>
      </c>
      <c r="C15" s="70" t="s">
        <v>201</v>
      </c>
      <c r="D15" s="71">
        <v>1.3</v>
      </c>
      <c r="E15" s="70" t="s">
        <v>35</v>
      </c>
      <c r="F15" s="76">
        <v>1</v>
      </c>
      <c r="G15" s="76"/>
      <c r="H15" s="76"/>
      <c r="I15" s="71">
        <f t="shared" ref="I15:I16" si="0"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44</v>
      </c>
      <c r="C16" s="70" t="s">
        <v>158</v>
      </c>
      <c r="D16" s="71">
        <v>0.01</v>
      </c>
      <c r="E16" s="70" t="s">
        <v>45</v>
      </c>
      <c r="F16" s="76">
        <v>179.1</v>
      </c>
      <c r="G16" s="76"/>
      <c r="H16" s="76"/>
      <c r="I16" s="71">
        <f t="shared" si="0"/>
        <v>1.7909999999999999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1" t="s">
        <v>18</v>
      </c>
      <c r="I17" s="126">
        <f>SUM(I15:I16)</f>
        <v>3.0910000000000002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3"/>
      <c r="I18" s="134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3"/>
      <c r="I19" s="134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3"/>
      <c r="I20" s="134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3"/>
      <c r="I21" s="134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300" display="EN_A0300"/>
    <hyperlink ref="E3" location="dEN_0300_002!A1" display="Drawing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11"/>
  <sheetViews>
    <sheetView workbookViewId="0">
      <selection activeCell="M12" sqref="M12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90</v>
      </c>
      <c r="B1" s="87" t="str">
        <f>EN_0300_002</f>
        <v>Plenum plate</v>
      </c>
    </row>
    <row r="11" spans="1:8" x14ac:dyDescent="0.25">
      <c r="H11" s="87"/>
    </row>
  </sheetData>
  <hyperlinks>
    <hyperlink ref="A1" location="EL_01001" display="Drawing part :"/>
    <hyperlink ref="B1" location="EN_0300_002!A1" display="EN_0300_002!A1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1"/>
  <sheetViews>
    <sheetView zoomScale="77" zoomScaleNormal="77" workbookViewId="0">
      <selection activeCell="I20" sqref="I20"/>
    </sheetView>
  </sheetViews>
  <sheetFormatPr baseColWidth="10" defaultColWidth="9.140625" defaultRowHeight="15" x14ac:dyDescent="0.25"/>
  <cols>
    <col min="2" max="2" width="23.5703125" customWidth="1"/>
    <col min="3" max="3" width="24.7109375" customWidth="1"/>
    <col min="15" max="15" width="3.140625" customWidth="1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EN_0300_003_m+EN_0300_003_p</f>
        <v>18.119250000000001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1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142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18.119250000000001</v>
      </c>
      <c r="O5" s="60"/>
    </row>
    <row r="6" spans="1:15" x14ac:dyDescent="0.25">
      <c r="A6" s="122" t="s">
        <v>7</v>
      </c>
      <c r="B6" s="27" t="s">
        <v>196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193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138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191</v>
      </c>
      <c r="C11" s="20" t="s">
        <v>192</v>
      </c>
      <c r="D11" s="31">
        <v>3.3</v>
      </c>
      <c r="E11" s="20"/>
      <c r="F11" s="20" t="s">
        <v>151</v>
      </c>
      <c r="G11" s="20"/>
      <c r="H11" s="19"/>
      <c r="I11" s="21"/>
      <c r="J11" s="121"/>
      <c r="K11" s="22"/>
      <c r="L11" s="30">
        <v>1140</v>
      </c>
      <c r="M11" s="24">
        <v>0.495</v>
      </c>
      <c r="N11" s="31">
        <f>IF(J11="",D11*M11,D11*J11*K11*L11*M11)</f>
        <v>1.6335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1.6335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147</v>
      </c>
      <c r="C15" s="70" t="s">
        <v>150</v>
      </c>
      <c r="D15" s="71">
        <v>32</v>
      </c>
      <c r="E15" s="70" t="s">
        <v>151</v>
      </c>
      <c r="F15" s="76">
        <v>0.495</v>
      </c>
      <c r="G15" s="76"/>
      <c r="H15" s="76"/>
      <c r="I15" s="71">
        <f t="shared" ref="I15:I16" si="0">IF(H15="",D15*F15,D15*F15*H15)</f>
        <v>15.84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>
        <v>20</v>
      </c>
      <c r="B16" s="70" t="s">
        <v>152</v>
      </c>
      <c r="C16" s="70" t="s">
        <v>154</v>
      </c>
      <c r="D16" s="71">
        <v>5.25</v>
      </c>
      <c r="E16" s="70" t="s">
        <v>153</v>
      </c>
      <c r="F16" s="76">
        <v>0.123</v>
      </c>
      <c r="G16" s="76"/>
      <c r="H16" s="76"/>
      <c r="I16" s="71">
        <f t="shared" si="0"/>
        <v>0.64575000000000005</v>
      </c>
      <c r="J16" s="56"/>
      <c r="K16" s="56"/>
      <c r="L16" s="56"/>
      <c r="M16" s="56"/>
      <c r="N16" s="56"/>
      <c r="O16" s="66"/>
    </row>
    <row r="17" spans="1:15" x14ac:dyDescent="0.25">
      <c r="A17" s="65"/>
      <c r="B17" s="25"/>
      <c r="C17" s="25"/>
      <c r="D17" s="25"/>
      <c r="E17" s="25"/>
      <c r="F17" s="25"/>
      <c r="G17" s="25"/>
      <c r="H17" s="131" t="s">
        <v>18</v>
      </c>
      <c r="I17" s="126">
        <f>SUM(I15:I16)</f>
        <v>16.485749999999999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5"/>
      <c r="I18" s="136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5"/>
      <c r="I19" s="136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5"/>
      <c r="I20" s="136"/>
      <c r="J20" s="25"/>
      <c r="K20" s="25"/>
      <c r="L20" s="25"/>
      <c r="M20" s="25"/>
      <c r="N20" s="25"/>
      <c r="O20" s="60"/>
    </row>
    <row r="21" spans="1:15" ht="15.75" thickBot="1" x14ac:dyDescent="0.3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9"/>
    </row>
  </sheetData>
  <hyperlinks>
    <hyperlink ref="B4" location="EN_A0300" display="EN_A0300"/>
    <hyperlink ref="E3" location="dBR_01001" display="Drawing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I24" sqref="I24"/>
    </sheetView>
  </sheetViews>
  <sheetFormatPr baseColWidth="10" defaultColWidth="9.140625" defaultRowHeight="15" x14ac:dyDescent="0.25"/>
  <cols>
    <col min="2" max="2" width="35.42578125" customWidth="1"/>
    <col min="3" max="3" width="31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2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2" t="s">
        <v>0</v>
      </c>
      <c r="B2" s="16" t="s">
        <v>43</v>
      </c>
      <c r="C2" s="55"/>
      <c r="D2" s="55"/>
      <c r="E2" s="55"/>
      <c r="F2" s="55"/>
      <c r="G2" s="55" t="s">
        <v>120</v>
      </c>
      <c r="H2" s="55"/>
      <c r="I2" s="55"/>
      <c r="J2" s="123" t="s">
        <v>1</v>
      </c>
      <c r="K2" s="80">
        <v>81</v>
      </c>
      <c r="L2" s="55"/>
      <c r="M2" s="122" t="s">
        <v>16</v>
      </c>
      <c r="N2" s="71">
        <f>EN_0300_009_m+EN_0300_009_p</f>
        <v>1.6890000000000001</v>
      </c>
      <c r="O2" s="60"/>
    </row>
    <row r="3" spans="1:15" x14ac:dyDescent="0.25">
      <c r="A3" s="122" t="s">
        <v>3</v>
      </c>
      <c r="B3" s="16" t="str">
        <f>EN_A0300!B3</f>
        <v>Engine and Drivetrain</v>
      </c>
      <c r="C3" s="55"/>
      <c r="D3" s="122" t="s">
        <v>6</v>
      </c>
      <c r="E3" s="87" t="s">
        <v>91</v>
      </c>
      <c r="F3" s="55"/>
      <c r="G3" s="55"/>
      <c r="H3" s="55"/>
      <c r="I3" s="55"/>
      <c r="J3" s="55"/>
      <c r="K3" s="55"/>
      <c r="L3" s="55"/>
      <c r="M3" s="122" t="s">
        <v>4</v>
      </c>
      <c r="N3" s="79">
        <v>1</v>
      </c>
      <c r="O3" s="60"/>
    </row>
    <row r="4" spans="1:15" x14ac:dyDescent="0.25">
      <c r="A4" s="122" t="s">
        <v>5</v>
      </c>
      <c r="B4" s="86" t="str">
        <f>EN_A0300!B4</f>
        <v>Air Intake System</v>
      </c>
      <c r="C4" s="55"/>
      <c r="D4" s="122" t="s">
        <v>8</v>
      </c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2" t="s">
        <v>15</v>
      </c>
      <c r="B5" s="18" t="s">
        <v>143</v>
      </c>
      <c r="C5" s="55"/>
      <c r="D5" s="122" t="s">
        <v>12</v>
      </c>
      <c r="E5" s="55"/>
      <c r="F5" s="55"/>
      <c r="G5" s="55"/>
      <c r="H5" s="55"/>
      <c r="I5" s="55"/>
      <c r="J5" s="124" t="s">
        <v>8</v>
      </c>
      <c r="K5" s="55"/>
      <c r="L5" s="55"/>
      <c r="M5" s="122" t="s">
        <v>9</v>
      </c>
      <c r="N5" s="71">
        <f>N3*N2</f>
        <v>1.6890000000000001</v>
      </c>
      <c r="O5" s="60"/>
    </row>
    <row r="6" spans="1:15" x14ac:dyDescent="0.25">
      <c r="A6" s="122" t="s">
        <v>7</v>
      </c>
      <c r="B6" s="27" t="s">
        <v>199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2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2" t="s">
        <v>13</v>
      </c>
      <c r="B8" s="16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1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27" t="s">
        <v>14</v>
      </c>
      <c r="B10" s="128" t="s">
        <v>19</v>
      </c>
      <c r="C10" s="128" t="s">
        <v>20</v>
      </c>
      <c r="D10" s="128" t="s">
        <v>21</v>
      </c>
      <c r="E10" s="128" t="s">
        <v>22</v>
      </c>
      <c r="F10" s="129" t="s">
        <v>23</v>
      </c>
      <c r="G10" s="129" t="s">
        <v>24</v>
      </c>
      <c r="H10" s="129" t="s">
        <v>25</v>
      </c>
      <c r="I10" s="129" t="s">
        <v>26</v>
      </c>
      <c r="J10" s="129" t="s">
        <v>27</v>
      </c>
      <c r="K10" s="129" t="s">
        <v>28</v>
      </c>
      <c r="L10" s="129" t="s">
        <v>29</v>
      </c>
      <c r="M10" s="129" t="s">
        <v>17</v>
      </c>
      <c r="N10" s="129" t="s">
        <v>18</v>
      </c>
      <c r="O10" s="60"/>
    </row>
    <row r="11" spans="1:15" s="23" customFormat="1" x14ac:dyDescent="0.25">
      <c r="A11" s="82">
        <v>10</v>
      </c>
      <c r="B11" s="29" t="s">
        <v>197</v>
      </c>
      <c r="C11" s="20" t="s">
        <v>192</v>
      </c>
      <c r="D11" s="31">
        <v>4.2</v>
      </c>
      <c r="E11" s="20">
        <v>0.01</v>
      </c>
      <c r="F11" s="20" t="s">
        <v>151</v>
      </c>
      <c r="G11" s="20"/>
      <c r="H11" s="19"/>
      <c r="I11" s="21" t="s">
        <v>204</v>
      </c>
      <c r="J11" s="121">
        <f>0.225*0.016</f>
        <v>3.6000000000000003E-3</v>
      </c>
      <c r="K11" s="22">
        <v>2E-3</v>
      </c>
      <c r="L11" s="30">
        <v>2712</v>
      </c>
      <c r="M11" s="24">
        <v>0.01</v>
      </c>
      <c r="N11" s="31">
        <f>D11*E11</f>
        <v>4.2000000000000003E-2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SUM(N11:N11)</f>
        <v>4.2000000000000003E-2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0" t="s">
        <v>14</v>
      </c>
      <c r="B14" s="129" t="s">
        <v>31</v>
      </c>
      <c r="C14" s="129" t="s">
        <v>20</v>
      </c>
      <c r="D14" s="129" t="s">
        <v>21</v>
      </c>
      <c r="E14" s="129" t="s">
        <v>32</v>
      </c>
      <c r="F14" s="129" t="s">
        <v>17</v>
      </c>
      <c r="G14" s="129" t="s">
        <v>33</v>
      </c>
      <c r="H14" s="129" t="s">
        <v>34</v>
      </c>
      <c r="I14" s="129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198</v>
      </c>
      <c r="C15" s="70" t="s">
        <v>201</v>
      </c>
      <c r="D15" s="71">
        <v>1.3</v>
      </c>
      <c r="E15" s="70" t="s">
        <v>35</v>
      </c>
      <c r="F15" s="76">
        <v>1</v>
      </c>
      <c r="G15" s="76"/>
      <c r="H15" s="76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44</v>
      </c>
      <c r="C16" s="70" t="s">
        <v>148</v>
      </c>
      <c r="D16" s="71">
        <v>0.01</v>
      </c>
      <c r="E16" s="70" t="s">
        <v>45</v>
      </c>
      <c r="F16" s="76">
        <v>34.700000000000003</v>
      </c>
      <c r="G16" s="76"/>
      <c r="H16" s="76"/>
      <c r="I16" s="71">
        <f>IF(H16="",D16*F16,D16*F16*H16)</f>
        <v>0.34700000000000003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1" t="s">
        <v>18</v>
      </c>
      <c r="I17" s="126">
        <f>SUM(I15:I16)</f>
        <v>1.647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3"/>
      <c r="I18" s="134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3"/>
      <c r="I19" s="134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3"/>
      <c r="I20" s="134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3"/>
      <c r="I21" s="134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300" display="EN_A0300"/>
    <hyperlink ref="E3" location="dEN_0300_009" display="Drawing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C1" sqref="C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90</v>
      </c>
      <c r="B1" s="87" t="str">
        <f>EN_0300_009</f>
        <v>Left frame bracket</v>
      </c>
    </row>
    <row r="11" spans="1:8" x14ac:dyDescent="0.25">
      <c r="H11" s="87"/>
    </row>
  </sheetData>
  <hyperlinks>
    <hyperlink ref="A1" location="EL_01001" display="Drawing part :"/>
    <hyperlink ref="B1" location="EN_0300_009" display="EN_0300_009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67</vt:i4>
      </vt:variant>
    </vt:vector>
  </HeadingPairs>
  <TitlesOfParts>
    <vt:vector size="84" baseType="lpstr">
      <vt:lpstr>Instructions</vt:lpstr>
      <vt:lpstr>BOM</vt:lpstr>
      <vt:lpstr>EN_A0300</vt:lpstr>
      <vt:lpstr>EN_0300_001</vt:lpstr>
      <vt:lpstr>EN_0300_002</vt:lpstr>
      <vt:lpstr>dEN_0300_002</vt:lpstr>
      <vt:lpstr>EN_0300_003</vt:lpstr>
      <vt:lpstr>EN_0300_009</vt:lpstr>
      <vt:lpstr>dEN_0300_009</vt:lpstr>
      <vt:lpstr>EN_0300_010</vt:lpstr>
      <vt:lpstr>dEN_0300_010</vt:lpstr>
      <vt:lpstr>EN_0300_011</vt:lpstr>
      <vt:lpstr>dEN_0300_011</vt:lpstr>
      <vt:lpstr>EN_0300_012</vt:lpstr>
      <vt:lpstr>dEN_0300_012</vt:lpstr>
      <vt:lpstr>EN_0300_013</vt:lpstr>
      <vt:lpstr>dEN_0300_013</vt:lpstr>
      <vt:lpstr>BOM!Car</vt:lpstr>
      <vt:lpstr>BOM!CompCode</vt:lpstr>
      <vt:lpstr>dEN_0300_002</vt:lpstr>
      <vt:lpstr>dEN_0300_009</vt:lpstr>
      <vt:lpstr>dEN_0300_010</vt:lpstr>
      <vt:lpstr>dEN_0300_011</vt:lpstr>
      <vt:lpstr>dEN_0300_012</vt:lpstr>
      <vt:lpstr>dEN_0300_013</vt:lpstr>
      <vt:lpstr>EN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EN_0300_009</vt:lpstr>
      <vt:lpstr>EN_0300_009_f</vt:lpstr>
      <vt:lpstr>EN_0300_009_m</vt:lpstr>
      <vt:lpstr>EN_0300_009_p</vt:lpstr>
      <vt:lpstr>EN_0300_009_q</vt:lpstr>
      <vt:lpstr>EN_0300_009_t</vt:lpstr>
      <vt:lpstr>EN_0300_010</vt:lpstr>
      <vt:lpstr>EN_0300_010_f</vt:lpstr>
      <vt:lpstr>EN_0300_010_m</vt:lpstr>
      <vt:lpstr>EN_0300_010_p</vt:lpstr>
      <vt:lpstr>EN_0300_010_q</vt:lpstr>
      <vt:lpstr>EN_0300_010_t</vt:lpstr>
      <vt:lpstr>EN_0300_011</vt:lpstr>
      <vt:lpstr>EN_0300_011_f</vt:lpstr>
      <vt:lpstr>EN_0300_011_m</vt:lpstr>
      <vt:lpstr>EN_0300_011_p</vt:lpstr>
      <vt:lpstr>EN_0300_011_q</vt:lpstr>
      <vt:lpstr>EN_0300_011_t</vt:lpstr>
      <vt:lpstr>EN_0300_012</vt:lpstr>
      <vt:lpstr>EN_0300_012_f</vt:lpstr>
      <vt:lpstr>EN_0300_012_m</vt:lpstr>
      <vt:lpstr>EN_0300_012_p</vt:lpstr>
      <vt:lpstr>EN_0300_012_q</vt:lpstr>
      <vt:lpstr>EN_0300_012_t</vt:lpstr>
      <vt:lpstr>EN_0300_013</vt:lpstr>
      <vt:lpstr>EN_0300_013_f</vt:lpstr>
      <vt:lpstr>EN_0300_013_m</vt:lpstr>
      <vt:lpstr>EN_0300_013_p</vt:lpstr>
      <vt:lpstr>EN_0300_013_q</vt:lpstr>
      <vt:lpstr>EN_0300_013_t</vt:lpstr>
      <vt:lpstr>EN_A0300</vt:lpstr>
      <vt:lpstr>EN_A0300_f</vt:lpstr>
      <vt:lpstr>EN_A0300_m</vt:lpstr>
      <vt:lpstr>EN_A0300_p</vt:lpstr>
      <vt:lpstr>EN_A0300_pa</vt:lpstr>
      <vt:lpstr>EN_A0300_q</vt:lpstr>
      <vt:lpstr>EN_A0300_t</vt:lpstr>
      <vt:lpstr>BOM!Impression_des_titres</vt:lpstr>
      <vt:lpstr>IT_A0001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Emilien</cp:lastModifiedBy>
  <cp:revision>0</cp:revision>
  <dcterms:created xsi:type="dcterms:W3CDTF">2015-05-29T18:57:13Z</dcterms:created>
  <dcterms:modified xsi:type="dcterms:W3CDTF">2018-04-17T00:13:03Z</dcterms:modified>
  <dc:language>fr-FR</dc:language>
</cp:coreProperties>
</file>