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\Desktop\COST\"/>
    </mc:Choice>
  </mc:AlternateContent>
  <bookViews>
    <workbookView xWindow="4740" yWindow="60" windowWidth="16380" windowHeight="8190" activeTab="1"/>
  </bookViews>
  <sheets>
    <sheet name="Instructions" sheetId="7" r:id="rId1"/>
    <sheet name="BOM" sheetId="8" r:id="rId2"/>
    <sheet name="FR A0500" sheetId="1" r:id="rId3"/>
    <sheet name="FR 05001" sheetId="2" r:id="rId4"/>
    <sheet name="dFR 05001" sheetId="9" r:id="rId5"/>
    <sheet name="FR 05002" sheetId="10" r:id="rId6"/>
    <sheet name="FR 05003" sheetId="11" r:id="rId7"/>
    <sheet name="dFR 05003" sheetId="12" r:id="rId8"/>
    <sheet name="FR 05004" sheetId="13" r:id="rId9"/>
    <sheet name="FR 05005" sheetId="14" r:id="rId10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'FR 05001'!$B$6</definedName>
    <definedName name="BR_01001_f">'FR 05001'!#REF!</definedName>
    <definedName name="BR_01001_m">'FR 05001'!$N$12</definedName>
    <definedName name="BR_01001_p">'FR 05001'!$I$22</definedName>
    <definedName name="BR_01001_q">'FR 05001'!$N$3</definedName>
    <definedName name="BR_01001_t">'FR 05001'!#REF!</definedName>
    <definedName name="BR_A0001">'FR A0500'!$B$5</definedName>
    <definedName name="BR_A0001_f">'FR A0500'!$J$39</definedName>
    <definedName name="BR_A0001_m">'FR A0500'!$N$21</definedName>
    <definedName name="BR_A0001_p">'FR A0500'!$I$33</definedName>
    <definedName name="BR_A0001_pa">'FR A0500'!$E$15</definedName>
    <definedName name="BR_A0001_q">'FR A0500'!$N$3</definedName>
    <definedName name="BR_A0001_t">'FR A0500'!$I$43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'dFR 05001'!$B$1</definedName>
    <definedName name="dede">#REF!</definedName>
    <definedName name="dEL_01001">'dFR 05001'!$B$1</definedName>
    <definedName name="dFR_05003">'dFR 05003'!$A$1</definedName>
    <definedName name="dqwdqd">#REF!</definedName>
    <definedName name="eded">#REF!</definedName>
    <definedName name="EL_01001">'FR 05001'!$B$6</definedName>
    <definedName name="EL_01001_f">'FR 05001'!#REF!</definedName>
    <definedName name="EL_01001_m">'FR 05001'!$N$12</definedName>
    <definedName name="EL_01001_p">'FR 05001'!$I$22</definedName>
    <definedName name="EL_01001_q">'FR 05001'!$N$3</definedName>
    <definedName name="EL_01001_t">'FR 05001'!#REF!</definedName>
    <definedName name="EL_02001">'FR 05001'!#REF!</definedName>
    <definedName name="EL_02001_f">'FR 05001'!#REF!</definedName>
    <definedName name="EL_02001_m">'FR 05001'!#REF!</definedName>
    <definedName name="EL_02001_p">'FR 05001'!#REF!</definedName>
    <definedName name="EL_02001_q">'FR 05001'!#REF!</definedName>
    <definedName name="EL_02001_t">'FR 05001'!#REF!</definedName>
    <definedName name="EL_02002">'FR 05001'!#REF!</definedName>
    <definedName name="EL_02002_f">'FR 05001'!#REF!</definedName>
    <definedName name="EL_02002_m">'FR 05001'!#REF!</definedName>
    <definedName name="EL_02002_p">'FR 05001'!#REF!</definedName>
    <definedName name="EL_02002_q">'FR 05001'!#REF!</definedName>
    <definedName name="EL_02002_t">'FR 05001'!#REF!</definedName>
    <definedName name="EL_A0001">'FR A0500'!$B$5</definedName>
    <definedName name="EL_A0001_f">'FR A0500'!$J$39</definedName>
    <definedName name="El_A0001_m">'FR A0500'!$N$21</definedName>
    <definedName name="EL_A0001_p">'FR A0500'!$I$33</definedName>
    <definedName name="EL_A0001_q">'FR A0500'!$N$3</definedName>
    <definedName name="EL_A0001_t">'FR A0500'!$I$43</definedName>
    <definedName name="EL_A0002">'FR A0500'!#REF!</definedName>
    <definedName name="EL_A0002_f">'FR A0500'!#REF!</definedName>
    <definedName name="EL_A0002_m">'FR A0500'!#REF!</definedName>
    <definedName name="EL_A0002_p">'FR A0500'!#REF!</definedName>
    <definedName name="EL_A0002_q">'FR A0500'!#REF!</definedName>
    <definedName name="EL_A0002_t">'FR A0500'!#REF!</definedName>
    <definedName name="er">#REF!</definedName>
    <definedName name="ervcdx">#REF!</definedName>
    <definedName name="ezfdscx">#REF!</definedName>
    <definedName name="FR_05001">'FR 05001'!$B$6</definedName>
    <definedName name="FR_05001_m">'FR 05001'!$N$12</definedName>
    <definedName name="FR_05001_p">'FR 05001'!$I$22</definedName>
    <definedName name="FR_05001_q">'FR 05001'!$N$3</definedName>
    <definedName name="FR_05002">'FR 05002'!$B$6</definedName>
    <definedName name="FR_05002_m">'FR 05002'!$N$12</definedName>
    <definedName name="FR_05002_p">'FR 05002'!$I$16</definedName>
    <definedName name="FR_05002_q">'FR 05002'!$N$3</definedName>
    <definedName name="FR_05002_t">'FR 05002'!$I$21</definedName>
    <definedName name="FR_05003">'FR 05003'!$B$6</definedName>
    <definedName name="FR_05003_m">'FR 05003'!$N$12</definedName>
    <definedName name="FR_05003_p">'FR 05003'!$I$20</definedName>
    <definedName name="FR_05003_q">'FR 05003'!$N$3</definedName>
    <definedName name="FR_05004">'FR 05004'!$B$6</definedName>
    <definedName name="FR_05004_m">'FR 05004'!$N$12</definedName>
    <definedName name="FR_05004_p">'FR 05004'!$I$22</definedName>
    <definedName name="FR_05004_q">'FR 05004'!$N$3</definedName>
    <definedName name="FR_05004_t">'FR 05004'!$I$29</definedName>
    <definedName name="FR_05005">'FR 05005'!$B$6</definedName>
    <definedName name="FR_05005_m">'FR 05005'!$N$12</definedName>
    <definedName name="FR_05005_p">'FR 05005'!$I$19</definedName>
    <definedName name="FR_05005_q">'FR 05005'!$N$3</definedName>
    <definedName name="FR_05005_t">'FR 05005'!$I$25</definedName>
    <definedName name="FR_A0500">'FR A0500'!$B$5</definedName>
    <definedName name="FR_A0500_f">'FR A0500'!$J$39</definedName>
    <definedName name="FR_A0500_m">'FR A0500'!$N$21</definedName>
    <definedName name="FR_A0500_p">'FR A0500'!$I$33</definedName>
    <definedName name="FR_A0500_pa">'FR A0500'!$E$15</definedName>
    <definedName name="FR_A0500_t">'FR A0500'!$I$43</definedName>
    <definedName name="FR_A05005">'FR 05005'!$B$6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BOM!$A$1:$N$13</definedName>
  </definedNames>
  <calcPr calcId="162913" iterateDelta="1E-4"/>
</workbook>
</file>

<file path=xl/calcChain.xml><?xml version="1.0" encoding="utf-8"?>
<calcChain xmlns="http://schemas.openxmlformats.org/spreadsheetml/2006/main">
  <c r="I9" i="8" l="1"/>
  <c r="I10" i="8"/>
  <c r="I11" i="8"/>
  <c r="I12" i="8"/>
  <c r="I8" i="8"/>
  <c r="M12" i="8"/>
  <c r="M11" i="8"/>
  <c r="M9" i="8"/>
  <c r="K9" i="8"/>
  <c r="K8" i="8"/>
  <c r="K12" i="8"/>
  <c r="K11" i="8"/>
  <c r="K10" i="8"/>
  <c r="J12" i="8"/>
  <c r="J11" i="8"/>
  <c r="J10" i="8"/>
  <c r="J9" i="8"/>
  <c r="C12" i="8"/>
  <c r="C11" i="8"/>
  <c r="C10" i="8"/>
  <c r="C9" i="8"/>
  <c r="E9" i="8"/>
  <c r="E10" i="8"/>
  <c r="E11" i="8"/>
  <c r="E12" i="8"/>
  <c r="E8" i="8"/>
  <c r="F12" i="8"/>
  <c r="F11" i="8"/>
  <c r="F10" i="8"/>
  <c r="F9" i="8"/>
  <c r="F8" i="8"/>
  <c r="J8" i="8"/>
  <c r="E11" i="1"/>
  <c r="E12" i="1"/>
  <c r="E13" i="1"/>
  <c r="E14" i="1"/>
  <c r="D14" i="1"/>
  <c r="D13" i="1"/>
  <c r="D12" i="1"/>
  <c r="D11" i="1"/>
  <c r="D10" i="1"/>
  <c r="C14" i="1"/>
  <c r="C13" i="1"/>
  <c r="C12" i="1"/>
  <c r="C11" i="1"/>
  <c r="I25" i="14"/>
  <c r="I26" i="14" s="1"/>
  <c r="I18" i="14"/>
  <c r="I17" i="14"/>
  <c r="I16" i="14"/>
  <c r="I15" i="14"/>
  <c r="N11" i="14"/>
  <c r="N12" i="14" s="1"/>
  <c r="B4" i="14"/>
  <c r="B3" i="14"/>
  <c r="I22" i="13"/>
  <c r="I16" i="13"/>
  <c r="I17" i="13"/>
  <c r="I18" i="13"/>
  <c r="I19" i="13"/>
  <c r="I20" i="13"/>
  <c r="I21" i="13"/>
  <c r="I28" i="13"/>
  <c r="I29" i="13" s="1"/>
  <c r="I15" i="13"/>
  <c r="N11" i="13"/>
  <c r="N12" i="13" s="1"/>
  <c r="B4" i="13"/>
  <c r="B3" i="13"/>
  <c r="I20" i="11"/>
  <c r="I18" i="11"/>
  <c r="I19" i="11"/>
  <c r="I16" i="11"/>
  <c r="I17" i="11"/>
  <c r="N11" i="11"/>
  <c r="N12" i="11" s="1"/>
  <c r="B4" i="11"/>
  <c r="B3" i="11"/>
  <c r="N2" i="10"/>
  <c r="I20" i="10"/>
  <c r="I21" i="10" s="1"/>
  <c r="I15" i="10"/>
  <c r="I16" i="10" s="1"/>
  <c r="N11" i="10"/>
  <c r="N12" i="10" s="1"/>
  <c r="B4" i="10"/>
  <c r="B3" i="10"/>
  <c r="I20" i="2"/>
  <c r="N12" i="2"/>
  <c r="N11" i="2"/>
  <c r="I31" i="1"/>
  <c r="I30" i="1"/>
  <c r="I29" i="1"/>
  <c r="A27" i="1"/>
  <c r="A28" i="1" s="1"/>
  <c r="A29" i="1" s="1"/>
  <c r="A30" i="1" s="1"/>
  <c r="A31" i="1" s="1"/>
  <c r="A32" i="1" s="1"/>
  <c r="N19" i="1"/>
  <c r="N18" i="1"/>
  <c r="I19" i="14" l="1"/>
  <c r="N2" i="14"/>
  <c r="N5" i="14" s="1"/>
  <c r="N2" i="11"/>
  <c r="N5" i="11" s="1"/>
  <c r="N5" i="10"/>
  <c r="B8" i="8"/>
  <c r="B3" i="2" l="1"/>
  <c r="B1" i="9"/>
  <c r="I7" i="8"/>
  <c r="B13" i="8"/>
  <c r="B9" i="8"/>
  <c r="B10" i="8"/>
  <c r="B11" i="8"/>
  <c r="B12" i="8"/>
  <c r="B7" i="8"/>
  <c r="C7" i="8" l="1"/>
  <c r="B4" i="2"/>
  <c r="C8" i="8"/>
  <c r="F7" i="8"/>
  <c r="H9" i="8" l="1"/>
  <c r="N9" i="8" s="1"/>
  <c r="H10" i="8"/>
  <c r="N10" i="8" s="1"/>
  <c r="H11" i="8"/>
  <c r="N11" i="8" s="1"/>
  <c r="H12" i="8"/>
  <c r="N12" i="8" s="1"/>
  <c r="I21" i="2"/>
  <c r="I19" i="2"/>
  <c r="I18" i="2"/>
  <c r="I17" i="2"/>
  <c r="I16" i="2"/>
  <c r="I15" i="2"/>
  <c r="I42" i="1"/>
  <c r="J38" i="1"/>
  <c r="J37" i="1"/>
  <c r="J36" i="1"/>
  <c r="I32" i="1"/>
  <c r="I28" i="1"/>
  <c r="I27" i="1"/>
  <c r="I26" i="1"/>
  <c r="I25" i="1"/>
  <c r="I24" i="1"/>
  <c r="N20" i="1"/>
  <c r="I33" i="1" l="1"/>
  <c r="K7" i="8" s="1"/>
  <c r="J39" i="1"/>
  <c r="L7" i="8" s="1"/>
  <c r="L13" i="8" s="1"/>
  <c r="N21" i="1"/>
  <c r="I43" i="1"/>
  <c r="M7" i="8" s="1"/>
  <c r="M13" i="8" s="1"/>
  <c r="I22" i="2"/>
  <c r="K13" i="8" l="1"/>
  <c r="N2" i="2"/>
  <c r="N5" i="2" s="1"/>
  <c r="J7" i="8"/>
  <c r="H7" i="8" s="1"/>
  <c r="N7" i="8" s="1"/>
  <c r="O1" i="8"/>
  <c r="H8" i="8" l="1"/>
  <c r="N8" i="8" s="1"/>
  <c r="N13" i="8" s="1"/>
  <c r="C10" i="1"/>
  <c r="E10" i="1" s="1"/>
  <c r="E15" i="1" s="1"/>
  <c r="J13" i="8"/>
  <c r="N2" i="1" l="1"/>
  <c r="N5" i="1" s="1"/>
  <c r="N2" i="13"/>
  <c r="N5" i="13" s="1"/>
</calcChain>
</file>

<file path=xl/sharedStrings.xml><?xml version="1.0" encoding="utf-8"?>
<sst xmlns="http://schemas.openxmlformats.org/spreadsheetml/2006/main" count="577" uniqueCount="205">
  <si>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</si>
  <si>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</si>
  <si>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</si>
  <si>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</si>
  <si>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</si>
  <si>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</si>
  <si>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</si>
  <si>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</si>
  <si>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</si>
  <si>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</si>
  <si>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</si>
  <si>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</si>
  <si>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</si>
  <si>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</si>
  <si>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</si>
  <si>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</si>
  <si>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</si>
  <si>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</si>
  <si>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</si>
  <si>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</si>
  <si>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</si>
  <si>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</si>
  <si>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</si>
  <si>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</si>
  <si>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</si>
  <si>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</si>
  <si>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</si>
  <si>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</si>
  <si>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</si>
  <si>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</si>
  <si>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</si>
  <si>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</si>
  <si>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</si>
  <si>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</si>
  <si>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</si>
  <si>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</si>
  <si>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</si>
  <si>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</si>
  <si>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</si>
  <si>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</si>
  <si>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</si>
  <si>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</si>
  <si>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</si>
  <si>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</si>
  <si>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Stock material for part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</si>
  <si>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</si>
  <si>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</si>
  <si>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</si>
  <si>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</si>
  <si>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</si>
  <si>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</si>
  <si>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</si>
  <si>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</si>
  <si>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</si>
  <si>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</si>
  <si>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</si>
  <si>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</si>
  <si>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</si>
  <si>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</si>
  <si>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</si>
  <si>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</si>
  <si>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</si>
  <si>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</si>
  <si>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</si>
  <si>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</si>
  <si>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</si>
  <si>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</si>
  <si>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</si>
  <si>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</si>
  <si>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</si>
  <si>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</si>
  <si>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</si>
  <si>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</si>
  <si>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</si>
  <si>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</si>
  <si>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</si>
  <si>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</si>
  <si>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</si>
  <si>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</si>
  <si>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</si>
  <si>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</si>
  <si>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</si>
  <si>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</si>
  <si>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</si>
  <si>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</si>
  <si>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</si>
  <si>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</si>
  <si>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</si>
  <si>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</si>
  <si>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</si>
  <si>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</si>
  <si>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</si>
  <si>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</si>
  <si>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</si>
  <si>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</si>
  <si>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</si>
  <si>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</si>
  <si>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</si>
  <si>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</si>
  <si>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</si>
  <si>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</si>
  <si>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</si>
  <si>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</si>
  <si>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</si>
  <si>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</si>
  <si>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</si>
  <si>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</si>
  <si>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</si>
  <si>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</si>
  <si>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</si>
  <si>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</si>
  <si>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</si>
  <si>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</si>
  <si>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</si>
  <si>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</si>
  <si>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</si>
  <si>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</si>
  <si>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</si>
  <si>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</si>
  <si>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</si>
  <si>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</si>
  <si>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</si>
  <si>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</si>
  <si>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</si>
  <si>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</si>
  <si>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</si>
  <si>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</si>
  <si>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</si>
  <si>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</si>
  <si>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</si>
  <si>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</si>
  <si>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</si>
  <si>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</si>
  <si>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</si>
  <si>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</si>
  <si>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</si>
  <si>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</si>
  <si>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Clutch actuation system</t>
  </si>
  <si>
    <t>FR A0500</t>
  </si>
  <si>
    <t>Lever Handle</t>
  </si>
  <si>
    <t>Handle padding</t>
  </si>
  <si>
    <t>Clutch mount</t>
  </si>
  <si>
    <t>Lever joint</t>
  </si>
  <si>
    <t>Actuation lever</t>
  </si>
  <si>
    <t>Cable, Pull</t>
  </si>
  <si>
    <t>Clutch actuation</t>
  </si>
  <si>
    <t>Paint</t>
  </si>
  <si>
    <t>Protect clutch from rust</t>
  </si>
  <si>
    <t>m^2</t>
  </si>
  <si>
    <t>Cable adjuster</t>
  </si>
  <si>
    <t>Clutch cable</t>
  </si>
  <si>
    <t>Weld</t>
  </si>
  <si>
    <t>Welding clutch mount on frame</t>
  </si>
  <si>
    <t>Aerosol Apply</t>
  </si>
  <si>
    <t>Protect clutch mount from rust</t>
  </si>
  <si>
    <t>Assemble, 1kg, Line-on-Line</t>
  </si>
  <si>
    <t>Connect lever handle with clutch mount</t>
  </si>
  <si>
    <t>Assemble, 1kg, Loose</t>
  </si>
  <si>
    <t>Put handle padding on lever handle</t>
  </si>
  <si>
    <t>Ratchet &lt;= 6,35 mm</t>
  </si>
  <si>
    <t>Install M6 bolt between mount and lever handle</t>
  </si>
  <si>
    <t>Reaction Tool &lt;= 6,35 mm</t>
  </si>
  <si>
    <t>Install M6 nut blocking</t>
  </si>
  <si>
    <t>Assemble, 1kg, Interference</t>
  </si>
  <si>
    <t xml:space="preserve">Put lever joint on lever handle </t>
  </si>
  <si>
    <t>Put clutch cable on clutch lever</t>
  </si>
  <si>
    <t>Connect cable on engine</t>
  </si>
  <si>
    <t>Bolt, Grade 8.8 (SAE 5)</t>
  </si>
  <si>
    <t>Nut, Grade 8,8 (SAE 5)</t>
  </si>
  <si>
    <t>FR 05001</t>
  </si>
  <si>
    <t>Aluminum</t>
  </si>
  <si>
    <t>kg</t>
  </si>
  <si>
    <t>Machining</t>
  </si>
  <si>
    <t>Machining Setup, Change</t>
  </si>
  <si>
    <t>Drilled holes &lt; 25,4 mm dia.</t>
  </si>
  <si>
    <t>Main shape contouring</t>
  </si>
  <si>
    <t>ucm^3</t>
  </si>
  <si>
    <t>cm^3</t>
  </si>
  <si>
    <t>hole</t>
  </si>
  <si>
    <t>Material -Aluminum</t>
  </si>
  <si>
    <t>made in 2017</t>
  </si>
  <si>
    <t>FR 05002</t>
  </si>
  <si>
    <t>Rubber</t>
  </si>
  <si>
    <t>Smooth hand contact</t>
  </si>
  <si>
    <t>Die casting</t>
  </si>
  <si>
    <t>Produce handle padding</t>
  </si>
  <si>
    <t>FracInId</t>
  </si>
  <si>
    <t>Die casting - Die</t>
  </si>
  <si>
    <t>die</t>
  </si>
  <si>
    <t>Steel, mild</t>
  </si>
  <si>
    <t xml:space="preserve">Machining </t>
  </si>
  <si>
    <t>removing weight</t>
  </si>
  <si>
    <t>FR 05003</t>
  </si>
  <si>
    <t>FR 05004</t>
  </si>
  <si>
    <t>Produce lever joint</t>
  </si>
  <si>
    <t>Material - Steel</t>
  </si>
  <si>
    <t>Threading, Internal (machining)</t>
  </si>
  <si>
    <t>collar machining</t>
  </si>
  <si>
    <t>Main shape machining</t>
  </si>
  <si>
    <t>holes</t>
  </si>
  <si>
    <t>FR 05005</t>
  </si>
  <si>
    <t>Aluminum, Normal</t>
  </si>
  <si>
    <t>Produce lever casting</t>
  </si>
  <si>
    <t>Material - Aluminum</t>
  </si>
  <si>
    <t>Weigth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</si>
</sst>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7" fillId="0" borderId="0"/>
    <xf numFmtId="171" fontId="7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6" fillId="2" borderId="6">
      <alignment vertical="center" wrapText="1"/>
    </xf>
    <xf numFmtId="172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207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2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2" fontId="8" fillId="0" borderId="0" xfId="5" applyFont="1"/>
    <xf numFmtId="0" fontId="8" fillId="0" borderId="0" xfId="1" applyFont="1" applyProtection="1">
      <protection locked="0"/>
    </xf>
    <xf numFmtId="172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2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2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37" fontId="4" fillId="0" borderId="16" xfId="0" applyNumberFormat="1" applyFont="1" applyBorder="1"/>
    <xf numFmtId="0" fontId="18" fillId="0" borderId="16" xfId="8" applyNumberFormat="1" applyBorder="1" applyAlignment="1" applyProtection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1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0" xfId="0" applyFont="1" applyFill="1" applyBorder="1"/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3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3" fontId="11" fillId="8" borderId="3" xfId="1" applyNumberFormat="1" applyFont="1" applyFill="1" applyBorder="1" applyAlignment="1" applyProtection="1">
      <alignment horizontal="center"/>
      <protection locked="0"/>
    </xf>
    <xf numFmtId="173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3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3" fontId="11" fillId="9" borderId="3" xfId="1" applyNumberFormat="1" applyFont="1" applyFill="1" applyBorder="1" applyAlignment="1" applyProtection="1">
      <alignment horizontal="center"/>
      <protection locked="0"/>
    </xf>
    <xf numFmtId="173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4" fillId="0" borderId="16" xfId="0" applyFont="1" applyBorder="1"/>
    <xf numFmtId="0" fontId="24" fillId="0" borderId="3" xfId="0" applyFont="1" applyBorder="1"/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/>
    <xf numFmtId="0" fontId="3" fillId="0" borderId="0" xfId="0" applyFont="1" applyFill="1" applyBorder="1"/>
    <xf numFmtId="0" fontId="24" fillId="0" borderId="3" xfId="0" applyFont="1" applyFill="1" applyBorder="1"/>
    <xf numFmtId="0" fontId="24" fillId="0" borderId="0" xfId="0" applyFont="1" applyFill="1" applyBorder="1"/>
    <xf numFmtId="0" fontId="25" fillId="0" borderId="0" xfId="0" applyFont="1" applyFill="1"/>
    <xf numFmtId="165" fontId="24" fillId="0" borderId="3" xfId="0" applyNumberFormat="1" applyFont="1" applyFill="1" applyBorder="1"/>
    <xf numFmtId="0" fontId="24" fillId="0" borderId="0" xfId="0" applyFont="1" applyBorder="1"/>
    <xf numFmtId="0" fontId="0" fillId="0" borderId="29" xfId="7" applyNumberFormat="1" applyFont="1" applyBorder="1" applyAlignment="1">
      <alignment wrapText="1"/>
    </xf>
    <xf numFmtId="0" fontId="0" fillId="0" borderId="29" xfId="0" applyBorder="1" applyAlignment="1">
      <alignment wrapText="1"/>
    </xf>
    <xf numFmtId="165" fontId="4" fillId="0" borderId="29" xfId="7" applyNumberFormat="1" applyFont="1" applyBorder="1" applyAlignment="1" applyProtection="1">
      <alignment wrapText="1"/>
    </xf>
    <xf numFmtId="165" fontId="24" fillId="0" borderId="3" xfId="0" applyNumberFormat="1" applyFont="1" applyBorder="1"/>
    <xf numFmtId="0" fontId="24" fillId="0" borderId="3" xfId="0" applyFont="1" applyFill="1" applyBorder="1" applyAlignment="1">
      <alignment horizontal="right"/>
    </xf>
    <xf numFmtId="0" fontId="25" fillId="0" borderId="3" xfId="0" applyFont="1" applyBorder="1"/>
    <xf numFmtId="1" fontId="24" fillId="0" borderId="3" xfId="0" applyNumberFormat="1" applyFont="1" applyBorder="1"/>
    <xf numFmtId="0" fontId="25" fillId="0" borderId="0" xfId="0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3" fillId="10" borderId="33" xfId="0" applyFont="1" applyFill="1" applyBorder="1"/>
    <xf numFmtId="165" fontId="4" fillId="0" borderId="34" xfId="7" applyNumberFormat="1" applyFont="1" applyBorder="1" applyAlignment="1" applyProtection="1"/>
    <xf numFmtId="37" fontId="4" fillId="0" borderId="34" xfId="7" applyNumberFormat="1" applyFont="1" applyBorder="1" applyAlignment="1" applyProtection="1"/>
    <xf numFmtId="0" fontId="0" fillId="0" borderId="35" xfId="0" applyBorder="1"/>
    <xf numFmtId="0" fontId="3" fillId="0" borderId="36" xfId="0" applyFont="1" applyBorder="1"/>
    <xf numFmtId="0" fontId="3" fillId="10" borderId="37" xfId="0" applyFont="1" applyFill="1" applyBorder="1"/>
    <xf numFmtId="0" fontId="3" fillId="10" borderId="38" xfId="0" applyFont="1" applyFill="1" applyBorder="1"/>
    <xf numFmtId="0" fontId="4" fillId="0" borderId="39" xfId="0" applyFont="1" applyBorder="1" applyAlignment="1"/>
    <xf numFmtId="165" fontId="4" fillId="0" borderId="38" xfId="7" applyNumberFormat="1" applyFont="1" applyBorder="1" applyAlignment="1" applyProtection="1"/>
    <xf numFmtId="0" fontId="3" fillId="0" borderId="40" xfId="0" applyFont="1" applyBorder="1"/>
    <xf numFmtId="165" fontId="3" fillId="10" borderId="41" xfId="0" applyNumberFormat="1" applyFont="1" applyFill="1" applyBorder="1"/>
    <xf numFmtId="0" fontId="0" fillId="0" borderId="40" xfId="0" applyBorder="1"/>
    <xf numFmtId="0" fontId="3" fillId="10" borderId="39" xfId="0" applyFont="1" applyFill="1" applyBorder="1"/>
    <xf numFmtId="0" fontId="3" fillId="0" borderId="35" xfId="0" applyFont="1" applyBorder="1"/>
    <xf numFmtId="0" fontId="24" fillId="0" borderId="39" xfId="0" applyFont="1" applyFill="1" applyBorder="1"/>
    <xf numFmtId="0" fontId="24" fillId="0" borderId="35" xfId="0" applyFont="1" applyFill="1" applyBorder="1"/>
    <xf numFmtId="0" fontId="0" fillId="0" borderId="42" xfId="0" applyBorder="1" applyAlignment="1">
      <alignment wrapText="1"/>
    </xf>
    <xf numFmtId="0" fontId="0" fillId="0" borderId="35" xfId="0" applyBorder="1" applyAlignment="1">
      <alignment wrapText="1"/>
    </xf>
    <xf numFmtId="0" fontId="24" fillId="0" borderId="39" xfId="0" applyFont="1" applyBorder="1"/>
    <xf numFmtId="0" fontId="24" fillId="0" borderId="35" xfId="0" applyFont="1" applyBorder="1"/>
    <xf numFmtId="0" fontId="0" fillId="0" borderId="43" xfId="0" applyBorder="1"/>
    <xf numFmtId="0" fontId="0" fillId="0" borderId="44" xfId="0" applyBorder="1"/>
    <xf numFmtId="0" fontId="3" fillId="10" borderId="45" xfId="0" applyFont="1" applyFill="1" applyBorder="1" applyAlignment="1">
      <alignment horizontal="right"/>
    </xf>
    <xf numFmtId="165" fontId="3" fillId="10" borderId="45" xfId="0" applyNumberFormat="1" applyFont="1" applyFill="1" applyBorder="1"/>
    <xf numFmtId="0" fontId="0" fillId="0" borderId="46" xfId="0" applyBorder="1"/>
    <xf numFmtId="0" fontId="0" fillId="0" borderId="0" xfId="0" applyBorder="1" applyAlignment="1"/>
    <xf numFmtId="0" fontId="25" fillId="0" borderId="0" xfId="0" applyFont="1" applyFill="1" applyBorder="1"/>
    <xf numFmtId="0" fontId="0" fillId="0" borderId="47" xfId="0" applyBorder="1" applyAlignment="1">
      <alignment wrapText="1"/>
    </xf>
    <xf numFmtId="0" fontId="3" fillId="10" borderId="48" xfId="0" applyFont="1" applyFill="1" applyBorder="1" applyAlignment="1">
      <alignment horizontal="right"/>
    </xf>
    <xf numFmtId="0" fontId="25" fillId="0" borderId="3" xfId="0" applyFont="1" applyBorder="1" applyAlignment="1">
      <alignment wrapText="1"/>
    </xf>
    <xf numFmtId="0" fontId="25" fillId="0" borderId="3" xfId="7" applyNumberFormat="1" applyFont="1" applyBorder="1" applyAlignment="1">
      <alignment wrapText="1"/>
    </xf>
    <xf numFmtId="165" fontId="24" fillId="0" borderId="3" xfId="7" applyNumberFormat="1" applyFont="1" applyBorder="1" applyAlignment="1" applyProtection="1">
      <alignment wrapText="1"/>
    </xf>
    <xf numFmtId="0" fontId="25" fillId="0" borderId="47" xfId="0" applyFont="1" applyBorder="1" applyAlignment="1">
      <alignment wrapText="1"/>
    </xf>
    <xf numFmtId="0" fontId="18" fillId="0" borderId="16" xfId="8" applyBorder="1"/>
  </cellXfs>
  <cellStyles count="9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47625</xdr:rowOff>
    </xdr:from>
    <xdr:to>
      <xdr:col>7</xdr:col>
      <xdr:colOff>990600</xdr:colOff>
      <xdr:row>15</xdr:row>
      <xdr:rowOff>73442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8B23C62-CFDA-4D96-B84F-4E3A61244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47625"/>
          <a:ext cx="1743075" cy="2883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180976</xdr:colOff>
      <xdr:row>13</xdr:row>
      <xdr:rowOff>9525</xdr:rowOff>
    </xdr:from>
    <xdr:to>
      <xdr:col>13</xdr:col>
      <xdr:colOff>681982</xdr:colOff>
      <xdr:row>22</xdr:row>
      <xdr:rowOff>38100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745A96-6FE4-4563-B87E-5C4AFB287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0901" y="2486025"/>
          <a:ext cx="2225031" cy="1743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5</xdr:col>
      <xdr:colOff>342900</xdr:colOff>
      <xdr:row>18</xdr:row>
      <xdr:rowOff>16275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A56285-E6E3-49AA-9BE0-F947F559F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4324350" cy="30642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289892</xdr:colOff>
      <xdr:row>13</xdr:row>
      <xdr:rowOff>74543</xdr:rowOff>
    </xdr:from>
    <xdr:to>
      <xdr:col>13</xdr:col>
      <xdr:colOff>416140</xdr:colOff>
      <xdr:row>19</xdr:row>
      <xdr:rowOff>33130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526196A-5B71-4410-9C4C-410DC9524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8392" y="2551043"/>
          <a:ext cx="1352074" cy="1093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43" workbookViewId="0">
      <selection activeCell="A14" sqref="A14"/>
    </sheetView>
  </sheetViews>
  <sheetFormatPr baseColWidth="10" defaultRowHeight="15" x14ac:dyDescent="0.25"/>
  <sheetData>
    <row r="1" spans="1:2" x14ac:dyDescent="0.25">
      <c r="A1" s="109" t="s">
        <v>134</v>
      </c>
    </row>
    <row r="3" spans="1:2" x14ac:dyDescent="0.25">
      <c r="A3" s="108" t="s">
        <v>66</v>
      </c>
      <c r="B3" s="105" t="s">
        <v>67</v>
      </c>
    </row>
    <row r="5" spans="1:2" x14ac:dyDescent="0.25">
      <c r="A5" t="s">
        <v>102</v>
      </c>
    </row>
    <row r="6" spans="1:2" x14ac:dyDescent="0.25">
      <c r="A6" t="s">
        <v>103</v>
      </c>
    </row>
    <row r="7" spans="1:2" x14ac:dyDescent="0.25">
      <c r="A7" t="s">
        <v>110</v>
      </c>
    </row>
    <row r="8" spans="1:2" x14ac:dyDescent="0.25">
      <c r="A8" t="s">
        <v>107</v>
      </c>
    </row>
    <row r="9" spans="1:2" x14ac:dyDescent="0.25">
      <c r="A9" t="s">
        <v>68</v>
      </c>
    </row>
    <row r="10" spans="1:2" x14ac:dyDescent="0.25">
      <c r="A10" s="105" t="s">
        <v>98</v>
      </c>
    </row>
    <row r="11" spans="1:2" x14ac:dyDescent="0.25">
      <c r="A11" t="s">
        <v>69</v>
      </c>
    </row>
    <row r="12" spans="1:2" x14ac:dyDescent="0.25">
      <c r="A12" t="s">
        <v>70</v>
      </c>
    </row>
    <row r="14" spans="1:2" x14ac:dyDescent="0.25">
      <c r="A14" t="s">
        <v>101</v>
      </c>
    </row>
    <row r="15" spans="1:2" x14ac:dyDescent="0.25">
      <c r="A15" t="s">
        <v>115</v>
      </c>
    </row>
    <row r="16" spans="1:2" x14ac:dyDescent="0.25">
      <c r="A16" t="s">
        <v>119</v>
      </c>
    </row>
    <row r="18" spans="1:3" x14ac:dyDescent="0.25">
      <c r="A18" s="108" t="s">
        <v>71</v>
      </c>
      <c r="B18" s="105" t="s">
        <v>105</v>
      </c>
      <c r="C18" s="105"/>
    </row>
    <row r="20" spans="1:3" x14ac:dyDescent="0.25">
      <c r="A20" t="s">
        <v>116</v>
      </c>
    </row>
    <row r="21" spans="1:3" x14ac:dyDescent="0.25">
      <c r="A21" t="s">
        <v>135</v>
      </c>
    </row>
    <row r="23" spans="1:3" x14ac:dyDescent="0.25">
      <c r="A23" s="108" t="s">
        <v>73</v>
      </c>
      <c r="B23" s="105" t="s">
        <v>74</v>
      </c>
    </row>
    <row r="25" spans="1:3" x14ac:dyDescent="0.25">
      <c r="A25" t="s">
        <v>127</v>
      </c>
    </row>
    <row r="26" spans="1:3" x14ac:dyDescent="0.25">
      <c r="A26" t="s">
        <v>80</v>
      </c>
    </row>
    <row r="27" spans="1:3" x14ac:dyDescent="0.25">
      <c r="A27" t="s">
        <v>75</v>
      </c>
    </row>
    <row r="28" spans="1:3" x14ac:dyDescent="0.25">
      <c r="A28" t="s">
        <v>111</v>
      </c>
    </row>
    <row r="29" spans="1:3" x14ac:dyDescent="0.25">
      <c r="A29" t="s">
        <v>108</v>
      </c>
    </row>
    <row r="30" spans="1:3" x14ac:dyDescent="0.25">
      <c r="A30" t="s">
        <v>76</v>
      </c>
    </row>
    <row r="31" spans="1:3" x14ac:dyDescent="0.25">
      <c r="A31" s="105" t="s">
        <v>98</v>
      </c>
    </row>
    <row r="32" spans="1:3" x14ac:dyDescent="0.25">
      <c r="A32" t="s">
        <v>109</v>
      </c>
    </row>
    <row r="33" spans="1:2" x14ac:dyDescent="0.25">
      <c r="A33" t="s">
        <v>112</v>
      </c>
    </row>
    <row r="35" spans="1:2" x14ac:dyDescent="0.25">
      <c r="A35" t="s">
        <v>113</v>
      </c>
    </row>
    <row r="36" spans="1:2" x14ac:dyDescent="0.25">
      <c r="A36" t="s">
        <v>114</v>
      </c>
    </row>
    <row r="37" spans="1:2" x14ac:dyDescent="0.25">
      <c r="A37" t="s">
        <v>120</v>
      </c>
    </row>
    <row r="39" spans="1:2" x14ac:dyDescent="0.25">
      <c r="A39" s="108" t="s">
        <v>77</v>
      </c>
      <c r="B39" s="105" t="s">
        <v>72</v>
      </c>
    </row>
    <row r="41" spans="1:2" x14ac:dyDescent="0.25">
      <c r="A41" t="s">
        <v>125</v>
      </c>
    </row>
    <row r="42" spans="1:2" x14ac:dyDescent="0.25">
      <c r="A42" t="s">
        <v>126</v>
      </c>
    </row>
    <row r="43" spans="1:2" x14ac:dyDescent="0.25">
      <c r="A43" t="s">
        <v>104</v>
      </c>
    </row>
    <row r="45" spans="1:2" x14ac:dyDescent="0.25">
      <c r="A45" s="108" t="s">
        <v>78</v>
      </c>
      <c r="B45" s="105" t="s">
        <v>95</v>
      </c>
    </row>
    <row r="47" spans="1:2" x14ac:dyDescent="0.25">
      <c r="A47" t="s">
        <v>128</v>
      </c>
    </row>
    <row r="48" spans="1:2" x14ac:dyDescent="0.25">
      <c r="A48" t="s">
        <v>96</v>
      </c>
    </row>
    <row r="49" spans="1:2" x14ac:dyDescent="0.25">
      <c r="A49" t="s">
        <v>97</v>
      </c>
    </row>
    <row r="50" spans="1:2" x14ac:dyDescent="0.25">
      <c r="A50" t="s">
        <v>117</v>
      </c>
    </row>
    <row r="51" spans="1:2" x14ac:dyDescent="0.25">
      <c r="A51" t="s">
        <v>129</v>
      </c>
    </row>
    <row r="52" spans="1:2" x14ac:dyDescent="0.25">
      <c r="A52" t="s">
        <v>130</v>
      </c>
    </row>
    <row r="53" spans="1:2" x14ac:dyDescent="0.25">
      <c r="A53" t="s">
        <v>99</v>
      </c>
    </row>
    <row r="55" spans="1:2" x14ac:dyDescent="0.25">
      <c r="A55" t="s">
        <v>121</v>
      </c>
    </row>
    <row r="57" spans="1:2" x14ac:dyDescent="0.25">
      <c r="A57" s="108" t="s">
        <v>82</v>
      </c>
      <c r="B57" s="105" t="s">
        <v>79</v>
      </c>
    </row>
    <row r="59" spans="1:2" x14ac:dyDescent="0.25">
      <c r="A59" t="s">
        <v>81</v>
      </c>
    </row>
    <row r="60" spans="1:2" x14ac:dyDescent="0.25">
      <c r="A60" t="s">
        <v>122</v>
      </c>
    </row>
    <row r="61" spans="1:2" x14ac:dyDescent="0.25">
      <c r="A61" t="s">
        <v>118</v>
      </c>
    </row>
    <row r="63" spans="1:2" x14ac:dyDescent="0.25">
      <c r="A63" s="108" t="s">
        <v>94</v>
      </c>
      <c r="B63" s="105" t="s">
        <v>83</v>
      </c>
    </row>
    <row r="65" spans="1:1" x14ac:dyDescent="0.25">
      <c r="A65" t="s">
        <v>84</v>
      </c>
    </row>
    <row r="66" spans="1:1" x14ac:dyDescent="0.25">
      <c r="A66" t="s">
        <v>86</v>
      </c>
    </row>
    <row r="67" spans="1:1" x14ac:dyDescent="0.25">
      <c r="A67" t="s">
        <v>85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89</v>
      </c>
    </row>
    <row r="71" spans="1:1" x14ac:dyDescent="0.25">
      <c r="A71" t="s">
        <v>123</v>
      </c>
    </row>
    <row r="72" spans="1:1" x14ac:dyDescent="0.25">
      <c r="A72" t="s">
        <v>124</v>
      </c>
    </row>
    <row r="74" spans="1:1" x14ac:dyDescent="0.25">
      <c r="A74" t="s">
        <v>131</v>
      </c>
    </row>
    <row r="75" spans="1:1" x14ac:dyDescent="0.25">
      <c r="A75" t="s">
        <v>90</v>
      </c>
    </row>
    <row r="76" spans="1:1" x14ac:dyDescent="0.25">
      <c r="A76" t="s">
        <v>91</v>
      </c>
    </row>
    <row r="77" spans="1:1" x14ac:dyDescent="0.25">
      <c r="A77" t="s">
        <v>123</v>
      </c>
    </row>
    <row r="78" spans="1:1" x14ac:dyDescent="0.25">
      <c r="A78" t="s">
        <v>124</v>
      </c>
    </row>
    <row r="80" spans="1:1" x14ac:dyDescent="0.25">
      <c r="A80" s="105" t="s">
        <v>100</v>
      </c>
    </row>
    <row r="82" spans="1:1" x14ac:dyDescent="0.25">
      <c r="A82" s="109" t="s">
        <v>106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7"/>
  <sheetViews>
    <sheetView zoomScale="85" zoomScaleNormal="85" workbookViewId="0">
      <selection activeCell="N3" sqref="N3"/>
    </sheetView>
  </sheetViews>
  <sheetFormatPr baseColWidth="10" defaultColWidth="9.140625" defaultRowHeight="15" x14ac:dyDescent="0.25"/>
  <cols>
    <col min="1" max="1" width="15.42578125" customWidth="1"/>
    <col min="2" max="2" width="33.85546875" customWidth="1"/>
    <col min="3" max="3" width="23.7109375" customWidth="1"/>
    <col min="4" max="4" width="10.85546875" bestFit="1" customWidth="1"/>
    <col min="7" max="7" width="21.42578125" customWidth="1"/>
    <col min="9" max="9" width="11.140625" customWidth="1"/>
    <col min="15" max="15" width="3.140625" customWidth="1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2" t="s">
        <v>0</v>
      </c>
      <c r="B2" s="16" t="s">
        <v>43</v>
      </c>
      <c r="C2" s="61"/>
      <c r="D2" s="61"/>
      <c r="E2" s="61"/>
      <c r="F2" s="61"/>
      <c r="G2" s="61" t="s">
        <v>133</v>
      </c>
      <c r="H2" s="61"/>
      <c r="I2" s="61"/>
      <c r="J2" s="143" t="s">
        <v>1</v>
      </c>
      <c r="K2" s="98">
        <v>81</v>
      </c>
      <c r="L2" s="61"/>
      <c r="M2" s="142" t="s">
        <v>16</v>
      </c>
      <c r="N2" s="80">
        <f>FR_05005_m+FR_05005_p+FR_05005_t</f>
        <v>10.148666666666667</v>
      </c>
      <c r="O2" s="67"/>
    </row>
    <row r="3" spans="1:15" x14ac:dyDescent="0.25">
      <c r="A3" s="142" t="s">
        <v>3</v>
      </c>
      <c r="B3" s="16" t="str">
        <f>'FR A0500'!B3</f>
        <v>Frame and Body</v>
      </c>
      <c r="C3" s="61"/>
      <c r="D3" s="142" t="s">
        <v>6</v>
      </c>
      <c r="E3" s="107"/>
      <c r="F3" s="61"/>
      <c r="G3" s="61"/>
      <c r="H3" s="61"/>
      <c r="I3" s="61"/>
      <c r="J3" s="61"/>
      <c r="K3" s="61"/>
      <c r="L3" s="61"/>
      <c r="M3" s="142" t="s">
        <v>4</v>
      </c>
      <c r="N3" s="96">
        <v>1</v>
      </c>
      <c r="O3" s="67"/>
    </row>
    <row r="4" spans="1:15" x14ac:dyDescent="0.25">
      <c r="A4" s="142" t="s">
        <v>5</v>
      </c>
      <c r="B4" s="106" t="str">
        <f>'FR A0500'!B4</f>
        <v>Clutch actuation system</v>
      </c>
      <c r="C4" s="61"/>
      <c r="D4" s="142" t="s">
        <v>8</v>
      </c>
      <c r="E4" s="61"/>
      <c r="F4" s="61"/>
      <c r="G4" s="61"/>
      <c r="H4" s="61"/>
      <c r="I4" s="61"/>
      <c r="J4" s="144" t="s">
        <v>6</v>
      </c>
      <c r="K4" s="61"/>
      <c r="L4" s="61"/>
      <c r="M4" s="61"/>
      <c r="N4" s="61"/>
      <c r="O4" s="67"/>
    </row>
    <row r="5" spans="1:15" x14ac:dyDescent="0.25">
      <c r="A5" s="142" t="s">
        <v>15</v>
      </c>
      <c r="B5" s="79" t="s">
        <v>143</v>
      </c>
      <c r="C5" s="61"/>
      <c r="D5" s="142" t="s">
        <v>12</v>
      </c>
      <c r="E5" s="61"/>
      <c r="F5" s="61"/>
      <c r="G5" s="61"/>
      <c r="H5" s="61"/>
      <c r="I5" s="61"/>
      <c r="J5" s="144" t="s">
        <v>8</v>
      </c>
      <c r="K5" s="61"/>
      <c r="L5" s="61"/>
      <c r="M5" s="142" t="s">
        <v>9</v>
      </c>
      <c r="N5" s="80">
        <f>N3*N2</f>
        <v>10.148666666666667</v>
      </c>
      <c r="O5" s="67"/>
    </row>
    <row r="6" spans="1:15" x14ac:dyDescent="0.25">
      <c r="A6" s="142" t="s">
        <v>7</v>
      </c>
      <c r="B6" s="30" t="s">
        <v>200</v>
      </c>
      <c r="C6" s="61"/>
      <c r="D6" s="61"/>
      <c r="E6" s="61"/>
      <c r="F6" s="61"/>
      <c r="G6" s="61"/>
      <c r="H6" s="61"/>
      <c r="I6" s="61"/>
      <c r="J6" s="144" t="s">
        <v>12</v>
      </c>
      <c r="K6" s="61"/>
      <c r="L6" s="61"/>
      <c r="M6" s="61"/>
      <c r="N6" s="61"/>
      <c r="O6" s="67"/>
    </row>
    <row r="7" spans="1:15" x14ac:dyDescent="0.25">
      <c r="A7" s="142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42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9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45" t="s">
        <v>14</v>
      </c>
      <c r="B10" s="146" t="s">
        <v>19</v>
      </c>
      <c r="C10" s="146" t="s">
        <v>20</v>
      </c>
      <c r="D10" s="146" t="s">
        <v>21</v>
      </c>
      <c r="E10" s="146" t="s">
        <v>22</v>
      </c>
      <c r="F10" s="147" t="s">
        <v>23</v>
      </c>
      <c r="G10" s="147" t="s">
        <v>24</v>
      </c>
      <c r="H10" s="147" t="s">
        <v>25</v>
      </c>
      <c r="I10" s="147" t="s">
        <v>26</v>
      </c>
      <c r="J10" s="147" t="s">
        <v>27</v>
      </c>
      <c r="K10" s="147" t="s">
        <v>28</v>
      </c>
      <c r="L10" s="147" t="s">
        <v>29</v>
      </c>
      <c r="M10" s="147" t="s">
        <v>17</v>
      </c>
      <c r="N10" s="147" t="s">
        <v>18</v>
      </c>
      <c r="O10" s="67"/>
    </row>
    <row r="11" spans="1:15" s="24" customFormat="1" x14ac:dyDescent="0.25">
      <c r="A11" s="100">
        <v>10</v>
      </c>
      <c r="B11" s="32" t="s">
        <v>201</v>
      </c>
      <c r="C11" s="21" t="s">
        <v>44</v>
      </c>
      <c r="D11" s="34">
        <v>4.2</v>
      </c>
      <c r="E11" s="21">
        <v>0.15</v>
      </c>
      <c r="F11" s="21" t="s">
        <v>171</v>
      </c>
      <c r="G11" s="21"/>
      <c r="H11" s="20"/>
      <c r="I11" s="22"/>
      <c r="J11" s="115"/>
      <c r="K11" s="23"/>
      <c r="L11" s="33">
        <v>2712</v>
      </c>
      <c r="M11" s="25">
        <v>1</v>
      </c>
      <c r="N11" s="34">
        <f>IF(J11="",D11*M11*E11,D11*J11*K11*L11*M11)</f>
        <v>0.63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8" t="s">
        <v>18</v>
      </c>
      <c r="N12" s="149">
        <f>SUM(N11:N11)</f>
        <v>0.63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50" t="s">
        <v>14</v>
      </c>
      <c r="B14" s="147" t="s">
        <v>31</v>
      </c>
      <c r="C14" s="147" t="s">
        <v>20</v>
      </c>
      <c r="D14" s="147" t="s">
        <v>21</v>
      </c>
      <c r="E14" s="147" t="s">
        <v>32</v>
      </c>
      <c r="F14" s="147" t="s">
        <v>17</v>
      </c>
      <c r="G14" s="147" t="s">
        <v>33</v>
      </c>
      <c r="H14" s="147" t="s">
        <v>34</v>
      </c>
      <c r="I14" s="147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35">
        <v>10</v>
      </c>
      <c r="B15" s="29" t="s">
        <v>184</v>
      </c>
      <c r="C15" s="35" t="s">
        <v>202</v>
      </c>
      <c r="D15" s="36">
        <v>4</v>
      </c>
      <c r="E15" s="29" t="s">
        <v>171</v>
      </c>
      <c r="F15" s="35">
        <v>0.15</v>
      </c>
      <c r="G15" s="35">
        <v>1</v>
      </c>
      <c r="H15" s="200">
        <v>1</v>
      </c>
      <c r="I15" s="36">
        <f t="shared" ref="I15:I18" si="0">IF(H15="",D15*F15,D15*F15*H15)</f>
        <v>0.6</v>
      </c>
      <c r="J15" s="63"/>
      <c r="K15" s="63"/>
      <c r="L15" s="63"/>
      <c r="M15" s="63"/>
      <c r="N15" s="63"/>
      <c r="O15" s="74"/>
    </row>
    <row r="16" spans="1:15" s="27" customFormat="1" ht="15" customHeight="1" x14ac:dyDescent="0.25">
      <c r="A16" s="35">
        <v>20</v>
      </c>
      <c r="B16" s="29" t="s">
        <v>45</v>
      </c>
      <c r="C16" s="35"/>
      <c r="D16" s="36">
        <v>1.3</v>
      </c>
      <c r="E16" s="29" t="s">
        <v>35</v>
      </c>
      <c r="F16" s="35">
        <v>1</v>
      </c>
      <c r="G16" s="35"/>
      <c r="H16" s="200">
        <v>1</v>
      </c>
      <c r="I16" s="36">
        <f t="shared" si="0"/>
        <v>1.3</v>
      </c>
      <c r="J16" s="63"/>
      <c r="K16" s="63"/>
      <c r="L16" s="63"/>
      <c r="M16" s="63"/>
      <c r="N16" s="63"/>
      <c r="O16" s="74"/>
    </row>
    <row r="17" spans="1:15" s="27" customFormat="1" ht="15" customHeight="1" x14ac:dyDescent="0.25">
      <c r="A17" s="202">
        <v>30</v>
      </c>
      <c r="B17" s="203" t="s">
        <v>172</v>
      </c>
      <c r="C17" s="202" t="s">
        <v>198</v>
      </c>
      <c r="D17" s="204">
        <v>0.04</v>
      </c>
      <c r="E17" s="203" t="s">
        <v>177</v>
      </c>
      <c r="F17" s="202">
        <v>6.3</v>
      </c>
      <c r="G17" s="202" t="s">
        <v>203</v>
      </c>
      <c r="H17" s="205">
        <v>1</v>
      </c>
      <c r="I17" s="36">
        <f t="shared" si="0"/>
        <v>0.252</v>
      </c>
      <c r="J17" s="63"/>
      <c r="K17" s="63"/>
      <c r="L17" s="63"/>
      <c r="M17" s="63"/>
      <c r="N17" s="63"/>
      <c r="O17" s="74"/>
    </row>
    <row r="18" spans="1:15" s="27" customFormat="1" ht="15" customHeight="1" x14ac:dyDescent="0.25">
      <c r="A18" s="202">
        <v>40</v>
      </c>
      <c r="B18" s="203" t="s">
        <v>174</v>
      </c>
      <c r="C18" s="202" t="s">
        <v>199</v>
      </c>
      <c r="D18" s="204">
        <v>0.35</v>
      </c>
      <c r="E18" s="203" t="s">
        <v>178</v>
      </c>
      <c r="F18" s="202">
        <v>2</v>
      </c>
      <c r="G18" s="202"/>
      <c r="H18" s="205">
        <v>1</v>
      </c>
      <c r="I18" s="36">
        <f t="shared" si="0"/>
        <v>0.7</v>
      </c>
      <c r="J18" s="63"/>
      <c r="K18" s="63"/>
      <c r="L18" s="63"/>
      <c r="M18" s="63"/>
      <c r="N18" s="63"/>
      <c r="O18" s="74"/>
    </row>
    <row r="19" spans="1:15" x14ac:dyDescent="0.25">
      <c r="A19" s="73"/>
      <c r="B19" s="26"/>
      <c r="C19" s="26"/>
      <c r="D19" s="26"/>
      <c r="E19" s="26"/>
      <c r="F19" s="26"/>
      <c r="G19" s="156"/>
      <c r="H19" s="148" t="s">
        <v>18</v>
      </c>
      <c r="I19" s="149">
        <f>SUM(I15:I18)</f>
        <v>2.8520000000000003</v>
      </c>
      <c r="J19" s="156"/>
      <c r="K19" s="26"/>
      <c r="L19" s="26"/>
      <c r="M19" s="26"/>
      <c r="N19" s="26"/>
      <c r="O19" s="67"/>
    </row>
    <row r="20" spans="1:15" x14ac:dyDescent="0.25">
      <c r="A20" s="73"/>
      <c r="B20" s="26"/>
      <c r="C20" s="26"/>
      <c r="D20" s="26"/>
      <c r="E20" s="26"/>
      <c r="F20" s="26"/>
      <c r="G20" s="156"/>
      <c r="H20" s="154"/>
      <c r="I20" s="155"/>
      <c r="J20" s="156"/>
      <c r="K20" s="26"/>
      <c r="L20" s="26"/>
      <c r="M20" s="26"/>
      <c r="N20" s="26"/>
      <c r="O20" s="67"/>
    </row>
    <row r="21" spans="1:15" x14ac:dyDescent="0.25">
      <c r="A21" s="73"/>
      <c r="B21" s="26"/>
      <c r="C21" s="26"/>
      <c r="D21" s="26"/>
      <c r="E21" s="26"/>
      <c r="F21" s="26"/>
      <c r="G21" s="156"/>
      <c r="H21" s="154"/>
      <c r="I21" s="155"/>
      <c r="J21" s="156"/>
      <c r="K21" s="26"/>
      <c r="L21" s="26"/>
      <c r="M21" s="26"/>
      <c r="N21" s="26"/>
      <c r="O21" s="67"/>
    </row>
    <row r="22" spans="1:15" x14ac:dyDescent="0.25">
      <c r="A22" s="73"/>
      <c r="B22" s="26"/>
      <c r="C22" s="26"/>
      <c r="D22" s="26"/>
      <c r="E22" s="26"/>
      <c r="F22" s="26"/>
      <c r="G22" s="156"/>
      <c r="H22" s="154"/>
      <c r="I22" s="155"/>
      <c r="J22" s="156"/>
      <c r="K22" s="26"/>
      <c r="L22" s="26"/>
      <c r="M22" s="26"/>
      <c r="N22" s="26"/>
      <c r="O22" s="67"/>
    </row>
    <row r="23" spans="1:15" x14ac:dyDescent="0.25">
      <c r="A23" s="73"/>
      <c r="B23" s="26"/>
      <c r="C23" s="26"/>
      <c r="D23" s="26"/>
      <c r="E23" s="26"/>
      <c r="F23" s="26"/>
      <c r="G23" s="156"/>
      <c r="H23" s="154"/>
      <c r="I23" s="155"/>
      <c r="J23" s="156"/>
      <c r="K23" s="156"/>
      <c r="L23" s="156"/>
      <c r="M23" s="156"/>
      <c r="N23" s="26"/>
      <c r="O23" s="67"/>
    </row>
    <row r="24" spans="1:15" x14ac:dyDescent="0.25">
      <c r="A24" s="150" t="s">
        <v>14</v>
      </c>
      <c r="B24" s="147" t="s">
        <v>38</v>
      </c>
      <c r="C24" s="147" t="s">
        <v>20</v>
      </c>
      <c r="D24" s="147" t="s">
        <v>21</v>
      </c>
      <c r="E24" s="147" t="s">
        <v>32</v>
      </c>
      <c r="F24" s="147" t="s">
        <v>17</v>
      </c>
      <c r="G24" s="147" t="s">
        <v>39</v>
      </c>
      <c r="H24" s="147" t="s">
        <v>186</v>
      </c>
      <c r="I24" s="147" t="s">
        <v>18</v>
      </c>
      <c r="J24" s="156"/>
      <c r="K24" s="156"/>
      <c r="L24" s="156"/>
      <c r="M24" s="156"/>
      <c r="N24" s="26"/>
      <c r="O24" s="67"/>
    </row>
    <row r="25" spans="1:15" x14ac:dyDescent="0.25">
      <c r="A25" s="101">
        <v>10</v>
      </c>
      <c r="B25" s="29" t="s">
        <v>187</v>
      </c>
      <c r="C25" s="35" t="s">
        <v>143</v>
      </c>
      <c r="D25" s="36">
        <v>10000</v>
      </c>
      <c r="E25" s="29" t="s">
        <v>188</v>
      </c>
      <c r="F25" s="35">
        <v>2</v>
      </c>
      <c r="G25" s="35">
        <v>3000</v>
      </c>
      <c r="H25" s="35">
        <v>1</v>
      </c>
      <c r="I25" s="36">
        <f>IF(H25="",D25*F25,H25*F25*D25/G25)</f>
        <v>6.666666666666667</v>
      </c>
      <c r="J25" s="156"/>
      <c r="K25" s="156"/>
      <c r="L25" s="156"/>
      <c r="M25" s="156"/>
      <c r="N25" s="26"/>
      <c r="O25" s="67"/>
    </row>
    <row r="26" spans="1:15" x14ac:dyDescent="0.25">
      <c r="A26" s="73"/>
      <c r="B26" s="26"/>
      <c r="C26" s="26"/>
      <c r="D26" s="26"/>
      <c r="E26" s="26"/>
      <c r="F26" s="26"/>
      <c r="G26" s="26"/>
      <c r="H26" s="151" t="s">
        <v>18</v>
      </c>
      <c r="I26" s="149">
        <f>SUM(I25:I25)</f>
        <v>6.666666666666667</v>
      </c>
      <c r="J26" s="61"/>
      <c r="K26" s="61"/>
      <c r="L26" s="61"/>
      <c r="M26" s="61"/>
      <c r="N26" s="61"/>
      <c r="O26" s="67"/>
    </row>
    <row r="27" spans="1:15" ht="15.75" thickBot="1" x14ac:dyDescent="0.3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7"/>
    </row>
  </sheetData>
  <hyperlinks>
    <hyperlink ref="B4" location="BR_A0001" display="BR_A00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9"/>
  <sheetViews>
    <sheetView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M18" sqref="M18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7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7" t="s">
        <v>0</v>
      </c>
      <c r="B1" s="112" t="s">
        <v>43</v>
      </c>
      <c r="D1" s="48"/>
      <c r="M1" s="60" t="s">
        <v>47</v>
      </c>
      <c r="N1" s="49"/>
      <c r="O1" s="59" t="e">
        <f>#REF!</f>
        <v>#REF!</v>
      </c>
    </row>
    <row r="2" spans="1:15" s="15" customFormat="1" ht="15.75" thickBot="1" x14ac:dyDescent="0.3">
      <c r="A2" s="55" t="s">
        <v>48</v>
      </c>
      <c r="B2" s="111" t="s">
        <v>132</v>
      </c>
      <c r="C2" s="14"/>
      <c r="F2" s="43"/>
    </row>
    <row r="3" spans="1:15" s="15" customFormat="1" ht="16.5" thickTop="1" thickBot="1" x14ac:dyDescent="0.3">
      <c r="A3" s="56" t="s">
        <v>49</v>
      </c>
      <c r="B3" s="58">
        <v>2018</v>
      </c>
      <c r="C3" s="14"/>
      <c r="F3" s="43"/>
    </row>
    <row r="4" spans="1:15" s="15" customFormat="1" ht="16.5" thickTop="1" thickBot="1" x14ac:dyDescent="0.3">
      <c r="A4" s="54" t="s">
        <v>1</v>
      </c>
      <c r="B4" s="110">
        <v>81</v>
      </c>
      <c r="C4" s="14"/>
      <c r="D4" s="48" t="s">
        <v>50</v>
      </c>
      <c r="F4" s="43"/>
    </row>
    <row r="5" spans="1:15" s="41" customFormat="1" ht="15.75" thickTop="1" x14ac:dyDescent="0.25">
      <c r="A5" s="40"/>
      <c r="B5" s="44"/>
      <c r="C5" s="42"/>
      <c r="F5" s="45"/>
    </row>
    <row r="6" spans="1:15" s="39" customFormat="1" ht="49.5" customHeight="1" x14ac:dyDescent="0.25">
      <c r="A6" s="38" t="s">
        <v>51</v>
      </c>
      <c r="B6" s="51" t="s">
        <v>52</v>
      </c>
      <c r="C6" s="51" t="s">
        <v>53</v>
      </c>
      <c r="D6" s="51" t="s">
        <v>54</v>
      </c>
      <c r="E6" s="51" t="s">
        <v>55</v>
      </c>
      <c r="F6" s="51" t="s">
        <v>56</v>
      </c>
      <c r="G6" s="51" t="s">
        <v>57</v>
      </c>
      <c r="H6" s="53" t="s">
        <v>58</v>
      </c>
      <c r="I6" s="51" t="s">
        <v>17</v>
      </c>
      <c r="J6" s="51" t="s">
        <v>59</v>
      </c>
      <c r="K6" s="51" t="s">
        <v>60</v>
      </c>
      <c r="L6" s="51" t="s">
        <v>61</v>
      </c>
      <c r="M6" s="51" t="s">
        <v>62</v>
      </c>
      <c r="N6" s="52" t="s">
        <v>63</v>
      </c>
      <c r="O6" s="51" t="s">
        <v>64</v>
      </c>
    </row>
    <row r="7" spans="1:15" ht="15" x14ac:dyDescent="0.25">
      <c r="A7" s="123"/>
      <c r="B7" s="124" t="str">
        <f>'FR A0500'!B3</f>
        <v>Frame and Body</v>
      </c>
      <c r="C7" s="125" t="str">
        <f>EL_A0001</f>
        <v>FR A0500</v>
      </c>
      <c r="D7" s="125" t="s">
        <v>11</v>
      </c>
      <c r="E7" s="125"/>
      <c r="F7" s="126" t="str">
        <f>'FR A0500'!B4</f>
        <v>Clutch actuation system</v>
      </c>
      <c r="G7" s="125"/>
      <c r="H7" s="127">
        <f t="shared" ref="H7:H12" si="0">SUM(J7:M7)</f>
        <v>25.053333333333335</v>
      </c>
      <c r="I7" s="128">
        <f>BR_A0001_q</f>
        <v>1</v>
      </c>
      <c r="J7" s="129">
        <f>BR_A0001_m</f>
        <v>22</v>
      </c>
      <c r="K7" s="129">
        <f>BR_A0001_p</f>
        <v>2.5999999999999996</v>
      </c>
      <c r="L7" s="129">
        <f>BR_A0001_f</f>
        <v>0.12000000000000001</v>
      </c>
      <c r="M7" s="129">
        <f>BR_A0001_t</f>
        <v>0.33333333333333331</v>
      </c>
      <c r="N7" s="130">
        <f t="shared" ref="N7:N12" si="1">H7*I7</f>
        <v>25.053333333333335</v>
      </c>
      <c r="O7" s="131"/>
    </row>
    <row r="8" spans="1:15" ht="15" x14ac:dyDescent="0.25">
      <c r="A8" s="132"/>
      <c r="B8" s="133" t="str">
        <f>'FR A0500'!B3</f>
        <v>Frame and Body</v>
      </c>
      <c r="C8" s="134" t="str">
        <f>EL_01001</f>
        <v>FR 05001</v>
      </c>
      <c r="D8" s="135" t="s">
        <v>11</v>
      </c>
      <c r="E8" s="135" t="str">
        <f>F$7</f>
        <v>Clutch actuation system</v>
      </c>
      <c r="F8" s="136" t="str">
        <f>'FR 05001'!B$5</f>
        <v>Lever Handle</v>
      </c>
      <c r="G8" s="135"/>
      <c r="H8" s="137">
        <f t="shared" si="0"/>
        <v>4.3704000000000001</v>
      </c>
      <c r="I8" s="138">
        <f>BR_A0001_q*FR_05001_q</f>
        <v>1</v>
      </c>
      <c r="J8" s="139">
        <f>FR_05001_m</f>
        <v>0.93240000000000001</v>
      </c>
      <c r="K8" s="139">
        <f>FR_05001_p</f>
        <v>3.4380000000000002</v>
      </c>
      <c r="L8" s="139"/>
      <c r="M8" s="129"/>
      <c r="N8" s="140">
        <f t="shared" si="1"/>
        <v>4.3704000000000001</v>
      </c>
      <c r="O8" s="141"/>
    </row>
    <row r="9" spans="1:15" ht="15" x14ac:dyDescent="0.25">
      <c r="A9" s="132"/>
      <c r="B9" s="133" t="str">
        <f>'FR A0500'!$B$3</f>
        <v>Frame and Body</v>
      </c>
      <c r="C9" s="134" t="str">
        <f>FR_05002</f>
        <v>FR 05002</v>
      </c>
      <c r="D9" s="135" t="s">
        <v>11</v>
      </c>
      <c r="E9" s="135" t="str">
        <f t="shared" ref="E9:E12" si="2">F$7</f>
        <v>Clutch actuation system</v>
      </c>
      <c r="F9" s="136" t="str">
        <f>'FR 05002'!B$5</f>
        <v>Handle padding</v>
      </c>
      <c r="G9" s="135"/>
      <c r="H9" s="137">
        <f t="shared" si="0"/>
        <v>7.3966666666666665</v>
      </c>
      <c r="I9" s="138">
        <f>BR_A0001_q*FR_05001_q</f>
        <v>1</v>
      </c>
      <c r="J9" s="139">
        <f>FR_05002_m</f>
        <v>0.33</v>
      </c>
      <c r="K9" s="139">
        <f>FR_05002_p</f>
        <v>0.4</v>
      </c>
      <c r="L9" s="139"/>
      <c r="M9" s="129">
        <f>FR_05002_t</f>
        <v>6.666666666666667</v>
      </c>
      <c r="N9" s="140">
        <f t="shared" si="1"/>
        <v>7.3966666666666665</v>
      </c>
      <c r="O9" s="141"/>
    </row>
    <row r="10" spans="1:15" ht="15" x14ac:dyDescent="0.25">
      <c r="A10" s="132"/>
      <c r="B10" s="133" t="str">
        <f>'FR A0500'!$B$3</f>
        <v>Frame and Body</v>
      </c>
      <c r="C10" s="134" t="str">
        <f>FR_05003</f>
        <v>FR 05003</v>
      </c>
      <c r="D10" s="135" t="s">
        <v>11</v>
      </c>
      <c r="E10" s="135" t="str">
        <f t="shared" si="2"/>
        <v>Clutch actuation system</v>
      </c>
      <c r="F10" s="136" t="str">
        <f>'FR 05003'!B$5</f>
        <v>Clutch mount</v>
      </c>
      <c r="G10" s="135"/>
      <c r="H10" s="137">
        <f t="shared" si="0"/>
        <v>2.37235</v>
      </c>
      <c r="I10" s="138">
        <f>BR_A0001_q*FR_05001_q</f>
        <v>1</v>
      </c>
      <c r="J10" s="139">
        <f>FR_05003_m</f>
        <v>9.6749999999999989E-2</v>
      </c>
      <c r="K10" s="139">
        <f>FR_05003_p</f>
        <v>2.2755999999999998</v>
      </c>
      <c r="L10" s="139"/>
      <c r="M10" s="129"/>
      <c r="N10" s="140">
        <f t="shared" si="1"/>
        <v>2.37235</v>
      </c>
      <c r="O10" s="141"/>
    </row>
    <row r="11" spans="1:15" ht="15" x14ac:dyDescent="0.25">
      <c r="A11" s="132"/>
      <c r="B11" s="133" t="str">
        <f>'FR A0500'!$B$3</f>
        <v>Frame and Body</v>
      </c>
      <c r="C11" s="134" t="str">
        <f>FR_05004</f>
        <v>FR 05004</v>
      </c>
      <c r="D11" s="135" t="s">
        <v>11</v>
      </c>
      <c r="E11" s="135" t="str">
        <f t="shared" si="2"/>
        <v>Clutch actuation system</v>
      </c>
      <c r="F11" s="136" t="str">
        <f>'FR 05004'!B$5</f>
        <v>Lever joint</v>
      </c>
      <c r="G11" s="135"/>
      <c r="H11" s="137">
        <f t="shared" si="0"/>
        <v>11.771166666666666</v>
      </c>
      <c r="I11" s="138">
        <f>BR_A0001_q*FR_05001_q</f>
        <v>1</v>
      </c>
      <c r="J11" s="139">
        <f>FR_05004_m</f>
        <v>0.5625</v>
      </c>
      <c r="K11" s="139">
        <f>FR_05004_p</f>
        <v>4.5419999999999989</v>
      </c>
      <c r="L11" s="139"/>
      <c r="M11" s="129">
        <f>FR_05002_t</f>
        <v>6.666666666666667</v>
      </c>
      <c r="N11" s="140">
        <f t="shared" si="1"/>
        <v>11.771166666666666</v>
      </c>
      <c r="O11" s="141"/>
    </row>
    <row r="12" spans="1:15" ht="15.75" thickBot="1" x14ac:dyDescent="0.3">
      <c r="A12" s="132"/>
      <c r="B12" s="133" t="str">
        <f>'FR A0500'!$B$3</f>
        <v>Frame and Body</v>
      </c>
      <c r="C12" s="134" t="str">
        <f>FR_05005</f>
        <v>FR 05005</v>
      </c>
      <c r="D12" s="135" t="s">
        <v>11</v>
      </c>
      <c r="E12" s="135" t="str">
        <f t="shared" si="2"/>
        <v>Clutch actuation system</v>
      </c>
      <c r="F12" s="136" t="str">
        <f>'FR 05005'!B$5</f>
        <v>Actuation lever</v>
      </c>
      <c r="G12" s="135"/>
      <c r="H12" s="137">
        <f t="shared" si="0"/>
        <v>10.148666666666667</v>
      </c>
      <c r="I12" s="138">
        <f>BR_A0001_q*FR_05001_q</f>
        <v>1</v>
      </c>
      <c r="J12" s="139">
        <f>FR_05005_m</f>
        <v>0.63</v>
      </c>
      <c r="K12" s="139">
        <f>FR_05005_p</f>
        <v>2.8520000000000003</v>
      </c>
      <c r="L12" s="139"/>
      <c r="M12" s="129">
        <f>FR_05005_t</f>
        <v>6.666666666666667</v>
      </c>
      <c r="N12" s="140">
        <f t="shared" si="1"/>
        <v>10.148666666666667</v>
      </c>
      <c r="O12" s="141"/>
    </row>
    <row r="13" spans="1:15" s="12" customFormat="1" ht="15.75" thickTop="1" thickBot="1" x14ac:dyDescent="0.25">
      <c r="A13" s="5"/>
      <c r="B13" s="46" t="str">
        <f>'FR A0500'!B3</f>
        <v>Frame and Body</v>
      </c>
      <c r="C13" s="1"/>
      <c r="D13" s="1"/>
      <c r="E13" s="1"/>
      <c r="F13" s="46" t="s">
        <v>65</v>
      </c>
      <c r="G13" s="1"/>
      <c r="H13" s="3"/>
      <c r="I13" s="4"/>
      <c r="J13" s="114">
        <f>SUMPRODUCT($I7:$I12,J7:J12)</f>
        <v>24.551649999999999</v>
      </c>
      <c r="K13" s="114">
        <f>SUMPRODUCT($I7:$I12,K7:K12)</f>
        <v>16.107599999999998</v>
      </c>
      <c r="L13" s="114">
        <f>SUMPRODUCT($I7:$I12,L7:L12)</f>
        <v>0.12000000000000001</v>
      </c>
      <c r="M13" s="114">
        <f>SUMPRODUCT($I7:$I12,M7:M12)</f>
        <v>20.333333333333336</v>
      </c>
      <c r="N13" s="114">
        <f>SUM(N7:N12)</f>
        <v>61.112583333333333</v>
      </c>
      <c r="O13" s="2"/>
    </row>
    <row r="14" spans="1:15" ht="13.5" thickTop="1" x14ac:dyDescent="0.2">
      <c r="A14" s="11"/>
      <c r="B14" s="47"/>
      <c r="C14" s="13"/>
      <c r="D14" s="13"/>
      <c r="E14" s="13"/>
      <c r="F14" s="13"/>
      <c r="G14" s="13"/>
      <c r="H14" s="8"/>
      <c r="I14" s="13"/>
      <c r="J14" s="13"/>
      <c r="K14" s="13"/>
      <c r="L14" s="13"/>
      <c r="M14" s="13"/>
      <c r="N14" s="13"/>
    </row>
    <row r="15" spans="1:15" x14ac:dyDescent="0.2">
      <c r="A15" s="11"/>
      <c r="B15" s="47"/>
      <c r="C15" s="13"/>
      <c r="D15" s="13"/>
      <c r="E15" s="13"/>
      <c r="F15" s="13"/>
      <c r="G15" s="13"/>
      <c r="H15" s="8"/>
      <c r="I15" s="13"/>
      <c r="J15" s="13"/>
      <c r="K15" s="13"/>
      <c r="L15" s="13"/>
      <c r="M15" s="13"/>
      <c r="N15" s="13"/>
    </row>
    <row r="16" spans="1:15" x14ac:dyDescent="0.2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50"/>
    </row>
    <row r="18" spans="1:14" x14ac:dyDescent="0.2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50"/>
    </row>
    <row r="20" spans="1:14" x14ac:dyDescent="0.2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s="9" customFormat="1" x14ac:dyDescent="0.2">
      <c r="A44" s="7"/>
      <c r="B44" s="11"/>
      <c r="F44" s="47"/>
      <c r="I44" s="6"/>
      <c r="J44" s="6"/>
      <c r="K44" s="6"/>
      <c r="L44" s="6"/>
      <c r="M44" s="6"/>
    </row>
    <row r="45" spans="1:14" s="9" customFormat="1" x14ac:dyDescent="0.2">
      <c r="A45" s="7"/>
      <c r="B45" s="11"/>
      <c r="F45" s="47"/>
      <c r="I45" s="6"/>
      <c r="J45" s="6"/>
      <c r="K45" s="6"/>
      <c r="L45" s="6"/>
      <c r="M45" s="6"/>
    </row>
    <row r="46" spans="1:14" s="9" customFormat="1" x14ac:dyDescent="0.2">
      <c r="A46" s="7"/>
      <c r="B46" s="11"/>
      <c r="F46" s="47"/>
      <c r="I46" s="6"/>
      <c r="J46" s="6"/>
      <c r="K46" s="6"/>
      <c r="L46" s="6"/>
      <c r="M46" s="6"/>
    </row>
    <row r="47" spans="1:14" s="9" customFormat="1" x14ac:dyDescent="0.2">
      <c r="A47" s="7"/>
      <c r="B47" s="11"/>
      <c r="F47" s="47"/>
      <c r="I47" s="6"/>
      <c r="J47" s="6"/>
      <c r="K47" s="6"/>
      <c r="L47" s="6"/>
      <c r="M47" s="6"/>
    </row>
    <row r="48" spans="1:14" s="9" customFormat="1" x14ac:dyDescent="0.2">
      <c r="A48" s="7"/>
      <c r="B48" s="11"/>
      <c r="F48" s="47"/>
      <c r="I48" s="6"/>
      <c r="J48" s="6"/>
      <c r="K48" s="6"/>
      <c r="L48" s="6"/>
      <c r="M48" s="6"/>
    </row>
    <row r="49" spans="1:14" s="9" customFormat="1" x14ac:dyDescent="0.2">
      <c r="A49" s="7"/>
      <c r="B49" s="11"/>
      <c r="F49" s="47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7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7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7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7"/>
      <c r="I53" s="6"/>
      <c r="J53" s="6"/>
      <c r="K53" s="6"/>
      <c r="L53" s="6"/>
      <c r="M53" s="6"/>
    </row>
    <row r="54" spans="1:14" s="10" customFormat="1" x14ac:dyDescent="0.2">
      <c r="A54" s="7"/>
      <c r="B54" s="11"/>
      <c r="C54" s="9"/>
      <c r="D54" s="9"/>
      <c r="E54" s="9"/>
      <c r="F54" s="47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">
      <c r="A55" s="7"/>
      <c r="B55" s="11"/>
      <c r="C55" s="9"/>
      <c r="D55" s="9"/>
      <c r="E55" s="9"/>
      <c r="F55" s="47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">
      <c r="A56" s="7"/>
      <c r="B56" s="11"/>
      <c r="C56" s="9"/>
      <c r="D56" s="9"/>
      <c r="E56" s="9"/>
      <c r="F56" s="47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">
      <c r="A57" s="7"/>
      <c r="B57" s="11"/>
      <c r="C57" s="9"/>
      <c r="D57" s="9"/>
      <c r="E57" s="9"/>
      <c r="F57" s="47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">
      <c r="A58" s="7"/>
      <c r="B58" s="11"/>
      <c r="C58" s="9"/>
      <c r="D58" s="9"/>
      <c r="E58" s="9"/>
      <c r="F58" s="47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">
      <c r="A59" s="7"/>
      <c r="B59" s="11"/>
      <c r="C59" s="9"/>
      <c r="D59" s="9"/>
      <c r="E59" s="9"/>
      <c r="F59" s="47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7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7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7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7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7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7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7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7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7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7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7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7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7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7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7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7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7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7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7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7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7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7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7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7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7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7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7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7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7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7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7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7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7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7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7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7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7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7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7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7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7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7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7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7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7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7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7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7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7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7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7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7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7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7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7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7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7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7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7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7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7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7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7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7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7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7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7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7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7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7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7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7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7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7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7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7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7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7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7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7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7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7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7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7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7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7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7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7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7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7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7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7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7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7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7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7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7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7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7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7"/>
      <c r="G159" s="9"/>
      <c r="H159" s="9"/>
      <c r="I159" s="6"/>
      <c r="J159" s="6"/>
      <c r="K159" s="6"/>
      <c r="L159" s="6"/>
      <c r="M159" s="6"/>
      <c r="N159" s="9"/>
    </row>
  </sheetData>
  <hyperlinks>
    <hyperlink ref="F7" location="BR_A0001" display="BR_A0001"/>
    <hyperlink ref="F8" location="BR_01001" display="BR_01001"/>
    <hyperlink ref="F9:F12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45"/>
  <sheetViews>
    <sheetView zoomScale="70" zoomScaleNormal="70" zoomScaleSheetLayoutView="80" workbookViewId="0">
      <selection activeCell="B5" sqref="B5"/>
    </sheetView>
  </sheetViews>
  <sheetFormatPr baseColWidth="10" defaultColWidth="9.140625" defaultRowHeight="15" x14ac:dyDescent="0.25"/>
  <cols>
    <col min="1" max="1" width="11.42578125"/>
    <col min="2" max="2" width="28"/>
    <col min="3" max="3" width="45.85546875" customWidth="1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7" t="s">
        <v>0</v>
      </c>
      <c r="B2" s="16" t="s">
        <v>43</v>
      </c>
      <c r="C2" s="61"/>
      <c r="D2" s="61"/>
      <c r="E2" s="61" t="s">
        <v>133</v>
      </c>
      <c r="F2" s="61"/>
      <c r="G2" s="61"/>
      <c r="H2" s="61"/>
      <c r="I2" s="61"/>
      <c r="J2" s="117" t="s">
        <v>1</v>
      </c>
      <c r="K2" s="98">
        <v>81</v>
      </c>
      <c r="L2" s="61"/>
      <c r="M2" s="117" t="s">
        <v>2</v>
      </c>
      <c r="N2" s="113">
        <f>FR_A0500_pa+FR_A0500_m+FR_A0500_p+FR_A0500_f+FR_A0500_t</f>
        <v>61.112583333333333</v>
      </c>
      <c r="O2" s="67"/>
    </row>
    <row r="3" spans="1:15" x14ac:dyDescent="0.25">
      <c r="A3" s="117" t="s">
        <v>3</v>
      </c>
      <c r="B3" s="16" t="s">
        <v>136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117" t="s">
        <v>4</v>
      </c>
      <c r="N3" s="96">
        <v>1</v>
      </c>
      <c r="O3" s="67"/>
    </row>
    <row r="4" spans="1:15" x14ac:dyDescent="0.25">
      <c r="A4" s="117" t="s">
        <v>5</v>
      </c>
      <c r="B4" s="62" t="s">
        <v>137</v>
      </c>
      <c r="C4" s="61"/>
      <c r="D4" s="61"/>
      <c r="E4" s="61"/>
      <c r="F4" s="61"/>
      <c r="G4" s="61"/>
      <c r="H4" s="61"/>
      <c r="I4" s="61"/>
      <c r="J4" s="120" t="s">
        <v>6</v>
      </c>
      <c r="K4" s="61"/>
      <c r="L4" s="61"/>
      <c r="M4" s="61"/>
      <c r="N4" s="61"/>
      <c r="O4" s="67"/>
    </row>
    <row r="5" spans="1:15" x14ac:dyDescent="0.25">
      <c r="A5" s="117" t="s">
        <v>7</v>
      </c>
      <c r="B5" s="18" t="s">
        <v>138</v>
      </c>
      <c r="C5" s="61"/>
      <c r="D5" s="61"/>
      <c r="E5" s="61"/>
      <c r="F5" s="61"/>
      <c r="G5" s="61"/>
      <c r="H5" s="61"/>
      <c r="I5" s="61"/>
      <c r="J5" s="120" t="s">
        <v>8</v>
      </c>
      <c r="K5" s="61"/>
      <c r="L5" s="61"/>
      <c r="M5" s="117" t="s">
        <v>9</v>
      </c>
      <c r="N5" s="80">
        <f>N2*N3</f>
        <v>61.112583333333333</v>
      </c>
      <c r="O5" s="67"/>
    </row>
    <row r="6" spans="1:15" x14ac:dyDescent="0.25">
      <c r="A6" s="117" t="s">
        <v>10</v>
      </c>
      <c r="B6" s="16" t="s">
        <v>11</v>
      </c>
      <c r="C6" s="61"/>
      <c r="D6" s="61"/>
      <c r="E6" s="61"/>
      <c r="F6" s="61"/>
      <c r="G6" s="61"/>
      <c r="H6" s="61"/>
      <c r="I6" s="61"/>
      <c r="J6" s="120" t="s">
        <v>12</v>
      </c>
      <c r="K6" s="61"/>
      <c r="L6" s="61"/>
      <c r="M6" s="61"/>
      <c r="N6" s="61"/>
      <c r="O6" s="67"/>
    </row>
    <row r="7" spans="1:15" x14ac:dyDescent="0.25">
      <c r="A7" s="117" t="s">
        <v>13</v>
      </c>
      <c r="B7" s="16" t="s">
        <v>180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68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117" t="s">
        <v>14</v>
      </c>
      <c r="B9" s="117" t="s">
        <v>15</v>
      </c>
      <c r="C9" s="117" t="s">
        <v>16</v>
      </c>
      <c r="D9" s="117" t="s">
        <v>17</v>
      </c>
      <c r="E9" s="117" t="s">
        <v>18</v>
      </c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78">
        <v>10</v>
      </c>
      <c r="B10" s="104" t="s">
        <v>139</v>
      </c>
      <c r="C10" s="80">
        <f>'FR 05001'!N2</f>
        <v>4.3704000000000001</v>
      </c>
      <c r="D10" s="103">
        <f>'FR 05001'!N$3</f>
        <v>1</v>
      </c>
      <c r="E10" s="80">
        <f>C10*D10</f>
        <v>4.3704000000000001</v>
      </c>
      <c r="F10" s="61"/>
      <c r="G10" s="61"/>
      <c r="H10" s="61"/>
      <c r="I10" s="61"/>
      <c r="J10" s="61"/>
      <c r="K10" s="61"/>
      <c r="L10" s="61"/>
      <c r="M10" s="61"/>
      <c r="N10" s="61"/>
      <c r="O10" s="67"/>
    </row>
    <row r="11" spans="1:15" x14ac:dyDescent="0.25">
      <c r="A11" s="78">
        <v>20</v>
      </c>
      <c r="B11" s="104" t="s">
        <v>140</v>
      </c>
      <c r="C11" s="80">
        <f>'FR 05002'!N2</f>
        <v>7.3966666666666665</v>
      </c>
      <c r="D11" s="103">
        <f>'FR 05002'!N$3</f>
        <v>1</v>
      </c>
      <c r="E11" s="80">
        <f t="shared" ref="E11:E14" si="0">C11*D11</f>
        <v>7.3966666666666665</v>
      </c>
      <c r="F11" s="62"/>
      <c r="G11" s="62"/>
      <c r="H11" s="62"/>
      <c r="I11" s="62"/>
      <c r="J11" s="62"/>
      <c r="K11" s="62"/>
      <c r="L11" s="62"/>
      <c r="M11" s="62"/>
      <c r="N11" s="62"/>
      <c r="O11" s="67"/>
    </row>
    <row r="12" spans="1:15" x14ac:dyDescent="0.25">
      <c r="A12" s="78">
        <v>30</v>
      </c>
      <c r="B12" s="104" t="s">
        <v>141</v>
      </c>
      <c r="C12" s="80">
        <f>'FR 05003'!N2</f>
        <v>2.37235</v>
      </c>
      <c r="D12" s="103">
        <f>'FR 05003'!N$3</f>
        <v>1</v>
      </c>
      <c r="E12" s="80">
        <f t="shared" si="0"/>
        <v>2.37235</v>
      </c>
      <c r="F12" s="62"/>
      <c r="G12" s="62"/>
      <c r="H12" s="62"/>
      <c r="I12" s="62"/>
      <c r="J12" s="62"/>
      <c r="K12" s="62"/>
      <c r="L12" s="62"/>
      <c r="M12" s="62"/>
      <c r="N12" s="62"/>
      <c r="O12" s="70"/>
    </row>
    <row r="13" spans="1:15" s="17" customFormat="1" x14ac:dyDescent="0.25">
      <c r="A13" s="78">
        <v>40</v>
      </c>
      <c r="B13" s="104" t="s">
        <v>142</v>
      </c>
      <c r="C13" s="80">
        <f>'FR 05004'!N2</f>
        <v>11.771166666666666</v>
      </c>
      <c r="D13" s="103">
        <f>'FR 05004'!N$3</f>
        <v>1</v>
      </c>
      <c r="E13" s="80">
        <f t="shared" si="0"/>
        <v>11.771166666666666</v>
      </c>
      <c r="F13" s="62"/>
      <c r="G13" s="62"/>
      <c r="H13" s="62"/>
      <c r="I13" s="62"/>
      <c r="J13" s="62"/>
      <c r="K13" s="62"/>
      <c r="L13" s="62"/>
      <c r="M13" s="62"/>
      <c r="N13" s="62"/>
      <c r="O13" s="70"/>
    </row>
    <row r="14" spans="1:15" s="17" customFormat="1" x14ac:dyDescent="0.25">
      <c r="A14" s="78">
        <v>50</v>
      </c>
      <c r="B14" s="206" t="s">
        <v>143</v>
      </c>
      <c r="C14" s="80">
        <f>'FR 05005'!N2</f>
        <v>10.148666666666667</v>
      </c>
      <c r="D14" s="103">
        <f>'FR 05005'!N$3</f>
        <v>1</v>
      </c>
      <c r="E14" s="80">
        <f t="shared" si="0"/>
        <v>10.148666666666667</v>
      </c>
      <c r="F14" s="62"/>
      <c r="G14" s="62"/>
      <c r="H14" s="62"/>
      <c r="I14" s="62"/>
      <c r="J14" s="62"/>
      <c r="K14" s="62"/>
      <c r="L14" s="62"/>
      <c r="M14" s="62"/>
      <c r="N14" s="62"/>
      <c r="O14" s="71"/>
    </row>
    <row r="15" spans="1:15" x14ac:dyDescent="0.25">
      <c r="A15" s="68"/>
      <c r="B15" s="61"/>
      <c r="C15" s="61"/>
      <c r="D15" s="118" t="s">
        <v>18</v>
      </c>
      <c r="E15" s="119">
        <f>SUM(E10:E14)</f>
        <v>36.059249999999999</v>
      </c>
      <c r="F15" s="62"/>
      <c r="G15" s="62"/>
      <c r="H15" s="62"/>
      <c r="I15" s="62"/>
      <c r="J15" s="62"/>
      <c r="K15" s="62"/>
      <c r="L15" s="62"/>
      <c r="M15" s="62"/>
      <c r="N15" s="62"/>
      <c r="O15" s="67"/>
    </row>
    <row r="16" spans="1:15" x14ac:dyDescent="0.25">
      <c r="A16" s="68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7"/>
    </row>
    <row r="17" spans="1:15" x14ac:dyDescent="0.25">
      <c r="A17" s="117" t="s">
        <v>14</v>
      </c>
      <c r="B17" s="117" t="s">
        <v>19</v>
      </c>
      <c r="C17" s="117" t="s">
        <v>20</v>
      </c>
      <c r="D17" s="117" t="s">
        <v>21</v>
      </c>
      <c r="E17" s="117" t="s">
        <v>22</v>
      </c>
      <c r="F17" s="117" t="s">
        <v>23</v>
      </c>
      <c r="G17" s="117" t="s">
        <v>24</v>
      </c>
      <c r="H17" s="117" t="s">
        <v>25</v>
      </c>
      <c r="I17" s="117" t="s">
        <v>26</v>
      </c>
      <c r="J17" s="117" t="s">
        <v>27</v>
      </c>
      <c r="K17" s="117" t="s">
        <v>28</v>
      </c>
      <c r="L17" s="117" t="s">
        <v>29</v>
      </c>
      <c r="M17" s="117" t="s">
        <v>17</v>
      </c>
      <c r="N17" s="117" t="s">
        <v>18</v>
      </c>
      <c r="O17" s="67"/>
    </row>
    <row r="18" spans="1:15" x14ac:dyDescent="0.25">
      <c r="A18" s="78">
        <v>10</v>
      </c>
      <c r="B18" s="78" t="s">
        <v>144</v>
      </c>
      <c r="C18" s="78" t="s">
        <v>145</v>
      </c>
      <c r="D18" s="80">
        <v>15</v>
      </c>
      <c r="E18" s="78"/>
      <c r="F18" s="78"/>
      <c r="G18" s="78"/>
      <c r="H18" s="81"/>
      <c r="I18" s="82"/>
      <c r="J18" s="83"/>
      <c r="K18" s="81">
        <v>1.3</v>
      </c>
      <c r="L18" s="81"/>
      <c r="M18" s="81">
        <v>1</v>
      </c>
      <c r="N18" s="80">
        <f>M18*D18*K18</f>
        <v>19.5</v>
      </c>
      <c r="O18" s="67"/>
    </row>
    <row r="19" spans="1:15" s="24" customFormat="1" x14ac:dyDescent="0.25">
      <c r="A19" s="78">
        <v>20</v>
      </c>
      <c r="B19" s="78" t="s">
        <v>146</v>
      </c>
      <c r="C19" s="84" t="s">
        <v>147</v>
      </c>
      <c r="D19" s="80">
        <v>10</v>
      </c>
      <c r="E19" s="85">
        <v>0.05</v>
      </c>
      <c r="F19" s="85" t="s">
        <v>148</v>
      </c>
      <c r="G19" s="85"/>
      <c r="H19" s="81"/>
      <c r="I19" s="86"/>
      <c r="J19" s="116"/>
      <c r="K19" s="88"/>
      <c r="L19" s="89"/>
      <c r="M19" s="90">
        <v>1</v>
      </c>
      <c r="N19" s="80">
        <f>M19*D19*E19</f>
        <v>0.5</v>
      </c>
      <c r="O19" s="72"/>
    </row>
    <row r="20" spans="1:15" x14ac:dyDescent="0.25">
      <c r="A20" s="78">
        <v>30</v>
      </c>
      <c r="B20" s="78" t="s">
        <v>149</v>
      </c>
      <c r="C20" s="78" t="s">
        <v>150</v>
      </c>
      <c r="D20" s="80">
        <v>1</v>
      </c>
      <c r="E20" s="78"/>
      <c r="F20" s="78"/>
      <c r="G20" s="78"/>
      <c r="H20" s="81"/>
      <c r="I20" s="90"/>
      <c r="J20" s="91"/>
      <c r="K20" s="81"/>
      <c r="L20" s="87"/>
      <c r="M20" s="81">
        <v>2</v>
      </c>
      <c r="N20" s="80">
        <f>M20*D20</f>
        <v>2</v>
      </c>
      <c r="O20" s="67"/>
    </row>
    <row r="21" spans="1:15" x14ac:dyDescent="0.25">
      <c r="A21" s="73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117" t="s">
        <v>18</v>
      </c>
      <c r="N21" s="119">
        <f>SUM(N18:N20)</f>
        <v>22</v>
      </c>
      <c r="O21" s="67"/>
    </row>
    <row r="22" spans="1:15" x14ac:dyDescent="0.25">
      <c r="A22" s="68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7"/>
    </row>
    <row r="23" spans="1:15" s="27" customFormat="1" x14ac:dyDescent="0.25">
      <c r="A23" s="117" t="s">
        <v>14</v>
      </c>
      <c r="B23" s="117" t="s">
        <v>31</v>
      </c>
      <c r="C23" s="117" t="s">
        <v>20</v>
      </c>
      <c r="D23" s="117" t="s">
        <v>21</v>
      </c>
      <c r="E23" s="117" t="s">
        <v>32</v>
      </c>
      <c r="F23" s="117" t="s">
        <v>17</v>
      </c>
      <c r="G23" s="117" t="s">
        <v>33</v>
      </c>
      <c r="H23" s="117" t="s">
        <v>34</v>
      </c>
      <c r="I23" s="117" t="s">
        <v>18</v>
      </c>
      <c r="J23" s="26"/>
      <c r="K23" s="26"/>
      <c r="L23" s="26"/>
      <c r="M23" s="26"/>
      <c r="N23" s="26"/>
      <c r="O23" s="74"/>
    </row>
    <row r="24" spans="1:15" x14ac:dyDescent="0.25">
      <c r="A24" s="78">
        <v>10</v>
      </c>
      <c r="B24" s="78" t="s">
        <v>151</v>
      </c>
      <c r="C24" s="78" t="s">
        <v>152</v>
      </c>
      <c r="D24" s="80">
        <v>0.15</v>
      </c>
      <c r="E24" s="78" t="s">
        <v>35</v>
      </c>
      <c r="F24" s="92">
        <v>6</v>
      </c>
      <c r="G24" s="92"/>
      <c r="H24" s="92">
        <v>1</v>
      </c>
      <c r="I24" s="80">
        <f t="shared" ref="I24:I32" si="1">IF(H24="",D24*F24,D24*F24*H24)</f>
        <v>0.89999999999999991</v>
      </c>
      <c r="J24" s="61"/>
      <c r="K24" s="61"/>
      <c r="L24" s="61"/>
      <c r="M24" s="61"/>
      <c r="N24" s="61"/>
      <c r="O24" s="67"/>
    </row>
    <row r="25" spans="1:15" x14ac:dyDescent="0.25">
      <c r="A25" s="78">
        <v>20</v>
      </c>
      <c r="B25" s="93" t="s">
        <v>153</v>
      </c>
      <c r="C25" s="78" t="s">
        <v>154</v>
      </c>
      <c r="D25" s="80">
        <v>5.25</v>
      </c>
      <c r="E25" s="93" t="s">
        <v>148</v>
      </c>
      <c r="F25" s="92">
        <v>0.05</v>
      </c>
      <c r="G25" s="78"/>
      <c r="H25" s="92">
        <v>1</v>
      </c>
      <c r="I25" s="80">
        <f t="shared" si="1"/>
        <v>0.26250000000000001</v>
      </c>
      <c r="J25" s="61"/>
      <c r="K25" s="61"/>
      <c r="L25" s="61"/>
      <c r="M25" s="61"/>
      <c r="N25" s="61"/>
      <c r="O25" s="67"/>
    </row>
    <row r="26" spans="1:15" x14ac:dyDescent="0.25">
      <c r="A26" s="78">
        <v>30</v>
      </c>
      <c r="B26" s="93" t="s">
        <v>155</v>
      </c>
      <c r="C26" s="78" t="s">
        <v>156</v>
      </c>
      <c r="D26" s="80">
        <v>0.125</v>
      </c>
      <c r="E26" s="78" t="s">
        <v>35</v>
      </c>
      <c r="F26" s="92">
        <v>1</v>
      </c>
      <c r="G26" s="78"/>
      <c r="H26" s="92">
        <v>1</v>
      </c>
      <c r="I26" s="80">
        <f t="shared" si="1"/>
        <v>0.125</v>
      </c>
      <c r="J26" s="61"/>
      <c r="K26" s="61"/>
      <c r="L26" s="61"/>
      <c r="M26" s="61"/>
      <c r="N26" s="61"/>
      <c r="O26" s="67"/>
    </row>
    <row r="27" spans="1:15" s="17" customFormat="1" x14ac:dyDescent="0.25">
      <c r="A27" s="78">
        <f>A26+10</f>
        <v>40</v>
      </c>
      <c r="B27" s="93" t="s">
        <v>157</v>
      </c>
      <c r="C27" s="78" t="s">
        <v>158</v>
      </c>
      <c r="D27" s="80">
        <v>6.25E-2</v>
      </c>
      <c r="E27" s="78" t="s">
        <v>35</v>
      </c>
      <c r="F27" s="92">
        <v>1</v>
      </c>
      <c r="G27" s="78"/>
      <c r="H27" s="92">
        <v>1</v>
      </c>
      <c r="I27" s="80">
        <f t="shared" si="1"/>
        <v>6.25E-2</v>
      </c>
      <c r="J27" s="62"/>
      <c r="K27" s="62"/>
      <c r="L27" s="62"/>
      <c r="M27" s="62"/>
      <c r="N27" s="62"/>
      <c r="O27" s="71"/>
    </row>
    <row r="28" spans="1:15" s="27" customFormat="1" x14ac:dyDescent="0.25">
      <c r="A28" s="78">
        <f t="shared" ref="A28:A32" si="2">A27+10</f>
        <v>50</v>
      </c>
      <c r="B28" s="78" t="s">
        <v>159</v>
      </c>
      <c r="C28" s="78" t="s">
        <v>160</v>
      </c>
      <c r="D28" s="80">
        <v>0.5</v>
      </c>
      <c r="E28" s="78" t="s">
        <v>35</v>
      </c>
      <c r="F28" s="92">
        <v>1</v>
      </c>
      <c r="G28" s="92"/>
      <c r="H28" s="92">
        <v>1</v>
      </c>
      <c r="I28" s="80">
        <f t="shared" si="1"/>
        <v>0.5</v>
      </c>
      <c r="J28" s="62"/>
      <c r="K28" s="62"/>
      <c r="L28" s="62"/>
      <c r="M28" s="62"/>
      <c r="N28" s="62"/>
      <c r="O28" s="74"/>
    </row>
    <row r="29" spans="1:15" s="27" customFormat="1" x14ac:dyDescent="0.25">
      <c r="A29" s="78">
        <f t="shared" si="2"/>
        <v>60</v>
      </c>
      <c r="B29" s="78" t="s">
        <v>161</v>
      </c>
      <c r="C29" s="78" t="s">
        <v>162</v>
      </c>
      <c r="D29" s="80">
        <v>0.25</v>
      </c>
      <c r="E29" s="78" t="s">
        <v>35</v>
      </c>
      <c r="F29" s="92">
        <v>1</v>
      </c>
      <c r="G29" s="92"/>
      <c r="H29" s="92">
        <v>1</v>
      </c>
      <c r="I29" s="80">
        <f t="shared" si="1"/>
        <v>0.25</v>
      </c>
      <c r="J29" s="62"/>
      <c r="K29" s="62"/>
      <c r="L29" s="62"/>
      <c r="M29" s="62"/>
      <c r="N29" s="62"/>
      <c r="O29" s="74"/>
    </row>
    <row r="30" spans="1:15" s="27" customFormat="1" x14ac:dyDescent="0.25">
      <c r="A30" s="78">
        <f t="shared" si="2"/>
        <v>70</v>
      </c>
      <c r="B30" s="78" t="s">
        <v>163</v>
      </c>
      <c r="C30" s="78" t="s">
        <v>164</v>
      </c>
      <c r="D30" s="80">
        <v>0.1875</v>
      </c>
      <c r="E30" s="78" t="s">
        <v>35</v>
      </c>
      <c r="F30" s="92">
        <v>1</v>
      </c>
      <c r="G30" s="92"/>
      <c r="H30" s="92">
        <v>1</v>
      </c>
      <c r="I30" s="80">
        <f t="shared" si="1"/>
        <v>0.1875</v>
      </c>
      <c r="J30" s="62"/>
      <c r="K30" s="62"/>
      <c r="L30" s="62"/>
      <c r="M30" s="62"/>
      <c r="N30" s="62"/>
      <c r="O30" s="74"/>
    </row>
    <row r="31" spans="1:15" s="27" customFormat="1" x14ac:dyDescent="0.25">
      <c r="A31" s="78">
        <f t="shared" si="2"/>
        <v>80</v>
      </c>
      <c r="B31" s="78" t="s">
        <v>155</v>
      </c>
      <c r="C31" s="78" t="s">
        <v>165</v>
      </c>
      <c r="D31" s="80">
        <v>0.125</v>
      </c>
      <c r="E31" s="78" t="s">
        <v>35</v>
      </c>
      <c r="F31" s="92">
        <v>1</v>
      </c>
      <c r="G31" s="92"/>
      <c r="H31" s="92">
        <v>1</v>
      </c>
      <c r="I31" s="80">
        <f t="shared" si="1"/>
        <v>0.125</v>
      </c>
      <c r="J31" s="62"/>
      <c r="K31" s="62"/>
      <c r="L31" s="62"/>
      <c r="M31" s="62"/>
      <c r="N31" s="62"/>
      <c r="O31" s="74"/>
    </row>
    <row r="32" spans="1:15" s="17" customFormat="1" x14ac:dyDescent="0.25">
      <c r="A32" s="78">
        <f t="shared" si="2"/>
        <v>90</v>
      </c>
      <c r="B32" s="78" t="s">
        <v>163</v>
      </c>
      <c r="C32" s="152" t="s">
        <v>166</v>
      </c>
      <c r="D32" s="80">
        <v>0.1875</v>
      </c>
      <c r="E32" s="78" t="s">
        <v>35</v>
      </c>
      <c r="F32" s="92">
        <v>1</v>
      </c>
      <c r="G32" s="78"/>
      <c r="H32" s="92">
        <v>1</v>
      </c>
      <c r="I32" s="80">
        <f t="shared" si="1"/>
        <v>0.1875</v>
      </c>
      <c r="J32" s="62"/>
      <c r="K32" s="62"/>
      <c r="L32" s="62"/>
      <c r="M32" s="62"/>
      <c r="N32" s="62"/>
      <c r="O32" s="71"/>
    </row>
    <row r="33" spans="1:15" x14ac:dyDescent="0.25">
      <c r="A33" s="73"/>
      <c r="B33" s="26"/>
      <c r="C33" s="26"/>
      <c r="D33" s="26"/>
      <c r="E33" s="26"/>
      <c r="F33" s="26"/>
      <c r="G33" s="26"/>
      <c r="H33" s="118" t="s">
        <v>18</v>
      </c>
      <c r="I33" s="119">
        <f>SUM(I24:I32)</f>
        <v>2.5999999999999996</v>
      </c>
      <c r="J33" s="61"/>
      <c r="K33" s="61"/>
      <c r="L33" s="61"/>
      <c r="M33" s="61"/>
      <c r="N33" s="61"/>
      <c r="O33" s="67"/>
    </row>
    <row r="34" spans="1:15" x14ac:dyDescent="0.25">
      <c r="A34" s="68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7"/>
    </row>
    <row r="35" spans="1:15" x14ac:dyDescent="0.25">
      <c r="A35" s="117" t="s">
        <v>14</v>
      </c>
      <c r="B35" s="117" t="s">
        <v>36</v>
      </c>
      <c r="C35" s="117" t="s">
        <v>20</v>
      </c>
      <c r="D35" s="117" t="s">
        <v>21</v>
      </c>
      <c r="E35" s="117" t="s">
        <v>22</v>
      </c>
      <c r="F35" s="117" t="s">
        <v>23</v>
      </c>
      <c r="G35" s="117" t="s">
        <v>24</v>
      </c>
      <c r="H35" s="117" t="s">
        <v>25</v>
      </c>
      <c r="I35" s="117" t="s">
        <v>17</v>
      </c>
      <c r="J35" s="117" t="s">
        <v>18</v>
      </c>
      <c r="K35" s="61"/>
      <c r="L35" s="61"/>
      <c r="M35" s="61"/>
      <c r="N35" s="61"/>
      <c r="O35" s="67"/>
    </row>
    <row r="36" spans="1:15" x14ac:dyDescent="0.25">
      <c r="A36" s="78">
        <v>10</v>
      </c>
      <c r="B36" s="78" t="s">
        <v>167</v>
      </c>
      <c r="C36" s="78"/>
      <c r="D36" s="94">
        <v>7.0000000000000007E-2</v>
      </c>
      <c r="E36" s="95">
        <v>6</v>
      </c>
      <c r="F36" s="95" t="s">
        <v>30</v>
      </c>
      <c r="G36" s="95">
        <v>32</v>
      </c>
      <c r="H36" s="95" t="s">
        <v>30</v>
      </c>
      <c r="I36" s="96">
        <v>1</v>
      </c>
      <c r="J36" s="80">
        <f>I36*D36</f>
        <v>7.0000000000000007E-2</v>
      </c>
      <c r="K36" s="61"/>
      <c r="L36" s="61"/>
      <c r="M36" s="61"/>
      <c r="N36" s="61"/>
      <c r="O36" s="67"/>
    </row>
    <row r="37" spans="1:15" x14ac:dyDescent="0.25">
      <c r="A37" s="78">
        <v>20</v>
      </c>
      <c r="B37" t="s">
        <v>168</v>
      </c>
      <c r="C37" s="78"/>
      <c r="D37" s="94">
        <v>0.03</v>
      </c>
      <c r="E37" s="78">
        <v>6</v>
      </c>
      <c r="F37" s="97" t="s">
        <v>30</v>
      </c>
      <c r="G37" s="78"/>
      <c r="H37" s="78"/>
      <c r="I37" s="96">
        <v>1</v>
      </c>
      <c r="J37" s="80">
        <f>I37*D37</f>
        <v>0.03</v>
      </c>
      <c r="K37" s="61"/>
      <c r="L37" s="61"/>
      <c r="M37" s="61"/>
      <c r="N37" s="61"/>
      <c r="O37" s="67"/>
    </row>
    <row r="38" spans="1:15" x14ac:dyDescent="0.25">
      <c r="A38" s="78">
        <v>30</v>
      </c>
      <c r="B38" s="78" t="s">
        <v>37</v>
      </c>
      <c r="C38" s="78"/>
      <c r="D38" s="94">
        <v>0.01</v>
      </c>
      <c r="E38" s="78"/>
      <c r="F38" s="97"/>
      <c r="G38" s="78"/>
      <c r="H38" s="78"/>
      <c r="I38" s="96">
        <v>2</v>
      </c>
      <c r="J38" s="80">
        <f>I38*D38</f>
        <v>0.02</v>
      </c>
      <c r="K38" s="61"/>
      <c r="L38" s="61"/>
      <c r="M38" s="61"/>
      <c r="N38" s="61"/>
      <c r="O38" s="67"/>
    </row>
    <row r="39" spans="1:15" x14ac:dyDescent="0.25">
      <c r="A39" s="73"/>
      <c r="B39" s="26"/>
      <c r="C39" s="26"/>
      <c r="D39" s="26"/>
      <c r="E39" s="26"/>
      <c r="F39" s="26"/>
      <c r="G39" s="26"/>
      <c r="H39" s="26"/>
      <c r="I39" s="118" t="s">
        <v>18</v>
      </c>
      <c r="J39" s="119">
        <f>SUM(J36:J38)</f>
        <v>0.12000000000000001</v>
      </c>
      <c r="K39" s="61"/>
      <c r="L39" s="61"/>
      <c r="M39" s="61"/>
      <c r="N39" s="61"/>
      <c r="O39" s="67"/>
    </row>
    <row r="40" spans="1:15" x14ac:dyDescent="0.25">
      <c r="A40" s="68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7"/>
    </row>
    <row r="41" spans="1:15" x14ac:dyDescent="0.25">
      <c r="A41" s="117" t="s">
        <v>14</v>
      </c>
      <c r="B41" s="117" t="s">
        <v>38</v>
      </c>
      <c r="C41" s="117" t="s">
        <v>20</v>
      </c>
      <c r="D41" s="117" t="s">
        <v>21</v>
      </c>
      <c r="E41" s="117" t="s">
        <v>32</v>
      </c>
      <c r="F41" s="117" t="s">
        <v>17</v>
      </c>
      <c r="G41" s="117" t="s">
        <v>39</v>
      </c>
      <c r="H41" s="117" t="s">
        <v>40</v>
      </c>
      <c r="I41" s="117" t="s">
        <v>18</v>
      </c>
      <c r="J41" s="26"/>
      <c r="K41" s="61"/>
      <c r="L41" s="61"/>
      <c r="M41" s="61"/>
      <c r="N41" s="61"/>
      <c r="O41" s="67"/>
    </row>
    <row r="42" spans="1:15" x14ac:dyDescent="0.25">
      <c r="A42" s="78">
        <v>10</v>
      </c>
      <c r="B42" s="78" t="s">
        <v>41</v>
      </c>
      <c r="C42" s="78" t="s">
        <v>152</v>
      </c>
      <c r="D42" s="80">
        <v>500</v>
      </c>
      <c r="E42" s="78" t="s">
        <v>42</v>
      </c>
      <c r="F42" s="78">
        <v>2</v>
      </c>
      <c r="G42" s="78">
        <v>3000</v>
      </c>
      <c r="H42" s="78">
        <v>1</v>
      </c>
      <c r="I42" s="80">
        <f>D42*F42/G42*H42</f>
        <v>0.33333333333333331</v>
      </c>
      <c r="J42" s="26"/>
      <c r="K42" s="61"/>
      <c r="L42" s="61"/>
      <c r="M42" s="61"/>
      <c r="N42" s="61"/>
      <c r="O42" s="67"/>
    </row>
    <row r="43" spans="1:15" x14ac:dyDescent="0.25">
      <c r="A43" s="73"/>
      <c r="B43" s="26"/>
      <c r="C43" s="26"/>
      <c r="D43" s="26"/>
      <c r="E43" s="26"/>
      <c r="F43" s="26"/>
      <c r="G43" s="26"/>
      <c r="H43" s="121" t="s">
        <v>18</v>
      </c>
      <c r="I43" s="122">
        <f>SUM(I42:I42)</f>
        <v>0.33333333333333331</v>
      </c>
      <c r="J43" s="26"/>
      <c r="K43" s="61"/>
      <c r="L43" s="61"/>
      <c r="M43" s="61"/>
      <c r="N43" s="61"/>
      <c r="O43" s="67"/>
    </row>
    <row r="44" spans="1:15" ht="15.75" thickBot="1" x14ac:dyDescent="0.3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7"/>
    </row>
    <row r="45" spans="1:15" x14ac:dyDescent="0.2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</row>
  </sheetData>
  <hyperlinks>
    <hyperlink ref="B10" location="BR_01001" display="BR_01001"/>
    <hyperlink ref="B11" location="FR_05002" display="Handle padding"/>
    <hyperlink ref="B12" location="FR_05003" display="Clutch mount"/>
    <hyperlink ref="B13" location="FR_05004" display="Lever joint"/>
    <hyperlink ref="B14" location="FR_05005" display="Actuation lever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4"/>
  <sheetViews>
    <sheetView zoomScaleNormal="100" workbookViewId="0">
      <selection activeCell="N3" sqref="N3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21.42578125" customWidth="1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2" t="s">
        <v>0</v>
      </c>
      <c r="B2" s="16" t="s">
        <v>43</v>
      </c>
      <c r="C2" s="61"/>
      <c r="D2" s="61"/>
      <c r="E2" s="61"/>
      <c r="F2" s="61"/>
      <c r="G2" s="61" t="s">
        <v>133</v>
      </c>
      <c r="H2" s="61"/>
      <c r="I2" s="61"/>
      <c r="J2" s="143" t="s">
        <v>1</v>
      </c>
      <c r="K2" s="98">
        <v>81</v>
      </c>
      <c r="L2" s="61"/>
      <c r="M2" s="142" t="s">
        <v>16</v>
      </c>
      <c r="N2" s="80">
        <f>FR_05001_m+FR_05001_p</f>
        <v>4.3704000000000001</v>
      </c>
      <c r="O2" s="67"/>
    </row>
    <row r="3" spans="1:15" x14ac:dyDescent="0.25">
      <c r="A3" s="142" t="s">
        <v>3</v>
      </c>
      <c r="B3" s="16" t="str">
        <f>'FR A0500'!B3</f>
        <v>Frame and Body</v>
      </c>
      <c r="C3" s="61"/>
      <c r="D3" s="142" t="s">
        <v>6</v>
      </c>
      <c r="E3" s="107" t="s">
        <v>93</v>
      </c>
      <c r="F3" s="61"/>
      <c r="G3" s="61"/>
      <c r="H3" s="61"/>
      <c r="I3" s="61"/>
      <c r="J3" s="61"/>
      <c r="K3" s="61"/>
      <c r="L3" s="61"/>
      <c r="M3" s="142" t="s">
        <v>4</v>
      </c>
      <c r="N3" s="96">
        <v>1</v>
      </c>
      <c r="O3" s="67"/>
    </row>
    <row r="4" spans="1:15" x14ac:dyDescent="0.25">
      <c r="A4" s="142" t="s">
        <v>5</v>
      </c>
      <c r="B4" s="106" t="str">
        <f>'FR A0500'!B4</f>
        <v>Clutch actuation system</v>
      </c>
      <c r="C4" s="61"/>
      <c r="D4" s="142" t="s">
        <v>8</v>
      </c>
      <c r="E4" s="61"/>
      <c r="F4" s="61"/>
      <c r="G4" s="61"/>
      <c r="H4" s="61"/>
      <c r="I4" s="61"/>
      <c r="J4" s="144" t="s">
        <v>6</v>
      </c>
      <c r="K4" s="61"/>
      <c r="L4" s="61"/>
      <c r="M4" s="61"/>
      <c r="N4" s="61"/>
      <c r="O4" s="67"/>
    </row>
    <row r="5" spans="1:15" x14ac:dyDescent="0.25">
      <c r="A5" s="142" t="s">
        <v>15</v>
      </c>
      <c r="B5" s="18" t="s">
        <v>139</v>
      </c>
      <c r="C5" s="61"/>
      <c r="D5" s="142" t="s">
        <v>12</v>
      </c>
      <c r="E5" s="61"/>
      <c r="F5" s="61"/>
      <c r="G5" s="61"/>
      <c r="H5" s="61"/>
      <c r="I5" s="61"/>
      <c r="J5" s="144" t="s">
        <v>8</v>
      </c>
      <c r="K5" s="61"/>
      <c r="L5" s="61"/>
      <c r="M5" s="142" t="s">
        <v>9</v>
      </c>
      <c r="N5" s="80">
        <f>N3*N2</f>
        <v>4.3704000000000001</v>
      </c>
      <c r="O5" s="67"/>
    </row>
    <row r="6" spans="1:15" x14ac:dyDescent="0.25">
      <c r="A6" s="142" t="s">
        <v>7</v>
      </c>
      <c r="B6" s="30" t="s">
        <v>169</v>
      </c>
      <c r="C6" s="61"/>
      <c r="D6" s="61"/>
      <c r="E6" s="61"/>
      <c r="F6" s="61"/>
      <c r="G6" s="61"/>
      <c r="H6" s="61"/>
      <c r="I6" s="61"/>
      <c r="J6" s="144" t="s">
        <v>12</v>
      </c>
      <c r="K6" s="61"/>
      <c r="L6" s="61"/>
      <c r="M6" s="61"/>
      <c r="N6" s="61"/>
      <c r="O6" s="67"/>
    </row>
    <row r="7" spans="1:15" x14ac:dyDescent="0.25">
      <c r="A7" s="142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42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9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45" t="s">
        <v>14</v>
      </c>
      <c r="B10" s="146" t="s">
        <v>19</v>
      </c>
      <c r="C10" s="146" t="s">
        <v>20</v>
      </c>
      <c r="D10" s="146" t="s">
        <v>21</v>
      </c>
      <c r="E10" s="146" t="s">
        <v>22</v>
      </c>
      <c r="F10" s="147" t="s">
        <v>23</v>
      </c>
      <c r="G10" s="147" t="s">
        <v>24</v>
      </c>
      <c r="H10" s="147" t="s">
        <v>25</v>
      </c>
      <c r="I10" s="147" t="s">
        <v>26</v>
      </c>
      <c r="J10" s="147" t="s">
        <v>27</v>
      </c>
      <c r="K10" s="147" t="s">
        <v>28</v>
      </c>
      <c r="L10" s="147" t="s">
        <v>29</v>
      </c>
      <c r="M10" s="147" t="s">
        <v>17</v>
      </c>
      <c r="N10" s="147" t="s">
        <v>18</v>
      </c>
      <c r="O10" s="67"/>
    </row>
    <row r="11" spans="1:15" s="24" customFormat="1" x14ac:dyDescent="0.25">
      <c r="A11" s="100">
        <v>10</v>
      </c>
      <c r="B11" s="32" t="s">
        <v>170</v>
      </c>
      <c r="C11" s="21" t="s">
        <v>44</v>
      </c>
      <c r="D11" s="34">
        <v>4.2</v>
      </c>
      <c r="E11" s="21">
        <v>0.222</v>
      </c>
      <c r="F11" s="21" t="s">
        <v>171</v>
      </c>
      <c r="G11" s="21"/>
      <c r="H11" s="20"/>
      <c r="I11" s="22"/>
      <c r="J11" s="115"/>
      <c r="K11" s="23"/>
      <c r="L11" s="33"/>
      <c r="M11" s="25">
        <v>1</v>
      </c>
      <c r="N11" s="34">
        <f>IF(J11="",D11*M11*E11,D11*J11*K11*L11*M11)</f>
        <v>0.93240000000000001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8" t="s">
        <v>18</v>
      </c>
      <c r="N12" s="149">
        <f>SUM(N11:N11)</f>
        <v>0.93240000000000001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50" t="s">
        <v>14</v>
      </c>
      <c r="B14" s="147" t="s">
        <v>31</v>
      </c>
      <c r="C14" s="147" t="s">
        <v>20</v>
      </c>
      <c r="D14" s="147" t="s">
        <v>21</v>
      </c>
      <c r="E14" s="147" t="s">
        <v>32</v>
      </c>
      <c r="F14" s="147" t="s">
        <v>17</v>
      </c>
      <c r="G14" s="147" t="s">
        <v>33</v>
      </c>
      <c r="H14" s="147" t="s">
        <v>34</v>
      </c>
      <c r="I14" s="147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101">
        <v>10</v>
      </c>
      <c r="B15" s="29" t="s">
        <v>45</v>
      </c>
      <c r="C15" s="35"/>
      <c r="D15" s="36">
        <v>1.3</v>
      </c>
      <c r="E15" s="29" t="s">
        <v>35</v>
      </c>
      <c r="F15" s="35">
        <v>1</v>
      </c>
      <c r="G15" s="35"/>
      <c r="H15" s="35">
        <v>1</v>
      </c>
      <c r="I15" s="36">
        <f t="shared" ref="I15:I21" si="0">IF(H15="",D15*F15,D15*F15*H15)</f>
        <v>1.3</v>
      </c>
      <c r="J15" s="63"/>
      <c r="K15" s="63"/>
      <c r="L15" s="63"/>
      <c r="M15" s="63"/>
      <c r="N15" s="63"/>
      <c r="O15" s="74"/>
    </row>
    <row r="16" spans="1:15" ht="15" customHeight="1" x14ac:dyDescent="0.25">
      <c r="A16" s="69">
        <v>20</v>
      </c>
      <c r="B16" s="29" t="s">
        <v>172</v>
      </c>
      <c r="C16" s="19" t="s">
        <v>175</v>
      </c>
      <c r="D16" s="34">
        <v>0.04</v>
      </c>
      <c r="E16" s="19" t="s">
        <v>46</v>
      </c>
      <c r="F16" s="37">
        <v>7.7</v>
      </c>
      <c r="G16" s="29" t="s">
        <v>179</v>
      </c>
      <c r="H16" s="35">
        <v>1</v>
      </c>
      <c r="I16" s="34">
        <f t="shared" si="0"/>
        <v>0.308</v>
      </c>
      <c r="J16" s="61"/>
      <c r="K16" s="61"/>
      <c r="L16" s="61"/>
      <c r="M16" s="61"/>
      <c r="N16" s="61"/>
      <c r="O16" s="67"/>
    </row>
    <row r="17" spans="1:15" s="17" customFormat="1" x14ac:dyDescent="0.25">
      <c r="A17" s="102">
        <v>30</v>
      </c>
      <c r="B17" s="29" t="s">
        <v>173</v>
      </c>
      <c r="C17" s="28"/>
      <c r="D17" s="34">
        <v>0.65</v>
      </c>
      <c r="E17" s="29" t="s">
        <v>35</v>
      </c>
      <c r="F17" s="28">
        <v>1</v>
      </c>
      <c r="G17" s="28"/>
      <c r="H17" s="35">
        <v>1</v>
      </c>
      <c r="I17" s="34">
        <f t="shared" si="0"/>
        <v>0.65</v>
      </c>
      <c r="J17" s="62"/>
      <c r="K17" s="62"/>
      <c r="L17" s="62"/>
      <c r="M17" s="62"/>
      <c r="N17" s="62"/>
      <c r="O17" s="71"/>
    </row>
    <row r="18" spans="1:15" x14ac:dyDescent="0.25">
      <c r="A18" s="69">
        <v>40</v>
      </c>
      <c r="B18" s="29" t="s">
        <v>172</v>
      </c>
      <c r="C18" s="19"/>
      <c r="D18" s="34">
        <v>0.04</v>
      </c>
      <c r="E18" s="19" t="s">
        <v>176</v>
      </c>
      <c r="F18" s="37">
        <v>1.2</v>
      </c>
      <c r="G18" s="29" t="s">
        <v>179</v>
      </c>
      <c r="H18" s="35">
        <v>1</v>
      </c>
      <c r="I18" s="34">
        <f t="shared" si="0"/>
        <v>4.8000000000000001E-2</v>
      </c>
      <c r="J18" s="61"/>
      <c r="K18" s="61"/>
      <c r="L18" s="61"/>
      <c r="M18" s="61"/>
      <c r="N18" s="61"/>
      <c r="O18" s="67"/>
    </row>
    <row r="19" spans="1:15" x14ac:dyDescent="0.25">
      <c r="A19" s="102">
        <v>50</v>
      </c>
      <c r="B19" s="153" t="s">
        <v>173</v>
      </c>
      <c r="C19" s="28"/>
      <c r="D19" s="34">
        <v>0.65</v>
      </c>
      <c r="E19" s="29" t="s">
        <v>35</v>
      </c>
      <c r="F19" s="28">
        <v>1</v>
      </c>
      <c r="G19" s="28"/>
      <c r="H19" s="35">
        <v>1</v>
      </c>
      <c r="I19" s="34">
        <f t="shared" si="0"/>
        <v>0.65</v>
      </c>
      <c r="J19" s="61"/>
      <c r="K19" s="61"/>
      <c r="L19" s="61"/>
      <c r="M19" s="61"/>
      <c r="N19" s="61"/>
      <c r="O19" s="67"/>
    </row>
    <row r="20" spans="1:15" x14ac:dyDescent="0.25">
      <c r="A20" s="102">
        <v>60</v>
      </c>
      <c r="B20" s="153" t="s">
        <v>172</v>
      </c>
      <c r="C20" s="28"/>
      <c r="D20" s="34">
        <v>0.04</v>
      </c>
      <c r="E20" s="29" t="s">
        <v>177</v>
      </c>
      <c r="F20" s="28">
        <v>3.3</v>
      </c>
      <c r="G20" s="29" t="s">
        <v>179</v>
      </c>
      <c r="H20" s="35">
        <v>1</v>
      </c>
      <c r="I20" s="34">
        <f t="shared" si="0"/>
        <v>0.13200000000000001</v>
      </c>
      <c r="J20" s="61"/>
      <c r="K20" s="61"/>
      <c r="L20" s="61"/>
      <c r="M20" s="61"/>
      <c r="N20" s="61"/>
      <c r="O20" s="67"/>
    </row>
    <row r="21" spans="1:15" x14ac:dyDescent="0.25">
      <c r="A21" s="69">
        <v>70</v>
      </c>
      <c r="B21" s="29" t="s">
        <v>174</v>
      </c>
      <c r="C21" s="19" t="s">
        <v>204</v>
      </c>
      <c r="D21" s="34">
        <v>0.35</v>
      </c>
      <c r="E21" s="19" t="s">
        <v>178</v>
      </c>
      <c r="F21" s="37">
        <v>1</v>
      </c>
      <c r="G21" s="29" t="s">
        <v>179</v>
      </c>
      <c r="H21" s="35">
        <v>1</v>
      </c>
      <c r="I21" s="34">
        <f t="shared" si="0"/>
        <v>0.35</v>
      </c>
      <c r="J21" s="61"/>
      <c r="K21" s="61"/>
      <c r="L21" s="61"/>
      <c r="M21" s="61"/>
      <c r="N21" s="61"/>
      <c r="O21" s="67"/>
    </row>
    <row r="22" spans="1:15" x14ac:dyDescent="0.25">
      <c r="A22" s="73"/>
      <c r="B22" s="26"/>
      <c r="C22" s="26"/>
      <c r="D22" s="26"/>
      <c r="E22" s="26"/>
      <c r="F22" s="26"/>
      <c r="G22" s="26"/>
      <c r="H22" s="151" t="s">
        <v>18</v>
      </c>
      <c r="I22" s="149">
        <f>SUM(I15:I21)</f>
        <v>3.4380000000000002</v>
      </c>
      <c r="J22" s="26"/>
      <c r="K22" s="26"/>
      <c r="L22" s="26"/>
      <c r="M22" s="26"/>
      <c r="N22" s="26"/>
      <c r="O22" s="67"/>
    </row>
    <row r="23" spans="1:15" x14ac:dyDescent="0.25">
      <c r="A23" s="68"/>
      <c r="B23" s="61"/>
      <c r="C23" s="61"/>
      <c r="D23" s="61"/>
      <c r="E23" s="61"/>
      <c r="F23" s="61"/>
      <c r="G23" s="61"/>
      <c r="H23" s="61"/>
      <c r="I23" s="62"/>
      <c r="J23" s="61"/>
      <c r="K23" s="61"/>
      <c r="L23" s="61"/>
      <c r="M23" s="61"/>
      <c r="N23" s="61"/>
      <c r="O23" s="67"/>
    </row>
    <row r="24" spans="1:15" ht="15.75" thickBot="1" x14ac:dyDescent="0.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7"/>
    </row>
  </sheetData>
  <hyperlinks>
    <hyperlink ref="B4" location="BR_A0001" display="BR_A0001"/>
    <hyperlink ref="E3" location="dBR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>
      <selection activeCell="C39" sqref="C39"/>
    </sheetView>
  </sheetViews>
  <sheetFormatPr baseColWidth="10" defaultRowHeight="15" x14ac:dyDescent="0.25"/>
  <cols>
    <col min="1" max="1" width="14" customWidth="1"/>
  </cols>
  <sheetData>
    <row r="1" spans="1:2" x14ac:dyDescent="0.25">
      <c r="A1" s="107" t="s">
        <v>92</v>
      </c>
      <c r="B1" s="107" t="str">
        <f>BR_01001</f>
        <v>FR 05001</v>
      </c>
    </row>
  </sheetData>
  <hyperlinks>
    <hyperlink ref="B1" location="EL_01001" display="EL_01001"/>
    <hyperlink ref="A1" location="EL_01001" display="Drawing part :"/>
    <hyperlink ref="A1:B1" location="BR_0100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workbookViewId="0">
      <selection activeCell="N3" sqref="N3"/>
    </sheetView>
  </sheetViews>
  <sheetFormatPr baseColWidth="10" defaultColWidth="9.140625" defaultRowHeight="15" x14ac:dyDescent="0.25"/>
  <cols>
    <col min="1" max="1" width="15.42578125" customWidth="1"/>
    <col min="2" max="2" width="25.85546875" customWidth="1"/>
    <col min="3" max="3" width="23.7109375" customWidth="1"/>
    <col min="4" max="4" width="10.85546875" bestFit="1" customWidth="1"/>
    <col min="7" max="7" width="21.42578125" customWidth="1"/>
    <col min="9" max="9" width="11.140625" customWidth="1"/>
    <col min="15" max="15" width="3.140625" customWidth="1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2" t="s">
        <v>0</v>
      </c>
      <c r="B2" s="16" t="s">
        <v>43</v>
      </c>
      <c r="C2" s="61"/>
      <c r="D2" s="61"/>
      <c r="E2" s="61"/>
      <c r="F2" s="61"/>
      <c r="G2" s="61" t="s">
        <v>133</v>
      </c>
      <c r="H2" s="61"/>
      <c r="I2" s="61"/>
      <c r="J2" s="143" t="s">
        <v>1</v>
      </c>
      <c r="K2" s="98">
        <v>81</v>
      </c>
      <c r="L2" s="61"/>
      <c r="M2" s="142" t="s">
        <v>16</v>
      </c>
      <c r="N2" s="80">
        <f>FR_05002_m+FR_05002_p+FR_05002_t</f>
        <v>7.3966666666666665</v>
      </c>
      <c r="O2" s="67"/>
    </row>
    <row r="3" spans="1:15" x14ac:dyDescent="0.25">
      <c r="A3" s="142" t="s">
        <v>3</v>
      </c>
      <c r="B3" s="16" t="str">
        <f>'FR A0500'!B3</f>
        <v>Frame and Body</v>
      </c>
      <c r="C3" s="61"/>
      <c r="D3" s="142" t="s">
        <v>6</v>
      </c>
      <c r="E3" s="107"/>
      <c r="F3" s="61"/>
      <c r="G3" s="61"/>
      <c r="H3" s="61"/>
      <c r="I3" s="61"/>
      <c r="J3" s="61"/>
      <c r="K3" s="61"/>
      <c r="L3" s="61"/>
      <c r="M3" s="142" t="s">
        <v>4</v>
      </c>
      <c r="N3" s="96">
        <v>1</v>
      </c>
      <c r="O3" s="67"/>
    </row>
    <row r="4" spans="1:15" x14ac:dyDescent="0.25">
      <c r="A4" s="142" t="s">
        <v>5</v>
      </c>
      <c r="B4" s="106" t="str">
        <f>'FR A0500'!B4</f>
        <v>Clutch actuation system</v>
      </c>
      <c r="C4" s="61"/>
      <c r="D4" s="142" t="s">
        <v>8</v>
      </c>
      <c r="E4" s="61"/>
      <c r="F4" s="61"/>
      <c r="G4" s="61"/>
      <c r="H4" s="61"/>
      <c r="I4" s="61"/>
      <c r="J4" s="144" t="s">
        <v>6</v>
      </c>
      <c r="K4" s="61"/>
      <c r="L4" s="61"/>
      <c r="M4" s="61"/>
      <c r="N4" s="61"/>
      <c r="O4" s="67"/>
    </row>
    <row r="5" spans="1:15" x14ac:dyDescent="0.25">
      <c r="A5" s="142" t="s">
        <v>15</v>
      </c>
      <c r="B5" s="79" t="s">
        <v>140</v>
      </c>
      <c r="C5" s="61"/>
      <c r="D5" s="142" t="s">
        <v>12</v>
      </c>
      <c r="E5" s="61"/>
      <c r="F5" s="61"/>
      <c r="G5" s="61"/>
      <c r="H5" s="61"/>
      <c r="I5" s="61"/>
      <c r="J5" s="144" t="s">
        <v>8</v>
      </c>
      <c r="K5" s="61"/>
      <c r="L5" s="61"/>
      <c r="M5" s="142" t="s">
        <v>9</v>
      </c>
      <c r="N5" s="80">
        <f>N3*N2</f>
        <v>7.3966666666666665</v>
      </c>
      <c r="O5" s="67"/>
    </row>
    <row r="6" spans="1:15" x14ac:dyDescent="0.25">
      <c r="A6" s="142" t="s">
        <v>7</v>
      </c>
      <c r="B6" s="30" t="s">
        <v>181</v>
      </c>
      <c r="C6" s="61"/>
      <c r="D6" s="61"/>
      <c r="E6" s="61"/>
      <c r="F6" s="61"/>
      <c r="G6" s="61"/>
      <c r="H6" s="61"/>
      <c r="I6" s="61"/>
      <c r="J6" s="144" t="s">
        <v>12</v>
      </c>
      <c r="K6" s="61"/>
      <c r="L6" s="61"/>
      <c r="M6" s="61"/>
      <c r="N6" s="61"/>
      <c r="O6" s="67"/>
    </row>
    <row r="7" spans="1:15" x14ac:dyDescent="0.25">
      <c r="A7" s="142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42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9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45" t="s">
        <v>14</v>
      </c>
      <c r="B10" s="146" t="s">
        <v>19</v>
      </c>
      <c r="C10" s="146" t="s">
        <v>20</v>
      </c>
      <c r="D10" s="146" t="s">
        <v>21</v>
      </c>
      <c r="E10" s="146" t="s">
        <v>22</v>
      </c>
      <c r="F10" s="147" t="s">
        <v>23</v>
      </c>
      <c r="G10" s="147" t="s">
        <v>24</v>
      </c>
      <c r="H10" s="147" t="s">
        <v>25</v>
      </c>
      <c r="I10" s="147" t="s">
        <v>26</v>
      </c>
      <c r="J10" s="147" t="s">
        <v>27</v>
      </c>
      <c r="K10" s="147" t="s">
        <v>28</v>
      </c>
      <c r="L10" s="147" t="s">
        <v>29</v>
      </c>
      <c r="M10" s="147" t="s">
        <v>17</v>
      </c>
      <c r="N10" s="147" t="s">
        <v>18</v>
      </c>
      <c r="O10" s="67"/>
    </row>
    <row r="11" spans="1:15" s="24" customFormat="1" x14ac:dyDescent="0.25">
      <c r="A11" s="100">
        <v>10</v>
      </c>
      <c r="B11" s="32" t="s">
        <v>182</v>
      </c>
      <c r="C11" s="21" t="s">
        <v>183</v>
      </c>
      <c r="D11" s="34">
        <v>3.3</v>
      </c>
      <c r="E11" s="21">
        <v>0.1</v>
      </c>
      <c r="F11" s="21" t="s">
        <v>171</v>
      </c>
      <c r="G11" s="21"/>
      <c r="H11" s="20"/>
      <c r="I11" s="22"/>
      <c r="J11" s="115"/>
      <c r="K11" s="23"/>
      <c r="L11" s="33">
        <v>1100</v>
      </c>
      <c r="M11" s="25">
        <v>1</v>
      </c>
      <c r="N11" s="34">
        <f>IF(J11="",D11*M11*E11,D11*J11*K11*L11*M11)</f>
        <v>0.33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8" t="s">
        <v>18</v>
      </c>
      <c r="N12" s="149">
        <f>SUM(N11:N11)</f>
        <v>0.33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50" t="s">
        <v>14</v>
      </c>
      <c r="B14" s="147" t="s">
        <v>31</v>
      </c>
      <c r="C14" s="147" t="s">
        <v>20</v>
      </c>
      <c r="D14" s="147" t="s">
        <v>21</v>
      </c>
      <c r="E14" s="147" t="s">
        <v>32</v>
      </c>
      <c r="F14" s="147" t="s">
        <v>17</v>
      </c>
      <c r="G14" s="147" t="s">
        <v>33</v>
      </c>
      <c r="H14" s="147" t="s">
        <v>34</v>
      </c>
      <c r="I14" s="147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101">
        <v>10</v>
      </c>
      <c r="B15" s="29" t="s">
        <v>184</v>
      </c>
      <c r="C15" s="35" t="s">
        <v>185</v>
      </c>
      <c r="D15" s="36">
        <v>4</v>
      </c>
      <c r="E15" s="29" t="s">
        <v>171</v>
      </c>
      <c r="F15" s="35">
        <v>0.1</v>
      </c>
      <c r="G15" s="35"/>
      <c r="H15" s="35">
        <v>1</v>
      </c>
      <c r="I15" s="36">
        <f t="shared" ref="I15" si="0">IF(H15="",D15*F15,D15*F15*H15)</f>
        <v>0.4</v>
      </c>
      <c r="J15" s="63"/>
      <c r="K15" s="63"/>
      <c r="L15" s="63"/>
      <c r="M15" s="63"/>
      <c r="N15" s="63"/>
      <c r="O15" s="74"/>
    </row>
    <row r="16" spans="1:15" x14ac:dyDescent="0.25">
      <c r="A16" s="73"/>
      <c r="B16" s="26"/>
      <c r="C16" s="26"/>
      <c r="D16" s="26"/>
      <c r="E16" s="26"/>
      <c r="F16" s="26"/>
      <c r="G16" s="26"/>
      <c r="H16" s="151" t="s">
        <v>18</v>
      </c>
      <c r="I16" s="149">
        <f>SUM(I15:I15)</f>
        <v>0.4</v>
      </c>
      <c r="J16" s="26"/>
      <c r="K16" s="26"/>
      <c r="L16" s="26"/>
      <c r="M16" s="26"/>
      <c r="N16" s="26"/>
      <c r="O16" s="67"/>
    </row>
    <row r="17" spans="1:15" x14ac:dyDescent="0.25">
      <c r="A17" s="73"/>
      <c r="B17" s="26"/>
      <c r="C17" s="26"/>
      <c r="D17" s="26"/>
      <c r="E17" s="26"/>
      <c r="F17" s="26"/>
      <c r="G17" s="156"/>
      <c r="H17" s="154"/>
      <c r="I17" s="155"/>
      <c r="J17" s="156"/>
      <c r="K17" s="26"/>
      <c r="L17" s="26"/>
      <c r="M17" s="26"/>
      <c r="N17" s="26"/>
      <c r="O17" s="67"/>
    </row>
    <row r="18" spans="1:15" x14ac:dyDescent="0.25">
      <c r="A18" s="73"/>
      <c r="B18" s="26"/>
      <c r="C18" s="26"/>
      <c r="D18" s="26"/>
      <c r="E18" s="26"/>
      <c r="F18" s="26"/>
      <c r="G18" s="156"/>
      <c r="H18" s="154"/>
      <c r="I18" s="155"/>
      <c r="J18" s="156"/>
      <c r="K18" s="156"/>
      <c r="L18" s="156"/>
      <c r="M18" s="156"/>
      <c r="N18" s="26"/>
      <c r="O18" s="67"/>
    </row>
    <row r="19" spans="1:15" x14ac:dyDescent="0.25">
      <c r="A19" s="150" t="s">
        <v>14</v>
      </c>
      <c r="B19" s="147" t="s">
        <v>38</v>
      </c>
      <c r="C19" s="147" t="s">
        <v>20</v>
      </c>
      <c r="D19" s="147" t="s">
        <v>21</v>
      </c>
      <c r="E19" s="147" t="s">
        <v>32</v>
      </c>
      <c r="F19" s="147" t="s">
        <v>17</v>
      </c>
      <c r="G19" s="147" t="s">
        <v>39</v>
      </c>
      <c r="H19" s="147" t="s">
        <v>186</v>
      </c>
      <c r="I19" s="147" t="s">
        <v>18</v>
      </c>
      <c r="J19" s="156"/>
      <c r="K19" s="156"/>
      <c r="L19" s="156"/>
      <c r="M19" s="156"/>
      <c r="N19" s="26"/>
      <c r="O19" s="67"/>
    </row>
    <row r="20" spans="1:15" x14ac:dyDescent="0.25">
      <c r="A20" s="101">
        <v>10</v>
      </c>
      <c r="B20" s="29" t="s">
        <v>187</v>
      </c>
      <c r="C20" s="35" t="s">
        <v>185</v>
      </c>
      <c r="D20" s="36">
        <v>10000</v>
      </c>
      <c r="E20" s="29" t="s">
        <v>188</v>
      </c>
      <c r="F20" s="35">
        <v>2</v>
      </c>
      <c r="G20" s="35">
        <v>3000</v>
      </c>
      <c r="H20" s="35">
        <v>1</v>
      </c>
      <c r="I20" s="36">
        <f>IF(H20="",D20*F20,H20*F20*D20/G20)</f>
        <v>6.666666666666667</v>
      </c>
      <c r="J20" s="156"/>
      <c r="K20" s="156"/>
      <c r="L20" s="156"/>
      <c r="M20" s="156"/>
      <c r="N20" s="26"/>
      <c r="O20" s="67"/>
    </row>
    <row r="21" spans="1:15" x14ac:dyDescent="0.25">
      <c r="A21" s="73"/>
      <c r="B21" s="26"/>
      <c r="C21" s="26"/>
      <c r="D21" s="26"/>
      <c r="E21" s="26"/>
      <c r="F21" s="26"/>
      <c r="G21" s="26"/>
      <c r="H21" s="151" t="s">
        <v>18</v>
      </c>
      <c r="I21" s="149">
        <f>SUM(I20:I20)</f>
        <v>6.666666666666667</v>
      </c>
      <c r="J21" s="61"/>
      <c r="K21" s="61"/>
      <c r="L21" s="61"/>
      <c r="M21" s="61"/>
      <c r="N21" s="61"/>
      <c r="O21" s="67"/>
    </row>
    <row r="22" spans="1:15" ht="15.75" thickBot="1" x14ac:dyDescent="0.3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7"/>
    </row>
  </sheetData>
  <hyperlinks>
    <hyperlink ref="B4" location="BR_A0001" display="BR_A000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R33"/>
  <sheetViews>
    <sheetView zoomScale="115" zoomScaleNormal="115" workbookViewId="0">
      <selection activeCell="N3" sqref="N3"/>
    </sheetView>
  </sheetViews>
  <sheetFormatPr baseColWidth="10" defaultColWidth="9.140625" defaultRowHeight="15" x14ac:dyDescent="0.25"/>
  <cols>
    <col min="1" max="1" width="15.42578125" customWidth="1"/>
    <col min="2" max="2" width="34.28515625" customWidth="1"/>
    <col min="3" max="3" width="23.7109375" customWidth="1"/>
    <col min="4" max="4" width="10.85546875" bestFit="1" customWidth="1"/>
    <col min="7" max="7" width="21.42578125" customWidth="1"/>
    <col min="9" max="9" width="11.140625" customWidth="1"/>
    <col min="15" max="15" width="3.140625" customWidth="1"/>
  </cols>
  <sheetData>
    <row r="1" spans="1:18" x14ac:dyDescent="0.25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  <c r="O1" s="65"/>
      <c r="P1" s="61"/>
      <c r="Q1" s="61"/>
      <c r="R1" s="61"/>
    </row>
    <row r="2" spans="1:18" x14ac:dyDescent="0.25">
      <c r="A2" s="173" t="s">
        <v>0</v>
      </c>
      <c r="B2" s="16" t="s">
        <v>43</v>
      </c>
      <c r="C2" s="61"/>
      <c r="D2" s="61"/>
      <c r="E2" s="61"/>
      <c r="F2" s="61"/>
      <c r="G2" s="61" t="s">
        <v>133</v>
      </c>
      <c r="H2" s="61"/>
      <c r="I2" s="61"/>
      <c r="J2" s="143" t="s">
        <v>1</v>
      </c>
      <c r="K2" s="98">
        <v>81</v>
      </c>
      <c r="L2" s="61"/>
      <c r="M2" s="142" t="s">
        <v>16</v>
      </c>
      <c r="N2" s="174">
        <f>FR_05003_m+FR_05003_p</f>
        <v>2.37235</v>
      </c>
      <c r="O2" s="61"/>
      <c r="P2" s="61"/>
      <c r="Q2" s="61"/>
      <c r="R2" s="61"/>
    </row>
    <row r="3" spans="1:18" x14ac:dyDescent="0.25">
      <c r="A3" s="173" t="s">
        <v>3</v>
      </c>
      <c r="B3" s="16" t="str">
        <f>'FR A0500'!B3</f>
        <v>Frame and Body</v>
      </c>
      <c r="C3" s="61"/>
      <c r="D3" s="142" t="s">
        <v>6</v>
      </c>
      <c r="E3" s="106" t="s">
        <v>93</v>
      </c>
      <c r="F3" s="61"/>
      <c r="G3" s="61"/>
      <c r="H3" s="61"/>
      <c r="I3" s="61"/>
      <c r="J3" s="61"/>
      <c r="K3" s="61"/>
      <c r="L3" s="61"/>
      <c r="M3" s="142" t="s">
        <v>4</v>
      </c>
      <c r="N3" s="175">
        <v>1</v>
      </c>
      <c r="O3" s="61"/>
      <c r="P3" s="61"/>
      <c r="Q3" s="61"/>
      <c r="R3" s="61"/>
    </row>
    <row r="4" spans="1:18" x14ac:dyDescent="0.25">
      <c r="A4" s="173" t="s">
        <v>5</v>
      </c>
      <c r="B4" s="106" t="str">
        <f>'FR A0500'!B4</f>
        <v>Clutch actuation system</v>
      </c>
      <c r="C4" s="61"/>
      <c r="D4" s="142" t="s">
        <v>8</v>
      </c>
      <c r="E4" s="61"/>
      <c r="F4" s="61"/>
      <c r="G4" s="61"/>
      <c r="H4" s="61"/>
      <c r="I4" s="61"/>
      <c r="J4" s="144" t="s">
        <v>6</v>
      </c>
      <c r="K4" s="61"/>
      <c r="L4" s="61"/>
      <c r="M4" s="61"/>
      <c r="N4" s="176"/>
      <c r="O4" s="61"/>
      <c r="P4" s="61"/>
      <c r="Q4" s="61"/>
      <c r="R4" s="61"/>
    </row>
    <row r="5" spans="1:18" x14ac:dyDescent="0.25">
      <c r="A5" s="173" t="s">
        <v>15</v>
      </c>
      <c r="B5" s="79" t="s">
        <v>141</v>
      </c>
      <c r="C5" s="61"/>
      <c r="D5" s="142" t="s">
        <v>12</v>
      </c>
      <c r="E5" s="61"/>
      <c r="F5" s="61"/>
      <c r="G5" s="61"/>
      <c r="H5" s="61"/>
      <c r="I5" s="61"/>
      <c r="J5" s="144" t="s">
        <v>8</v>
      </c>
      <c r="K5" s="61"/>
      <c r="L5" s="61"/>
      <c r="M5" s="142" t="s">
        <v>9</v>
      </c>
      <c r="N5" s="174">
        <f>N3*N2</f>
        <v>2.37235</v>
      </c>
      <c r="O5" s="61"/>
      <c r="P5" s="61"/>
      <c r="Q5" s="61"/>
      <c r="R5" s="61"/>
    </row>
    <row r="6" spans="1:18" x14ac:dyDescent="0.25">
      <c r="A6" s="173" t="s">
        <v>7</v>
      </c>
      <c r="B6" s="30" t="s">
        <v>192</v>
      </c>
      <c r="C6" s="61"/>
      <c r="D6" s="61"/>
      <c r="E6" s="61"/>
      <c r="F6" s="61"/>
      <c r="G6" s="61"/>
      <c r="H6" s="61"/>
      <c r="I6" s="61"/>
      <c r="J6" s="144" t="s">
        <v>12</v>
      </c>
      <c r="K6" s="61"/>
      <c r="L6" s="61"/>
      <c r="M6" s="61"/>
      <c r="N6" s="176"/>
      <c r="O6" s="61"/>
      <c r="P6" s="61"/>
      <c r="Q6" s="61"/>
      <c r="R6" s="61"/>
    </row>
    <row r="7" spans="1:18" x14ac:dyDescent="0.25">
      <c r="A7" s="173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176"/>
      <c r="O7" s="61"/>
      <c r="P7" s="61"/>
      <c r="Q7" s="61"/>
      <c r="R7" s="61"/>
    </row>
    <row r="8" spans="1:18" x14ac:dyDescent="0.25">
      <c r="A8" s="173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176"/>
      <c r="O8" s="61"/>
      <c r="P8" s="61"/>
      <c r="Q8" s="61"/>
      <c r="R8" s="61"/>
    </row>
    <row r="9" spans="1:18" x14ac:dyDescent="0.25">
      <c r="A9" s="177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176"/>
      <c r="O9" s="61"/>
      <c r="P9" s="61"/>
      <c r="Q9" s="61"/>
      <c r="R9" s="61"/>
    </row>
    <row r="10" spans="1:18" x14ac:dyDescent="0.25">
      <c r="A10" s="178" t="s">
        <v>14</v>
      </c>
      <c r="B10" s="146" t="s">
        <v>19</v>
      </c>
      <c r="C10" s="146" t="s">
        <v>20</v>
      </c>
      <c r="D10" s="146" t="s">
        <v>21</v>
      </c>
      <c r="E10" s="146" t="s">
        <v>22</v>
      </c>
      <c r="F10" s="147" t="s">
        <v>23</v>
      </c>
      <c r="G10" s="147" t="s">
        <v>24</v>
      </c>
      <c r="H10" s="147" t="s">
        <v>25</v>
      </c>
      <c r="I10" s="147" t="s">
        <v>26</v>
      </c>
      <c r="J10" s="147" t="s">
        <v>27</v>
      </c>
      <c r="K10" s="147" t="s">
        <v>28</v>
      </c>
      <c r="L10" s="147" t="s">
        <v>29</v>
      </c>
      <c r="M10" s="147" t="s">
        <v>17</v>
      </c>
      <c r="N10" s="179" t="s">
        <v>18</v>
      </c>
      <c r="O10" s="61"/>
      <c r="P10" s="61"/>
      <c r="Q10" s="61"/>
      <c r="R10" s="61"/>
    </row>
    <row r="11" spans="1:18" s="24" customFormat="1" x14ac:dyDescent="0.25">
      <c r="A11" s="180">
        <v>10</v>
      </c>
      <c r="B11" s="32" t="s">
        <v>189</v>
      </c>
      <c r="C11" s="21" t="s">
        <v>44</v>
      </c>
      <c r="D11" s="34">
        <v>2.25</v>
      </c>
      <c r="E11" s="21">
        <v>4.2999999999999997E-2</v>
      </c>
      <c r="F11" s="21" t="s">
        <v>171</v>
      </c>
      <c r="G11" s="21"/>
      <c r="H11" s="20"/>
      <c r="I11" s="22"/>
      <c r="J11" s="115"/>
      <c r="K11" s="23"/>
      <c r="L11" s="33">
        <v>7850</v>
      </c>
      <c r="M11" s="25">
        <v>1</v>
      </c>
      <c r="N11" s="181">
        <f>IF(J11="",D11*M11*E11,D11*J11*K11*L11*M11)</f>
        <v>9.6749999999999989E-2</v>
      </c>
      <c r="O11" s="198"/>
      <c r="P11" s="198"/>
      <c r="Q11" s="198"/>
      <c r="R11" s="198"/>
    </row>
    <row r="12" spans="1:18" x14ac:dyDescent="0.25">
      <c r="A12" s="18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8" t="s">
        <v>18</v>
      </c>
      <c r="N12" s="183">
        <f>SUM(N11:N11)</f>
        <v>9.6749999999999989E-2</v>
      </c>
      <c r="O12" s="61"/>
      <c r="P12" s="61"/>
      <c r="Q12" s="61"/>
      <c r="R12" s="61"/>
    </row>
    <row r="13" spans="1:18" x14ac:dyDescent="0.25">
      <c r="A13" s="184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176"/>
      <c r="O13" s="61"/>
      <c r="P13" s="61"/>
      <c r="Q13" s="61"/>
      <c r="R13" s="61"/>
    </row>
    <row r="14" spans="1:18" x14ac:dyDescent="0.25">
      <c r="A14" s="185" t="s">
        <v>14</v>
      </c>
      <c r="B14" s="147" t="s">
        <v>31</v>
      </c>
      <c r="C14" s="147" t="s">
        <v>20</v>
      </c>
      <c r="D14" s="147" t="s">
        <v>21</v>
      </c>
      <c r="E14" s="147" t="s">
        <v>32</v>
      </c>
      <c r="F14" s="147" t="s">
        <v>17</v>
      </c>
      <c r="G14" s="147" t="s">
        <v>33</v>
      </c>
      <c r="H14" s="147" t="s">
        <v>34</v>
      </c>
      <c r="I14" s="147" t="s">
        <v>18</v>
      </c>
      <c r="J14" s="26"/>
      <c r="K14" s="26"/>
      <c r="L14" s="26"/>
      <c r="M14" s="26"/>
      <c r="N14" s="186"/>
      <c r="O14" s="61"/>
      <c r="P14" s="61"/>
      <c r="Q14" s="61"/>
      <c r="R14" s="61"/>
    </row>
    <row r="15" spans="1:18" x14ac:dyDescent="0.25">
      <c r="A15" s="185"/>
      <c r="B15" s="147"/>
      <c r="C15" s="147"/>
      <c r="D15" s="147"/>
      <c r="E15" s="147"/>
      <c r="F15" s="147"/>
      <c r="G15" s="147"/>
      <c r="H15" s="147"/>
      <c r="I15" s="147"/>
      <c r="J15" s="26"/>
      <c r="K15" s="26"/>
      <c r="L15" s="26"/>
      <c r="M15" s="26"/>
      <c r="N15" s="186"/>
      <c r="O15" s="61"/>
      <c r="P15" s="61"/>
      <c r="Q15" s="61"/>
      <c r="R15" s="61"/>
    </row>
    <row r="16" spans="1:18" s="159" customFormat="1" x14ac:dyDescent="0.25">
      <c r="A16" s="187">
        <v>10</v>
      </c>
      <c r="B16" s="157" t="s">
        <v>45</v>
      </c>
      <c r="C16" s="157"/>
      <c r="D16" s="160">
        <v>1.3</v>
      </c>
      <c r="E16" s="157" t="s">
        <v>35</v>
      </c>
      <c r="F16" s="157">
        <v>1</v>
      </c>
      <c r="G16" s="157"/>
      <c r="H16" s="157"/>
      <c r="I16" s="36">
        <f t="shared" ref="I16:I19" si="0">IF(H16="",D16*F16,D16*F16*H16)</f>
        <v>1.3</v>
      </c>
      <c r="J16" s="158"/>
      <c r="K16" s="158"/>
      <c r="L16" s="158"/>
      <c r="M16" s="158"/>
      <c r="N16" s="188"/>
      <c r="O16" s="199"/>
      <c r="P16" s="199"/>
      <c r="Q16" s="199"/>
      <c r="R16" s="199"/>
    </row>
    <row r="17" spans="1:18" s="27" customFormat="1" ht="15" customHeight="1" x14ac:dyDescent="0.25">
      <c r="A17" s="189">
        <v>20</v>
      </c>
      <c r="B17" s="162" t="s">
        <v>190</v>
      </c>
      <c r="C17" s="163"/>
      <c r="D17" s="164">
        <v>0.04</v>
      </c>
      <c r="E17" s="162" t="s">
        <v>177</v>
      </c>
      <c r="F17" s="163">
        <v>5</v>
      </c>
      <c r="G17" s="163"/>
      <c r="H17" s="163"/>
      <c r="I17" s="164">
        <f t="shared" si="0"/>
        <v>0.2</v>
      </c>
      <c r="J17" s="63"/>
      <c r="K17" s="63"/>
      <c r="L17" s="63"/>
      <c r="M17" s="63"/>
      <c r="N17" s="190"/>
      <c r="O17" s="63"/>
      <c r="P17" s="63"/>
      <c r="Q17" s="63"/>
      <c r="R17" s="63"/>
    </row>
    <row r="18" spans="1:18" s="169" customFormat="1" ht="14.25" customHeight="1" x14ac:dyDescent="0.25">
      <c r="A18" s="191">
        <v>30</v>
      </c>
      <c r="B18" s="153" t="s">
        <v>173</v>
      </c>
      <c r="C18" s="153"/>
      <c r="D18" s="165">
        <v>0.65</v>
      </c>
      <c r="E18" s="153" t="s">
        <v>35</v>
      </c>
      <c r="F18" s="153">
        <v>1</v>
      </c>
      <c r="G18" s="153"/>
      <c r="H18" s="167"/>
      <c r="I18" s="36">
        <f t="shared" si="0"/>
        <v>0.65</v>
      </c>
      <c r="J18" s="161"/>
      <c r="K18" s="161"/>
      <c r="L18" s="161"/>
      <c r="M18" s="161"/>
      <c r="N18" s="192"/>
    </row>
    <row r="19" spans="1:18" s="169" customFormat="1" x14ac:dyDescent="0.25">
      <c r="A19" s="191"/>
      <c r="B19" s="153" t="s">
        <v>172</v>
      </c>
      <c r="C19" s="153" t="s">
        <v>191</v>
      </c>
      <c r="D19" s="165">
        <v>0.04</v>
      </c>
      <c r="E19" s="153" t="s">
        <v>177</v>
      </c>
      <c r="F19" s="168">
        <v>3.14</v>
      </c>
      <c r="G19" s="157"/>
      <c r="H19" s="166"/>
      <c r="I19" s="36">
        <f t="shared" si="0"/>
        <v>0.12560000000000002</v>
      </c>
      <c r="J19" s="158"/>
      <c r="K19" s="161"/>
      <c r="L19" s="161"/>
      <c r="M19" s="161"/>
      <c r="N19" s="192"/>
    </row>
    <row r="20" spans="1:18" ht="15.75" thickBot="1" x14ac:dyDescent="0.3">
      <c r="A20" s="193"/>
      <c r="B20" s="194"/>
      <c r="C20" s="194"/>
      <c r="D20" s="194"/>
      <c r="E20" s="194"/>
      <c r="F20" s="194"/>
      <c r="G20" s="194"/>
      <c r="H20" s="195" t="s">
        <v>18</v>
      </c>
      <c r="I20" s="196">
        <f>SUM(I16:I19)</f>
        <v>2.2755999999999998</v>
      </c>
      <c r="J20" s="194"/>
      <c r="K20" s="194"/>
      <c r="L20" s="194"/>
      <c r="M20" s="194"/>
      <c r="N20" s="197"/>
      <c r="O20" s="61"/>
      <c r="P20" s="61"/>
      <c r="Q20" s="61"/>
      <c r="R20" s="61"/>
    </row>
    <row r="21" spans="1:18" x14ac:dyDescent="0.25">
      <c r="O21" s="61"/>
    </row>
    <row r="33" spans="2:2" x14ac:dyDescent="0.25">
      <c r="B33" s="28"/>
    </row>
  </sheetData>
  <hyperlinks>
    <hyperlink ref="B4" location="BR_A0001" display="BR_A0001"/>
    <hyperlink ref="E3" location="dFR_05003" display="Drawing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E37" sqref="E37"/>
    </sheetView>
  </sheetViews>
  <sheetFormatPr baseColWidth="10" defaultRowHeight="15" x14ac:dyDescent="0.25"/>
  <cols>
    <col min="1" max="1" width="18.85546875" customWidth="1"/>
  </cols>
  <sheetData>
    <row r="1" spans="1:2" x14ac:dyDescent="0.25">
      <c r="A1" t="s">
        <v>92</v>
      </c>
      <c r="B1" s="107" t="s">
        <v>192</v>
      </c>
    </row>
  </sheetData>
  <hyperlinks>
    <hyperlink ref="B1" location="FR_05003" display="FR 0500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30"/>
  <sheetViews>
    <sheetView zoomScaleNormal="100" workbookViewId="0">
      <selection activeCell="N3" sqref="N3"/>
    </sheetView>
  </sheetViews>
  <sheetFormatPr baseColWidth="10" defaultColWidth="9.140625" defaultRowHeight="15" x14ac:dyDescent="0.25"/>
  <cols>
    <col min="1" max="1" width="15.42578125" customWidth="1"/>
    <col min="2" max="2" width="33.85546875" customWidth="1"/>
    <col min="3" max="3" width="23.7109375" customWidth="1"/>
    <col min="4" max="4" width="10.85546875" bestFit="1" customWidth="1"/>
    <col min="7" max="7" width="21.42578125" customWidth="1"/>
    <col min="9" max="9" width="11.140625" customWidth="1"/>
    <col min="15" max="15" width="3.140625" customWidth="1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2" t="s">
        <v>0</v>
      </c>
      <c r="B2" s="16" t="s">
        <v>43</v>
      </c>
      <c r="C2" s="61"/>
      <c r="D2" s="61"/>
      <c r="E2" s="61"/>
      <c r="F2" s="61"/>
      <c r="G2" s="61" t="s">
        <v>133</v>
      </c>
      <c r="H2" s="61"/>
      <c r="I2" s="61"/>
      <c r="J2" s="143" t="s">
        <v>1</v>
      </c>
      <c r="K2" s="98">
        <v>81</v>
      </c>
      <c r="L2" s="61"/>
      <c r="M2" s="142" t="s">
        <v>16</v>
      </c>
      <c r="N2" s="80">
        <f>FR_05004_m+FR_05004_p+FR_05004_t</f>
        <v>11.771166666666666</v>
      </c>
      <c r="O2" s="67"/>
    </row>
    <row r="3" spans="1:15" x14ac:dyDescent="0.25">
      <c r="A3" s="142" t="s">
        <v>3</v>
      </c>
      <c r="B3" s="16" t="str">
        <f>'FR A0500'!B3</f>
        <v>Frame and Body</v>
      </c>
      <c r="C3" s="61"/>
      <c r="D3" s="142" t="s">
        <v>6</v>
      </c>
      <c r="E3" s="107"/>
      <c r="F3" s="61"/>
      <c r="G3" s="61"/>
      <c r="H3" s="61"/>
      <c r="I3" s="61"/>
      <c r="J3" s="61"/>
      <c r="K3" s="61"/>
      <c r="L3" s="61"/>
      <c r="M3" s="142" t="s">
        <v>4</v>
      </c>
      <c r="N3" s="96">
        <v>1</v>
      </c>
      <c r="O3" s="67"/>
    </row>
    <row r="4" spans="1:15" x14ac:dyDescent="0.25">
      <c r="A4" s="142" t="s">
        <v>5</v>
      </c>
      <c r="B4" s="106" t="str">
        <f>'FR A0500'!B4</f>
        <v>Clutch actuation system</v>
      </c>
      <c r="C4" s="61"/>
      <c r="D4" s="142" t="s">
        <v>8</v>
      </c>
      <c r="E4" s="61"/>
      <c r="F4" s="61"/>
      <c r="G4" s="61"/>
      <c r="H4" s="61"/>
      <c r="I4" s="61"/>
      <c r="J4" s="144" t="s">
        <v>6</v>
      </c>
      <c r="K4" s="61"/>
      <c r="L4" s="61"/>
      <c r="M4" s="61"/>
      <c r="N4" s="61"/>
      <c r="O4" s="67"/>
    </row>
    <row r="5" spans="1:15" x14ac:dyDescent="0.25">
      <c r="A5" s="142" t="s">
        <v>15</v>
      </c>
      <c r="B5" s="79" t="s">
        <v>142</v>
      </c>
      <c r="C5" s="61"/>
      <c r="D5" s="142" t="s">
        <v>12</v>
      </c>
      <c r="E5" s="61"/>
      <c r="F5" s="61"/>
      <c r="G5" s="61"/>
      <c r="H5" s="61"/>
      <c r="I5" s="61"/>
      <c r="J5" s="144" t="s">
        <v>8</v>
      </c>
      <c r="K5" s="61"/>
      <c r="L5" s="61"/>
      <c r="M5" s="142" t="s">
        <v>9</v>
      </c>
      <c r="N5" s="80">
        <f>N3*N2</f>
        <v>11.771166666666666</v>
      </c>
      <c r="O5" s="67"/>
    </row>
    <row r="6" spans="1:15" x14ac:dyDescent="0.25">
      <c r="A6" s="142" t="s">
        <v>7</v>
      </c>
      <c r="B6" s="30" t="s">
        <v>193</v>
      </c>
      <c r="C6" s="61"/>
      <c r="D6" s="61"/>
      <c r="E6" s="61"/>
      <c r="F6" s="61"/>
      <c r="G6" s="61"/>
      <c r="H6" s="61"/>
      <c r="I6" s="61"/>
      <c r="J6" s="144" t="s">
        <v>12</v>
      </c>
      <c r="K6" s="61"/>
      <c r="L6" s="61"/>
      <c r="M6" s="61"/>
      <c r="N6" s="61"/>
      <c r="O6" s="67"/>
    </row>
    <row r="7" spans="1:15" x14ac:dyDescent="0.25">
      <c r="A7" s="142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42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9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45" t="s">
        <v>14</v>
      </c>
      <c r="B10" s="146" t="s">
        <v>19</v>
      </c>
      <c r="C10" s="146" t="s">
        <v>20</v>
      </c>
      <c r="D10" s="146" t="s">
        <v>21</v>
      </c>
      <c r="E10" s="146" t="s">
        <v>22</v>
      </c>
      <c r="F10" s="147" t="s">
        <v>23</v>
      </c>
      <c r="G10" s="147" t="s">
        <v>24</v>
      </c>
      <c r="H10" s="147" t="s">
        <v>25</v>
      </c>
      <c r="I10" s="147" t="s">
        <v>26</v>
      </c>
      <c r="J10" s="147" t="s">
        <v>27</v>
      </c>
      <c r="K10" s="147" t="s">
        <v>28</v>
      </c>
      <c r="L10" s="147" t="s">
        <v>29</v>
      </c>
      <c r="M10" s="147" t="s">
        <v>17</v>
      </c>
      <c r="N10" s="147" t="s">
        <v>18</v>
      </c>
      <c r="O10" s="67"/>
    </row>
    <row r="11" spans="1:15" s="24" customFormat="1" x14ac:dyDescent="0.25">
      <c r="A11" s="100">
        <v>10</v>
      </c>
      <c r="B11" s="32" t="s">
        <v>189</v>
      </c>
      <c r="C11" s="21" t="s">
        <v>44</v>
      </c>
      <c r="D11" s="34">
        <v>2.25</v>
      </c>
      <c r="E11" s="21">
        <v>0.25</v>
      </c>
      <c r="F11" s="21" t="s">
        <v>171</v>
      </c>
      <c r="G11" s="21"/>
      <c r="H11" s="20"/>
      <c r="I11" s="22"/>
      <c r="J11" s="115"/>
      <c r="K11" s="23"/>
      <c r="L11" s="33">
        <v>7850</v>
      </c>
      <c r="M11" s="25">
        <v>1</v>
      </c>
      <c r="N11" s="34">
        <f>IF(J11="",D11*M11*E11,D11*J11*K11*L11*M11)</f>
        <v>0.5625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8" t="s">
        <v>18</v>
      </c>
      <c r="N12" s="149">
        <f>SUM(N11:N11)</f>
        <v>0.5625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50" t="s">
        <v>14</v>
      </c>
      <c r="B14" s="147" t="s">
        <v>31</v>
      </c>
      <c r="C14" s="147" t="s">
        <v>20</v>
      </c>
      <c r="D14" s="147" t="s">
        <v>21</v>
      </c>
      <c r="E14" s="147" t="s">
        <v>32</v>
      </c>
      <c r="F14" s="147" t="s">
        <v>17</v>
      </c>
      <c r="G14" s="147" t="s">
        <v>33</v>
      </c>
      <c r="H14" s="147" t="s">
        <v>34</v>
      </c>
      <c r="I14" s="147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35">
        <v>10</v>
      </c>
      <c r="B15" s="29" t="s">
        <v>184</v>
      </c>
      <c r="C15" s="35" t="s">
        <v>194</v>
      </c>
      <c r="D15" s="36">
        <v>4</v>
      </c>
      <c r="E15" s="29" t="s">
        <v>171</v>
      </c>
      <c r="F15" s="35">
        <v>0.25</v>
      </c>
      <c r="G15" s="35">
        <v>1</v>
      </c>
      <c r="H15" s="200">
        <v>1</v>
      </c>
      <c r="I15" s="36">
        <f t="shared" ref="I15:I21" si="0">IF(H15="",D15*F15,D15*F15*H15)</f>
        <v>1</v>
      </c>
      <c r="J15" s="63"/>
      <c r="K15" s="63"/>
      <c r="L15" s="63"/>
      <c r="M15" s="63"/>
      <c r="N15" s="63"/>
      <c r="O15" s="74"/>
    </row>
    <row r="16" spans="1:15" s="27" customFormat="1" ht="15" customHeight="1" x14ac:dyDescent="0.25">
      <c r="A16" s="35">
        <v>20</v>
      </c>
      <c r="B16" s="29" t="s">
        <v>45</v>
      </c>
      <c r="C16" s="35"/>
      <c r="D16" s="36">
        <v>1.3</v>
      </c>
      <c r="E16" s="29" t="s">
        <v>35</v>
      </c>
      <c r="F16" s="35">
        <v>1</v>
      </c>
      <c r="G16" s="35"/>
      <c r="H16" s="200">
        <v>1</v>
      </c>
      <c r="I16" s="36">
        <f t="shared" si="0"/>
        <v>1.3</v>
      </c>
      <c r="J16" s="63"/>
      <c r="K16" s="63"/>
      <c r="L16" s="63"/>
      <c r="M16" s="63"/>
      <c r="N16" s="63"/>
      <c r="O16" s="74"/>
    </row>
    <row r="17" spans="1:15" s="27" customFormat="1" ht="15" customHeight="1" x14ac:dyDescent="0.25">
      <c r="A17" s="202">
        <v>30</v>
      </c>
      <c r="B17" s="203" t="s">
        <v>172</v>
      </c>
      <c r="C17" s="202" t="s">
        <v>198</v>
      </c>
      <c r="D17" s="204">
        <v>0.04</v>
      </c>
      <c r="E17" s="203" t="s">
        <v>177</v>
      </c>
      <c r="F17" s="202">
        <v>6</v>
      </c>
      <c r="G17" s="202" t="s">
        <v>195</v>
      </c>
      <c r="H17" s="205">
        <v>3</v>
      </c>
      <c r="I17" s="36">
        <f t="shared" si="0"/>
        <v>0.72</v>
      </c>
      <c r="J17" s="63"/>
      <c r="K17" s="63"/>
      <c r="L17" s="63"/>
      <c r="M17" s="63"/>
      <c r="N17" s="63"/>
      <c r="O17" s="74"/>
    </row>
    <row r="18" spans="1:15" s="27" customFormat="1" ht="15" customHeight="1" x14ac:dyDescent="0.25">
      <c r="A18" s="202">
        <v>40</v>
      </c>
      <c r="B18" s="203" t="s">
        <v>173</v>
      </c>
      <c r="C18" s="202"/>
      <c r="D18" s="204">
        <v>0.65</v>
      </c>
      <c r="E18" s="203" t="s">
        <v>35</v>
      </c>
      <c r="F18" s="202">
        <v>1</v>
      </c>
      <c r="G18" s="202"/>
      <c r="H18" s="205">
        <v>1</v>
      </c>
      <c r="I18" s="36">
        <f t="shared" si="0"/>
        <v>0.65</v>
      </c>
      <c r="J18" s="63"/>
      <c r="K18" s="63"/>
      <c r="L18" s="63"/>
      <c r="M18" s="63"/>
      <c r="N18" s="63"/>
      <c r="O18" s="74"/>
    </row>
    <row r="19" spans="1:15" x14ac:dyDescent="0.25">
      <c r="A19" s="153">
        <v>50</v>
      </c>
      <c r="B19" s="153" t="s">
        <v>172</v>
      </c>
      <c r="C19" s="153" t="s">
        <v>197</v>
      </c>
      <c r="D19" s="165">
        <v>0.04</v>
      </c>
      <c r="E19" s="153" t="s">
        <v>177</v>
      </c>
      <c r="F19" s="153">
        <v>0.6</v>
      </c>
      <c r="G19" s="153" t="s">
        <v>195</v>
      </c>
      <c r="H19" s="205">
        <v>3</v>
      </c>
      <c r="I19" s="36">
        <f t="shared" si="0"/>
        <v>7.2000000000000008E-2</v>
      </c>
      <c r="J19" s="26"/>
      <c r="K19" s="26"/>
      <c r="L19" s="26"/>
      <c r="M19" s="26"/>
      <c r="N19" s="26"/>
      <c r="O19" s="67"/>
    </row>
    <row r="20" spans="1:15" x14ac:dyDescent="0.25">
      <c r="A20" s="153">
        <v>60</v>
      </c>
      <c r="B20" s="153" t="s">
        <v>174</v>
      </c>
      <c r="C20" s="153" t="s">
        <v>199</v>
      </c>
      <c r="D20" s="165">
        <v>0.35</v>
      </c>
      <c r="E20" s="153" t="s">
        <v>178</v>
      </c>
      <c r="F20" s="153">
        <v>2</v>
      </c>
      <c r="G20" s="157"/>
      <c r="H20" s="205">
        <v>1</v>
      </c>
      <c r="I20" s="36">
        <f t="shared" si="0"/>
        <v>0.7</v>
      </c>
      <c r="J20" s="156"/>
      <c r="K20" s="26"/>
      <c r="L20" s="26"/>
      <c r="M20" s="26"/>
      <c r="N20" s="26"/>
      <c r="O20" s="67"/>
    </row>
    <row r="21" spans="1:15" x14ac:dyDescent="0.25">
      <c r="A21" s="153">
        <v>70</v>
      </c>
      <c r="B21" s="153" t="s">
        <v>196</v>
      </c>
      <c r="C21" s="153"/>
      <c r="D21" s="165">
        <v>0.1</v>
      </c>
      <c r="E21" s="153" t="s">
        <v>46</v>
      </c>
      <c r="F21" s="153">
        <v>1</v>
      </c>
      <c r="G21" s="157"/>
      <c r="H21" s="205">
        <v>1</v>
      </c>
      <c r="I21" s="36">
        <f t="shared" si="0"/>
        <v>0.1</v>
      </c>
      <c r="J21" s="156"/>
      <c r="K21" s="26"/>
      <c r="L21" s="26"/>
      <c r="M21" s="26"/>
      <c r="N21" s="26"/>
      <c r="O21" s="67"/>
    </row>
    <row r="22" spans="1:15" x14ac:dyDescent="0.25">
      <c r="A22" s="73"/>
      <c r="B22" s="26"/>
      <c r="C22" s="26"/>
      <c r="D22" s="26"/>
      <c r="E22" s="26"/>
      <c r="F22" s="26"/>
      <c r="G22" s="156"/>
      <c r="H22" s="201" t="s">
        <v>18</v>
      </c>
      <c r="I22" s="149">
        <f>SUM(I15:I21)</f>
        <v>4.5419999999999989</v>
      </c>
      <c r="J22" s="156"/>
      <c r="K22" s="26"/>
      <c r="L22" s="26"/>
      <c r="M22" s="26"/>
      <c r="N22" s="26"/>
      <c r="O22" s="67"/>
    </row>
    <row r="23" spans="1:15" x14ac:dyDescent="0.25">
      <c r="A23" s="73"/>
      <c r="B23" s="26"/>
      <c r="C23" s="26"/>
      <c r="D23" s="26"/>
      <c r="E23" s="26"/>
      <c r="F23" s="26"/>
      <c r="G23" s="156"/>
      <c r="H23" s="154"/>
      <c r="I23" s="155"/>
      <c r="J23" s="156"/>
      <c r="K23" s="26"/>
      <c r="L23" s="26"/>
      <c r="M23" s="26"/>
      <c r="N23" s="26"/>
      <c r="O23" s="67"/>
    </row>
    <row r="24" spans="1:15" x14ac:dyDescent="0.25">
      <c r="A24" s="73"/>
      <c r="B24" s="26"/>
      <c r="C24" s="26"/>
      <c r="D24" s="26"/>
      <c r="E24" s="26"/>
      <c r="F24" s="26"/>
      <c r="G24" s="156"/>
      <c r="H24" s="154"/>
      <c r="I24" s="155"/>
      <c r="J24" s="156"/>
      <c r="K24" s="26"/>
      <c r="L24" s="26"/>
      <c r="M24" s="26"/>
      <c r="N24" s="26"/>
      <c r="O24" s="67"/>
    </row>
    <row r="25" spans="1:15" x14ac:dyDescent="0.25">
      <c r="A25" s="73"/>
      <c r="B25" s="26"/>
      <c r="C25" s="26"/>
      <c r="D25" s="26"/>
      <c r="E25" s="26"/>
      <c r="F25" s="26"/>
      <c r="G25" s="156"/>
      <c r="H25" s="154"/>
      <c r="I25" s="155"/>
      <c r="J25" s="156"/>
      <c r="K25" s="26"/>
      <c r="L25" s="26"/>
      <c r="M25" s="26"/>
      <c r="N25" s="26"/>
      <c r="O25" s="67"/>
    </row>
    <row r="26" spans="1:15" x14ac:dyDescent="0.25">
      <c r="A26" s="73"/>
      <c r="B26" s="26"/>
      <c r="C26" s="26"/>
      <c r="D26" s="26"/>
      <c r="E26" s="26"/>
      <c r="F26" s="26"/>
      <c r="G26" s="156"/>
      <c r="H26" s="154"/>
      <c r="I26" s="155"/>
      <c r="J26" s="156"/>
      <c r="K26" s="156"/>
      <c r="L26" s="156"/>
      <c r="M26" s="156"/>
      <c r="N26" s="26"/>
      <c r="O26" s="67"/>
    </row>
    <row r="27" spans="1:15" x14ac:dyDescent="0.25">
      <c r="A27" s="150" t="s">
        <v>14</v>
      </c>
      <c r="B27" s="147" t="s">
        <v>38</v>
      </c>
      <c r="C27" s="147" t="s">
        <v>20</v>
      </c>
      <c r="D27" s="147" t="s">
        <v>21</v>
      </c>
      <c r="E27" s="147" t="s">
        <v>32</v>
      </c>
      <c r="F27" s="147" t="s">
        <v>17</v>
      </c>
      <c r="G27" s="147" t="s">
        <v>39</v>
      </c>
      <c r="H27" s="147" t="s">
        <v>186</v>
      </c>
      <c r="I27" s="147" t="s">
        <v>18</v>
      </c>
      <c r="J27" s="156"/>
      <c r="K27" s="156"/>
      <c r="L27" s="156"/>
      <c r="M27" s="156"/>
      <c r="N27" s="26"/>
      <c r="O27" s="67"/>
    </row>
    <row r="28" spans="1:15" x14ac:dyDescent="0.25">
      <c r="A28" s="101">
        <v>10</v>
      </c>
      <c r="B28" s="29" t="s">
        <v>187</v>
      </c>
      <c r="C28" s="35" t="s">
        <v>142</v>
      </c>
      <c r="D28" s="36">
        <v>10000</v>
      </c>
      <c r="E28" s="29" t="s">
        <v>188</v>
      </c>
      <c r="F28" s="35">
        <v>2</v>
      </c>
      <c r="G28" s="35">
        <v>3000</v>
      </c>
      <c r="H28" s="35">
        <v>1</v>
      </c>
      <c r="I28" s="36">
        <f>IF(H28="",D28*F28,H28*F28*D28/G28)</f>
        <v>6.666666666666667</v>
      </c>
      <c r="J28" s="156"/>
      <c r="K28" s="156"/>
      <c r="L28" s="156"/>
      <c r="M28" s="156"/>
      <c r="N28" s="26"/>
      <c r="O28" s="67"/>
    </row>
    <row r="29" spans="1:15" x14ac:dyDescent="0.25">
      <c r="A29" s="73"/>
      <c r="B29" s="26"/>
      <c r="C29" s="26"/>
      <c r="D29" s="26"/>
      <c r="E29" s="26"/>
      <c r="F29" s="26"/>
      <c r="G29" s="26"/>
      <c r="H29" s="151" t="s">
        <v>18</v>
      </c>
      <c r="I29" s="149">
        <f>SUM(I28:I28)</f>
        <v>6.666666666666667</v>
      </c>
      <c r="J29" s="61"/>
      <c r="K29" s="61"/>
      <c r="L29" s="61"/>
      <c r="M29" s="61"/>
      <c r="N29" s="61"/>
      <c r="O29" s="67"/>
    </row>
    <row r="30" spans="1:15" ht="15.75" thickBot="1" x14ac:dyDescent="0.3">
      <c r="A30" s="75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7"/>
    </row>
  </sheetData>
  <hyperlinks>
    <hyperlink ref="B4" location="BR_A0001" display="BR_A00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58</vt:i4>
      </vt:variant>
    </vt:vector>
  </HeadingPairs>
  <TitlesOfParts>
    <vt:vector size="68" baseType="lpstr">
      <vt:lpstr>Instructions</vt:lpstr>
      <vt:lpstr>BOM</vt:lpstr>
      <vt:lpstr>FR A0500</vt:lpstr>
      <vt:lpstr>FR 05001</vt:lpstr>
      <vt:lpstr>dFR 05001</vt:lpstr>
      <vt:lpstr>FR 05002</vt:lpstr>
      <vt:lpstr>FR 05003</vt:lpstr>
      <vt:lpstr>dFR 05003</vt:lpstr>
      <vt:lpstr>FR 05004</vt:lpstr>
      <vt:lpstr>FR 05005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dEL_01001</vt:lpstr>
      <vt:lpstr>dFR_05003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  <vt:lpstr>EL_A0001_t</vt:lpstr>
      <vt:lpstr>FR_05001</vt:lpstr>
      <vt:lpstr>FR_05001_m</vt:lpstr>
      <vt:lpstr>FR_05001_p</vt:lpstr>
      <vt:lpstr>FR_05001_q</vt:lpstr>
      <vt:lpstr>FR_05002</vt:lpstr>
      <vt:lpstr>FR_05002_m</vt:lpstr>
      <vt:lpstr>FR_05002_p</vt:lpstr>
      <vt:lpstr>FR_05002_q</vt:lpstr>
      <vt:lpstr>FR_05002_t</vt:lpstr>
      <vt:lpstr>FR_05003</vt:lpstr>
      <vt:lpstr>FR_05003_m</vt:lpstr>
      <vt:lpstr>FR_05003_p</vt:lpstr>
      <vt:lpstr>FR_05003_q</vt:lpstr>
      <vt:lpstr>FR_05004</vt:lpstr>
      <vt:lpstr>FR_05004_m</vt:lpstr>
      <vt:lpstr>FR_05004_p</vt:lpstr>
      <vt:lpstr>FR_05004_q</vt:lpstr>
      <vt:lpstr>FR_05004_t</vt:lpstr>
      <vt:lpstr>FR_05005</vt:lpstr>
      <vt:lpstr>FR_05005_m</vt:lpstr>
      <vt:lpstr>FR_05005_p</vt:lpstr>
      <vt:lpstr>FR_05005_q</vt:lpstr>
      <vt:lpstr>FR_05005_t</vt:lpstr>
      <vt:lpstr>FR_A0500</vt:lpstr>
      <vt:lpstr>FR_A0500_f</vt:lpstr>
      <vt:lpstr>FR_A0500_m</vt:lpstr>
      <vt:lpstr>FR_A0500_p</vt:lpstr>
      <vt:lpstr>FR_A0500_pa</vt:lpstr>
      <vt:lpstr>FR_A0500_t</vt:lpstr>
      <vt:lpstr>FR_A05005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Jérôme LEFÈVRE</cp:lastModifiedBy>
  <cp:revision>0</cp:revision>
  <dcterms:created xsi:type="dcterms:W3CDTF">2015-05-29T18:57:13Z</dcterms:created>
  <dcterms:modified xsi:type="dcterms:W3CDTF">2018-03-27T15:20:38Z</dcterms:modified>
  <dc:language>fr-FR</dc:language>
</cp:coreProperties>
</file>