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Cost\"/>
    </mc:Choice>
  </mc:AlternateContent>
  <xr:revisionPtr revIDLastSave="0" documentId="12_ncr:500000_{987C92F2-9095-4197-ABE8-1E8E0BA330EA}" xr6:coauthVersionLast="31" xr6:coauthVersionMax="31" xr10:uidLastSave="{00000000-0000-0000-0000-000000000000}"/>
  <bookViews>
    <workbookView xWindow="4740" yWindow="60" windowWidth="16380" windowHeight="8196" firstSheet="2" activeTab="5" xr2:uid="{00000000-000D-0000-FFFF-FFFF00000000}"/>
  </bookViews>
  <sheets>
    <sheet name="Instructions" sheetId="7" r:id="rId1"/>
    <sheet name="BOM" sheetId="8" r:id="rId2"/>
    <sheet name="FR A0700" sheetId="1" r:id="rId3"/>
    <sheet name="FR_0700_000" sheetId="2" r:id="rId4"/>
    <sheet name="dFR_0700_000" sheetId="9" r:id="rId5"/>
    <sheet name="FR_0700_001" sheetId="13" r:id="rId6"/>
    <sheet name="dFR_0700_001" sheetId="14" r:id="rId7"/>
    <sheet name="FR_0700_002" sheetId="15" r:id="rId8"/>
    <sheet name="dFR_0700_002" sheetId="33" r:id="rId9"/>
    <sheet name="FR_0700_003" sheetId="20" r:id="rId10"/>
    <sheet name="dFR_0700_003" sheetId="34" r:id="rId11"/>
    <sheet name="FR_0700_004" sheetId="21" r:id="rId12"/>
    <sheet name="dFR_0700_004" sheetId="35" r:id="rId13"/>
    <sheet name="FR_0700_005" sheetId="22" r:id="rId14"/>
    <sheet name="dFR_0700_005" sheetId="36" r:id="rId15"/>
    <sheet name="FR_0700_006" sheetId="23" r:id="rId16"/>
    <sheet name="dFR_0700_006" sheetId="37" r:id="rId17"/>
    <sheet name="FR_0700_007" sheetId="24" r:id="rId18"/>
    <sheet name="dFR_0700_007" sheetId="38" r:id="rId19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ede">#REF!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FR_0300_015">#REF!</definedName>
    <definedName name="FR_0300_015_m">#REF!</definedName>
    <definedName name="FR_0300_015_p">#REF!</definedName>
    <definedName name="FR_0300_015_q">#REF!</definedName>
    <definedName name="FR_0700_000">FR_0700_000!$B$6</definedName>
    <definedName name="FR_0700_000_m">FR_0700_000!$N$12</definedName>
    <definedName name="FR_0700_000_p">FR_0700_000!$I$21</definedName>
    <definedName name="FR_0700_000_q">FR_0700_000!$N$3</definedName>
    <definedName name="FR_0700_001">FR_0700_001!$B$6</definedName>
    <definedName name="FR_0700_001_m">FR_0700_001!$N$12</definedName>
    <definedName name="FR_0700_001_p">FR_0700_001!$I$21</definedName>
    <definedName name="FR_0700_001_q">FR_0700_001!$N$3</definedName>
    <definedName name="FR_0700_002">FR_0700_002!$B$6</definedName>
    <definedName name="FR_0700_002_m">FR_0700_002!$N$12</definedName>
    <definedName name="FR_0700_002_p">FR_0700_002!$I$21</definedName>
    <definedName name="FR_0700_002_q">FR_0700_002!$N$3</definedName>
    <definedName name="FR_0700_003">FR_0700_003!$B$6</definedName>
    <definedName name="FR_0700_003_m">FR_0700_003!$N$13</definedName>
    <definedName name="FR_0700_003_p">FR_0700_003!$I$21</definedName>
    <definedName name="FR_0700_003_q">FR_0700_003!$N$3</definedName>
    <definedName name="FR_0700_004">FR_0700_004!$B$6</definedName>
    <definedName name="FR_0700_004_m">FR_0700_004!$N$13</definedName>
    <definedName name="FR_0700_004_p">FR_0700_004!$I$21</definedName>
    <definedName name="FR_0700_004_q">FR_0700_004!$N$3</definedName>
    <definedName name="FR_0700_005">FR_0700_005!$B$6</definedName>
    <definedName name="FR_0700_005_m">FR_0700_005!$N$12</definedName>
    <definedName name="FR_0700_005_p">FR_0700_005!$I$17</definedName>
    <definedName name="FR_0700_005_q">FR_0700_005!$N$3</definedName>
    <definedName name="FR_0700_006">FR_0700_006!$B$6</definedName>
    <definedName name="FR_0700_006_m">FR_0700_006!$N$12</definedName>
    <definedName name="FR_0700_006_p">FR_0700_006!$I$17</definedName>
    <definedName name="FR_0700_006_q">FR_0700_006!$N$3</definedName>
    <definedName name="FR_0700_007">FR_0700_007!$B$6</definedName>
    <definedName name="FR_0700_007_m">FR_0700_007!$N$12</definedName>
    <definedName name="FR_0700_007_p">FR_0700_007!$I$17</definedName>
    <definedName name="FR_0700_007_q">FR_0700_007!$N$3</definedName>
    <definedName name="FR_A0700">'FR A0700'!$B$5</definedName>
    <definedName name="FR_A0700_f">'FR A0700'!$J$52</definedName>
    <definedName name="FR_A0700_m">'FR A0700'!$N$23</definedName>
    <definedName name="FR_A0700_p">'FR A0700'!$I$43</definedName>
    <definedName name="FR_A0700_pa">'FR A0700'!$E$18</definedName>
    <definedName name="FR_A0700_q">'FR A0700'!$N$3</definedName>
    <definedName name="FR_A0700_t">'FR A0700'!$I$56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A0700'!$A$5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BOM!$A$1:$N$16</definedName>
  </definedNames>
  <calcPr calcId="162913"/>
</workbook>
</file>

<file path=xl/calcChain.xml><?xml version="1.0" encoding="utf-8"?>
<calcChain xmlns="http://schemas.openxmlformats.org/spreadsheetml/2006/main">
  <c r="I43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E11" i="24" l="1"/>
  <c r="E11" i="23"/>
  <c r="E11" i="22"/>
  <c r="E12" i="21"/>
  <c r="E11" i="21"/>
  <c r="E11" i="20"/>
  <c r="E12" i="20"/>
  <c r="E11" i="15"/>
  <c r="E11" i="13"/>
  <c r="E11" i="2"/>
  <c r="J12" i="20" l="1"/>
  <c r="N13" i="21"/>
  <c r="I21" i="20"/>
  <c r="K12" i="20"/>
  <c r="N12" i="20"/>
  <c r="N13" i="20" s="1"/>
  <c r="K12" i="21"/>
  <c r="N12" i="21"/>
  <c r="J12" i="21"/>
  <c r="I21" i="21"/>
  <c r="J11" i="21"/>
  <c r="F19" i="21" s="1"/>
  <c r="I19" i="21" s="1"/>
  <c r="K11" i="21"/>
  <c r="K11" i="20"/>
  <c r="J11" i="20"/>
  <c r="F19" i="20" s="1"/>
  <c r="I19" i="20" s="1"/>
  <c r="I20" i="21"/>
  <c r="F18" i="21"/>
  <c r="I18" i="21" s="1"/>
  <c r="I17" i="21"/>
  <c r="F17" i="21"/>
  <c r="I16" i="21"/>
  <c r="N11" i="21"/>
  <c r="N11" i="20"/>
  <c r="I20" i="20"/>
  <c r="F18" i="20"/>
  <c r="I18" i="20" s="1"/>
  <c r="F17" i="20"/>
  <c r="I17" i="20" s="1"/>
  <c r="I16" i="20"/>
  <c r="N11" i="15"/>
  <c r="K11" i="15"/>
  <c r="I20" i="15"/>
  <c r="I19" i="15"/>
  <c r="F18" i="15"/>
  <c r="I18" i="15" s="1"/>
  <c r="F17" i="15"/>
  <c r="I17" i="15" s="1"/>
  <c r="F16" i="15"/>
  <c r="I16" i="15" s="1"/>
  <c r="I15" i="15"/>
  <c r="I21" i="2"/>
  <c r="N11" i="13"/>
  <c r="K11" i="13"/>
  <c r="I20" i="13"/>
  <c r="I19" i="13"/>
  <c r="F18" i="13"/>
  <c r="I18" i="13" s="1"/>
  <c r="F17" i="13"/>
  <c r="I17" i="13" s="1"/>
  <c r="F16" i="13"/>
  <c r="I16" i="13" s="1"/>
  <c r="I15" i="13"/>
  <c r="I15" i="2"/>
  <c r="I20" i="2"/>
  <c r="F18" i="2"/>
  <c r="F17" i="2"/>
  <c r="F16" i="2"/>
  <c r="F25" i="2" s="1"/>
  <c r="I25" i="2" s="1"/>
  <c r="I26" i="2" s="1"/>
  <c r="K11" i="2"/>
  <c r="I21" i="15" l="1"/>
  <c r="I21" i="13"/>
  <c r="I16" i="24"/>
  <c r="J11" i="24"/>
  <c r="F26" i="1"/>
  <c r="J11" i="23"/>
  <c r="J11" i="22"/>
  <c r="J50" i="1"/>
  <c r="J51" i="1"/>
  <c r="D49" i="1"/>
  <c r="J49" i="1" s="1"/>
  <c r="E22" i="1"/>
  <c r="M22" i="1" s="1"/>
  <c r="N22" i="1" s="1"/>
  <c r="E21" i="1"/>
  <c r="F27" i="1" s="1"/>
  <c r="I15" i="8" l="1"/>
  <c r="I14" i="8"/>
  <c r="I13" i="8"/>
  <c r="I12" i="8"/>
  <c r="I11" i="8"/>
  <c r="I10" i="8"/>
  <c r="I8" i="8"/>
  <c r="I7" i="8"/>
  <c r="F15" i="8"/>
  <c r="F14" i="8"/>
  <c r="F13" i="8"/>
  <c r="F12" i="8"/>
  <c r="F11" i="8"/>
  <c r="F10" i="8"/>
  <c r="C15" i="8"/>
  <c r="C14" i="8"/>
  <c r="C13" i="8"/>
  <c r="C12" i="8"/>
  <c r="C11" i="8"/>
  <c r="C10" i="8"/>
  <c r="C9" i="8"/>
  <c r="C8" i="8"/>
  <c r="C7" i="8"/>
  <c r="M21" i="1" l="1"/>
  <c r="N21" i="1" s="1"/>
  <c r="N23" i="1" s="1"/>
  <c r="D17" i="1" l="1"/>
  <c r="I15" i="24"/>
  <c r="N11" i="24"/>
  <c r="N12" i="24" s="1"/>
  <c r="J15" i="8" s="1"/>
  <c r="B4" i="24"/>
  <c r="B3" i="24"/>
  <c r="D16" i="1"/>
  <c r="I16" i="23"/>
  <c r="I15" i="23"/>
  <c r="N11" i="23"/>
  <c r="N12" i="23" s="1"/>
  <c r="J14" i="8" s="1"/>
  <c r="B4" i="23"/>
  <c r="B3" i="23"/>
  <c r="D15" i="1"/>
  <c r="I16" i="22"/>
  <c r="I15" i="22"/>
  <c r="N11" i="22"/>
  <c r="N12" i="22" s="1"/>
  <c r="J13" i="8" s="1"/>
  <c r="B4" i="22"/>
  <c r="B3" i="22"/>
  <c r="D11" i="1"/>
  <c r="D14" i="1"/>
  <c r="J12" i="8"/>
  <c r="B4" i="21"/>
  <c r="B3" i="21"/>
  <c r="D12" i="1"/>
  <c r="D13" i="1"/>
  <c r="J11" i="8"/>
  <c r="B4" i="20"/>
  <c r="B3" i="20"/>
  <c r="N12" i="15"/>
  <c r="J10" i="8" s="1"/>
  <c r="B4" i="15"/>
  <c r="B3" i="15"/>
  <c r="I17" i="24" l="1"/>
  <c r="K15" i="8" s="1"/>
  <c r="I17" i="23"/>
  <c r="K14" i="8" s="1"/>
  <c r="I17" i="22"/>
  <c r="K13" i="8" s="1"/>
  <c r="K10" i="8"/>
  <c r="I9" i="8"/>
  <c r="F9" i="8"/>
  <c r="D10" i="1"/>
  <c r="N12" i="13"/>
  <c r="N11" i="2"/>
  <c r="B4" i="13"/>
  <c r="B3" i="13"/>
  <c r="N2" i="24" l="1"/>
  <c r="N5" i="24" s="1"/>
  <c r="K9" i="8"/>
  <c r="N2" i="23"/>
  <c r="N5" i="23" s="1"/>
  <c r="N2" i="21"/>
  <c r="N5" i="21" s="1"/>
  <c r="K12" i="8"/>
  <c r="N2" i="22"/>
  <c r="N5" i="22" s="1"/>
  <c r="N2" i="20"/>
  <c r="N5" i="20" s="1"/>
  <c r="K11" i="8"/>
  <c r="J9" i="8"/>
  <c r="N2" i="15"/>
  <c r="D48" i="1"/>
  <c r="J48" i="1" s="1"/>
  <c r="D46" i="1"/>
  <c r="J47" i="1"/>
  <c r="N2" i="13" l="1"/>
  <c r="C11" i="1" s="1"/>
  <c r="C17" i="1"/>
  <c r="N5" i="15"/>
  <c r="C12" i="1"/>
  <c r="C14" i="1"/>
  <c r="C16" i="1"/>
  <c r="C15" i="1"/>
  <c r="C13" i="1"/>
  <c r="J46" i="1"/>
  <c r="J52" i="1" s="1"/>
  <c r="N5" i="13" l="1"/>
  <c r="I27" i="1"/>
  <c r="E11" i="1"/>
  <c r="E12" i="1"/>
  <c r="E13" i="1"/>
  <c r="E14" i="1"/>
  <c r="E15" i="1"/>
  <c r="E16" i="1"/>
  <c r="E17" i="1"/>
  <c r="B8" i="8" l="1"/>
  <c r="B3" i="2" l="1"/>
  <c r="B16" i="8"/>
  <c r="B9" i="8"/>
  <c r="B10" i="8"/>
  <c r="B11" i="8"/>
  <c r="B12" i="8"/>
  <c r="B13" i="8"/>
  <c r="B14" i="8"/>
  <c r="B15" i="8"/>
  <c r="B7" i="8"/>
  <c r="B4" i="2" l="1"/>
  <c r="F8" i="8"/>
  <c r="F7" i="8"/>
  <c r="E9" i="8" l="1"/>
  <c r="E13" i="8"/>
  <c r="E10" i="8"/>
  <c r="E14" i="8"/>
  <c r="E8" i="8"/>
  <c r="E11" i="8"/>
  <c r="E15" i="8"/>
  <c r="E12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I19" i="2"/>
  <c r="I18" i="2"/>
  <c r="I17" i="2"/>
  <c r="I16" i="2"/>
  <c r="N12" i="2"/>
  <c r="I55" i="1"/>
  <c r="L7" i="8"/>
  <c r="I26" i="1"/>
  <c r="K7" i="8" s="1"/>
  <c r="J8" i="8" l="1"/>
  <c r="L16" i="8"/>
  <c r="I56" i="1"/>
  <c r="K8" i="8"/>
  <c r="J7" i="8"/>
  <c r="N2" i="2" l="1"/>
  <c r="N5" i="2" s="1"/>
  <c r="M7" i="8"/>
  <c r="M16" i="8" s="1"/>
  <c r="K16" i="8"/>
  <c r="H8" i="8"/>
  <c r="N8" i="8" s="1"/>
  <c r="O1" i="8"/>
  <c r="H7" i="8" l="1"/>
  <c r="N7" i="8" s="1"/>
  <c r="N16" i="8" s="1"/>
  <c r="C10" i="1"/>
  <c r="E10" i="1" s="1"/>
  <c r="E18" i="1" s="1"/>
  <c r="N2" i="1" s="1"/>
  <c r="J16" i="8"/>
  <c r="N5" i="1" l="1"/>
</calcChain>
</file>

<file path=xl/sharedStrings.xml><?xml version="1.0" encoding="utf-8"?>
<sst xmlns="http://schemas.openxmlformats.org/spreadsheetml/2006/main" count="781" uniqueCount="228">
  <si>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</si>
  <si>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</si>
  <si>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</si>
  <si>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</si>
  <si>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</si>
  <si>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</si>
  <si>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</si>
  <si>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</si>
  <si>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</si>
  <si>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</si>
  <si>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</si>
  <si>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</si>
  <si>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</si>
  <si>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</si>
  <si>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</si>
  <si>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</si>
  <si>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</si>
  <si>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</si>
  <si>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</si>
  <si>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</si>
  <si>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</si>
  <si>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</si>
  <si>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</si>
  <si>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</si>
  <si>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</si>
  <si>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</si>
  <si>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</si>
  <si>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</si>
  <si>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</si>
  <si>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</si>
  <si>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</si>
  <si>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</si>
  <si>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</si>
  <si>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</si>
  <si>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</si>
  <si>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</si>
  <si>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</si>
  <si>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</si>
  <si>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</si>
  <si>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</si>
  <si>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</si>
  <si>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</si>
  <si>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</si>
  <si>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</si>
  <si>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</si>
  <si>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</si>
  <si>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</si>
  <si>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</si>
  <si>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</si>
  <si>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</si>
  <si>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</si>
  <si>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</si>
  <si>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</si>
  <si>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</si>
  <si>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</si>
  <si>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</si>
  <si>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</si>
  <si>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</si>
  <si>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</si>
  <si>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</si>
  <si>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</si>
  <si>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</si>
  <si>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</si>
  <si>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</si>
  <si>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</si>
  <si>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</si>
  <si>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</si>
  <si>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</si>
  <si>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</si>
  <si>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</si>
  <si>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</si>
  <si>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</si>
  <si>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</si>
  <si>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</si>
  <si>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</si>
  <si>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</si>
  <si>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</si>
  <si>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</si>
  <si>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</si>
  <si>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</si>
  <si>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</si>
  <si>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</si>
  <si>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</si>
  <si>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</si>
  <si>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</si>
  <si>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</si>
  <si>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</si>
  <si>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</si>
  <si>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</si>
  <si>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</si>
  <si>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</si>
  <si>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</si>
  <si>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</si>
  <si>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</si>
  <si>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</si>
  <si>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</si>
  <si>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</si>
  <si>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</si>
  <si>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</si>
  <si>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</si>
  <si>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</si>
  <si>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</si>
  <si>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</si>
  <si>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</si>
  <si>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</si>
  <si>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</si>
  <si>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</si>
  <si>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</si>
  <si>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</si>
  <si>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</si>
  <si>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</si>
  <si>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</si>
  <si>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</si>
  <si>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</si>
  <si>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</si>
  <si>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</si>
  <si>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</si>
  <si>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</si>
  <si>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</si>
  <si>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</si>
  <si>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</si>
  <si>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</si>
  <si>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</si>
  <si>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</si>
  <si>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</si>
  <si>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</si>
  <si>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</si>
  <si>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</si>
  <si>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</si>
  <si>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</si>
  <si>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</si>
  <si>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</si>
  <si>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</si>
  <si>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</si>
  <si>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</si>
  <si>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</si>
  <si>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</si>
  <si>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</si>
  <si>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Weld</t>
  </si>
  <si>
    <t>Assemble, 1 kg, Loose</t>
  </si>
  <si>
    <t>Reaction Tool &lt;= 25.4 mm</t>
  </si>
  <si>
    <t>Ratchet &lt;= 25.4 mm</t>
  </si>
  <si>
    <t>Aerosol Apply</t>
  </si>
  <si>
    <t>Painting of the Mounts</t>
  </si>
  <si>
    <t>m^2</t>
  </si>
  <si>
    <t>Bolt, Grade 8.8 (SAE 5)</t>
  </si>
  <si>
    <t>Mounts welded to the chassis</t>
  </si>
  <si>
    <t>FR_0300_000</t>
  </si>
  <si>
    <t xml:space="preserve">Drawing part : </t>
  </si>
  <si>
    <t>FR_0300_001</t>
  </si>
  <si>
    <t>FR_0300_002</t>
  </si>
  <si>
    <t>FR_0300_003</t>
  </si>
  <si>
    <t>FR_0300_004</t>
  </si>
  <si>
    <t>frontal area</t>
  </si>
  <si>
    <t>FR_0300_005</t>
  </si>
  <si>
    <t>FR_0300_006</t>
  </si>
  <si>
    <t>frontal Area</t>
  </si>
  <si>
    <t>FR_0300_007</t>
  </si>
  <si>
    <t xml:space="preserve">Drawing Part : </t>
  </si>
  <si>
    <t>4 parts cut from a single machine setup</t>
  </si>
  <si>
    <t>Material - Steel</t>
  </si>
  <si>
    <t>2 parts cut from a single machine setup</t>
  </si>
  <si>
    <t>Paint</t>
  </si>
  <si>
    <t>FR A0700</t>
  </si>
  <si>
    <t>Bodywork</t>
  </si>
  <si>
    <t>The assembly of the bodywork</t>
  </si>
  <si>
    <t>Nose</t>
  </si>
  <si>
    <t>Back Inlet Bracket</t>
  </si>
  <si>
    <t>Right Inlet</t>
  </si>
  <si>
    <t>Left Inlet</t>
  </si>
  <si>
    <t>Front Inlet Bracket</t>
  </si>
  <si>
    <t>FR_0700_007</t>
  </si>
  <si>
    <t>FR_0700_006</t>
  </si>
  <si>
    <t>FR_0700_005</t>
  </si>
  <si>
    <t>FR_0700_004</t>
  </si>
  <si>
    <t>FR_0700_003</t>
  </si>
  <si>
    <t>FR_0700_002</t>
  </si>
  <si>
    <t>FR_0700_001</t>
  </si>
  <si>
    <t>FR_0700_000</t>
  </si>
  <si>
    <t>Nose covering the front of the chassis</t>
  </si>
  <si>
    <t>Left Inlet covering the cooling system</t>
  </si>
  <si>
    <t>Right Inlet covering the exhaust system</t>
  </si>
  <si>
    <t xml:space="preserve">Front Side Plate </t>
  </si>
  <si>
    <t>Front Side plate</t>
  </si>
  <si>
    <t>Front Side Plate</t>
  </si>
  <si>
    <t>Back Side Plate</t>
  </si>
  <si>
    <t>Painting the Brackets</t>
  </si>
  <si>
    <t>Nose Bracket</t>
  </si>
  <si>
    <t>2 parts made from the same plate</t>
  </si>
  <si>
    <t>Painting the Nose, the Right Inlet and the Left Inlet</t>
  </si>
  <si>
    <t>Pin, Quick Release</t>
  </si>
  <si>
    <t>Fixing the Nose to the Brackets</t>
  </si>
  <si>
    <t>Hook and Loop, Hook Side (Velcro)</t>
  </si>
  <si>
    <t>cm^2</t>
  </si>
  <si>
    <t>Hook and Loop, Loop Side (Velcro)</t>
  </si>
  <si>
    <t>Fixing the Side Plates</t>
  </si>
  <si>
    <t>Welding the Brackets</t>
  </si>
  <si>
    <t>Steel, Alloy (kg)</t>
  </si>
  <si>
    <t>Glass Fiber, 1 Ply (kg)</t>
  </si>
  <si>
    <t>Lamination, Manual</t>
  </si>
  <si>
    <t>For the 2 plies</t>
  </si>
  <si>
    <t>Resin application, Manual</t>
  </si>
  <si>
    <t>Cure, Room Temperature</t>
  </si>
  <si>
    <t>Drilled holes &lt; 25.4 mm dia.</t>
  </si>
  <si>
    <t>hole</t>
  </si>
  <si>
    <t>Lamination - Mold Tool</t>
  </si>
  <si>
    <t>Cut (scissors, knife)</t>
  </si>
  <si>
    <t>Waterjet Cut</t>
  </si>
  <si>
    <t>Material  - Composite</t>
  </si>
  <si>
    <t>Carbon Fiber, 1 Ply (kg)</t>
  </si>
  <si>
    <t>kg</t>
  </si>
  <si>
    <t>Positioning the Pin (Quick Release) on the nose</t>
  </si>
  <si>
    <t>Hand, Loose &gt; 25.4 mm</t>
  </si>
  <si>
    <t>Fixing the Pin (Quick Release) to the nose</t>
  </si>
  <si>
    <t>Positioning the bolt of the Pin (Quick Release) on the Nose Brackets</t>
  </si>
  <si>
    <t>Fixing the bolt of the Pin (Quick Release) to the Nose Brackets</t>
  </si>
  <si>
    <t>Assemble, 5 kg, Loose</t>
  </si>
  <si>
    <t>Positioning the nose on the chassis</t>
  </si>
  <si>
    <t>Assemble, 3 kg, Loose</t>
  </si>
  <si>
    <t>Fixing the Right Inlet to the Brackets and the Floor Pan</t>
  </si>
  <si>
    <t>Positioning the Left Inlet on the Brackets</t>
  </si>
  <si>
    <t>Fixing the Left Inlet to the Brackets and the Floor Pan</t>
  </si>
  <si>
    <t>Positioning the Right Inlet on the Brackets and the Floor Pan</t>
  </si>
  <si>
    <t>Both sides</t>
  </si>
  <si>
    <t>Fixing the Velcro to the Frame</t>
  </si>
  <si>
    <t>Fixing the Velcro to the side plates</t>
  </si>
  <si>
    <t>Fixing the Side Plate to the Chassis</t>
  </si>
  <si>
    <t>Fixing the Inlets to the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</si>
</sst>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* #,##0.00\ &quot;€&quot;_-;\-* #,##0.00\ &quot;€&quot;_-;_-* &quot;-&quot;??\ &quot;€&quot;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_);_(* \(#,##0\);_(* \-??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[$$-409]* #,##0.00_ ;_-[$$-409]* \-#,##0.00\ ;_-[$$-409]* &quot;-&quot;??_ ;_-@_ "/>
    <numFmt numFmtId="171" formatCode="0.000"/>
    <numFmt numFmtId="172" formatCode="0.0"/>
    <numFmt numFmtId="173" formatCode="0.00000"/>
    <numFmt numFmtId="174" formatCode="0.000000"/>
    <numFmt numFmtId="175" formatCode="_(* #,##0.0000_);_(* \(#,##0.0000\);_(* \-??_);_(@_)"/>
    <numFmt numFmtId="176" formatCode="_(* #,##0.00000_);_(* \(#,##0.00000\);_(* \-??_);_(@_)"/>
    <numFmt numFmtId="177" formatCode="_(&quot;$&quot;* #,##0.000_);_(&quot;$&quot;* \(#,##0.000\);_(&quot;$&quot;* &quot;-&quot;??_);_(@_)"/>
    <numFmt numFmtId="178" formatCode="_-* #,##0.00000\ _€_-;\-* #,##0.00000\ _€_-;_-* &quot;-&quot;?????\ _€_-;_-@_-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  <fill>
      <patternFill patternType="solid">
        <fgColor rgb="FFFFCCFF"/>
        <bgColor rgb="FFFCD5B5"/>
      </patternFill>
    </fill>
  </fills>
  <borders count="4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7" fillId="0" borderId="0"/>
    <xf numFmtId="168" fontId="7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6" fillId="2" borderId="6">
      <alignment vertical="center" wrapText="1"/>
    </xf>
    <xf numFmtId="169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  <xf numFmtId="44" fontId="5" fillId="0" borderId="0" applyFont="0" applyFill="0" applyBorder="0" applyAlignment="0" applyProtection="0"/>
  </cellStyleXfs>
  <cellXfs count="221">
    <xf numFmtId="0" fontId="0" fillId="0" borderId="0" xfId="0"/>
    <xf numFmtId="169" fontId="8" fillId="0" borderId="0" xfId="5" applyFont="1"/>
    <xf numFmtId="0" fontId="8" fillId="0" borderId="0" xfId="1" applyFont="1" applyProtection="1">
      <protection locked="0"/>
    </xf>
    <xf numFmtId="169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69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69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0" fontId="4" fillId="0" borderId="15" xfId="7" applyNumberFormat="1" applyFont="1" applyBorder="1" applyAlignment="1" applyProtection="1"/>
    <xf numFmtId="171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0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0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0" fontId="11" fillId="9" borderId="3" xfId="1" applyNumberFormat="1" applyFont="1" applyFill="1" applyBorder="1" applyAlignment="1" applyProtection="1">
      <alignment horizontal="center"/>
      <protection locked="0"/>
    </xf>
    <xf numFmtId="170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11" fontId="11" fillId="9" borderId="3" xfId="1" applyNumberFormat="1" applyFont="1" applyFill="1" applyBorder="1" applyAlignment="1" applyProtection="1"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3" fillId="7" borderId="3" xfId="0" applyFont="1" applyFill="1" applyBorder="1"/>
    <xf numFmtId="165" fontId="4" fillId="0" borderId="29" xfId="7" applyNumberFormat="1" applyFont="1" applyBorder="1" applyAlignment="1" applyProtection="1"/>
    <xf numFmtId="0" fontId="25" fillId="0" borderId="6" xfId="9" applyFont="1" applyFill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172" fontId="4" fillId="0" borderId="3" xfId="0" applyNumberFormat="1" applyFont="1" applyBorder="1"/>
    <xf numFmtId="0" fontId="18" fillId="0" borderId="0" xfId="8" applyFill="1"/>
    <xf numFmtId="174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5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0" fontId="4" fillId="0" borderId="32" xfId="0" applyFont="1" applyBorder="1"/>
    <xf numFmtId="0" fontId="11" fillId="0" borderId="34" xfId="1" applyFont="1" applyFill="1" applyBorder="1" applyProtection="1">
      <protection locked="0"/>
    </xf>
    <xf numFmtId="0" fontId="11" fillId="0" borderId="34" xfId="1" applyFont="1" applyFill="1" applyBorder="1" applyAlignment="1">
      <alignment horizontal="left"/>
    </xf>
    <xf numFmtId="18" fontId="11" fillId="0" borderId="34" xfId="1" applyNumberFormat="1" applyFont="1" applyFill="1" applyBorder="1" applyAlignment="1" applyProtection="1">
      <protection locked="0"/>
    </xf>
    <xf numFmtId="169" fontId="11" fillId="0" borderId="34" xfId="5" applyFont="1" applyFill="1" applyBorder="1" applyProtection="1">
      <protection locked="0"/>
    </xf>
    <xf numFmtId="0" fontId="11" fillId="0" borderId="34" xfId="1" applyFont="1" applyFill="1" applyBorder="1" applyAlignment="1" applyProtection="1">
      <alignment horizontal="center"/>
      <protection locked="0"/>
    </xf>
    <xf numFmtId="170" fontId="11" fillId="0" borderId="34" xfId="1" applyNumberFormat="1" applyFont="1" applyFill="1" applyBorder="1" applyAlignment="1">
      <alignment horizontal="right"/>
    </xf>
    <xf numFmtId="0" fontId="11" fillId="0" borderId="34" xfId="1" applyFont="1" applyFill="1" applyBorder="1" applyAlignment="1">
      <alignment horizontal="center"/>
    </xf>
    <xf numFmtId="0" fontId="18" fillId="9" borderId="0" xfId="8" applyFill="1"/>
    <xf numFmtId="0" fontId="24" fillId="0" borderId="35" xfId="0" applyFont="1" applyBorder="1" applyAlignment="1">
      <alignment wrapText="1"/>
    </xf>
    <xf numFmtId="0" fontId="3" fillId="7" borderId="25" xfId="0" applyFont="1" applyFill="1" applyBorder="1"/>
    <xf numFmtId="0" fontId="24" fillId="0" borderId="32" xfId="0" applyFont="1" applyBorder="1" applyAlignment="1">
      <alignment wrapText="1"/>
    </xf>
    <xf numFmtId="0" fontId="4" fillId="0" borderId="35" xfId="0" applyFont="1" applyBorder="1"/>
    <xf numFmtId="165" fontId="4" fillId="0" borderId="35" xfId="7" applyNumberFormat="1" applyFont="1" applyBorder="1" applyAlignment="1" applyProtection="1"/>
    <xf numFmtId="164" fontId="4" fillId="0" borderId="35" xfId="7" applyNumberFormat="1" applyFont="1" applyBorder="1" applyAlignment="1" applyProtection="1"/>
    <xf numFmtId="2" fontId="4" fillId="0" borderId="35" xfId="7" applyNumberFormat="1" applyFont="1" applyBorder="1" applyAlignment="1" applyProtection="1"/>
    <xf numFmtId="167" fontId="4" fillId="0" borderId="35" xfId="7" applyNumberFormat="1" applyFont="1" applyBorder="1" applyAlignment="1" applyProtection="1"/>
    <xf numFmtId="11" fontId="4" fillId="0" borderId="35" xfId="7" applyNumberFormat="1" applyFont="1" applyBorder="1" applyAlignment="1" applyProtection="1"/>
    <xf numFmtId="0" fontId="18" fillId="0" borderId="32" xfId="8" applyNumberFormat="1" applyBorder="1" applyAlignment="1" applyProtection="1"/>
    <xf numFmtId="165" fontId="4" fillId="0" borderId="36" xfId="7" applyNumberFormat="1" applyFont="1" applyBorder="1" applyAlignment="1" applyProtection="1"/>
    <xf numFmtId="0" fontId="4" fillId="0" borderId="5" xfId="0" applyFont="1" applyBorder="1"/>
    <xf numFmtId="0" fontId="18" fillId="0" borderId="5" xfId="8" applyBorder="1" applyAlignment="1">
      <alignment wrapText="1"/>
    </xf>
    <xf numFmtId="165" fontId="4" fillId="0" borderId="37" xfId="7" applyNumberFormat="1" applyFont="1" applyBorder="1" applyAlignment="1" applyProtection="1"/>
    <xf numFmtId="0" fontId="18" fillId="0" borderId="35" xfId="8" applyFill="1" applyBorder="1"/>
    <xf numFmtId="165" fontId="4" fillId="0" borderId="32" xfId="7" applyNumberFormat="1" applyFont="1" applyBorder="1" applyAlignment="1" applyProtection="1"/>
    <xf numFmtId="164" fontId="4" fillId="0" borderId="32" xfId="7" applyNumberFormat="1" applyFont="1" applyBorder="1" applyAlignment="1" applyProtection="1"/>
    <xf numFmtId="2" fontId="4" fillId="0" borderId="32" xfId="7" applyNumberFormat="1" applyFont="1" applyBorder="1" applyAlignment="1" applyProtection="1"/>
    <xf numFmtId="167" fontId="4" fillId="0" borderId="32" xfId="7" applyNumberFormat="1" applyFont="1" applyBorder="1" applyAlignment="1" applyProtection="1"/>
    <xf numFmtId="11" fontId="4" fillId="0" borderId="32" xfId="7" applyNumberFormat="1" applyFont="1" applyBorder="1" applyAlignment="1" applyProtection="1"/>
    <xf numFmtId="176" fontId="4" fillId="0" borderId="32" xfId="7" applyNumberFormat="1" applyFont="1" applyBorder="1" applyAlignment="1" applyProtection="1"/>
    <xf numFmtId="173" fontId="4" fillId="0" borderId="32" xfId="0" applyNumberFormat="1" applyFont="1" applyBorder="1"/>
    <xf numFmtId="0" fontId="25" fillId="0" borderId="29" xfId="0" applyFont="1" applyFill="1" applyBorder="1"/>
    <xf numFmtId="165" fontId="4" fillId="0" borderId="29" xfId="7" applyNumberFormat="1" applyFont="1" applyFill="1" applyBorder="1" applyAlignment="1" applyProtection="1"/>
    <xf numFmtId="0" fontId="25" fillId="0" borderId="35" xfId="0" applyFont="1" applyFill="1" applyBorder="1"/>
    <xf numFmtId="165" fontId="4" fillId="0" borderId="35" xfId="7" applyNumberFormat="1" applyFont="1" applyFill="1" applyBorder="1" applyAlignment="1" applyProtection="1"/>
    <xf numFmtId="0" fontId="25" fillId="0" borderId="35" xfId="0" applyFont="1" applyFill="1" applyBorder="1" applyAlignment="1" applyProtection="1">
      <alignment vertical="center" wrapText="1"/>
    </xf>
    <xf numFmtId="177" fontId="25" fillId="0" borderId="35" xfId="10" applyNumberFormat="1" applyFont="1" applyFill="1" applyBorder="1" applyAlignment="1" applyProtection="1">
      <alignment vertical="center" wrapText="1"/>
    </xf>
    <xf numFmtId="176" fontId="4" fillId="0" borderId="3" xfId="7" applyNumberFormat="1" applyFont="1" applyBorder="1" applyAlignment="1" applyProtection="1"/>
    <xf numFmtId="0" fontId="3" fillId="11" borderId="15" xfId="0" applyFont="1" applyFill="1" applyBorder="1"/>
    <xf numFmtId="165" fontId="3" fillId="11" borderId="25" xfId="0" applyNumberFormat="1" applyFont="1" applyFill="1" applyBorder="1"/>
    <xf numFmtId="0" fontId="3" fillId="11" borderId="25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5" fontId="3" fillId="0" borderId="0" xfId="0" applyNumberFormat="1" applyFont="1" applyFill="1" applyBorder="1"/>
    <xf numFmtId="0" fontId="25" fillId="0" borderId="33" xfId="0" applyFont="1" applyBorder="1"/>
    <xf numFmtId="0" fontId="25" fillId="0" borderId="33" xfId="0" applyFont="1" applyBorder="1" applyAlignment="1">
      <alignment wrapText="1"/>
    </xf>
    <xf numFmtId="165" fontId="25" fillId="0" borderId="33" xfId="7" applyNumberFormat="1" applyFont="1" applyBorder="1" applyAlignment="1" applyProtection="1">
      <alignment wrapText="1"/>
    </xf>
    <xf numFmtId="0" fontId="25" fillId="0" borderId="33" xfId="9" applyFont="1" applyFill="1" applyBorder="1" applyAlignment="1">
      <alignment wrapText="1"/>
    </xf>
    <xf numFmtId="0" fontId="25" fillId="0" borderId="33" xfId="7" applyNumberFormat="1" applyFont="1" applyBorder="1" applyAlignment="1">
      <alignment wrapText="1"/>
    </xf>
    <xf numFmtId="2" fontId="25" fillId="0" borderId="33" xfId="0" applyNumberFormat="1" applyFont="1" applyBorder="1" applyAlignment="1">
      <alignment wrapText="1"/>
    </xf>
    <xf numFmtId="165" fontId="25" fillId="0" borderId="33" xfId="7" applyNumberFormat="1" applyFont="1" applyBorder="1" applyAlignment="1" applyProtection="1"/>
    <xf numFmtId="2" fontId="25" fillId="0" borderId="33" xfId="0" applyNumberFormat="1" applyFont="1" applyBorder="1"/>
    <xf numFmtId="1" fontId="25" fillId="0" borderId="33" xfId="0" applyNumberFormat="1" applyFont="1" applyBorder="1"/>
    <xf numFmtId="172" fontId="25" fillId="0" borderId="33" xfId="0" applyNumberFormat="1" applyFont="1" applyBorder="1"/>
    <xf numFmtId="2" fontId="4" fillId="0" borderId="33" xfId="7" applyNumberFormat="1" applyFont="1" applyBorder="1" applyAlignment="1" applyProtection="1"/>
    <xf numFmtId="0" fontId="4" fillId="0" borderId="33" xfId="0" applyFont="1" applyBorder="1" applyAlignment="1"/>
    <xf numFmtId="0" fontId="4" fillId="0" borderId="33" xfId="0" applyFont="1" applyBorder="1" applyAlignment="1" applyProtection="1"/>
    <xf numFmtId="165" fontId="4" fillId="0" borderId="33" xfId="7" applyNumberFormat="1" applyFont="1" applyBorder="1" applyAlignment="1" applyProtection="1"/>
    <xf numFmtId="164" fontId="4" fillId="0" borderId="33" xfId="7" applyNumberFormat="1" applyFont="1" applyBorder="1" applyAlignment="1" applyProtection="1"/>
    <xf numFmtId="11" fontId="4" fillId="0" borderId="33" xfId="0" applyNumberFormat="1" applyFont="1" applyBorder="1" applyAlignment="1"/>
    <xf numFmtId="171" fontId="4" fillId="0" borderId="33" xfId="7" applyNumberFormat="1" applyFont="1" applyBorder="1" applyAlignment="1" applyProtection="1"/>
    <xf numFmtId="176" fontId="4" fillId="0" borderId="33" xfId="7" applyNumberFormat="1" applyFont="1" applyBorder="1" applyAlignment="1" applyProtection="1"/>
    <xf numFmtId="3" fontId="0" fillId="0" borderId="33" xfId="0" applyNumberFormat="1" applyBorder="1" applyAlignment="1"/>
    <xf numFmtId="178" fontId="4" fillId="0" borderId="3" xfId="0" applyNumberFormat="1" applyFont="1" applyBorder="1" applyAlignment="1"/>
    <xf numFmtId="0" fontId="4" fillId="0" borderId="39" xfId="0" applyFont="1" applyBorder="1"/>
    <xf numFmtId="0" fontId="25" fillId="0" borderId="38" xfId="7" applyNumberFormat="1" applyFont="1" applyBorder="1" applyAlignment="1">
      <alignment wrapText="1"/>
    </xf>
    <xf numFmtId="0" fontId="25" fillId="0" borderId="38" xfId="0" applyFont="1" applyBorder="1"/>
    <xf numFmtId="165" fontId="25" fillId="0" borderId="38" xfId="7" applyNumberFormat="1" applyFont="1" applyBorder="1" applyAlignment="1" applyProtection="1"/>
    <xf numFmtId="173" fontId="25" fillId="0" borderId="38" xfId="0" applyNumberFormat="1" applyFont="1" applyBorder="1"/>
    <xf numFmtId="165" fontId="25" fillId="0" borderId="38" xfId="7" applyNumberFormat="1" applyFont="1" applyBorder="1" applyAlignment="1" applyProtection="1">
      <alignment horizontal="left"/>
    </xf>
    <xf numFmtId="0" fontId="25" fillId="0" borderId="38" xfId="9" applyFont="1" applyFill="1" applyBorder="1" applyAlignment="1">
      <alignment wrapText="1"/>
    </xf>
    <xf numFmtId="0" fontId="25" fillId="0" borderId="38" xfId="0" applyFont="1" applyFill="1" applyBorder="1"/>
    <xf numFmtId="0" fontId="25" fillId="0" borderId="28" xfId="0" applyFont="1" applyFill="1" applyBorder="1"/>
    <xf numFmtId="0" fontId="25" fillId="0" borderId="40" xfId="0" applyFont="1" applyFill="1" applyBorder="1"/>
    <xf numFmtId="0" fontId="0" fillId="0" borderId="40" xfId="0" applyFill="1" applyBorder="1"/>
    <xf numFmtId="0" fontId="25" fillId="0" borderId="38" xfId="0" applyFont="1" applyFill="1" applyBorder="1" applyAlignment="1" applyProtection="1">
      <alignment vertical="center" wrapText="1"/>
    </xf>
  </cellXfs>
  <cellStyles count="11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" xfId="10" builtinId="4"/>
    <cellStyle name="Monétaire 2" xfId="3" xr:uid="{00000000-0005-0000-0000-000005000000}"/>
    <cellStyle name="Normal" xfId="0" builtinId="0"/>
    <cellStyle name="Normal 2" xfId="1" xr:uid="{00000000-0005-0000-0000-000007000000}"/>
    <cellStyle name="Normal 3" xfId="6" xr:uid="{00000000-0005-0000-0000-000008000000}"/>
    <cellStyle name="Normal_Sheet1" xfId="9" xr:uid="{00000000-0005-0000-0000-000009000000}"/>
    <cellStyle name="TableStyleLight1" xfId="7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99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700_000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700_00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FR_0700_002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700_003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FR_0700_004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700_005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FR_0700_006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700_007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335281</xdr:colOff>
      <xdr:row>1</xdr:row>
      <xdr:rowOff>162217</xdr:rowOff>
    </xdr:from>
    <xdr:to>
      <xdr:col>9</xdr:col>
      <xdr:colOff>716280</xdr:colOff>
      <xdr:row>31</xdr:row>
      <xdr:rowOff>27543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E7E16-C0D4-478E-A615-C8C5C507D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45097"/>
          <a:ext cx="7604759" cy="5351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289560</xdr:colOff>
      <xdr:row>2</xdr:row>
      <xdr:rowOff>60960</xdr:rowOff>
    </xdr:from>
    <xdr:to>
      <xdr:col>9</xdr:col>
      <xdr:colOff>751928</xdr:colOff>
      <xdr:row>32</xdr:row>
      <xdr:rowOff>84690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8DC9E3-89C1-4B40-A877-65D4C0709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" y="426720"/>
          <a:ext cx="7792808" cy="55101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30480</xdr:rowOff>
    </xdr:from>
    <xdr:to>
      <xdr:col>10</xdr:col>
      <xdr:colOff>139686</xdr:colOff>
      <xdr:row>31</xdr:row>
      <xdr:rowOff>101834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F051E2-FF41-4202-8EA5-26FB400A5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213360"/>
          <a:ext cx="7851126" cy="55577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1</xdr:row>
      <xdr:rowOff>79272</xdr:rowOff>
    </xdr:from>
    <xdr:to>
      <xdr:col>10</xdr:col>
      <xdr:colOff>266700</xdr:colOff>
      <xdr:row>31</xdr:row>
      <xdr:rowOff>170414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A50EA3-022C-4B20-81D9-DEF714DAE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262152"/>
          <a:ext cx="7879080" cy="55775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1</xdr:row>
      <xdr:rowOff>114300</xdr:rowOff>
    </xdr:from>
    <xdr:to>
      <xdr:col>9</xdr:col>
      <xdr:colOff>556567</xdr:colOff>
      <xdr:row>30</xdr:row>
      <xdr:rowOff>167640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54D659-8AFD-49AC-B4A6-B367AC539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" y="297180"/>
          <a:ext cx="7582207" cy="5356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220981</xdr:colOff>
      <xdr:row>1</xdr:row>
      <xdr:rowOff>129540</xdr:rowOff>
    </xdr:from>
    <xdr:to>
      <xdr:col>9</xdr:col>
      <xdr:colOff>716729</xdr:colOff>
      <xdr:row>31</xdr:row>
      <xdr:rowOff>21827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7DD99-DB36-49DD-8E44-0DDDEB1B2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1" y="312420"/>
          <a:ext cx="7628068" cy="537868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236221</xdr:colOff>
      <xdr:row>1</xdr:row>
      <xdr:rowOff>121920</xdr:rowOff>
    </xdr:from>
    <xdr:to>
      <xdr:col>10</xdr:col>
      <xdr:colOff>15220</xdr:colOff>
      <xdr:row>31</xdr:row>
      <xdr:rowOff>69450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9798B4-8774-48B6-9141-551CCEDAE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1" y="304800"/>
          <a:ext cx="7703799" cy="54339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1</xdr:row>
      <xdr:rowOff>129540</xdr:rowOff>
    </xdr:from>
    <xdr:to>
      <xdr:col>9</xdr:col>
      <xdr:colOff>661599</xdr:colOff>
      <xdr:row>30</xdr:row>
      <xdr:rowOff>105647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F91B09-9F57-42A5-96F5-05E74249E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312420"/>
          <a:ext cx="7481499" cy="5279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13" workbookViewId="0">
      <selection activeCell="H69" sqref="H69"/>
    </sheetView>
  </sheetViews>
  <sheetFormatPr baseColWidth="10" defaultRowHeight="14.4" x14ac:dyDescent="0.3"/>
  <sheetData>
    <row r="1" spans="1:2" x14ac:dyDescent="0.3">
      <c r="A1" s="81" t="s">
        <v>135</v>
      </c>
    </row>
    <row r="3" spans="1:2" x14ac:dyDescent="0.3">
      <c r="A3" s="80" t="s">
        <v>67</v>
      </c>
      <c r="B3" s="77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77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0" t="s">
        <v>72</v>
      </c>
      <c r="B18" s="77" t="s">
        <v>106</v>
      </c>
      <c r="C18" s="77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0" t="s">
        <v>74</v>
      </c>
      <c r="B23" s="77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77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0" t="s">
        <v>78</v>
      </c>
      <c r="B39" s="77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0" t="s">
        <v>79</v>
      </c>
      <c r="B45" s="77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0" t="s">
        <v>83</v>
      </c>
      <c r="B57" s="77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0" t="s">
        <v>95</v>
      </c>
      <c r="B63" s="77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77" t="s">
        <v>101</v>
      </c>
    </row>
    <row r="82" spans="1:1" x14ac:dyDescent="0.3">
      <c r="A82" s="81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FF"/>
  </sheetPr>
  <dimension ref="A1:O22"/>
  <sheetViews>
    <sheetView zoomScale="70" zoomScaleNormal="70"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4" max="4" width="10.109375" customWidth="1"/>
    <col min="5" max="5" width="11.109375" bestFit="1" customWidth="1"/>
    <col min="7" max="7" width="35.77734375" customWidth="1"/>
    <col min="9" max="9" width="10.6640625" bestFit="1" customWidth="1"/>
    <col min="11" max="11" width="10.218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71">
        <f>FR_0700_003_m+FR_0700_003_p</f>
        <v>81.564000000000007</v>
      </c>
      <c r="O2" s="59"/>
    </row>
    <row r="3" spans="1:15" x14ac:dyDescent="0.3">
      <c r="A3" s="114" t="s">
        <v>3</v>
      </c>
      <c r="B3" s="11" t="str">
        <f>'FR A0700'!B3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2</v>
      </c>
      <c r="O3" s="59"/>
    </row>
    <row r="4" spans="1:15" x14ac:dyDescent="0.3">
      <c r="A4" s="114" t="s">
        <v>5</v>
      </c>
      <c r="B4" s="78" t="str">
        <f>'FR A0700'!B4</f>
        <v>Bodywork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3" t="s">
        <v>183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71">
        <f>N3*N2</f>
        <v>163.12800000000001</v>
      </c>
      <c r="O5" s="59"/>
    </row>
    <row r="6" spans="1:15" x14ac:dyDescent="0.3">
      <c r="A6" s="114" t="s">
        <v>7</v>
      </c>
      <c r="B6" s="24" t="s">
        <v>151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182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198</v>
      </c>
      <c r="C11" s="16"/>
      <c r="D11" s="28">
        <v>100</v>
      </c>
      <c r="E11" s="208">
        <f>J11*K11*L11</f>
        <v>7.2000000000000008E-2</v>
      </c>
      <c r="F11" s="16" t="s">
        <v>210</v>
      </c>
      <c r="G11" s="16"/>
      <c r="H11" s="15"/>
      <c r="I11" s="17"/>
      <c r="J11" s="86">
        <f>0.45*0.8</f>
        <v>0.36000000000000004</v>
      </c>
      <c r="K11" s="183">
        <f>0.2/L11</f>
        <v>9.0909090909090917E-5</v>
      </c>
      <c r="L11" s="27">
        <v>2200</v>
      </c>
      <c r="M11" s="19">
        <v>1</v>
      </c>
      <c r="N11" s="28">
        <f>IF(J11="",D11*M11,D11*J11*K11*L11*M11)</f>
        <v>7.200000000000002</v>
      </c>
      <c r="O11" s="64"/>
    </row>
    <row r="12" spans="1:15" s="18" customFormat="1" x14ac:dyDescent="0.3">
      <c r="A12" s="200">
        <v>20</v>
      </c>
      <c r="B12" s="201" t="s">
        <v>209</v>
      </c>
      <c r="C12" s="200"/>
      <c r="D12" s="202">
        <v>200</v>
      </c>
      <c r="E12" s="208">
        <f>J12*K12*L12</f>
        <v>2.8800000000000003E-2</v>
      </c>
      <c r="F12" s="16" t="s">
        <v>210</v>
      </c>
      <c r="G12" s="200"/>
      <c r="H12" s="203"/>
      <c r="I12" s="204"/>
      <c r="J12" s="86">
        <f>0.45*0.8</f>
        <v>0.36000000000000004</v>
      </c>
      <c r="K12" s="206">
        <f>0.08/L12</f>
        <v>5.0632911392405066E-5</v>
      </c>
      <c r="L12" s="207">
        <v>1580</v>
      </c>
      <c r="M12" s="199">
        <v>1</v>
      </c>
      <c r="N12" s="202">
        <f>IF(J12="",D12*M12,D12*J12*K12*L12*M12)</f>
        <v>5.7600000000000016</v>
      </c>
      <c r="O12" s="64"/>
    </row>
    <row r="13" spans="1:15" x14ac:dyDescent="0.3">
      <c r="A13" s="65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20" t="s">
        <v>18</v>
      </c>
      <c r="N13" s="121">
        <f>SUM(N11:N12)</f>
        <v>12.960000000000004</v>
      </c>
      <c r="O13" s="59"/>
    </row>
    <row r="14" spans="1:15" x14ac:dyDescent="0.3">
      <c r="A14" s="60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9"/>
    </row>
    <row r="15" spans="1:15" x14ac:dyDescent="0.3">
      <c r="A15" s="122" t="s">
        <v>14</v>
      </c>
      <c r="B15" s="119" t="s">
        <v>31</v>
      </c>
      <c r="C15" s="119" t="s">
        <v>20</v>
      </c>
      <c r="D15" s="119" t="s">
        <v>21</v>
      </c>
      <c r="E15" s="119" t="s">
        <v>32</v>
      </c>
      <c r="F15" s="119" t="s">
        <v>17</v>
      </c>
      <c r="G15" s="119" t="s">
        <v>33</v>
      </c>
      <c r="H15" s="119" t="s">
        <v>34</v>
      </c>
      <c r="I15" s="119" t="s">
        <v>18</v>
      </c>
      <c r="J15" s="20"/>
      <c r="K15" s="20"/>
      <c r="L15" s="20"/>
      <c r="M15" s="20"/>
      <c r="N15" s="20"/>
      <c r="O15" s="59"/>
    </row>
    <row r="16" spans="1:15" x14ac:dyDescent="0.3">
      <c r="A16" s="189">
        <v>10</v>
      </c>
      <c r="B16" s="189" t="s">
        <v>206</v>
      </c>
      <c r="C16" s="189"/>
      <c r="D16" s="189">
        <v>0.06</v>
      </c>
      <c r="E16" s="189" t="s">
        <v>47</v>
      </c>
      <c r="F16" s="189">
        <v>258.60000000000002</v>
      </c>
      <c r="G16" s="190" t="s">
        <v>200</v>
      </c>
      <c r="H16" s="189">
        <v>2</v>
      </c>
      <c r="I16" s="191">
        <f>IF(H16="",D16*F16,D16*F16*H16)</f>
        <v>31.032</v>
      </c>
    </row>
    <row r="17" spans="1:15" s="21" customFormat="1" x14ac:dyDescent="0.3">
      <c r="A17" s="190">
        <v>20</v>
      </c>
      <c r="B17" s="192" t="s">
        <v>199</v>
      </c>
      <c r="C17" s="190"/>
      <c r="D17" s="191">
        <v>35</v>
      </c>
      <c r="E17" s="193" t="s">
        <v>144</v>
      </c>
      <c r="F17" s="194">
        <f>J11</f>
        <v>0.36000000000000004</v>
      </c>
      <c r="G17" s="190" t="s">
        <v>200</v>
      </c>
      <c r="H17" s="190">
        <v>2</v>
      </c>
      <c r="I17" s="191">
        <f>IF(H17="",D17*F17,D17*F17*H17)</f>
        <v>25.200000000000003</v>
      </c>
      <c r="J17" s="55"/>
      <c r="K17" s="55"/>
      <c r="L17" s="55"/>
      <c r="M17" s="55"/>
      <c r="N17" s="55"/>
      <c r="O17" s="66"/>
    </row>
    <row r="18" spans="1:15" x14ac:dyDescent="0.3">
      <c r="A18" s="189">
        <v>30</v>
      </c>
      <c r="B18" s="192" t="s">
        <v>201</v>
      </c>
      <c r="C18" s="189"/>
      <c r="D18" s="195">
        <v>5</v>
      </c>
      <c r="E18" s="189" t="s">
        <v>144</v>
      </c>
      <c r="F18" s="194">
        <f>J11</f>
        <v>0.36000000000000004</v>
      </c>
      <c r="G18" s="190" t="s">
        <v>200</v>
      </c>
      <c r="H18" s="189">
        <v>2</v>
      </c>
      <c r="I18" s="195">
        <f t="shared" ref="I18:I20" si="0">IF(H18="",D18*F18,D18*F18*H18)</f>
        <v>3.6000000000000005</v>
      </c>
      <c r="J18" s="53"/>
      <c r="K18" s="53"/>
      <c r="L18" s="53"/>
      <c r="M18" s="53"/>
      <c r="N18" s="53"/>
      <c r="O18" s="59"/>
    </row>
    <row r="19" spans="1:15" s="12" customFormat="1" x14ac:dyDescent="0.3">
      <c r="A19" s="190">
        <v>40</v>
      </c>
      <c r="B19" s="192" t="s">
        <v>202</v>
      </c>
      <c r="C19" s="189"/>
      <c r="D19" s="195">
        <v>10</v>
      </c>
      <c r="E19" s="193" t="s">
        <v>144</v>
      </c>
      <c r="F19" s="196">
        <f>J11</f>
        <v>0.36000000000000004</v>
      </c>
      <c r="G19" s="189"/>
      <c r="H19" s="189"/>
      <c r="I19" s="195">
        <f t="shared" si="0"/>
        <v>3.6000000000000005</v>
      </c>
      <c r="J19" s="54"/>
      <c r="K19" s="54"/>
      <c r="L19" s="54"/>
      <c r="M19" s="54"/>
      <c r="N19" s="54"/>
      <c r="O19" s="63"/>
    </row>
    <row r="20" spans="1:15" x14ac:dyDescent="0.3">
      <c r="A20" s="189">
        <v>50</v>
      </c>
      <c r="B20" s="192" t="s">
        <v>207</v>
      </c>
      <c r="C20" s="189"/>
      <c r="D20" s="195">
        <v>0.01</v>
      </c>
      <c r="E20" s="189" t="s">
        <v>47</v>
      </c>
      <c r="F20" s="189">
        <v>258.60000000000002</v>
      </c>
      <c r="G20" s="193" t="s">
        <v>208</v>
      </c>
      <c r="H20" s="189">
        <v>2</v>
      </c>
      <c r="I20" s="195">
        <f t="shared" si="0"/>
        <v>5.1720000000000006</v>
      </c>
      <c r="J20" s="53"/>
      <c r="K20" s="53"/>
      <c r="L20" s="53"/>
      <c r="M20" s="53"/>
      <c r="N20" s="53"/>
      <c r="O20" s="59"/>
    </row>
    <row r="21" spans="1:15" x14ac:dyDescent="0.3">
      <c r="A21" s="65"/>
      <c r="B21" s="20"/>
      <c r="C21" s="20"/>
      <c r="D21" s="20"/>
      <c r="E21" s="20"/>
      <c r="F21" s="20"/>
      <c r="G21" s="20"/>
      <c r="H21" s="123" t="s">
        <v>18</v>
      </c>
      <c r="I21" s="121">
        <f>SUM(I16:I20)</f>
        <v>68.603999999999999</v>
      </c>
      <c r="J21" s="20"/>
      <c r="K21" s="20"/>
      <c r="L21" s="20"/>
      <c r="M21" s="20"/>
      <c r="N21" s="20"/>
      <c r="O21" s="59"/>
    </row>
    <row r="22" spans="1:15" ht="15" thickBot="1" x14ac:dyDescent="0.35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'FR A0700'!A1" display="'FR A0700'!A1" xr:uid="{00000000-0004-0000-0900-000000000000}"/>
    <hyperlink ref="E3" location="dFR_0700_003!A1" display="Drawing" xr:uid="{00000000-0004-0000-09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99FF"/>
  </sheetPr>
  <dimension ref="A1:B1"/>
  <sheetViews>
    <sheetView workbookViewId="0">
      <selection activeCell="L24" sqref="L24"/>
    </sheetView>
  </sheetViews>
  <sheetFormatPr baseColWidth="10" defaultRowHeight="14.4" x14ac:dyDescent="0.3"/>
  <sheetData>
    <row r="1" spans="1:2" x14ac:dyDescent="0.3">
      <c r="A1" t="s">
        <v>158</v>
      </c>
      <c r="B1" s="79" t="s">
        <v>175</v>
      </c>
    </row>
  </sheetData>
  <hyperlinks>
    <hyperlink ref="B1" location="FR_0700_003!A1" display="FR_0700_003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O22"/>
  <sheetViews>
    <sheetView topLeftCell="B1" zoomScale="70" zoomScaleNormal="70" workbookViewId="0">
      <selection activeCell="E12" sqref="E12:F12"/>
    </sheetView>
  </sheetViews>
  <sheetFormatPr baseColWidth="10" defaultColWidth="9.109375" defaultRowHeight="14.4" x14ac:dyDescent="0.3"/>
  <cols>
    <col min="2" max="2" width="33.44140625" bestFit="1" customWidth="1"/>
    <col min="4" max="4" width="9.44140625" customWidth="1"/>
    <col min="5" max="5" width="11.109375" bestFit="1" customWidth="1"/>
    <col min="7" max="7" width="36.21875" customWidth="1"/>
    <col min="9" max="9" width="10.6640625" bestFit="1" customWidth="1"/>
    <col min="11" max="11" width="10.218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71">
        <f>FR_0700_004_m+FR_0700_004_p</f>
        <v>130.70400000000001</v>
      </c>
      <c r="O2" s="59"/>
    </row>
    <row r="3" spans="1:15" x14ac:dyDescent="0.3">
      <c r="A3" s="114" t="s">
        <v>3</v>
      </c>
      <c r="B3" s="11" t="str">
        <f>'FR A0700'!B3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2</v>
      </c>
      <c r="O3" s="59"/>
    </row>
    <row r="4" spans="1:15" x14ac:dyDescent="0.3">
      <c r="A4" s="114" t="s">
        <v>5</v>
      </c>
      <c r="B4" s="78" t="str">
        <f>'FR A0700'!B4</f>
        <v>Bodywork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3" t="s">
        <v>185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71">
        <f>N3*N2</f>
        <v>261.40800000000002</v>
      </c>
      <c r="O5" s="59"/>
    </row>
    <row r="6" spans="1:15" x14ac:dyDescent="0.3">
      <c r="A6" s="114" t="s">
        <v>7</v>
      </c>
      <c r="B6" s="24" t="s">
        <v>152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185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200">
        <v>10</v>
      </c>
      <c r="B11" s="201" t="s">
        <v>198</v>
      </c>
      <c r="C11" s="200"/>
      <c r="D11" s="202">
        <v>100</v>
      </c>
      <c r="E11" s="208">
        <f>J11*K11*L11</f>
        <v>0.15</v>
      </c>
      <c r="F11" s="16" t="s">
        <v>210</v>
      </c>
      <c r="G11" s="200"/>
      <c r="H11" s="203"/>
      <c r="I11" s="204"/>
      <c r="J11" s="205">
        <f>0.75*1</f>
        <v>0.75</v>
      </c>
      <c r="K11" s="206">
        <f>0.2/L11</f>
        <v>9.0909090909090917E-5</v>
      </c>
      <c r="L11" s="207">
        <v>2200</v>
      </c>
      <c r="M11" s="199">
        <v>1</v>
      </c>
      <c r="N11" s="202">
        <f>IF(J11="",D11*M11,D11*J11*K11*L11*M11)</f>
        <v>15.000000000000002</v>
      </c>
      <c r="O11" s="64"/>
    </row>
    <row r="12" spans="1:15" s="18" customFormat="1" x14ac:dyDescent="0.3">
      <c r="A12" s="200">
        <v>20</v>
      </c>
      <c r="B12" s="201" t="s">
        <v>209</v>
      </c>
      <c r="C12" s="200"/>
      <c r="D12" s="202">
        <v>200</v>
      </c>
      <c r="E12" s="208">
        <f>J12*K12*L12</f>
        <v>6.0000000000000005E-2</v>
      </c>
      <c r="F12" s="16" t="s">
        <v>210</v>
      </c>
      <c r="G12" s="200"/>
      <c r="H12" s="203"/>
      <c r="I12" s="204"/>
      <c r="J12" s="205">
        <f>0.75*1</f>
        <v>0.75</v>
      </c>
      <c r="K12" s="206">
        <f>0.08/L12</f>
        <v>5.0632911392405066E-5</v>
      </c>
      <c r="L12" s="207">
        <v>1580</v>
      </c>
      <c r="M12" s="199">
        <v>1</v>
      </c>
      <c r="N12" s="202">
        <f>IF(J12="",D12*M12,D12*J12*K12*L12*M12)</f>
        <v>12.000000000000002</v>
      </c>
      <c r="O12" s="64"/>
    </row>
    <row r="13" spans="1:15" x14ac:dyDescent="0.3">
      <c r="A13" s="65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23" t="s">
        <v>18</v>
      </c>
      <c r="N13" s="121">
        <f>SUM(N11:N12)</f>
        <v>27.000000000000004</v>
      </c>
      <c r="O13" s="59"/>
    </row>
    <row r="14" spans="1:15" x14ac:dyDescent="0.3">
      <c r="A14" s="60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9"/>
    </row>
    <row r="15" spans="1:15" x14ac:dyDescent="0.3">
      <c r="A15" s="122" t="s">
        <v>14</v>
      </c>
      <c r="B15" s="119" t="s">
        <v>31</v>
      </c>
      <c r="C15" s="119" t="s">
        <v>20</v>
      </c>
      <c r="D15" s="119" t="s">
        <v>21</v>
      </c>
      <c r="E15" s="119" t="s">
        <v>32</v>
      </c>
      <c r="F15" s="119" t="s">
        <v>17</v>
      </c>
      <c r="G15" s="119" t="s">
        <v>33</v>
      </c>
      <c r="H15" s="119" t="s">
        <v>34</v>
      </c>
      <c r="I15" s="119" t="s">
        <v>18</v>
      </c>
      <c r="J15" s="20"/>
      <c r="K15" s="20"/>
      <c r="L15" s="20"/>
      <c r="M15" s="20"/>
      <c r="N15" s="20"/>
      <c r="O15" s="59"/>
    </row>
    <row r="16" spans="1:15" x14ac:dyDescent="0.3">
      <c r="A16" s="189">
        <v>10</v>
      </c>
      <c r="B16" s="189" t="s">
        <v>206</v>
      </c>
      <c r="C16" s="189"/>
      <c r="D16" s="189">
        <v>0.06</v>
      </c>
      <c r="E16" s="189" t="s">
        <v>47</v>
      </c>
      <c r="F16" s="189">
        <v>258.60000000000002</v>
      </c>
      <c r="G16" s="190" t="s">
        <v>200</v>
      </c>
      <c r="H16" s="189">
        <v>2</v>
      </c>
      <c r="I16" s="191">
        <f>IF(H16="",D16*F16,D16*F16*H16)</f>
        <v>31.032</v>
      </c>
    </row>
    <row r="17" spans="1:15" s="21" customFormat="1" x14ac:dyDescent="0.3">
      <c r="A17" s="190">
        <v>20</v>
      </c>
      <c r="B17" s="192" t="s">
        <v>199</v>
      </c>
      <c r="C17" s="190"/>
      <c r="D17" s="191">
        <v>35</v>
      </c>
      <c r="E17" s="193" t="s">
        <v>144</v>
      </c>
      <c r="F17" s="194">
        <f>J11</f>
        <v>0.75</v>
      </c>
      <c r="G17" s="190" t="s">
        <v>200</v>
      </c>
      <c r="H17" s="190">
        <v>2</v>
      </c>
      <c r="I17" s="191">
        <f>IF(H17="",D17*F17,D17*F17*H17)</f>
        <v>52.5</v>
      </c>
      <c r="J17" s="55"/>
      <c r="K17" s="55"/>
      <c r="L17" s="55"/>
      <c r="M17" s="55"/>
      <c r="N17" s="55"/>
      <c r="O17" s="66"/>
    </row>
    <row r="18" spans="1:15" x14ac:dyDescent="0.3">
      <c r="A18" s="189">
        <v>30</v>
      </c>
      <c r="B18" s="192" t="s">
        <v>201</v>
      </c>
      <c r="C18" s="189"/>
      <c r="D18" s="195">
        <v>5</v>
      </c>
      <c r="E18" s="189" t="s">
        <v>144</v>
      </c>
      <c r="F18" s="194">
        <f>J11</f>
        <v>0.75</v>
      </c>
      <c r="G18" s="190" t="s">
        <v>200</v>
      </c>
      <c r="H18" s="189">
        <v>2</v>
      </c>
      <c r="I18" s="195">
        <f t="shared" ref="I18:I20" si="0">IF(H18="",D18*F18,D18*F18*H18)</f>
        <v>7.5</v>
      </c>
      <c r="J18" s="53"/>
      <c r="K18" s="53"/>
      <c r="L18" s="53"/>
      <c r="M18" s="53"/>
      <c r="N18" s="53"/>
      <c r="O18" s="59"/>
    </row>
    <row r="19" spans="1:15" s="12" customFormat="1" x14ac:dyDescent="0.3">
      <c r="A19" s="190">
        <v>40</v>
      </c>
      <c r="B19" s="192" t="s">
        <v>202</v>
      </c>
      <c r="C19" s="189"/>
      <c r="D19" s="195">
        <v>10</v>
      </c>
      <c r="E19" s="193" t="s">
        <v>144</v>
      </c>
      <c r="F19" s="196">
        <f>J11</f>
        <v>0.75</v>
      </c>
      <c r="G19" s="189"/>
      <c r="H19" s="189"/>
      <c r="I19" s="195">
        <f t="shared" si="0"/>
        <v>7.5</v>
      </c>
      <c r="J19" s="54"/>
      <c r="K19" s="54"/>
      <c r="L19" s="54"/>
      <c r="M19" s="54"/>
      <c r="N19" s="54"/>
      <c r="O19" s="63"/>
    </row>
    <row r="20" spans="1:15" x14ac:dyDescent="0.3">
      <c r="A20" s="189">
        <v>50</v>
      </c>
      <c r="B20" s="192" t="s">
        <v>207</v>
      </c>
      <c r="C20" s="189"/>
      <c r="D20" s="195">
        <v>0.01</v>
      </c>
      <c r="E20" s="189" t="s">
        <v>47</v>
      </c>
      <c r="F20" s="189">
        <v>258.60000000000002</v>
      </c>
      <c r="G20" s="193" t="s">
        <v>208</v>
      </c>
      <c r="H20" s="189">
        <v>2</v>
      </c>
      <c r="I20" s="195">
        <f t="shared" si="0"/>
        <v>5.1720000000000006</v>
      </c>
      <c r="J20" s="53"/>
      <c r="K20" s="53"/>
      <c r="L20" s="53"/>
      <c r="M20" s="53"/>
      <c r="N20" s="53"/>
      <c r="O20" s="59"/>
    </row>
    <row r="21" spans="1:15" x14ac:dyDescent="0.3">
      <c r="A21" s="65"/>
      <c r="B21" s="20"/>
      <c r="C21" s="20"/>
      <c r="D21" s="20"/>
      <c r="E21" s="20"/>
      <c r="F21" s="20"/>
      <c r="G21" s="20"/>
      <c r="H21" s="123" t="s">
        <v>18</v>
      </c>
      <c r="I21" s="121">
        <f>SUM(I16:I20)</f>
        <v>103.70399999999999</v>
      </c>
      <c r="J21" s="20"/>
      <c r="K21" s="20"/>
      <c r="L21" s="20"/>
      <c r="M21" s="20"/>
      <c r="N21" s="20"/>
      <c r="O21" s="59"/>
    </row>
    <row r="22" spans="1:15" ht="15" thickBot="1" x14ac:dyDescent="0.35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'FR A0700'!A1" display="'FR A0700'!A1" xr:uid="{00000000-0004-0000-0B00-000000000000}"/>
    <hyperlink ref="E3" location="dFR_0700_004!A1" display="Drawing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158</v>
      </c>
      <c r="B1" s="79" t="s">
        <v>174</v>
      </c>
    </row>
  </sheetData>
  <hyperlinks>
    <hyperlink ref="B1" location="FR_0700_004!A1" display="FR_0700_004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99FF"/>
  </sheetPr>
  <dimension ref="A1:O18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5" max="5" width="10.21875" bestFit="1" customWidth="1"/>
    <col min="7" max="7" width="33.109375" bestFit="1" customWidth="1"/>
    <col min="9" max="9" width="10.6640625" bestFit="1" customWidth="1"/>
    <col min="10" max="10" width="9.441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71">
        <f>FR_0700_005_m+FR_0700_005_p</f>
        <v>1.0759419618832944</v>
      </c>
      <c r="O2" s="59"/>
    </row>
    <row r="3" spans="1:15" x14ac:dyDescent="0.3">
      <c r="A3" s="114" t="s">
        <v>3</v>
      </c>
      <c r="B3" s="11" t="str">
        <f>'FR A0700'!B3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2</v>
      </c>
      <c r="O3" s="59"/>
    </row>
    <row r="4" spans="1:15" x14ac:dyDescent="0.3">
      <c r="A4" s="114" t="s">
        <v>5</v>
      </c>
      <c r="B4" s="78" t="str">
        <f>'FR A0700'!B4</f>
        <v>Bodywork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3" t="s">
        <v>167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71">
        <f>N3*N2</f>
        <v>2.1518839237665888</v>
      </c>
      <c r="O5" s="59"/>
    </row>
    <row r="6" spans="1:15" x14ac:dyDescent="0.3">
      <c r="A6" s="114" t="s">
        <v>7</v>
      </c>
      <c r="B6" s="24" t="s">
        <v>154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197</v>
      </c>
      <c r="C11" s="16"/>
      <c r="D11" s="28">
        <v>2.25</v>
      </c>
      <c r="E11" s="208">
        <f>J11*K11*L11</f>
        <v>7.1742052814641778E-3</v>
      </c>
      <c r="F11" s="16" t="s">
        <v>210</v>
      </c>
      <c r="G11" s="16"/>
      <c r="H11" s="15"/>
      <c r="I11" s="17" t="s">
        <v>153</v>
      </c>
      <c r="J11" s="142">
        <f>0.000581+PI()*0.003*0.003</f>
        <v>6.0927433388230812E-4</v>
      </c>
      <c r="K11" s="144">
        <v>1.5E-3</v>
      </c>
      <c r="L11" s="27">
        <v>7850</v>
      </c>
      <c r="M11" s="19">
        <v>1</v>
      </c>
      <c r="N11" s="28">
        <f>IF(J11="",D11*M11,D11*J11*K11*L11*M11)</f>
        <v>1.6141961883294399E-2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1.6141961883294399E-2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76">
        <v>10</v>
      </c>
      <c r="B15" s="132" t="s">
        <v>45</v>
      </c>
      <c r="C15" s="29"/>
      <c r="D15" s="30">
        <v>1.3</v>
      </c>
      <c r="E15" s="23" t="s">
        <v>35</v>
      </c>
      <c r="F15" s="138">
        <v>1</v>
      </c>
      <c r="G15" s="29" t="s">
        <v>161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6"/>
    </row>
    <row r="16" spans="1:15" x14ac:dyDescent="0.3">
      <c r="A16" s="61">
        <v>20</v>
      </c>
      <c r="B16" s="23" t="s">
        <v>46</v>
      </c>
      <c r="C16" s="14"/>
      <c r="D16" s="28">
        <v>0.01</v>
      </c>
      <c r="E16" s="14" t="s">
        <v>47</v>
      </c>
      <c r="F16" s="140">
        <v>13.66</v>
      </c>
      <c r="G16" s="23" t="s">
        <v>160</v>
      </c>
      <c r="H16" s="22">
        <v>3</v>
      </c>
      <c r="I16" s="28">
        <f t="shared" si="0"/>
        <v>0.4098</v>
      </c>
      <c r="J16" s="53"/>
      <c r="K16" s="53"/>
      <c r="L16" s="53"/>
      <c r="M16" s="53"/>
      <c r="N16" s="53"/>
      <c r="O16" s="59"/>
    </row>
    <row r="17" spans="1:15" x14ac:dyDescent="0.3">
      <c r="A17" s="65"/>
      <c r="B17" s="20"/>
      <c r="C17" s="20"/>
      <c r="D17" s="20"/>
      <c r="E17" s="20"/>
      <c r="F17" s="20"/>
      <c r="G17" s="20"/>
      <c r="H17" s="123" t="s">
        <v>18</v>
      </c>
      <c r="I17" s="121">
        <f>SUM(I15:I16)</f>
        <v>1.0598000000000001</v>
      </c>
      <c r="J17" s="20"/>
      <c r="K17" s="20"/>
      <c r="L17" s="20"/>
      <c r="M17" s="20"/>
      <c r="N17" s="20"/>
      <c r="O17" s="59"/>
    </row>
    <row r="18" spans="1:15" ht="15" thickBot="1" x14ac:dyDescent="0.35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</row>
  </sheetData>
  <hyperlinks>
    <hyperlink ref="B4" location="'FR A0700'!A1" display="'FR A0700'!A1" xr:uid="{00000000-0004-0000-0D00-000000000000}"/>
    <hyperlink ref="E3" location="dFR_0700_005!A1" display="Drawing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FF"/>
  </sheetPr>
  <dimension ref="A1:B1"/>
  <sheetViews>
    <sheetView workbookViewId="0">
      <selection activeCell="L21" sqref="L21"/>
    </sheetView>
  </sheetViews>
  <sheetFormatPr baseColWidth="10" defaultRowHeight="14.4" x14ac:dyDescent="0.3"/>
  <sheetData>
    <row r="1" spans="1:2" x14ac:dyDescent="0.3">
      <c r="A1" t="s">
        <v>158</v>
      </c>
      <c r="B1" s="79" t="s">
        <v>173</v>
      </c>
    </row>
  </sheetData>
  <hyperlinks>
    <hyperlink ref="B1" location="FR_0700_005!A1" display="FR_0700_005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99FF"/>
  </sheetPr>
  <dimension ref="A1:O18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4.6640625" bestFit="1" customWidth="1"/>
    <col min="5" max="5" width="10.21875" bestFit="1" customWidth="1"/>
    <col min="7" max="7" width="29.21875" customWidth="1"/>
    <col min="9" max="9" width="10.7773437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71">
        <f>FR_0700_006_m+FR_0700_006_p</f>
        <v>1.0788162660645444</v>
      </c>
      <c r="O2" s="59"/>
    </row>
    <row r="3" spans="1:15" x14ac:dyDescent="0.3">
      <c r="A3" s="114" t="s">
        <v>3</v>
      </c>
      <c r="B3" s="11" t="str">
        <f>'FR A0700'!B3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2</v>
      </c>
      <c r="O3" s="59"/>
    </row>
    <row r="4" spans="1:15" x14ac:dyDescent="0.3">
      <c r="A4" s="114" t="s">
        <v>5</v>
      </c>
      <c r="B4" s="78" t="str">
        <f>'FR A0700'!B4</f>
        <v>Bodywork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3" t="s">
        <v>170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71">
        <f>N3*N2</f>
        <v>2.1576325321290888</v>
      </c>
      <c r="O5" s="59"/>
    </row>
    <row r="6" spans="1:15" x14ac:dyDescent="0.3">
      <c r="A6" s="114" t="s">
        <v>7</v>
      </c>
      <c r="B6" s="24" t="s">
        <v>155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197</v>
      </c>
      <c r="C11" s="16"/>
      <c r="D11" s="28">
        <v>2.25</v>
      </c>
      <c r="E11" s="208">
        <f>J11*K11*L11</f>
        <v>1.0051673806464177E-2</v>
      </c>
      <c r="F11" s="16" t="s">
        <v>210</v>
      </c>
      <c r="G11" s="16"/>
      <c r="H11" s="15"/>
      <c r="I11" s="17" t="s">
        <v>156</v>
      </c>
      <c r="J11" s="142">
        <f>0.000825371+PI()*0.003*0.003</f>
        <v>8.5364533388230808E-4</v>
      </c>
      <c r="K11" s="144">
        <v>1.5E-3</v>
      </c>
      <c r="L11" s="27">
        <v>7850</v>
      </c>
      <c r="M11" s="19">
        <v>1</v>
      </c>
      <c r="N11" s="28">
        <f>IF(J11="",D11*M11,D11*J11*K11*L11*M11)</f>
        <v>2.2616266064544401E-2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2.2616266064544401E-2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76">
        <v>10</v>
      </c>
      <c r="B15" s="132" t="s">
        <v>45</v>
      </c>
      <c r="C15" s="29"/>
      <c r="D15" s="30">
        <v>1.3</v>
      </c>
      <c r="E15" s="23" t="s">
        <v>35</v>
      </c>
      <c r="F15" s="138">
        <v>1</v>
      </c>
      <c r="G15" s="29" t="s">
        <v>188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6"/>
    </row>
    <row r="16" spans="1:15" x14ac:dyDescent="0.3">
      <c r="A16" s="61">
        <v>20</v>
      </c>
      <c r="B16" s="23" t="s">
        <v>46</v>
      </c>
      <c r="C16" s="14"/>
      <c r="D16" s="28">
        <v>0.01</v>
      </c>
      <c r="E16" s="14" t="s">
        <v>47</v>
      </c>
      <c r="F16" s="139">
        <v>13.54</v>
      </c>
      <c r="G16" s="23" t="s">
        <v>160</v>
      </c>
      <c r="H16" s="22">
        <v>3</v>
      </c>
      <c r="I16" s="28">
        <f t="shared" si="0"/>
        <v>0.40620000000000001</v>
      </c>
      <c r="J16" s="53"/>
      <c r="K16" s="53"/>
      <c r="L16" s="53"/>
      <c r="M16" s="53"/>
      <c r="N16" s="53"/>
      <c r="O16" s="59"/>
    </row>
    <row r="17" spans="1:15" x14ac:dyDescent="0.3">
      <c r="A17" s="65"/>
      <c r="B17" s="20"/>
      <c r="C17" s="20"/>
      <c r="D17" s="20"/>
      <c r="E17" s="20"/>
      <c r="F17" s="20"/>
      <c r="G17" s="20"/>
      <c r="H17" s="123" t="s">
        <v>18</v>
      </c>
      <c r="I17" s="121">
        <f>SUM(I15:I16)</f>
        <v>1.0562</v>
      </c>
      <c r="J17" s="20"/>
      <c r="K17" s="20"/>
      <c r="L17" s="20"/>
      <c r="M17" s="20"/>
      <c r="N17" s="20"/>
      <c r="O17" s="59"/>
    </row>
    <row r="18" spans="1:15" ht="15" thickBot="1" x14ac:dyDescent="0.35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</row>
  </sheetData>
  <hyperlinks>
    <hyperlink ref="B4" location="'FR A0700'!A1" display="'FR A0700'!A1" xr:uid="{00000000-0004-0000-0F00-000000000000}"/>
    <hyperlink ref="E3" location="dFR_0700_006!A1" display="Drawing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99FF"/>
  </sheetPr>
  <dimension ref="A1:B1"/>
  <sheetViews>
    <sheetView workbookViewId="0">
      <selection activeCell="K22" sqref="K22"/>
    </sheetView>
  </sheetViews>
  <sheetFormatPr baseColWidth="10" defaultRowHeight="14.4" x14ac:dyDescent="0.3"/>
  <sheetData>
    <row r="1" spans="1:2" x14ac:dyDescent="0.3">
      <c r="A1" t="s">
        <v>158</v>
      </c>
      <c r="B1" s="79" t="s">
        <v>172</v>
      </c>
    </row>
  </sheetData>
  <hyperlinks>
    <hyperlink ref="B1" location="FR_0700_006!A1" display="FR_0700_006" xr:uid="{00000000-0004-0000-1000-000000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5" max="5" width="10.21875" bestFit="1" customWidth="1"/>
    <col min="7" max="7" width="33.109375" bestFit="1" customWidth="1"/>
    <col min="8" max="8" width="9.21875" bestFit="1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71">
        <f>FR_0700_007_m+FR_0700_007_p</f>
        <v>0.73773216315204448</v>
      </c>
      <c r="O2" s="59"/>
    </row>
    <row r="3" spans="1:15" x14ac:dyDescent="0.3">
      <c r="A3" s="114" t="s">
        <v>3</v>
      </c>
      <c r="B3" s="11" t="str">
        <f>'FR A0700'!B3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4</v>
      </c>
      <c r="O3" s="59"/>
    </row>
    <row r="4" spans="1:15" x14ac:dyDescent="0.3">
      <c r="A4" s="114" t="s">
        <v>5</v>
      </c>
      <c r="B4" s="78" t="str">
        <f>'FR A0700'!B4</f>
        <v>Bodywork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3" t="s">
        <v>187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71">
        <f>N3*N2</f>
        <v>2.9509286526081779</v>
      </c>
      <c r="O5" s="59"/>
    </row>
    <row r="6" spans="1:15" x14ac:dyDescent="0.3">
      <c r="A6" s="114" t="s">
        <v>7</v>
      </c>
      <c r="B6" s="24" t="s">
        <v>157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197</v>
      </c>
      <c r="C11" s="16"/>
      <c r="D11" s="28">
        <v>2.25</v>
      </c>
      <c r="E11" s="208">
        <f>J11*K11*L11</f>
        <v>7.4365169564641785E-3</v>
      </c>
      <c r="F11" s="16" t="s">
        <v>210</v>
      </c>
      <c r="G11" s="16"/>
      <c r="H11" s="15"/>
      <c r="I11" s="17" t="s">
        <v>153</v>
      </c>
      <c r="J11" s="142">
        <f>0.000603277+PI()*0.003*0.003</f>
        <v>6.3155133388230814E-4</v>
      </c>
      <c r="K11" s="144">
        <v>1.5E-3</v>
      </c>
      <c r="L11" s="27">
        <v>7850</v>
      </c>
      <c r="M11" s="19">
        <v>1</v>
      </c>
      <c r="N11" s="28">
        <f>IF(J11="",D11*M11,D11*J11*K11*L11*M11)</f>
        <v>1.6732163152044403E-2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1.6732163152044403E-2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76">
        <v>10</v>
      </c>
      <c r="B15" s="132" t="s">
        <v>45</v>
      </c>
      <c r="C15" s="29"/>
      <c r="D15" s="30">
        <v>1.3</v>
      </c>
      <c r="E15" s="23" t="s">
        <v>35</v>
      </c>
      <c r="F15" s="138">
        <v>1</v>
      </c>
      <c r="G15" s="29" t="s">
        <v>159</v>
      </c>
      <c r="H15" s="29">
        <v>0.25</v>
      </c>
      <c r="I15" s="30">
        <f t="shared" ref="I15:I16" si="0">IF(H15="",D15*F15,D15*F15*H15)</f>
        <v>0.32500000000000001</v>
      </c>
      <c r="J15" s="55"/>
      <c r="K15" s="55"/>
      <c r="L15" s="55"/>
      <c r="M15" s="55"/>
      <c r="N15" s="55"/>
      <c r="O15" s="66"/>
    </row>
    <row r="16" spans="1:15" x14ac:dyDescent="0.3">
      <c r="A16" s="61">
        <v>20</v>
      </c>
      <c r="B16" s="23" t="s">
        <v>46</v>
      </c>
      <c r="C16" s="14"/>
      <c r="D16" s="28">
        <v>0.01</v>
      </c>
      <c r="E16" s="14" t="s">
        <v>47</v>
      </c>
      <c r="F16" s="139">
        <v>13.2</v>
      </c>
      <c r="G16" s="23" t="s">
        <v>160</v>
      </c>
      <c r="H16" s="22">
        <v>3</v>
      </c>
      <c r="I16" s="28">
        <f t="shared" si="0"/>
        <v>0.39600000000000002</v>
      </c>
      <c r="J16" s="53"/>
      <c r="K16" s="53"/>
      <c r="L16" s="53"/>
      <c r="M16" s="53"/>
      <c r="N16" s="53"/>
      <c r="O16" s="59"/>
    </row>
    <row r="17" spans="1:15" x14ac:dyDescent="0.3">
      <c r="A17" s="65"/>
      <c r="B17" s="20"/>
      <c r="C17" s="20"/>
      <c r="D17" s="20"/>
      <c r="E17" s="20"/>
      <c r="F17" s="20"/>
      <c r="G17" s="20"/>
      <c r="H17" s="123" t="s">
        <v>18</v>
      </c>
      <c r="I17" s="121">
        <f>SUM(I15:I16)</f>
        <v>0.72100000000000009</v>
      </c>
      <c r="J17" s="20"/>
      <c r="K17" s="20"/>
      <c r="L17" s="20"/>
      <c r="M17" s="20"/>
      <c r="N17" s="20"/>
      <c r="O17" s="59"/>
    </row>
    <row r="18" spans="1:15" ht="15" thickBot="1" x14ac:dyDescent="0.35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</row>
  </sheetData>
  <hyperlinks>
    <hyperlink ref="B4" location="'FR A0700'!A1" display="'FR A0700'!A1" xr:uid="{00000000-0004-0000-1100-000000000000}"/>
    <hyperlink ref="E3" location="dFR_0700_007!A1" display="Drawing" xr:uid="{00000000-0004-0000-11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158</v>
      </c>
      <c r="B1" s="79" t="s">
        <v>171</v>
      </c>
    </row>
  </sheetData>
  <hyperlinks>
    <hyperlink ref="B1" location="FR_0700_007!A1" display="FR_0700_007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2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15" sqref="F15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39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49" t="s">
        <v>0</v>
      </c>
      <c r="B1" s="84" t="s">
        <v>44</v>
      </c>
      <c r="D1" s="40"/>
      <c r="M1" s="52" t="s">
        <v>48</v>
      </c>
      <c r="N1" s="41"/>
      <c r="O1" s="51" t="e">
        <f>#REF!</f>
        <v>#REF!</v>
      </c>
    </row>
    <row r="2" spans="1:15" s="10" customFormat="1" ht="15" thickBot="1" x14ac:dyDescent="0.35">
      <c r="A2" s="47" t="s">
        <v>49</v>
      </c>
      <c r="B2" s="83" t="s">
        <v>133</v>
      </c>
      <c r="C2" s="9"/>
      <c r="F2" s="36"/>
    </row>
    <row r="3" spans="1:15" s="10" customFormat="1" ht="15.6" thickTop="1" thickBot="1" x14ac:dyDescent="0.35">
      <c r="A3" s="48" t="s">
        <v>50</v>
      </c>
      <c r="B3" s="50">
        <v>2018</v>
      </c>
      <c r="C3" s="9"/>
      <c r="F3" s="36"/>
    </row>
    <row r="4" spans="1:15" s="10" customFormat="1" ht="15.6" thickTop="1" thickBot="1" x14ac:dyDescent="0.35">
      <c r="A4" s="46" t="s">
        <v>1</v>
      </c>
      <c r="B4" s="82">
        <v>81</v>
      </c>
      <c r="C4" s="9"/>
      <c r="D4" s="40" t="s">
        <v>51</v>
      </c>
      <c r="F4" s="36"/>
    </row>
    <row r="5" spans="1:15" s="34" customFormat="1" ht="15" thickTop="1" x14ac:dyDescent="0.3">
      <c r="A5" s="33"/>
      <c r="B5" s="37"/>
      <c r="C5" s="35"/>
      <c r="F5" s="38"/>
    </row>
    <row r="6" spans="1:15" s="32" customFormat="1" ht="49.5" customHeight="1" x14ac:dyDescent="0.25">
      <c r="A6" s="31" t="s">
        <v>52</v>
      </c>
      <c r="B6" s="43" t="s">
        <v>53</v>
      </c>
      <c r="C6" s="43" t="s">
        <v>54</v>
      </c>
      <c r="D6" s="43" t="s">
        <v>55</v>
      </c>
      <c r="E6" s="43" t="s">
        <v>56</v>
      </c>
      <c r="F6" s="43" t="s">
        <v>57</v>
      </c>
      <c r="G6" s="43" t="s">
        <v>58</v>
      </c>
      <c r="H6" s="45" t="s">
        <v>59</v>
      </c>
      <c r="I6" s="43" t="s">
        <v>17</v>
      </c>
      <c r="J6" s="43" t="s">
        <v>60</v>
      </c>
      <c r="K6" s="43" t="s">
        <v>61</v>
      </c>
      <c r="L6" s="43" t="s">
        <v>62</v>
      </c>
      <c r="M6" s="43" t="s">
        <v>63</v>
      </c>
      <c r="N6" s="44" t="s">
        <v>64</v>
      </c>
      <c r="O6" s="43" t="s">
        <v>65</v>
      </c>
    </row>
    <row r="7" spans="1:15" ht="14.4" x14ac:dyDescent="0.3">
      <c r="A7" s="93"/>
      <c r="B7" s="94" t="str">
        <f>'FR A0700'!B3</f>
        <v>Frame and Body</v>
      </c>
      <c r="C7" s="95" t="str">
        <f>FR_A0700</f>
        <v>FR A0700</v>
      </c>
      <c r="D7" s="95" t="s">
        <v>11</v>
      </c>
      <c r="E7" s="95"/>
      <c r="F7" s="96" t="str">
        <f>'FR A0700'!B4</f>
        <v>Bodywork</v>
      </c>
      <c r="G7" s="95"/>
      <c r="H7" s="97">
        <f t="shared" ref="H7:H15" si="0">SUM(J7:M7)</f>
        <v>110.99188197042584</v>
      </c>
      <c r="I7" s="98">
        <f>FR_A0700_q</f>
        <v>1</v>
      </c>
      <c r="J7" s="99">
        <f>FR_A0700_m</f>
        <v>11.660500169999999</v>
      </c>
      <c r="K7" s="99">
        <f>FR_A0700_p</f>
        <v>24.272462589250004</v>
      </c>
      <c r="L7" s="99">
        <f>FR_A0700_f</f>
        <v>72.392252544509162</v>
      </c>
      <c r="M7" s="99">
        <f>FR_A0700_t</f>
        <v>2.6666666666666665</v>
      </c>
      <c r="N7" s="100">
        <f t="shared" ref="N7:N15" si="1">H7*I7</f>
        <v>110.99188197042584</v>
      </c>
      <c r="O7" s="101"/>
    </row>
    <row r="8" spans="1:15" ht="14.4" x14ac:dyDescent="0.3">
      <c r="A8" s="102"/>
      <c r="B8" s="103" t="str">
        <f>'FR A0700'!B3</f>
        <v>Frame and Body</v>
      </c>
      <c r="C8" s="104" t="str">
        <f>FR_0700_000</f>
        <v>FR_0300_000</v>
      </c>
      <c r="D8" s="105" t="s">
        <v>11</v>
      </c>
      <c r="E8" s="105" t="str">
        <f>$F$7</f>
        <v>Bodywork</v>
      </c>
      <c r="F8" s="106" t="str">
        <f>FR_0700_000!B5</f>
        <v>Nose</v>
      </c>
      <c r="G8" s="105"/>
      <c r="H8" s="107">
        <f t="shared" si="0"/>
        <v>249.95200000000006</v>
      </c>
      <c r="I8" s="108">
        <f>FR_A0700_q*FR_0700_000_q</f>
        <v>1</v>
      </c>
      <c r="J8" s="109">
        <f>FR_0700_000_m</f>
        <v>82.8</v>
      </c>
      <c r="K8" s="109">
        <f>FR_0700_000_p</f>
        <v>167.15200000000004</v>
      </c>
      <c r="L8" s="109">
        <v>0</v>
      </c>
      <c r="M8" s="109">
        <v>0</v>
      </c>
      <c r="N8" s="110">
        <f t="shared" si="1"/>
        <v>249.95200000000006</v>
      </c>
      <c r="O8" s="111"/>
    </row>
    <row r="9" spans="1:15" ht="14.4" x14ac:dyDescent="0.3">
      <c r="A9" s="102"/>
      <c r="B9" s="103" t="str">
        <f>'FR A0700'!$B$3</f>
        <v>Frame and Body</v>
      </c>
      <c r="C9" s="105" t="str">
        <f>FR_0700_001</f>
        <v>FR_0300_001</v>
      </c>
      <c r="D9" s="105" t="s">
        <v>11</v>
      </c>
      <c r="E9" s="105" t="str">
        <f t="shared" ref="E9:E15" si="2">$F$7</f>
        <v>Bodywork</v>
      </c>
      <c r="F9" s="106" t="str">
        <f>FR_0700_001!B5</f>
        <v>Left Inlet</v>
      </c>
      <c r="G9" s="105"/>
      <c r="H9" s="107">
        <f t="shared" si="0"/>
        <v>108.45400000000001</v>
      </c>
      <c r="I9" s="112">
        <f>FR_A0700_q*FR_0700_001_q</f>
        <v>1</v>
      </c>
      <c r="J9" s="109">
        <f>FR_0700_001_m</f>
        <v>28.200000000000003</v>
      </c>
      <c r="K9" s="109">
        <f>FR_0700_001_p</f>
        <v>80.254000000000005</v>
      </c>
      <c r="L9" s="109">
        <v>0</v>
      </c>
      <c r="M9" s="109">
        <v>0</v>
      </c>
      <c r="N9" s="110">
        <f t="shared" si="1"/>
        <v>108.45400000000001</v>
      </c>
      <c r="O9" s="111"/>
    </row>
    <row r="10" spans="1:15" ht="14.4" x14ac:dyDescent="0.3">
      <c r="A10" s="102"/>
      <c r="B10" s="103" t="str">
        <f>'FR A0700'!$B$3</f>
        <v>Frame and Body</v>
      </c>
      <c r="C10" s="105" t="str">
        <f>FR_0700_002</f>
        <v>FR_0300_002</v>
      </c>
      <c r="D10" s="105" t="s">
        <v>11</v>
      </c>
      <c r="E10" s="105" t="str">
        <f t="shared" si="2"/>
        <v>Bodywork</v>
      </c>
      <c r="F10" s="154" t="str">
        <f>FR_0700_002!B5</f>
        <v>Right Inlet</v>
      </c>
      <c r="G10" s="105"/>
      <c r="H10" s="107">
        <f t="shared" si="0"/>
        <v>108.45400000000001</v>
      </c>
      <c r="I10" s="108">
        <f>FR_A0700_q*FR_0700_002_q</f>
        <v>1</v>
      </c>
      <c r="J10" s="109">
        <f>FR_0700_002_m</f>
        <v>28.200000000000003</v>
      </c>
      <c r="K10" s="109">
        <f>FR_0700_002_p</f>
        <v>80.254000000000005</v>
      </c>
      <c r="L10" s="109">
        <v>0</v>
      </c>
      <c r="M10" s="109">
        <v>0</v>
      </c>
      <c r="N10" s="110">
        <f t="shared" si="1"/>
        <v>108.45400000000001</v>
      </c>
      <c r="O10" s="111"/>
    </row>
    <row r="11" spans="1:15" ht="14.4" x14ac:dyDescent="0.3">
      <c r="A11" s="102"/>
      <c r="B11" s="103" t="str">
        <f>'FR A0700'!$B$3</f>
        <v>Frame and Body</v>
      </c>
      <c r="C11" s="105" t="str">
        <f>FR_0700_003</f>
        <v>FR_0300_003</v>
      </c>
      <c r="D11" s="105" t="s">
        <v>11</v>
      </c>
      <c r="E11" s="105" t="str">
        <f t="shared" si="2"/>
        <v>Bodywork</v>
      </c>
      <c r="F11" s="106" t="str">
        <f>FR_0700_003!B5</f>
        <v>Front Side plate</v>
      </c>
      <c r="G11" s="105"/>
      <c r="H11" s="107">
        <f t="shared" si="0"/>
        <v>81.564000000000007</v>
      </c>
      <c r="I11" s="108">
        <f>FR_A0700_q*FR_0700_003_q</f>
        <v>2</v>
      </c>
      <c r="J11" s="109">
        <f>FR_0700_003_m</f>
        <v>12.960000000000004</v>
      </c>
      <c r="K11" s="109">
        <f>FR_0700_003_p</f>
        <v>68.603999999999999</v>
      </c>
      <c r="L11" s="109">
        <v>0</v>
      </c>
      <c r="M11" s="109">
        <v>0</v>
      </c>
      <c r="N11" s="110">
        <f t="shared" si="1"/>
        <v>163.12800000000001</v>
      </c>
      <c r="O11" s="111"/>
    </row>
    <row r="12" spans="1:15" ht="14.4" x14ac:dyDescent="0.3">
      <c r="A12" s="102"/>
      <c r="B12" s="103" t="str">
        <f>'FR A0700'!$B$3</f>
        <v>Frame and Body</v>
      </c>
      <c r="C12" s="105" t="str">
        <f>FR_0700_004</f>
        <v>FR_0300_004</v>
      </c>
      <c r="D12" s="105" t="s">
        <v>11</v>
      </c>
      <c r="E12" s="105" t="str">
        <f t="shared" si="2"/>
        <v>Bodywork</v>
      </c>
      <c r="F12" s="106" t="str">
        <f>FR_0700_004!B5</f>
        <v>Back Side Plate</v>
      </c>
      <c r="G12" s="105"/>
      <c r="H12" s="107">
        <f t="shared" si="0"/>
        <v>130.70400000000001</v>
      </c>
      <c r="I12" s="108">
        <f>FR_A0700_q*FR_0700_004_q</f>
        <v>2</v>
      </c>
      <c r="J12" s="109">
        <f>FR_0700_004_m</f>
        <v>27.000000000000004</v>
      </c>
      <c r="K12" s="109">
        <f>FR_0700_004_p</f>
        <v>103.70399999999999</v>
      </c>
      <c r="L12" s="109">
        <v>0</v>
      </c>
      <c r="M12" s="109">
        <v>0</v>
      </c>
      <c r="N12" s="110">
        <f t="shared" si="1"/>
        <v>261.40800000000002</v>
      </c>
      <c r="O12" s="111"/>
    </row>
    <row r="13" spans="1:15" ht="14.4" x14ac:dyDescent="0.3">
      <c r="A13" s="102"/>
      <c r="B13" s="103" t="str">
        <f>'FR A0700'!$B$3</f>
        <v>Frame and Body</v>
      </c>
      <c r="C13" s="105" t="str">
        <f>FR_0700_005</f>
        <v>FR_0300_005</v>
      </c>
      <c r="D13" s="105" t="s">
        <v>11</v>
      </c>
      <c r="E13" s="105" t="str">
        <f t="shared" si="2"/>
        <v>Bodywork</v>
      </c>
      <c r="F13" s="106" t="str">
        <f>FR_0700_005!B5</f>
        <v>Back Inlet Bracket</v>
      </c>
      <c r="G13" s="105"/>
      <c r="H13" s="107">
        <f t="shared" si="0"/>
        <v>1.0759419618832944</v>
      </c>
      <c r="I13" s="108">
        <f>FR_A0700_q*FR_0700_005_q</f>
        <v>2</v>
      </c>
      <c r="J13" s="109">
        <f>FR_0700_005_m</f>
        <v>1.6141961883294399E-2</v>
      </c>
      <c r="K13" s="109">
        <f>FR_0700_005_p</f>
        <v>1.0598000000000001</v>
      </c>
      <c r="L13" s="109">
        <v>0</v>
      </c>
      <c r="M13" s="109">
        <v>0</v>
      </c>
      <c r="N13" s="110">
        <f t="shared" si="1"/>
        <v>2.1518839237665888</v>
      </c>
      <c r="O13" s="111"/>
    </row>
    <row r="14" spans="1:15" ht="14.4" x14ac:dyDescent="0.3">
      <c r="A14" s="102"/>
      <c r="B14" s="103" t="str">
        <f>'FR A0700'!$B$3</f>
        <v>Frame and Body</v>
      </c>
      <c r="C14" s="105" t="str">
        <f>FR_0700_006</f>
        <v>FR_0300_006</v>
      </c>
      <c r="D14" s="105" t="s">
        <v>11</v>
      </c>
      <c r="E14" s="105" t="str">
        <f t="shared" si="2"/>
        <v>Bodywork</v>
      </c>
      <c r="F14" s="106" t="str">
        <f>FR_0700_006!B5</f>
        <v>Front Inlet Bracket</v>
      </c>
      <c r="G14" s="105"/>
      <c r="H14" s="107">
        <f t="shared" si="0"/>
        <v>1.0788162660645444</v>
      </c>
      <c r="I14" s="108">
        <f>FR_A0700_q*FR_0700_006_q</f>
        <v>2</v>
      </c>
      <c r="J14" s="109">
        <f>FR_0700_006_m</f>
        <v>2.2616266064544401E-2</v>
      </c>
      <c r="K14" s="109">
        <f>FR_0700_006_p</f>
        <v>1.0562</v>
      </c>
      <c r="L14" s="109">
        <v>0</v>
      </c>
      <c r="M14" s="109">
        <v>0</v>
      </c>
      <c r="N14" s="110">
        <f t="shared" si="1"/>
        <v>2.1576325321290888</v>
      </c>
      <c r="O14" s="111"/>
    </row>
    <row r="15" spans="1:15" ht="14.4" x14ac:dyDescent="0.3">
      <c r="A15" s="102"/>
      <c r="B15" s="103" t="str">
        <f>'FR A0700'!$B$3</f>
        <v>Frame and Body</v>
      </c>
      <c r="C15" s="105" t="str">
        <f>FR_0700_007</f>
        <v>FR_0300_007</v>
      </c>
      <c r="D15" s="105" t="s">
        <v>11</v>
      </c>
      <c r="E15" s="105" t="str">
        <f t="shared" si="2"/>
        <v>Bodywork</v>
      </c>
      <c r="F15" s="106" t="str">
        <f>FR_0700_007!B5</f>
        <v>Nose Bracket</v>
      </c>
      <c r="G15" s="113"/>
      <c r="H15" s="107">
        <f t="shared" si="0"/>
        <v>0.73773216315204448</v>
      </c>
      <c r="I15" s="108">
        <f>FR_A0700_q*FR_0700_007_q</f>
        <v>4</v>
      </c>
      <c r="J15" s="109">
        <f>FR_0700_007_m</f>
        <v>1.6732163152044403E-2</v>
      </c>
      <c r="K15" s="109">
        <f>FR_0700_007_p</f>
        <v>0.72100000000000009</v>
      </c>
      <c r="L15" s="109">
        <v>0</v>
      </c>
      <c r="M15" s="109">
        <v>0</v>
      </c>
      <c r="N15" s="110">
        <f t="shared" si="1"/>
        <v>2.9509286526081779</v>
      </c>
      <c r="O15" s="111"/>
    </row>
    <row r="16" spans="1:15" s="7" customFormat="1" ht="14.4" thickBot="1" x14ac:dyDescent="0.3">
      <c r="A16" s="147"/>
      <c r="B16" s="148" t="str">
        <f>'FR A0700'!B3</f>
        <v>Frame and Body</v>
      </c>
      <c r="C16" s="149"/>
      <c r="D16" s="149"/>
      <c r="E16" s="149"/>
      <c r="F16" s="148" t="s">
        <v>66</v>
      </c>
      <c r="G16" s="149"/>
      <c r="H16" s="150"/>
      <c r="I16" s="151"/>
      <c r="J16" s="152">
        <f>SUMPRODUCT($I7:$I15,J7:J15)</f>
        <v>230.92494527850386</v>
      </c>
      <c r="K16" s="152">
        <f>SUMPRODUCT($I7:$I15,K7:K15)</f>
        <v>703.66446258925009</v>
      </c>
      <c r="L16" s="152">
        <f>SUMPRODUCT($I7:$I15,L7:L15)</f>
        <v>72.392252544509162</v>
      </c>
      <c r="M16" s="152">
        <f>SUMPRODUCT($I7:$I15,M7:M15)</f>
        <v>2.6666666666666665</v>
      </c>
      <c r="N16" s="152">
        <f>SUM(N7:N15)</f>
        <v>1009.6483270789298</v>
      </c>
      <c r="O16" s="153"/>
    </row>
    <row r="17" spans="1:14" ht="13.8" thickTop="1" x14ac:dyDescent="0.25">
      <c r="A17" s="6"/>
      <c r="B17" s="39"/>
      <c r="C17" s="8"/>
      <c r="D17" s="8"/>
      <c r="E17" s="8"/>
      <c r="F17" s="8"/>
      <c r="G17" s="8"/>
      <c r="H17" s="3"/>
      <c r="I17" s="8"/>
      <c r="J17" s="8"/>
      <c r="K17" s="8"/>
      <c r="L17" s="8"/>
      <c r="M17" s="8"/>
      <c r="N17" s="8"/>
    </row>
    <row r="18" spans="1:14" x14ac:dyDescent="0.25">
      <c r="A18" s="6"/>
      <c r="B18" s="39"/>
      <c r="C18" s="8"/>
      <c r="D18" s="8"/>
      <c r="E18" s="8"/>
      <c r="F18" s="8"/>
      <c r="G18" s="8"/>
      <c r="H18" s="3"/>
      <c r="I18" s="8"/>
      <c r="J18" s="8"/>
      <c r="K18" s="8"/>
      <c r="L18" s="8"/>
      <c r="M18" s="8"/>
      <c r="N18" s="8"/>
    </row>
    <row r="19" spans="1:14" x14ac:dyDescent="0.25">
      <c r="A19" s="6"/>
      <c r="B19" s="6"/>
      <c r="D19" s="8"/>
      <c r="E19" s="8"/>
      <c r="G19" s="8"/>
      <c r="H19" s="8"/>
      <c r="I19" s="3"/>
      <c r="J19" s="3"/>
      <c r="K19" s="3"/>
      <c r="L19" s="3"/>
      <c r="M19" s="3"/>
      <c r="N19" s="8"/>
    </row>
    <row r="20" spans="1:14" x14ac:dyDescent="0.25">
      <c r="A20" s="6"/>
      <c r="B20" s="6"/>
      <c r="D20" s="8"/>
      <c r="E20" s="8"/>
      <c r="G20" s="8"/>
      <c r="H20" s="8"/>
      <c r="I20" s="3"/>
      <c r="J20" s="3"/>
      <c r="K20" s="3"/>
      <c r="L20" s="3"/>
      <c r="M20" s="3"/>
      <c r="N20" s="42"/>
    </row>
    <row r="21" spans="1:14" x14ac:dyDescent="0.25">
      <c r="A21" s="6"/>
      <c r="B21" s="6"/>
      <c r="D21" s="8"/>
      <c r="E21" s="8"/>
      <c r="G21" s="8"/>
      <c r="H21" s="8"/>
      <c r="I21" s="3"/>
      <c r="J21" s="3"/>
      <c r="K21" s="3"/>
      <c r="L21" s="3"/>
      <c r="M21" s="3"/>
      <c r="N21" s="8"/>
    </row>
    <row r="22" spans="1:14" x14ac:dyDescent="0.25">
      <c r="A22" s="6"/>
      <c r="B22" s="6"/>
      <c r="D22" s="8"/>
      <c r="E22" s="8"/>
      <c r="G22" s="8"/>
      <c r="H22" s="8"/>
      <c r="I22" s="3"/>
      <c r="J22" s="3"/>
      <c r="K22" s="3"/>
      <c r="L22" s="3"/>
      <c r="M22" s="3"/>
      <c r="N22" s="42"/>
    </row>
    <row r="23" spans="1:14" x14ac:dyDescent="0.25">
      <c r="A23" s="6"/>
      <c r="B23" s="6"/>
      <c r="D23" s="8"/>
      <c r="E23" s="8"/>
      <c r="G23" s="8"/>
      <c r="H23" s="8"/>
      <c r="I23" s="3"/>
      <c r="J23" s="3"/>
      <c r="K23" s="3"/>
      <c r="L23" s="3"/>
      <c r="M23" s="3"/>
      <c r="N23" s="8"/>
    </row>
    <row r="24" spans="1:14" x14ac:dyDescent="0.25">
      <c r="A24" s="6"/>
      <c r="B24" s="6"/>
      <c r="D24" s="8"/>
      <c r="E24" s="8"/>
      <c r="G24" s="8"/>
      <c r="H24" s="8"/>
      <c r="I24" s="3"/>
      <c r="J24" s="3"/>
      <c r="K24" s="3"/>
      <c r="L24" s="3"/>
      <c r="M24" s="3"/>
      <c r="N24" s="8"/>
    </row>
    <row r="25" spans="1:14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4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8"/>
    </row>
    <row r="27" spans="1:14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4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8"/>
    </row>
    <row r="29" spans="1:14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4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4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4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s="4" customFormat="1" x14ac:dyDescent="0.25">
      <c r="A47" s="2"/>
      <c r="B47" s="6"/>
      <c r="F47" s="39"/>
      <c r="I47" s="1"/>
      <c r="J47" s="1"/>
      <c r="K47" s="1"/>
      <c r="L47" s="1"/>
      <c r="M47" s="1"/>
    </row>
    <row r="48" spans="1:14" s="4" customFormat="1" x14ac:dyDescent="0.25">
      <c r="A48" s="2"/>
      <c r="B48" s="6"/>
      <c r="F48" s="39"/>
      <c r="I48" s="1"/>
      <c r="J48" s="1"/>
      <c r="K48" s="1"/>
      <c r="L48" s="1"/>
      <c r="M48" s="1"/>
    </row>
    <row r="49" spans="1:14" s="4" customFormat="1" x14ac:dyDescent="0.25">
      <c r="A49" s="2"/>
      <c r="B49" s="6"/>
      <c r="F49" s="39"/>
      <c r="I49" s="1"/>
      <c r="J49" s="1"/>
      <c r="K49" s="1"/>
      <c r="L49" s="1"/>
      <c r="M49" s="1"/>
    </row>
    <row r="50" spans="1:14" s="4" customFormat="1" x14ac:dyDescent="0.25">
      <c r="A50" s="2"/>
      <c r="B50" s="6"/>
      <c r="F50" s="39"/>
      <c r="I50" s="1"/>
      <c r="J50" s="1"/>
      <c r="K50" s="1"/>
      <c r="L50" s="1"/>
      <c r="M50" s="1"/>
    </row>
    <row r="51" spans="1:14" s="4" customFormat="1" x14ac:dyDescent="0.25">
      <c r="A51" s="2"/>
      <c r="B51" s="6"/>
      <c r="F51" s="39"/>
      <c r="I51" s="1"/>
      <c r="J51" s="1"/>
      <c r="K51" s="1"/>
      <c r="L51" s="1"/>
      <c r="M51" s="1"/>
    </row>
    <row r="52" spans="1:14" s="4" customFormat="1" x14ac:dyDescent="0.25">
      <c r="A52" s="2"/>
      <c r="B52" s="6"/>
      <c r="F52" s="39"/>
      <c r="I52" s="1"/>
      <c r="J52" s="1"/>
      <c r="K52" s="1"/>
      <c r="L52" s="1"/>
      <c r="M52" s="1"/>
    </row>
    <row r="53" spans="1:14" s="4" customFormat="1" x14ac:dyDescent="0.25">
      <c r="A53" s="2"/>
      <c r="B53" s="6"/>
      <c r="F53" s="39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39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39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39"/>
      <c r="I56" s="1"/>
      <c r="J56" s="1"/>
      <c r="K56" s="1"/>
      <c r="L56" s="1"/>
      <c r="M56" s="1"/>
    </row>
    <row r="57" spans="1:14" s="5" customFormat="1" x14ac:dyDescent="0.25">
      <c r="A57" s="2"/>
      <c r="B57" s="6"/>
      <c r="C57" s="4"/>
      <c r="D57" s="4"/>
      <c r="E57" s="4"/>
      <c r="F57" s="39"/>
      <c r="G57" s="4"/>
      <c r="H57" s="4"/>
      <c r="I57" s="1"/>
      <c r="J57" s="1"/>
      <c r="K57" s="1"/>
      <c r="L57" s="1"/>
      <c r="M57" s="1"/>
      <c r="N57" s="4"/>
    </row>
    <row r="58" spans="1:14" s="5" customFormat="1" x14ac:dyDescent="0.25">
      <c r="A58" s="2"/>
      <c r="B58" s="6"/>
      <c r="C58" s="4"/>
      <c r="D58" s="4"/>
      <c r="E58" s="4"/>
      <c r="F58" s="39"/>
      <c r="G58" s="4"/>
      <c r="H58" s="4"/>
      <c r="I58" s="1"/>
      <c r="J58" s="1"/>
      <c r="K58" s="1"/>
      <c r="L58" s="1"/>
      <c r="M58" s="1"/>
      <c r="N58" s="4"/>
    </row>
    <row r="59" spans="1:14" s="5" customFormat="1" x14ac:dyDescent="0.25">
      <c r="A59" s="2"/>
      <c r="B59" s="6"/>
      <c r="C59" s="4"/>
      <c r="D59" s="4"/>
      <c r="E59" s="4"/>
      <c r="F59" s="39"/>
      <c r="G59" s="4"/>
      <c r="H59" s="4"/>
      <c r="I59" s="1"/>
      <c r="J59" s="1"/>
      <c r="K59" s="1"/>
      <c r="L59" s="1"/>
      <c r="M59" s="1"/>
      <c r="N59" s="4"/>
    </row>
    <row r="60" spans="1:14" s="5" customFormat="1" x14ac:dyDescent="0.25">
      <c r="A60" s="2"/>
      <c r="B60" s="6"/>
      <c r="C60" s="4"/>
      <c r="D60" s="4"/>
      <c r="E60" s="4"/>
      <c r="F60" s="39"/>
      <c r="G60" s="4"/>
      <c r="H60" s="4"/>
      <c r="I60" s="1"/>
      <c r="J60" s="1"/>
      <c r="K60" s="1"/>
      <c r="L60" s="1"/>
      <c r="M60" s="1"/>
      <c r="N60" s="4"/>
    </row>
    <row r="61" spans="1:14" s="5" customFormat="1" x14ac:dyDescent="0.25">
      <c r="A61" s="2"/>
      <c r="B61" s="6"/>
      <c r="C61" s="4"/>
      <c r="D61" s="4"/>
      <c r="E61" s="4"/>
      <c r="F61" s="39"/>
      <c r="G61" s="4"/>
      <c r="H61" s="4"/>
      <c r="I61" s="1"/>
      <c r="J61" s="1"/>
      <c r="K61" s="1"/>
      <c r="L61" s="1"/>
      <c r="M61" s="1"/>
      <c r="N61" s="4"/>
    </row>
    <row r="62" spans="1:14" s="5" customFormat="1" x14ac:dyDescent="0.25">
      <c r="A62" s="2"/>
      <c r="B62" s="6"/>
      <c r="C62" s="4"/>
      <c r="D62" s="4"/>
      <c r="E62" s="4"/>
      <c r="F62" s="39"/>
      <c r="G62" s="4"/>
      <c r="H62" s="4"/>
      <c r="I62" s="1"/>
      <c r="J62" s="1"/>
      <c r="K62" s="1"/>
      <c r="L62" s="1"/>
      <c r="M62" s="1"/>
      <c r="N62" s="4"/>
    </row>
    <row r="63" spans="1:14" s="5" customFormat="1" x14ac:dyDescent="0.25">
      <c r="A63" s="2"/>
      <c r="B63" s="6"/>
      <c r="C63" s="4"/>
      <c r="D63" s="4"/>
      <c r="E63" s="4"/>
      <c r="F63" s="39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39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39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39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39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39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39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39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39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39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39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39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39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39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39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39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39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39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39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39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39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39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39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39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39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39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39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39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39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39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39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39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39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39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39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39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39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39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39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39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39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39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39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39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39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39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39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39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39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39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39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39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39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39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39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39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39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39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39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39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39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39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39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39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39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39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39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39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39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39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39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39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39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39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39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39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39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39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39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39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39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39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39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39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39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39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39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39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39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39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39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39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39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39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39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39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39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39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39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39"/>
      <c r="G162" s="4"/>
      <c r="H162" s="4"/>
      <c r="I162" s="1"/>
      <c r="J162" s="1"/>
      <c r="K162" s="1"/>
      <c r="L162" s="1"/>
      <c r="M162" s="1"/>
      <c r="N162" s="4"/>
    </row>
  </sheetData>
  <hyperlinks>
    <hyperlink ref="F7" location="'FR A0700'!A1" display="'FR A0700'!A1" xr:uid="{00000000-0004-0000-0100-000000000000}"/>
    <hyperlink ref="F8" location="FR_0700_000!A1" display="FR_0700_000!A1" xr:uid="{00000000-0004-0000-0100-000001000000}"/>
    <hyperlink ref="F9" location="FR_0700_001!A1" display="FR_0700_001!A1" xr:uid="{00000000-0004-0000-0100-000002000000}"/>
    <hyperlink ref="F10" location="FR_0700_002!A1" display="FR_0700_002!A1" xr:uid="{00000000-0004-0000-0100-000003000000}"/>
    <hyperlink ref="F11" location="FR_0700_003!A1" display="FR_0700_003!A1" xr:uid="{00000000-0004-0000-0100-000004000000}"/>
    <hyperlink ref="F12" location="FR_0700_004!A1" display="FR_0700_004!A1" xr:uid="{00000000-0004-0000-0100-000005000000}"/>
    <hyperlink ref="F13" location="FR_0700_005!A1" display="FR_0700_005!A1" xr:uid="{00000000-0004-0000-0100-000006000000}"/>
    <hyperlink ref="F14" location="FR_0700_006!A1" display="FR_0700_006!A1" xr:uid="{00000000-0004-0000-0100-000007000000}"/>
    <hyperlink ref="F15" location="FR_0700_007!A1" display="FR_0700_007!A1" xr:uid="{00000000-0004-0000-0100-000008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  <pageSetUpPr fitToPage="1"/>
  </sheetPr>
  <dimension ref="A1:O58"/>
  <sheetViews>
    <sheetView zoomScale="75" zoomScaleNormal="75" zoomScaleSheetLayoutView="80" workbookViewId="0">
      <selection activeCell="B11" sqref="B11"/>
    </sheetView>
  </sheetViews>
  <sheetFormatPr baseColWidth="10" defaultColWidth="9.109375" defaultRowHeight="14.4" x14ac:dyDescent="0.3"/>
  <cols>
    <col min="1" max="1" width="11.44140625"/>
    <col min="2" max="2" width="37.88671875" customWidth="1"/>
    <col min="3" max="3" width="65.66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87" t="s">
        <v>0</v>
      </c>
      <c r="B2" s="11" t="s">
        <v>44</v>
      </c>
      <c r="C2" s="53"/>
      <c r="D2" s="53"/>
      <c r="E2" s="53" t="s">
        <v>134</v>
      </c>
      <c r="F2" s="53"/>
      <c r="G2" s="53"/>
      <c r="H2" s="53"/>
      <c r="I2" s="53"/>
      <c r="J2" s="87" t="s">
        <v>1</v>
      </c>
      <c r="K2" s="73">
        <v>81</v>
      </c>
      <c r="L2" s="53"/>
      <c r="M2" s="87" t="s">
        <v>2</v>
      </c>
      <c r="N2" s="85">
        <f>FR_A0700_pa+FR_A0700_m+FR_A0700_p+FR_A0700_f+FR_A0700_t</f>
        <v>1009.6483270789297</v>
      </c>
      <c r="O2" s="59"/>
    </row>
    <row r="3" spans="1:15" x14ac:dyDescent="0.3">
      <c r="A3" s="87" t="s">
        <v>3</v>
      </c>
      <c r="B3" s="11" t="s">
        <v>137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87" t="s">
        <v>4</v>
      </c>
      <c r="N3" s="72">
        <v>1</v>
      </c>
      <c r="O3" s="59"/>
    </row>
    <row r="4" spans="1:15" x14ac:dyDescent="0.3">
      <c r="A4" s="87" t="s">
        <v>5</v>
      </c>
      <c r="B4" s="54" t="s">
        <v>164</v>
      </c>
      <c r="C4" s="53"/>
      <c r="D4" s="53"/>
      <c r="E4" s="53"/>
      <c r="F4" s="53"/>
      <c r="G4" s="53"/>
      <c r="H4" s="53"/>
      <c r="I4" s="53"/>
      <c r="J4" s="90" t="s">
        <v>6</v>
      </c>
      <c r="K4" s="53"/>
      <c r="L4" s="53"/>
      <c r="M4" s="53"/>
      <c r="N4" s="53"/>
      <c r="O4" s="59"/>
    </row>
    <row r="5" spans="1:15" x14ac:dyDescent="0.3">
      <c r="A5" s="87" t="s">
        <v>7</v>
      </c>
      <c r="B5" s="13" t="s">
        <v>163</v>
      </c>
      <c r="C5" s="53"/>
      <c r="D5" s="53"/>
      <c r="E5" s="53"/>
      <c r="F5" s="53"/>
      <c r="G5" s="53"/>
      <c r="H5" s="53"/>
      <c r="I5" s="53"/>
      <c r="J5" s="90" t="s">
        <v>8</v>
      </c>
      <c r="K5" s="53"/>
      <c r="L5" s="53"/>
      <c r="M5" s="87" t="s">
        <v>9</v>
      </c>
      <c r="N5" s="71">
        <f>N2*N3</f>
        <v>1009.6483270789297</v>
      </c>
      <c r="O5" s="59"/>
    </row>
    <row r="6" spans="1:15" x14ac:dyDescent="0.3">
      <c r="A6" s="87" t="s">
        <v>10</v>
      </c>
      <c r="B6" s="11" t="s">
        <v>11</v>
      </c>
      <c r="C6" s="53"/>
      <c r="D6" s="53"/>
      <c r="E6" s="53"/>
      <c r="F6" s="53"/>
      <c r="G6" s="53"/>
      <c r="H6" s="53"/>
      <c r="I6" s="53"/>
      <c r="J6" s="90" t="s">
        <v>12</v>
      </c>
      <c r="K6" s="53"/>
      <c r="L6" s="53"/>
      <c r="M6" s="53"/>
      <c r="N6" s="53"/>
      <c r="O6" s="59"/>
    </row>
    <row r="7" spans="1:15" x14ac:dyDescent="0.3">
      <c r="A7" s="87" t="s">
        <v>13</v>
      </c>
      <c r="B7" s="11" t="s">
        <v>165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6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126" t="s">
        <v>14</v>
      </c>
      <c r="B9" s="126" t="s">
        <v>15</v>
      </c>
      <c r="C9" s="87" t="s">
        <v>16</v>
      </c>
      <c r="D9" s="87" t="s">
        <v>17</v>
      </c>
      <c r="E9" s="87" t="s">
        <v>18</v>
      </c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46">
        <v>10</v>
      </c>
      <c r="B10" s="164" t="s">
        <v>166</v>
      </c>
      <c r="C10" s="165">
        <f>FR_0700_000!N2</f>
        <v>249.95200000000006</v>
      </c>
      <c r="D10" s="145">
        <f>FR_0700_000_q</f>
        <v>1</v>
      </c>
      <c r="E10" s="71">
        <f>C10*D10</f>
        <v>249.95200000000006</v>
      </c>
      <c r="F10" s="53"/>
      <c r="G10" s="53"/>
      <c r="H10" s="53"/>
      <c r="I10" s="53"/>
      <c r="J10" s="53"/>
      <c r="K10" s="53"/>
      <c r="L10" s="53"/>
      <c r="M10" s="53"/>
      <c r="N10" s="53"/>
      <c r="O10" s="59"/>
    </row>
    <row r="11" spans="1:15" x14ac:dyDescent="0.3">
      <c r="A11" s="158">
        <v>20</v>
      </c>
      <c r="B11" s="169" t="s">
        <v>169</v>
      </c>
      <c r="C11" s="159">
        <f>FR_0700_001!N2</f>
        <v>108.45400000000001</v>
      </c>
      <c r="D11" s="125">
        <f>FR_0700_001_q</f>
        <v>1</v>
      </c>
      <c r="E11" s="71">
        <f t="shared" ref="E11:E17" si="0">C11*D11</f>
        <v>108.45400000000001</v>
      </c>
      <c r="F11" s="54"/>
      <c r="G11" s="54"/>
      <c r="H11" s="54"/>
      <c r="I11" s="54"/>
      <c r="J11" s="54"/>
      <c r="K11" s="54"/>
      <c r="L11" s="54"/>
      <c r="M11" s="54"/>
      <c r="N11" s="54"/>
      <c r="O11" s="59"/>
    </row>
    <row r="12" spans="1:15" x14ac:dyDescent="0.3">
      <c r="A12" s="158">
        <v>30</v>
      </c>
      <c r="B12" s="169" t="s">
        <v>168</v>
      </c>
      <c r="C12" s="159">
        <f>FR_0700_002!N2</f>
        <v>108.45400000000001</v>
      </c>
      <c r="D12" s="125">
        <f>FR_0700_002_q</f>
        <v>1</v>
      </c>
      <c r="E12" s="71">
        <f t="shared" si="0"/>
        <v>108.45400000000001</v>
      </c>
      <c r="F12" s="54"/>
      <c r="G12" s="54"/>
      <c r="H12" s="54"/>
      <c r="I12" s="54"/>
      <c r="J12" s="54"/>
      <c r="K12" s="54"/>
      <c r="L12" s="54"/>
      <c r="M12" s="54"/>
      <c r="N12" s="54"/>
      <c r="O12" s="62"/>
    </row>
    <row r="13" spans="1:15" x14ac:dyDescent="0.3">
      <c r="A13" s="166">
        <v>40</v>
      </c>
      <c r="B13" s="167" t="s">
        <v>184</v>
      </c>
      <c r="C13" s="168">
        <f>FR_0700_003!N2</f>
        <v>81.564000000000007</v>
      </c>
      <c r="D13" s="70">
        <f>FR_0700_003_q</f>
        <v>2</v>
      </c>
      <c r="E13" s="71">
        <f t="shared" si="0"/>
        <v>163.12800000000001</v>
      </c>
      <c r="F13" s="54"/>
      <c r="G13" s="54"/>
      <c r="H13" s="54"/>
      <c r="I13" s="54"/>
      <c r="J13" s="54"/>
      <c r="K13" s="54"/>
      <c r="L13" s="54"/>
      <c r="M13" s="54"/>
      <c r="N13" s="54"/>
      <c r="O13" s="62"/>
    </row>
    <row r="14" spans="1:15" x14ac:dyDescent="0.3">
      <c r="A14" s="14">
        <v>50</v>
      </c>
      <c r="B14" s="143" t="s">
        <v>185</v>
      </c>
      <c r="C14" s="124">
        <f>FR_0700_004!N2</f>
        <v>130.70400000000001</v>
      </c>
      <c r="D14" s="70">
        <f>FR_0700_004_q</f>
        <v>2</v>
      </c>
      <c r="E14" s="71">
        <f t="shared" si="0"/>
        <v>261.40800000000002</v>
      </c>
      <c r="F14" s="54"/>
      <c r="G14" s="54"/>
      <c r="H14" s="54"/>
      <c r="I14" s="54"/>
      <c r="J14" s="54"/>
      <c r="K14" s="54"/>
      <c r="L14" s="54"/>
      <c r="M14" s="54"/>
      <c r="N14" s="54"/>
      <c r="O14" s="62"/>
    </row>
    <row r="15" spans="1:15" x14ac:dyDescent="0.3">
      <c r="A15" s="14">
        <v>60</v>
      </c>
      <c r="B15" s="143" t="s">
        <v>167</v>
      </c>
      <c r="C15" s="124">
        <f>FR_0700_005!N2</f>
        <v>1.0759419618832944</v>
      </c>
      <c r="D15" s="70">
        <f>FR_0700_005_q</f>
        <v>2</v>
      </c>
      <c r="E15" s="71">
        <f t="shared" si="0"/>
        <v>2.1518839237665888</v>
      </c>
      <c r="F15" s="54"/>
      <c r="G15" s="54"/>
      <c r="H15" s="54"/>
      <c r="I15" s="54"/>
      <c r="J15" s="54"/>
      <c r="K15" s="54"/>
      <c r="L15" s="54"/>
      <c r="M15" s="54"/>
      <c r="N15" s="54"/>
      <c r="O15" s="62"/>
    </row>
    <row r="16" spans="1:15" x14ac:dyDescent="0.3">
      <c r="A16" s="14">
        <v>70</v>
      </c>
      <c r="B16" s="143" t="s">
        <v>170</v>
      </c>
      <c r="C16" s="124">
        <f>FR_0700_006!N2</f>
        <v>1.0788162660645444</v>
      </c>
      <c r="D16" s="70">
        <f>FR_0700_006_q</f>
        <v>2</v>
      </c>
      <c r="E16" s="71">
        <f t="shared" si="0"/>
        <v>2.1576325321290888</v>
      </c>
      <c r="F16" s="54"/>
      <c r="G16" s="54"/>
      <c r="H16" s="54"/>
      <c r="I16" s="54"/>
      <c r="J16" s="54"/>
      <c r="K16" s="54"/>
      <c r="L16" s="54"/>
      <c r="M16" s="54"/>
      <c r="N16" s="54"/>
      <c r="O16" s="62"/>
    </row>
    <row r="17" spans="1:15" x14ac:dyDescent="0.3">
      <c r="A17" s="14">
        <v>80</v>
      </c>
      <c r="B17" s="143" t="s">
        <v>187</v>
      </c>
      <c r="C17" s="124">
        <f>FR_0700_007!N2</f>
        <v>0.73773216315204448</v>
      </c>
      <c r="D17" s="70">
        <f>FR_0700_007_q</f>
        <v>4</v>
      </c>
      <c r="E17" s="71">
        <f t="shared" si="0"/>
        <v>2.9509286526081779</v>
      </c>
      <c r="F17" s="54"/>
      <c r="G17" s="54"/>
      <c r="H17" s="54"/>
      <c r="I17" s="54"/>
      <c r="J17" s="54"/>
      <c r="K17" s="54"/>
      <c r="L17" s="54"/>
      <c r="M17" s="54"/>
      <c r="N17" s="54"/>
      <c r="O17" s="62"/>
    </row>
    <row r="18" spans="1:15" ht="15" thickBot="1" x14ac:dyDescent="0.35">
      <c r="A18" s="60"/>
      <c r="B18" s="127"/>
      <c r="C18" s="53"/>
      <c r="D18" s="88" t="s">
        <v>18</v>
      </c>
      <c r="E18" s="89">
        <f>SUM(E10:E17)</f>
        <v>898.65644510850393</v>
      </c>
      <c r="F18" s="54"/>
      <c r="G18" s="54"/>
      <c r="H18" s="54"/>
      <c r="I18" s="54"/>
      <c r="J18" s="54"/>
      <c r="K18" s="54"/>
      <c r="L18" s="54"/>
      <c r="M18" s="54"/>
      <c r="N18" s="54"/>
      <c r="O18" s="59"/>
    </row>
    <row r="19" spans="1:15" x14ac:dyDescent="0.3">
      <c r="A19" s="60"/>
      <c r="B19" s="129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9"/>
    </row>
    <row r="20" spans="1:15" x14ac:dyDescent="0.3">
      <c r="A20" s="130" t="s">
        <v>14</v>
      </c>
      <c r="B20" s="130" t="s">
        <v>19</v>
      </c>
      <c r="C20" s="130" t="s">
        <v>20</v>
      </c>
      <c r="D20" s="128" t="s">
        <v>21</v>
      </c>
      <c r="E20" s="87" t="s">
        <v>22</v>
      </c>
      <c r="F20" s="87" t="s">
        <v>23</v>
      </c>
      <c r="G20" s="87" t="s">
        <v>24</v>
      </c>
      <c r="H20" s="87" t="s">
        <v>25</v>
      </c>
      <c r="I20" s="87" t="s">
        <v>26</v>
      </c>
      <c r="J20" s="87" t="s">
        <v>27</v>
      </c>
      <c r="K20" s="87" t="s">
        <v>28</v>
      </c>
      <c r="L20" s="87" t="s">
        <v>29</v>
      </c>
      <c r="M20" s="87" t="s">
        <v>17</v>
      </c>
      <c r="N20" s="87" t="s">
        <v>18</v>
      </c>
      <c r="O20" s="59"/>
    </row>
    <row r="21" spans="1:15" x14ac:dyDescent="0.3">
      <c r="A21" s="146">
        <v>10</v>
      </c>
      <c r="B21" s="157" t="s">
        <v>162</v>
      </c>
      <c r="C21" s="146" t="s">
        <v>186</v>
      </c>
      <c r="D21" s="170">
        <v>10</v>
      </c>
      <c r="E21" s="176">
        <f>0.001367374+2*0.001404596+0.001873451</f>
        <v>6.0500169999999995E-3</v>
      </c>
      <c r="F21" s="146" t="s">
        <v>144</v>
      </c>
      <c r="G21" s="146"/>
      <c r="H21" s="171"/>
      <c r="I21" s="172"/>
      <c r="J21" s="173"/>
      <c r="K21" s="171"/>
      <c r="L21" s="174"/>
      <c r="M21" s="175">
        <f>E21</f>
        <v>6.0500169999999995E-3</v>
      </c>
      <c r="N21" s="131">
        <f t="shared" ref="N21:N22" si="1">M21*D21</f>
        <v>6.0500169999999992E-2</v>
      </c>
      <c r="O21" s="59"/>
    </row>
    <row r="22" spans="1:15" x14ac:dyDescent="0.3">
      <c r="A22" s="158">
        <v>20</v>
      </c>
      <c r="B22" s="155" t="s">
        <v>162</v>
      </c>
      <c r="C22" s="158" t="s">
        <v>189</v>
      </c>
      <c r="D22" s="159">
        <v>10</v>
      </c>
      <c r="E22" s="158">
        <f>(1.38+0.47*2)/2</f>
        <v>1.1599999999999999</v>
      </c>
      <c r="F22" s="158" t="s">
        <v>144</v>
      </c>
      <c r="G22" s="158"/>
      <c r="H22" s="160"/>
      <c r="I22" s="161"/>
      <c r="J22" s="162"/>
      <c r="K22" s="160"/>
      <c r="L22" s="163"/>
      <c r="M22" s="160">
        <f>E22</f>
        <v>1.1599999999999999</v>
      </c>
      <c r="N22" s="131">
        <f t="shared" si="1"/>
        <v>11.6</v>
      </c>
      <c r="O22" s="59"/>
    </row>
    <row r="23" spans="1:15" x14ac:dyDescent="0.3">
      <c r="A23" s="6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56" t="s">
        <v>18</v>
      </c>
      <c r="N23" s="92">
        <f>SUM(N21:N22)</f>
        <v>11.660500169999999</v>
      </c>
      <c r="O23" s="59"/>
    </row>
    <row r="24" spans="1:15" x14ac:dyDescent="0.3">
      <c r="A24" s="60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9"/>
    </row>
    <row r="25" spans="1:15" s="21" customFormat="1" x14ac:dyDescent="0.3">
      <c r="A25" s="87" t="s">
        <v>14</v>
      </c>
      <c r="B25" s="126" t="s">
        <v>31</v>
      </c>
      <c r="C25" s="126" t="s">
        <v>20</v>
      </c>
      <c r="D25" s="126" t="s">
        <v>21</v>
      </c>
      <c r="E25" s="126" t="s">
        <v>32</v>
      </c>
      <c r="F25" s="126" t="s">
        <v>17</v>
      </c>
      <c r="G25" s="126" t="s">
        <v>33</v>
      </c>
      <c r="H25" s="126" t="s">
        <v>34</v>
      </c>
      <c r="I25" s="126" t="s">
        <v>18</v>
      </c>
      <c r="J25" s="20"/>
      <c r="K25" s="20"/>
      <c r="L25" s="20"/>
      <c r="M25" s="20"/>
      <c r="N25" s="20"/>
      <c r="O25" s="66"/>
    </row>
    <row r="26" spans="1:15" x14ac:dyDescent="0.3">
      <c r="A26" s="209">
        <v>10</v>
      </c>
      <c r="B26" s="211" t="s">
        <v>138</v>
      </c>
      <c r="C26" s="211" t="s">
        <v>196</v>
      </c>
      <c r="D26" s="212">
        <v>0.15</v>
      </c>
      <c r="E26" s="211" t="s">
        <v>47</v>
      </c>
      <c r="F26" s="211">
        <f>2*(2.769+2.5)</f>
        <v>10.538</v>
      </c>
      <c r="G26" s="211"/>
      <c r="H26" s="211"/>
      <c r="I26" s="212">
        <f t="shared" ref="I26:I42" si="2">IF(H26="",D26*F26,D26*F26*H26)</f>
        <v>1.5807</v>
      </c>
      <c r="J26" s="53"/>
      <c r="K26" s="53"/>
      <c r="L26" s="53"/>
      <c r="M26" s="53"/>
      <c r="N26" s="53"/>
      <c r="O26" s="59"/>
    </row>
    <row r="27" spans="1:15" x14ac:dyDescent="0.3">
      <c r="A27" s="209">
        <v>20</v>
      </c>
      <c r="B27" s="210" t="s">
        <v>142</v>
      </c>
      <c r="C27" s="211" t="s">
        <v>143</v>
      </c>
      <c r="D27" s="212">
        <v>5.25</v>
      </c>
      <c r="E27" s="210" t="s">
        <v>144</v>
      </c>
      <c r="F27" s="213">
        <f>E21</f>
        <v>6.0500169999999995E-3</v>
      </c>
      <c r="G27" s="211"/>
      <c r="H27" s="211"/>
      <c r="I27" s="214">
        <f t="shared" si="2"/>
        <v>3.1762589250000001E-2</v>
      </c>
      <c r="J27" s="53"/>
      <c r="K27" s="53"/>
      <c r="L27" s="53"/>
      <c r="M27" s="53"/>
      <c r="N27" s="53"/>
      <c r="O27" s="59"/>
    </row>
    <row r="28" spans="1:15" x14ac:dyDescent="0.3">
      <c r="A28" s="209">
        <v>30</v>
      </c>
      <c r="B28" s="210" t="s">
        <v>139</v>
      </c>
      <c r="C28" s="211" t="s">
        <v>211</v>
      </c>
      <c r="D28" s="212">
        <v>0.06</v>
      </c>
      <c r="E28" s="211"/>
      <c r="F28" s="211">
        <v>4</v>
      </c>
      <c r="G28" s="211"/>
      <c r="H28" s="211"/>
      <c r="I28" s="214">
        <f t="shared" si="2"/>
        <v>0.24</v>
      </c>
      <c r="J28" s="53"/>
      <c r="K28" s="53"/>
      <c r="L28" s="53"/>
      <c r="M28" s="53"/>
      <c r="N28" s="53"/>
      <c r="O28" s="59"/>
    </row>
    <row r="29" spans="1:15" x14ac:dyDescent="0.3">
      <c r="A29" s="209">
        <v>40</v>
      </c>
      <c r="B29" s="210" t="s">
        <v>212</v>
      </c>
      <c r="C29" s="211" t="s">
        <v>213</v>
      </c>
      <c r="D29" s="212">
        <v>0.75</v>
      </c>
      <c r="E29" s="211"/>
      <c r="F29" s="211">
        <v>4</v>
      </c>
      <c r="G29" s="211"/>
      <c r="H29" s="211"/>
      <c r="I29" s="214">
        <f t="shared" si="2"/>
        <v>3</v>
      </c>
      <c r="J29" s="53"/>
      <c r="K29" s="53"/>
      <c r="L29" s="53"/>
      <c r="M29" s="53"/>
      <c r="N29" s="53"/>
      <c r="O29" s="59"/>
    </row>
    <row r="30" spans="1:15" x14ac:dyDescent="0.3">
      <c r="A30" s="209">
        <v>50</v>
      </c>
      <c r="B30" s="210" t="s">
        <v>139</v>
      </c>
      <c r="C30" s="211" t="s">
        <v>214</v>
      </c>
      <c r="D30" s="212">
        <v>0.06</v>
      </c>
      <c r="E30" s="211"/>
      <c r="F30" s="211">
        <v>4</v>
      </c>
      <c r="G30" s="211"/>
      <c r="H30" s="211"/>
      <c r="I30" s="214">
        <f t="shared" si="2"/>
        <v>0.24</v>
      </c>
      <c r="J30" s="53"/>
      <c r="K30" s="53"/>
      <c r="L30" s="53"/>
      <c r="M30" s="53"/>
      <c r="N30" s="53"/>
      <c r="O30" s="59"/>
    </row>
    <row r="31" spans="1:15" x14ac:dyDescent="0.3">
      <c r="A31" s="209">
        <v>60</v>
      </c>
      <c r="B31" s="210" t="s">
        <v>141</v>
      </c>
      <c r="C31" s="211" t="s">
        <v>215</v>
      </c>
      <c r="D31" s="212">
        <v>0.75</v>
      </c>
      <c r="E31" s="211"/>
      <c r="F31" s="211">
        <v>4</v>
      </c>
      <c r="G31" s="211"/>
      <c r="H31" s="211"/>
      <c r="I31" s="214">
        <f t="shared" si="2"/>
        <v>3</v>
      </c>
      <c r="J31" s="53"/>
      <c r="K31" s="53"/>
      <c r="L31" s="53"/>
      <c r="M31" s="53"/>
      <c r="N31" s="53"/>
      <c r="O31" s="59"/>
    </row>
    <row r="32" spans="1:15" x14ac:dyDescent="0.3">
      <c r="A32" s="209">
        <v>70</v>
      </c>
      <c r="B32" s="210" t="s">
        <v>140</v>
      </c>
      <c r="C32" s="211" t="s">
        <v>215</v>
      </c>
      <c r="D32" s="212">
        <v>0.25</v>
      </c>
      <c r="E32" s="211"/>
      <c r="F32" s="211">
        <v>4</v>
      </c>
      <c r="G32" s="211"/>
      <c r="H32" s="211"/>
      <c r="I32" s="214">
        <f t="shared" si="2"/>
        <v>1</v>
      </c>
      <c r="J32" s="53"/>
      <c r="K32" s="53"/>
      <c r="L32" s="53"/>
      <c r="M32" s="53"/>
      <c r="N32" s="53"/>
      <c r="O32" s="59"/>
    </row>
    <row r="33" spans="1:15" x14ac:dyDescent="0.3">
      <c r="A33" s="209">
        <v>80</v>
      </c>
      <c r="B33" s="215" t="s">
        <v>216</v>
      </c>
      <c r="C33" s="211" t="s">
        <v>217</v>
      </c>
      <c r="D33" s="212">
        <v>0.31</v>
      </c>
      <c r="E33" s="211"/>
      <c r="F33" s="211">
        <v>4</v>
      </c>
      <c r="G33" s="211"/>
      <c r="H33" s="211"/>
      <c r="I33" s="214">
        <f t="shared" si="2"/>
        <v>1.24</v>
      </c>
      <c r="J33" s="53"/>
      <c r="K33" s="53"/>
      <c r="L33" s="53"/>
      <c r="M33" s="53"/>
      <c r="N33" s="53"/>
      <c r="O33" s="59"/>
    </row>
    <row r="34" spans="1:15" x14ac:dyDescent="0.3">
      <c r="A34" s="209">
        <v>90</v>
      </c>
      <c r="B34" s="215" t="s">
        <v>218</v>
      </c>
      <c r="C34" s="211" t="s">
        <v>220</v>
      </c>
      <c r="D34" s="212">
        <v>0.19</v>
      </c>
      <c r="E34" s="211"/>
      <c r="F34" s="216">
        <v>5</v>
      </c>
      <c r="G34" s="211"/>
      <c r="H34" s="211"/>
      <c r="I34" s="214">
        <f t="shared" si="2"/>
        <v>0.95</v>
      </c>
      <c r="J34" s="53"/>
      <c r="K34" s="53"/>
      <c r="L34" s="53"/>
      <c r="M34" s="53"/>
      <c r="N34" s="53"/>
      <c r="O34" s="59"/>
    </row>
    <row r="35" spans="1:15" x14ac:dyDescent="0.3">
      <c r="A35" s="209">
        <v>100</v>
      </c>
      <c r="B35" s="210" t="s">
        <v>141</v>
      </c>
      <c r="C35" s="211" t="s">
        <v>221</v>
      </c>
      <c r="D35" s="212">
        <v>0.75</v>
      </c>
      <c r="E35" s="211"/>
      <c r="F35" s="216">
        <v>5</v>
      </c>
      <c r="G35" s="211"/>
      <c r="H35" s="211"/>
      <c r="I35" s="214">
        <f t="shared" si="2"/>
        <v>3.75</v>
      </c>
      <c r="J35" s="53"/>
      <c r="K35" s="53"/>
      <c r="L35" s="53"/>
      <c r="M35" s="53"/>
      <c r="N35" s="53"/>
      <c r="O35" s="59"/>
    </row>
    <row r="36" spans="1:15" x14ac:dyDescent="0.3">
      <c r="A36" s="209">
        <v>110</v>
      </c>
      <c r="B36" s="210" t="s">
        <v>140</v>
      </c>
      <c r="C36" s="211" t="s">
        <v>221</v>
      </c>
      <c r="D36" s="212">
        <v>0.25</v>
      </c>
      <c r="E36" s="211"/>
      <c r="F36" s="216">
        <v>5</v>
      </c>
      <c r="G36" s="211"/>
      <c r="H36" s="211"/>
      <c r="I36" s="214">
        <f t="shared" si="2"/>
        <v>1.25</v>
      </c>
      <c r="J36" s="53"/>
      <c r="K36" s="53"/>
      <c r="L36" s="53"/>
      <c r="M36" s="53"/>
      <c r="N36" s="53"/>
      <c r="O36" s="59"/>
    </row>
    <row r="37" spans="1:15" x14ac:dyDescent="0.3">
      <c r="A37" s="209">
        <v>120</v>
      </c>
      <c r="B37" s="215" t="s">
        <v>218</v>
      </c>
      <c r="C37" s="211" t="s">
        <v>222</v>
      </c>
      <c r="D37" s="212">
        <v>0.19</v>
      </c>
      <c r="E37" s="211"/>
      <c r="F37" s="216">
        <v>5</v>
      </c>
      <c r="G37" s="211"/>
      <c r="H37" s="211"/>
      <c r="I37" s="214">
        <f t="shared" si="2"/>
        <v>0.95</v>
      </c>
      <c r="J37" s="53"/>
      <c r="K37" s="53"/>
      <c r="L37" s="53"/>
      <c r="M37" s="53"/>
      <c r="N37" s="53"/>
      <c r="O37" s="59"/>
    </row>
    <row r="38" spans="1:15" x14ac:dyDescent="0.3">
      <c r="A38" s="209">
        <v>130</v>
      </c>
      <c r="B38" s="210" t="s">
        <v>141</v>
      </c>
      <c r="C38" s="211" t="s">
        <v>219</v>
      </c>
      <c r="D38" s="212">
        <v>0.75</v>
      </c>
      <c r="E38" s="211"/>
      <c r="F38" s="216">
        <v>5</v>
      </c>
      <c r="G38" s="211"/>
      <c r="H38" s="211"/>
      <c r="I38" s="214">
        <f t="shared" si="2"/>
        <v>3.75</v>
      </c>
      <c r="J38" s="53"/>
      <c r="K38" s="53"/>
      <c r="L38" s="53"/>
      <c r="M38" s="53"/>
      <c r="N38" s="53"/>
      <c r="O38" s="59"/>
    </row>
    <row r="39" spans="1:15" x14ac:dyDescent="0.3">
      <c r="A39" s="209">
        <v>140</v>
      </c>
      <c r="B39" s="210" t="s">
        <v>140</v>
      </c>
      <c r="C39" s="211" t="s">
        <v>219</v>
      </c>
      <c r="D39" s="212">
        <v>0.25</v>
      </c>
      <c r="E39" s="211"/>
      <c r="F39" s="216">
        <v>5</v>
      </c>
      <c r="G39" s="211"/>
      <c r="H39" s="211"/>
      <c r="I39" s="214">
        <f t="shared" si="2"/>
        <v>1.25</v>
      </c>
      <c r="J39" s="53"/>
      <c r="K39" s="53"/>
      <c r="L39" s="53"/>
      <c r="M39" s="53"/>
      <c r="N39" s="53"/>
      <c r="O39" s="59"/>
    </row>
    <row r="40" spans="1:15" x14ac:dyDescent="0.3">
      <c r="A40" s="209">
        <v>150</v>
      </c>
      <c r="B40" s="215" t="s">
        <v>139</v>
      </c>
      <c r="C40" s="211" t="s">
        <v>224</v>
      </c>
      <c r="D40" s="212">
        <v>0.06</v>
      </c>
      <c r="E40" s="211"/>
      <c r="F40" s="216">
        <v>8</v>
      </c>
      <c r="G40" s="211" t="s">
        <v>223</v>
      </c>
      <c r="H40" s="211">
        <v>2</v>
      </c>
      <c r="I40" s="214">
        <f t="shared" si="2"/>
        <v>0.96</v>
      </c>
      <c r="J40" s="53"/>
      <c r="K40" s="53"/>
      <c r="L40" s="53"/>
      <c r="M40" s="53"/>
      <c r="N40" s="53"/>
      <c r="O40" s="59"/>
    </row>
    <row r="41" spans="1:15" x14ac:dyDescent="0.3">
      <c r="A41" s="209">
        <v>160</v>
      </c>
      <c r="B41" s="215" t="s">
        <v>139</v>
      </c>
      <c r="C41" s="211" t="s">
        <v>225</v>
      </c>
      <c r="D41" s="212">
        <v>0.06</v>
      </c>
      <c r="E41" s="211"/>
      <c r="F41" s="216">
        <v>8</v>
      </c>
      <c r="G41" s="211" t="s">
        <v>223</v>
      </c>
      <c r="H41" s="211">
        <v>2</v>
      </c>
      <c r="I41" s="214">
        <f t="shared" si="2"/>
        <v>0.96</v>
      </c>
      <c r="J41" s="53"/>
      <c r="K41" s="53"/>
      <c r="L41" s="53"/>
      <c r="M41" s="53"/>
      <c r="N41" s="53"/>
      <c r="O41" s="59"/>
    </row>
    <row r="42" spans="1:15" x14ac:dyDescent="0.3">
      <c r="A42" s="209">
        <v>170</v>
      </c>
      <c r="B42" s="215" t="s">
        <v>139</v>
      </c>
      <c r="C42" s="211" t="s">
        <v>226</v>
      </c>
      <c r="D42" s="212">
        <v>0.06</v>
      </c>
      <c r="E42" s="211"/>
      <c r="F42" s="216">
        <v>1</v>
      </c>
      <c r="G42" s="211" t="s">
        <v>223</v>
      </c>
      <c r="H42" s="211">
        <v>2</v>
      </c>
      <c r="I42" s="214">
        <f t="shared" si="2"/>
        <v>0.12</v>
      </c>
      <c r="J42" s="53"/>
      <c r="K42" s="53"/>
      <c r="L42" s="53"/>
      <c r="M42" s="53"/>
      <c r="N42" s="53"/>
      <c r="O42" s="59"/>
    </row>
    <row r="43" spans="1:15" x14ac:dyDescent="0.3">
      <c r="A43" s="65"/>
      <c r="B43" s="20"/>
      <c r="C43" s="20"/>
      <c r="D43" s="20"/>
      <c r="E43" s="20"/>
      <c r="F43" s="20"/>
      <c r="G43" s="20"/>
      <c r="H43" s="91" t="s">
        <v>18</v>
      </c>
      <c r="I43" s="92">
        <f>SUM(I26:I42)</f>
        <v>24.272462589250004</v>
      </c>
      <c r="J43" s="53"/>
      <c r="K43" s="53"/>
      <c r="L43" s="53"/>
      <c r="M43" s="53"/>
      <c r="N43" s="53"/>
      <c r="O43" s="59"/>
    </row>
    <row r="44" spans="1:15" x14ac:dyDescent="0.3">
      <c r="A44" s="60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9"/>
    </row>
    <row r="45" spans="1:15" x14ac:dyDescent="0.3">
      <c r="A45" s="87" t="s">
        <v>14</v>
      </c>
      <c r="B45" s="87" t="s">
        <v>36</v>
      </c>
      <c r="C45" s="87" t="s">
        <v>20</v>
      </c>
      <c r="D45" s="87" t="s">
        <v>21</v>
      </c>
      <c r="E45" s="87" t="s">
        <v>22</v>
      </c>
      <c r="F45" s="87" t="s">
        <v>23</v>
      </c>
      <c r="G45" s="87" t="s">
        <v>24</v>
      </c>
      <c r="H45" s="87" t="s">
        <v>25</v>
      </c>
      <c r="I45" s="87" t="s">
        <v>17</v>
      </c>
      <c r="J45" s="87" t="s">
        <v>18</v>
      </c>
      <c r="K45" s="53"/>
      <c r="L45" s="53"/>
      <c r="M45" s="53"/>
      <c r="N45" s="53"/>
      <c r="O45" s="59"/>
    </row>
    <row r="46" spans="1:15" s="135" customFormat="1" x14ac:dyDescent="0.3">
      <c r="A46" s="177">
        <v>10</v>
      </c>
      <c r="B46" s="177" t="s">
        <v>145</v>
      </c>
      <c r="C46" s="137" t="s">
        <v>227</v>
      </c>
      <c r="D46" s="71">
        <f>0.8/105154*E46^2*G46*SQRT(G46)+(0.003*EXP(0.319*E46))</f>
        <v>6.5344202146287819E-2</v>
      </c>
      <c r="E46" s="137">
        <v>6</v>
      </c>
      <c r="F46" s="137" t="s">
        <v>30</v>
      </c>
      <c r="G46" s="137">
        <v>30</v>
      </c>
      <c r="H46" s="137" t="s">
        <v>30</v>
      </c>
      <c r="I46" s="137">
        <v>10</v>
      </c>
      <c r="J46" s="136">
        <f t="shared" ref="J46:J51" si="3">I46*D46</f>
        <v>0.65344202146287822</v>
      </c>
      <c r="K46" s="133"/>
      <c r="L46" s="133"/>
      <c r="M46" s="133"/>
      <c r="N46" s="133"/>
      <c r="O46" s="134"/>
    </row>
    <row r="47" spans="1:15" s="135" customFormat="1" x14ac:dyDescent="0.3">
      <c r="A47" s="216">
        <v>20</v>
      </c>
      <c r="B47" s="216" t="s">
        <v>37</v>
      </c>
      <c r="C47" s="217" t="s">
        <v>227</v>
      </c>
      <c r="D47" s="71">
        <v>0.01</v>
      </c>
      <c r="E47" s="137"/>
      <c r="F47" s="137"/>
      <c r="G47" s="137"/>
      <c r="H47" s="137"/>
      <c r="I47" s="137">
        <v>20</v>
      </c>
      <c r="J47" s="136">
        <f t="shared" si="3"/>
        <v>0.2</v>
      </c>
      <c r="K47" s="133"/>
      <c r="L47" s="133"/>
      <c r="M47" s="133"/>
      <c r="N47" s="133"/>
      <c r="O47" s="134"/>
    </row>
    <row r="48" spans="1:15" s="135" customFormat="1" x14ac:dyDescent="0.3">
      <c r="A48" s="216">
        <v>30</v>
      </c>
      <c r="B48" s="216" t="s">
        <v>38</v>
      </c>
      <c r="C48" s="217" t="s">
        <v>227</v>
      </c>
      <c r="D48" s="131">
        <f>(0.009*EXP(0.2*E48))</f>
        <v>2.9881052304628931E-2</v>
      </c>
      <c r="E48" s="177">
        <v>6</v>
      </c>
      <c r="F48" s="177" t="s">
        <v>30</v>
      </c>
      <c r="G48" s="177"/>
      <c r="H48" s="177"/>
      <c r="I48" s="177">
        <v>10</v>
      </c>
      <c r="J48" s="178">
        <f t="shared" si="3"/>
        <v>0.2988105230462893</v>
      </c>
      <c r="K48" s="133"/>
      <c r="L48" s="133"/>
      <c r="M48" s="133"/>
      <c r="N48" s="133"/>
      <c r="O48" s="134"/>
    </row>
    <row r="49" spans="1:15" s="135" customFormat="1" x14ac:dyDescent="0.3">
      <c r="A49" s="216">
        <v>40</v>
      </c>
      <c r="B49" s="216" t="s">
        <v>190</v>
      </c>
      <c r="C49" s="218" t="s">
        <v>191</v>
      </c>
      <c r="D49" s="159">
        <f>(0.001*E49^2*G49+14)</f>
        <v>16.559999999999999</v>
      </c>
      <c r="E49" s="179">
        <v>8</v>
      </c>
      <c r="F49" s="179"/>
      <c r="G49" s="179">
        <v>40</v>
      </c>
      <c r="H49" s="179"/>
      <c r="I49" s="179">
        <v>4</v>
      </c>
      <c r="J49" s="180">
        <f t="shared" si="3"/>
        <v>66.239999999999995</v>
      </c>
      <c r="K49" s="133"/>
      <c r="L49" s="133"/>
      <c r="M49" s="133"/>
      <c r="N49" s="133"/>
      <c r="O49" s="134"/>
    </row>
    <row r="50" spans="1:15" s="135" customFormat="1" x14ac:dyDescent="0.3">
      <c r="A50" s="216">
        <v>50</v>
      </c>
      <c r="B50" s="220" t="s">
        <v>192</v>
      </c>
      <c r="C50" s="219" t="s">
        <v>195</v>
      </c>
      <c r="D50" s="182">
        <v>3.0000000000000001E-3</v>
      </c>
      <c r="E50" s="181">
        <v>2000</v>
      </c>
      <c r="F50" s="179" t="s">
        <v>193</v>
      </c>
      <c r="G50" s="179"/>
      <c r="H50" s="179"/>
      <c r="I50" s="179">
        <v>1000</v>
      </c>
      <c r="J50" s="180">
        <f t="shared" si="3"/>
        <v>3</v>
      </c>
      <c r="K50" s="133"/>
      <c r="L50" s="133"/>
      <c r="M50" s="133"/>
      <c r="N50" s="133"/>
      <c r="O50" s="134"/>
    </row>
    <row r="51" spans="1:15" s="135" customFormat="1" x14ac:dyDescent="0.3">
      <c r="A51" s="216">
        <v>60</v>
      </c>
      <c r="B51" s="220" t="s">
        <v>194</v>
      </c>
      <c r="C51" s="219" t="s">
        <v>195</v>
      </c>
      <c r="D51" s="182">
        <v>2E-3</v>
      </c>
      <c r="E51" s="181">
        <v>2000</v>
      </c>
      <c r="F51" s="179" t="s">
        <v>193</v>
      </c>
      <c r="G51" s="179"/>
      <c r="H51" s="179"/>
      <c r="I51" s="179">
        <v>1000</v>
      </c>
      <c r="J51" s="180">
        <f t="shared" si="3"/>
        <v>2</v>
      </c>
      <c r="K51" s="133"/>
      <c r="L51" s="133"/>
      <c r="M51" s="133"/>
      <c r="N51" s="133"/>
      <c r="O51" s="134"/>
    </row>
    <row r="52" spans="1:15" x14ac:dyDescent="0.3">
      <c r="A52" s="65"/>
      <c r="B52" s="20"/>
      <c r="C52" s="20"/>
      <c r="D52" s="20"/>
      <c r="E52" s="20"/>
      <c r="F52" s="20"/>
      <c r="G52" s="20"/>
      <c r="H52" s="20"/>
      <c r="I52" s="91" t="s">
        <v>18</v>
      </c>
      <c r="J52" s="92">
        <f>SUM(J46:J51)</f>
        <v>72.392252544509162</v>
      </c>
      <c r="K52" s="53"/>
      <c r="L52" s="53"/>
      <c r="M52" s="53"/>
      <c r="N52" s="53"/>
      <c r="O52" s="59"/>
    </row>
    <row r="53" spans="1:15" x14ac:dyDescent="0.3">
      <c r="A53" s="60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9"/>
    </row>
    <row r="54" spans="1:15" x14ac:dyDescent="0.3">
      <c r="A54" s="87" t="s">
        <v>14</v>
      </c>
      <c r="B54" s="87" t="s">
        <v>39</v>
      </c>
      <c r="C54" s="87" t="s">
        <v>20</v>
      </c>
      <c r="D54" s="87" t="s">
        <v>21</v>
      </c>
      <c r="E54" s="87" t="s">
        <v>32</v>
      </c>
      <c r="F54" s="87" t="s">
        <v>17</v>
      </c>
      <c r="G54" s="87" t="s">
        <v>40</v>
      </c>
      <c r="H54" s="87" t="s">
        <v>41</v>
      </c>
      <c r="I54" s="87" t="s">
        <v>18</v>
      </c>
      <c r="J54" s="20"/>
      <c r="K54" s="53"/>
      <c r="L54" s="53"/>
      <c r="M54" s="53"/>
      <c r="N54" s="53"/>
      <c r="O54" s="59"/>
    </row>
    <row r="55" spans="1:15" x14ac:dyDescent="0.3">
      <c r="A55" s="70">
        <v>10</v>
      </c>
      <c r="B55" s="70" t="s">
        <v>42</v>
      </c>
      <c r="C55" s="70" t="s">
        <v>146</v>
      </c>
      <c r="D55" s="71">
        <v>500</v>
      </c>
      <c r="E55" s="70" t="s">
        <v>43</v>
      </c>
      <c r="F55" s="70">
        <v>16</v>
      </c>
      <c r="G55" s="70">
        <v>3000</v>
      </c>
      <c r="H55" s="70">
        <v>1</v>
      </c>
      <c r="I55" s="71">
        <f>D55*F55/G55*H55</f>
        <v>2.6666666666666665</v>
      </c>
      <c r="J55" s="20"/>
      <c r="K55" s="53"/>
      <c r="L55" s="53"/>
      <c r="M55" s="53"/>
      <c r="N55" s="53"/>
      <c r="O55" s="59"/>
    </row>
    <row r="56" spans="1:15" x14ac:dyDescent="0.3">
      <c r="A56" s="65"/>
      <c r="B56" s="20"/>
      <c r="C56" s="20"/>
      <c r="D56" s="20"/>
      <c r="E56" s="20"/>
      <c r="F56" s="20"/>
      <c r="G56" s="20"/>
      <c r="H56" s="91" t="s">
        <v>18</v>
      </c>
      <c r="I56" s="92">
        <f>SUM(I55:I55)</f>
        <v>2.6666666666666665</v>
      </c>
      <c r="J56" s="20"/>
      <c r="K56" s="53"/>
      <c r="L56" s="53"/>
      <c r="M56" s="53"/>
      <c r="N56" s="53"/>
      <c r="O56" s="59"/>
    </row>
    <row r="57" spans="1:15" ht="15" thickBot="1" x14ac:dyDescent="0.35">
      <c r="A57" s="67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9"/>
    </row>
    <row r="58" spans="1:15" x14ac:dyDescent="0.3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</row>
  </sheetData>
  <hyperlinks>
    <hyperlink ref="B10" location="FR_0700_000!A1" display="Nose" xr:uid="{00000000-0004-0000-0200-000000000000}"/>
    <hyperlink ref="B11" location="FR_0700_001!A1" display="Left Inlet" xr:uid="{00000000-0004-0000-0200-000001000000}"/>
    <hyperlink ref="B13" location="FR_0700_003!A1" display="Front Plate" xr:uid="{00000000-0004-0000-0200-000002000000}"/>
    <hyperlink ref="B12" location="FR_0700_002!A1" display="Right Inlet" xr:uid="{00000000-0004-0000-0200-000003000000}"/>
    <hyperlink ref="B14" location="FR_0700_004!A1" display="Back Plate" xr:uid="{00000000-0004-0000-0200-000004000000}"/>
    <hyperlink ref="B15" location="FR_0700_005!A1" display="Back Inlet Bracket" xr:uid="{00000000-0004-0000-0200-000005000000}"/>
    <hyperlink ref="B16" location="FR_0700_006!A1" display="Front Inlet Bracket" xr:uid="{00000000-0004-0000-0200-000006000000}"/>
    <hyperlink ref="B17" location="FR_0700_007!A1" display="Back Nose Bracket" xr:uid="{00000000-0004-0000-0200-000007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  <pageSetUpPr fitToPage="1"/>
  </sheetPr>
  <dimension ref="A1:O27"/>
  <sheetViews>
    <sheetView zoomScale="75" zoomScaleNormal="75" workbookViewId="0">
      <selection activeCell="B4" sqref="B4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4" width="11.5546875" bestFit="1" customWidth="1"/>
    <col min="5" max="6" width="10.5546875"/>
    <col min="7" max="7" width="23.6640625" customWidth="1"/>
    <col min="8" max="8" width="16" customWidth="1"/>
    <col min="9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71">
        <f>FR_0700_000_m+FR_0700_000_p</f>
        <v>249.95200000000006</v>
      </c>
      <c r="O2" s="59"/>
    </row>
    <row r="3" spans="1:15" x14ac:dyDescent="0.3">
      <c r="A3" s="114" t="s">
        <v>3</v>
      </c>
      <c r="B3" s="11" t="str">
        <f>'FR A0700'!B3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1</v>
      </c>
      <c r="O3" s="59"/>
    </row>
    <row r="4" spans="1:15" x14ac:dyDescent="0.3">
      <c r="A4" s="114" t="s">
        <v>5</v>
      </c>
      <c r="B4" s="78" t="str">
        <f>'FR A0700'!B4</f>
        <v>Bodywork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3" t="s">
        <v>166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71">
        <f>N3*N2</f>
        <v>249.95200000000006</v>
      </c>
      <c r="O5" s="59"/>
    </row>
    <row r="6" spans="1:15" x14ac:dyDescent="0.3">
      <c r="A6" s="114" t="s">
        <v>7</v>
      </c>
      <c r="B6" s="24" t="s">
        <v>147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198</v>
      </c>
      <c r="C11" s="16"/>
      <c r="D11" s="28">
        <v>100</v>
      </c>
      <c r="E11" s="208">
        <f>J11*K11*L11</f>
        <v>0.41400000000000003</v>
      </c>
      <c r="F11" s="16" t="s">
        <v>210</v>
      </c>
      <c r="G11" s="16"/>
      <c r="H11" s="15"/>
      <c r="I11" s="17"/>
      <c r="J11" s="86">
        <v>1.38</v>
      </c>
      <c r="K11" s="183">
        <f>0.3/L11</f>
        <v>1.3636363636363637E-4</v>
      </c>
      <c r="L11" s="27">
        <v>2200</v>
      </c>
      <c r="M11" s="19">
        <v>2</v>
      </c>
      <c r="N11" s="28">
        <f>IF(J11="",D11*M11,D11*J11*K11*L11*M11)</f>
        <v>82.8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82.8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x14ac:dyDescent="0.3">
      <c r="A15" s="189">
        <v>10</v>
      </c>
      <c r="B15" s="189" t="s">
        <v>206</v>
      </c>
      <c r="C15" s="189"/>
      <c r="D15" s="189">
        <v>0.06</v>
      </c>
      <c r="E15" s="189" t="s">
        <v>47</v>
      </c>
      <c r="F15" s="189">
        <v>296.8</v>
      </c>
      <c r="G15" s="190" t="s">
        <v>200</v>
      </c>
      <c r="H15" s="189">
        <v>2</v>
      </c>
      <c r="I15" s="191">
        <f>IF(H15="",D15*F15,D15*F15*H15)</f>
        <v>35.616</v>
      </c>
    </row>
    <row r="16" spans="1:15" s="21" customFormat="1" x14ac:dyDescent="0.3">
      <c r="A16" s="190">
        <v>20</v>
      </c>
      <c r="B16" s="192" t="s">
        <v>199</v>
      </c>
      <c r="C16" s="190"/>
      <c r="D16" s="191">
        <v>35</v>
      </c>
      <c r="E16" s="193" t="s">
        <v>144</v>
      </c>
      <c r="F16" s="194">
        <f>J11</f>
        <v>1.38</v>
      </c>
      <c r="G16" s="190" t="s">
        <v>200</v>
      </c>
      <c r="H16" s="190">
        <v>2</v>
      </c>
      <c r="I16" s="191">
        <f>IF(H16="",D16*F16,D16*F16*H16)</f>
        <v>96.6</v>
      </c>
      <c r="J16" s="55"/>
      <c r="K16" s="55"/>
      <c r="L16" s="55"/>
      <c r="M16" s="55"/>
      <c r="N16" s="55"/>
      <c r="O16" s="66"/>
    </row>
    <row r="17" spans="1:15" x14ac:dyDescent="0.3">
      <c r="A17" s="189">
        <v>30</v>
      </c>
      <c r="B17" s="192" t="s">
        <v>201</v>
      </c>
      <c r="C17" s="189"/>
      <c r="D17" s="195">
        <v>5</v>
      </c>
      <c r="E17" s="189" t="s">
        <v>144</v>
      </c>
      <c r="F17" s="194">
        <f>J11</f>
        <v>1.38</v>
      </c>
      <c r="G17" s="190" t="s">
        <v>200</v>
      </c>
      <c r="H17" s="189">
        <v>2</v>
      </c>
      <c r="I17" s="195">
        <f t="shared" ref="I17:I20" si="0">IF(H17="",D17*F17,D17*F17*H17)</f>
        <v>13.799999999999999</v>
      </c>
      <c r="J17" s="53"/>
      <c r="K17" s="53"/>
      <c r="L17" s="53"/>
      <c r="M17" s="53"/>
      <c r="N17" s="53"/>
      <c r="O17" s="59"/>
    </row>
    <row r="18" spans="1:15" s="12" customFormat="1" x14ac:dyDescent="0.3">
      <c r="A18" s="190">
        <v>40</v>
      </c>
      <c r="B18" s="192" t="s">
        <v>202</v>
      </c>
      <c r="C18" s="189"/>
      <c r="D18" s="195">
        <v>10</v>
      </c>
      <c r="E18" s="193" t="s">
        <v>144</v>
      </c>
      <c r="F18" s="196">
        <f>J11</f>
        <v>1.38</v>
      </c>
      <c r="G18" s="189"/>
      <c r="H18" s="189"/>
      <c r="I18" s="195">
        <f t="shared" si="0"/>
        <v>13.799999999999999</v>
      </c>
      <c r="J18" s="54"/>
      <c r="K18" s="54"/>
      <c r="L18" s="54"/>
      <c r="M18" s="54"/>
      <c r="N18" s="54"/>
      <c r="O18" s="63"/>
    </row>
    <row r="19" spans="1:15" x14ac:dyDescent="0.3">
      <c r="A19" s="189">
        <v>50</v>
      </c>
      <c r="B19" s="192" t="s">
        <v>203</v>
      </c>
      <c r="C19" s="189"/>
      <c r="D19" s="195">
        <v>0.35</v>
      </c>
      <c r="E19" s="189" t="s">
        <v>204</v>
      </c>
      <c r="F19" s="197">
        <v>4</v>
      </c>
      <c r="G19" s="193"/>
      <c r="H19" s="189"/>
      <c r="I19" s="195">
        <f t="shared" si="0"/>
        <v>1.4</v>
      </c>
      <c r="J19" s="53"/>
      <c r="K19" s="53"/>
      <c r="L19" s="53"/>
      <c r="M19" s="53"/>
      <c r="N19" s="53"/>
      <c r="O19" s="59"/>
    </row>
    <row r="20" spans="1:15" x14ac:dyDescent="0.3">
      <c r="A20" s="189">
        <v>60</v>
      </c>
      <c r="B20" s="192" t="s">
        <v>207</v>
      </c>
      <c r="C20" s="189"/>
      <c r="D20" s="195">
        <v>0.01</v>
      </c>
      <c r="E20" s="189" t="s">
        <v>47</v>
      </c>
      <c r="F20" s="198">
        <v>296.8</v>
      </c>
      <c r="G20" s="193" t="s">
        <v>208</v>
      </c>
      <c r="H20" s="189">
        <v>2</v>
      </c>
      <c r="I20" s="195">
        <f t="shared" si="0"/>
        <v>5.9359999999999999</v>
      </c>
      <c r="J20" s="53"/>
      <c r="K20" s="53"/>
      <c r="L20" s="53"/>
      <c r="M20" s="53"/>
      <c r="N20" s="53"/>
      <c r="O20" s="59"/>
    </row>
    <row r="21" spans="1:15" x14ac:dyDescent="0.3">
      <c r="A21" s="65"/>
      <c r="B21" s="20"/>
      <c r="C21" s="20"/>
      <c r="D21" s="20"/>
      <c r="E21" s="20"/>
      <c r="F21" s="20"/>
      <c r="G21" s="20"/>
      <c r="H21" s="123" t="s">
        <v>18</v>
      </c>
      <c r="I21" s="121">
        <f>SUM(I15:I20)</f>
        <v>167.15200000000004</v>
      </c>
      <c r="J21" s="20"/>
      <c r="K21" s="20"/>
      <c r="L21" s="20"/>
      <c r="M21" s="20"/>
      <c r="N21" s="20"/>
      <c r="O21" s="59"/>
    </row>
    <row r="22" spans="1:15" x14ac:dyDescent="0.3">
      <c r="A22" s="65"/>
      <c r="B22" s="20"/>
      <c r="C22" s="20"/>
      <c r="D22" s="20"/>
      <c r="E22" s="20"/>
      <c r="F22" s="20"/>
      <c r="G22" s="20"/>
      <c r="H22" s="187"/>
      <c r="I22" s="188"/>
      <c r="J22" s="20"/>
      <c r="K22" s="20"/>
      <c r="L22" s="20"/>
      <c r="M22" s="20"/>
      <c r="N22" s="20"/>
      <c r="O22" s="59"/>
    </row>
    <row r="23" spans="1:15" x14ac:dyDescent="0.3">
      <c r="A23" s="60"/>
      <c r="B23" s="53"/>
      <c r="C23" s="53"/>
      <c r="D23" s="53"/>
      <c r="E23" s="53"/>
      <c r="F23" s="53"/>
      <c r="G23" s="53"/>
      <c r="H23" s="53"/>
      <c r="I23" s="54"/>
      <c r="J23" s="53"/>
      <c r="K23" s="53"/>
      <c r="L23" s="53"/>
      <c r="M23" s="53"/>
      <c r="N23" s="53"/>
      <c r="O23" s="59"/>
    </row>
    <row r="24" spans="1:15" ht="15" thickBot="1" x14ac:dyDescent="0.35">
      <c r="A24" s="184" t="s">
        <v>14</v>
      </c>
      <c r="B24" s="184" t="s">
        <v>39</v>
      </c>
      <c r="C24" s="184" t="s">
        <v>20</v>
      </c>
      <c r="D24" s="184" t="s">
        <v>21</v>
      </c>
      <c r="E24" s="184" t="s">
        <v>32</v>
      </c>
      <c r="F24" s="184" t="s">
        <v>17</v>
      </c>
      <c r="G24" s="184" t="s">
        <v>40</v>
      </c>
      <c r="H24" s="184" t="s">
        <v>41</v>
      </c>
      <c r="I24" s="184" t="s">
        <v>18</v>
      </c>
      <c r="J24" s="68"/>
      <c r="K24" s="68"/>
      <c r="L24" s="68"/>
      <c r="M24" s="68"/>
      <c r="N24" s="68"/>
      <c r="O24" s="69"/>
    </row>
    <row r="25" spans="1:15" x14ac:dyDescent="0.3">
      <c r="A25" s="70">
        <v>10</v>
      </c>
      <c r="B25" s="70" t="s">
        <v>205</v>
      </c>
      <c r="C25" s="70"/>
      <c r="D25" s="71">
        <v>20000</v>
      </c>
      <c r="E25" s="70" t="s">
        <v>144</v>
      </c>
      <c r="F25" s="70">
        <f>F16*2</f>
        <v>2.76</v>
      </c>
      <c r="G25" s="70">
        <v>3000</v>
      </c>
      <c r="H25" s="70">
        <v>1</v>
      </c>
      <c r="I25" s="71">
        <f>D25*F25/G25*H25</f>
        <v>18.399999999999999</v>
      </c>
    </row>
    <row r="26" spans="1:15" x14ac:dyDescent="0.3">
      <c r="A26" s="65"/>
      <c r="B26" s="20"/>
      <c r="C26" s="20"/>
      <c r="D26" s="20"/>
      <c r="E26" s="20"/>
      <c r="F26" s="20"/>
      <c r="G26" s="20"/>
      <c r="H26" s="186" t="s">
        <v>18</v>
      </c>
      <c r="I26" s="185">
        <f>SUM(I25:I25)</f>
        <v>18.399999999999999</v>
      </c>
    </row>
    <row r="27" spans="1:15" ht="15" thickBot="1" x14ac:dyDescent="0.35">
      <c r="A27" s="67"/>
      <c r="B27" s="68"/>
      <c r="C27" s="68"/>
      <c r="D27" s="68"/>
      <c r="E27" s="68"/>
      <c r="F27" s="68"/>
      <c r="G27" s="68"/>
      <c r="H27" s="68"/>
      <c r="I27" s="68"/>
    </row>
  </sheetData>
  <hyperlinks>
    <hyperlink ref="B4" location="'FR A0700'!A1" display="'FR A0700'!A1" xr:uid="{00000000-0004-0000-0300-000000000000}"/>
    <hyperlink ref="E3" location="dFR_0700_000!A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  <pageSetUpPr fitToPage="1"/>
  </sheetPr>
  <dimension ref="A1:B1"/>
  <sheetViews>
    <sheetView workbookViewId="0">
      <selection activeCell="L17" sqref="L17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35" t="s">
        <v>93</v>
      </c>
      <c r="B1" s="141" t="s">
        <v>178</v>
      </c>
    </row>
  </sheetData>
  <hyperlinks>
    <hyperlink ref="B1" location="FR_0700_000!A1" display="FR_0700_000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FF"/>
  </sheetPr>
  <dimension ref="A1:O22"/>
  <sheetViews>
    <sheetView tabSelected="1" zoomScale="85" zoomScaleNormal="85" workbookViewId="0"/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5" max="5" width="10.5546875" bestFit="1" customWidth="1"/>
    <col min="7" max="7" width="27.218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71">
        <f>FR_0700_001_m+FR_0700_001_p</f>
        <v>108.45400000000001</v>
      </c>
      <c r="O2" s="59"/>
    </row>
    <row r="3" spans="1:15" x14ac:dyDescent="0.3">
      <c r="A3" s="114" t="s">
        <v>3</v>
      </c>
      <c r="B3" s="11" t="str">
        <f>'FR A0700'!B3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1</v>
      </c>
      <c r="O3" s="59"/>
    </row>
    <row r="4" spans="1:15" x14ac:dyDescent="0.3">
      <c r="A4" s="114" t="s">
        <v>5</v>
      </c>
      <c r="B4" s="78" t="str">
        <f>'FR A0700'!B4</f>
        <v>Bodywork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3" t="s">
        <v>169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71">
        <f>N3*N2</f>
        <v>108.45400000000001</v>
      </c>
      <c r="O5" s="59"/>
    </row>
    <row r="6" spans="1:15" x14ac:dyDescent="0.3">
      <c r="A6" s="114" t="s">
        <v>7</v>
      </c>
      <c r="B6" s="24" t="s">
        <v>149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180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198</v>
      </c>
      <c r="C11" s="16"/>
      <c r="D11" s="28">
        <v>100</v>
      </c>
      <c r="E11" s="208">
        <f>J11*K11*L11</f>
        <v>0.14100000000000001</v>
      </c>
      <c r="F11" s="16" t="s">
        <v>210</v>
      </c>
      <c r="G11" s="16"/>
      <c r="H11" s="15"/>
      <c r="I11" s="17"/>
      <c r="J11" s="86">
        <v>0.47</v>
      </c>
      <c r="K11" s="183">
        <f>0.3/L11</f>
        <v>1.3636363636363637E-4</v>
      </c>
      <c r="L11" s="27">
        <v>2200</v>
      </c>
      <c r="M11" s="19">
        <v>2</v>
      </c>
      <c r="N11" s="28">
        <f>IF(J11="",D11*M11,D11*J11*K11*L11*M11)</f>
        <v>28.200000000000003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28.200000000000003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x14ac:dyDescent="0.3">
      <c r="A15" s="189">
        <v>10</v>
      </c>
      <c r="B15" s="189" t="s">
        <v>206</v>
      </c>
      <c r="C15" s="189"/>
      <c r="D15" s="189">
        <v>0.06</v>
      </c>
      <c r="E15" s="189" t="s">
        <v>47</v>
      </c>
      <c r="F15" s="189">
        <v>258.60000000000002</v>
      </c>
      <c r="G15" s="190" t="s">
        <v>200</v>
      </c>
      <c r="H15" s="189">
        <v>2</v>
      </c>
      <c r="I15" s="191">
        <f>IF(H15="",D15*F15,D15*F15*H15)</f>
        <v>31.032</v>
      </c>
    </row>
    <row r="16" spans="1:15" s="21" customFormat="1" x14ac:dyDescent="0.3">
      <c r="A16" s="190">
        <v>20</v>
      </c>
      <c r="B16" s="192" t="s">
        <v>199</v>
      </c>
      <c r="C16" s="190"/>
      <c r="D16" s="191">
        <v>35</v>
      </c>
      <c r="E16" s="193" t="s">
        <v>144</v>
      </c>
      <c r="F16" s="194">
        <f>J11</f>
        <v>0.47</v>
      </c>
      <c r="G16" s="190" t="s">
        <v>200</v>
      </c>
      <c r="H16" s="190">
        <v>2</v>
      </c>
      <c r="I16" s="191">
        <f>IF(H16="",D16*F16,D16*F16*H16)</f>
        <v>32.9</v>
      </c>
      <c r="J16" s="55"/>
      <c r="K16" s="55"/>
      <c r="L16" s="55"/>
      <c r="M16" s="55"/>
      <c r="N16" s="55"/>
      <c r="O16" s="66"/>
    </row>
    <row r="17" spans="1:15" x14ac:dyDescent="0.3">
      <c r="A17" s="189">
        <v>30</v>
      </c>
      <c r="B17" s="192" t="s">
        <v>201</v>
      </c>
      <c r="C17" s="189"/>
      <c r="D17" s="195">
        <v>5</v>
      </c>
      <c r="E17" s="189" t="s">
        <v>144</v>
      </c>
      <c r="F17" s="194">
        <f>J11</f>
        <v>0.47</v>
      </c>
      <c r="G17" s="190" t="s">
        <v>200</v>
      </c>
      <c r="H17" s="189">
        <v>2</v>
      </c>
      <c r="I17" s="195">
        <f t="shared" ref="I17:I20" si="0">IF(H17="",D17*F17,D17*F17*H17)</f>
        <v>4.6999999999999993</v>
      </c>
      <c r="J17" s="53"/>
      <c r="K17" s="53"/>
      <c r="L17" s="53"/>
      <c r="M17" s="53"/>
      <c r="N17" s="53"/>
      <c r="O17" s="59"/>
    </row>
    <row r="18" spans="1:15" s="12" customFormat="1" x14ac:dyDescent="0.3">
      <c r="A18" s="190">
        <v>40</v>
      </c>
      <c r="B18" s="192" t="s">
        <v>202</v>
      </c>
      <c r="C18" s="189"/>
      <c r="D18" s="195">
        <v>10</v>
      </c>
      <c r="E18" s="193" t="s">
        <v>144</v>
      </c>
      <c r="F18" s="196">
        <f>J11</f>
        <v>0.47</v>
      </c>
      <c r="G18" s="189"/>
      <c r="H18" s="189"/>
      <c r="I18" s="195">
        <f t="shared" si="0"/>
        <v>4.6999999999999993</v>
      </c>
      <c r="J18" s="54"/>
      <c r="K18" s="54"/>
      <c r="L18" s="54"/>
      <c r="M18" s="54"/>
      <c r="N18" s="54"/>
      <c r="O18" s="63"/>
    </row>
    <row r="19" spans="1:15" x14ac:dyDescent="0.3">
      <c r="A19" s="189">
        <v>50</v>
      </c>
      <c r="B19" s="192" t="s">
        <v>203</v>
      </c>
      <c r="C19" s="189"/>
      <c r="D19" s="195">
        <v>0.35</v>
      </c>
      <c r="E19" s="189" t="s">
        <v>204</v>
      </c>
      <c r="F19" s="197">
        <v>5</v>
      </c>
      <c r="G19" s="193"/>
      <c r="H19" s="189"/>
      <c r="I19" s="195">
        <f t="shared" si="0"/>
        <v>1.75</v>
      </c>
      <c r="J19" s="53"/>
      <c r="K19" s="53"/>
      <c r="L19" s="53"/>
      <c r="M19" s="53"/>
      <c r="N19" s="53"/>
      <c r="O19" s="59"/>
    </row>
    <row r="20" spans="1:15" x14ac:dyDescent="0.3">
      <c r="A20" s="189">
        <v>60</v>
      </c>
      <c r="B20" s="192" t="s">
        <v>207</v>
      </c>
      <c r="C20" s="189"/>
      <c r="D20" s="195">
        <v>0.01</v>
      </c>
      <c r="E20" s="189" t="s">
        <v>47</v>
      </c>
      <c r="F20" s="189">
        <v>258.60000000000002</v>
      </c>
      <c r="G20" s="193" t="s">
        <v>208</v>
      </c>
      <c r="H20" s="189">
        <v>2</v>
      </c>
      <c r="I20" s="195">
        <f t="shared" si="0"/>
        <v>5.1720000000000006</v>
      </c>
      <c r="J20" s="53"/>
      <c r="K20" s="53"/>
      <c r="L20" s="53"/>
      <c r="M20" s="53"/>
      <c r="N20" s="53"/>
      <c r="O20" s="59"/>
    </row>
    <row r="21" spans="1:15" x14ac:dyDescent="0.3">
      <c r="A21" s="65"/>
      <c r="B21" s="20"/>
      <c r="C21" s="20"/>
      <c r="D21" s="20"/>
      <c r="E21" s="20"/>
      <c r="F21" s="20"/>
      <c r="G21" s="20"/>
      <c r="H21" s="123" t="s">
        <v>18</v>
      </c>
      <c r="I21" s="121">
        <f>SUM(I15:I20)</f>
        <v>80.254000000000005</v>
      </c>
      <c r="J21" s="20"/>
      <c r="K21" s="20"/>
      <c r="L21" s="20"/>
      <c r="M21" s="20"/>
      <c r="N21" s="20"/>
      <c r="O21" s="59"/>
    </row>
    <row r="22" spans="1:15" ht="15" thickBot="1" x14ac:dyDescent="0.35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'FR A0700'!A1" display="'FR A0700'!A1" xr:uid="{00000000-0004-0000-0500-000000000000}"/>
    <hyperlink ref="E3" location="dFR_0700_001!A1" display="Drawing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35" t="s">
        <v>148</v>
      </c>
      <c r="B1" s="141" t="s">
        <v>177</v>
      </c>
    </row>
  </sheetData>
  <hyperlinks>
    <hyperlink ref="B1" location="FR_0700_001!A1" display="FR_0700_001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FF"/>
  </sheetPr>
  <dimension ref="A1:O22"/>
  <sheetViews>
    <sheetView zoomScale="85" zoomScaleNormal="85"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5" max="5" width="10.5546875" bestFit="1" customWidth="1"/>
    <col min="7" max="7" width="23.777343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71">
        <f>FR_0700_002_m+FR_0700_002_p</f>
        <v>108.45400000000001</v>
      </c>
      <c r="O2" s="59"/>
    </row>
    <row r="3" spans="1:15" x14ac:dyDescent="0.3">
      <c r="A3" s="114" t="s">
        <v>3</v>
      </c>
      <c r="B3" s="11" t="str">
        <f>'FR A0700'!B3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1</v>
      </c>
      <c r="O3" s="59"/>
    </row>
    <row r="4" spans="1:15" x14ac:dyDescent="0.3">
      <c r="A4" s="114" t="s">
        <v>5</v>
      </c>
      <c r="B4" s="78" t="str">
        <f>'FR A0700'!B4</f>
        <v>Bodywork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3" t="s">
        <v>168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71">
        <f>N3*N2</f>
        <v>108.45400000000001</v>
      </c>
      <c r="O5" s="59"/>
    </row>
    <row r="6" spans="1:15" x14ac:dyDescent="0.3">
      <c r="A6" s="114" t="s">
        <v>7</v>
      </c>
      <c r="B6" s="24" t="s">
        <v>150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181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198</v>
      </c>
      <c r="C11" s="16"/>
      <c r="D11" s="28">
        <v>100</v>
      </c>
      <c r="E11" s="208">
        <f>J11*K11*L11</f>
        <v>0.14100000000000001</v>
      </c>
      <c r="F11" s="16" t="s">
        <v>210</v>
      </c>
      <c r="G11" s="16"/>
      <c r="H11" s="15"/>
      <c r="I11" s="17"/>
      <c r="J11" s="86">
        <v>0.47</v>
      </c>
      <c r="K11" s="183">
        <f>0.3/L11</f>
        <v>1.3636363636363637E-4</v>
      </c>
      <c r="L11" s="27">
        <v>2200</v>
      </c>
      <c r="M11" s="19">
        <v>2</v>
      </c>
      <c r="N11" s="28">
        <f>IF(J11="",D11*M11,D11*J11*K11*L11*M11)</f>
        <v>28.200000000000003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28.200000000000003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x14ac:dyDescent="0.3">
      <c r="A15" s="189">
        <v>10</v>
      </c>
      <c r="B15" s="189" t="s">
        <v>206</v>
      </c>
      <c r="C15" s="189"/>
      <c r="D15" s="189">
        <v>0.06</v>
      </c>
      <c r="E15" s="189" t="s">
        <v>47</v>
      </c>
      <c r="F15" s="189">
        <v>258.60000000000002</v>
      </c>
      <c r="G15" s="190" t="s">
        <v>200</v>
      </c>
      <c r="H15" s="189">
        <v>2</v>
      </c>
      <c r="I15" s="191">
        <f>IF(H15="",D15*F15,D15*F15*H15)</f>
        <v>31.032</v>
      </c>
    </row>
    <row r="16" spans="1:15" s="21" customFormat="1" x14ac:dyDescent="0.3">
      <c r="A16" s="190">
        <v>20</v>
      </c>
      <c r="B16" s="192" t="s">
        <v>199</v>
      </c>
      <c r="C16" s="190"/>
      <c r="D16" s="191">
        <v>35</v>
      </c>
      <c r="E16" s="193" t="s">
        <v>144</v>
      </c>
      <c r="F16" s="194">
        <f>J11</f>
        <v>0.47</v>
      </c>
      <c r="G16" s="190" t="s">
        <v>200</v>
      </c>
      <c r="H16" s="190">
        <v>2</v>
      </c>
      <c r="I16" s="191">
        <f>IF(H16="",D16*F16,D16*F16*H16)</f>
        <v>32.9</v>
      </c>
      <c r="J16" s="55"/>
      <c r="K16" s="55"/>
      <c r="L16" s="55"/>
      <c r="M16" s="55"/>
      <c r="N16" s="55"/>
      <c r="O16" s="66"/>
    </row>
    <row r="17" spans="1:15" x14ac:dyDescent="0.3">
      <c r="A17" s="189">
        <v>30</v>
      </c>
      <c r="B17" s="192" t="s">
        <v>201</v>
      </c>
      <c r="C17" s="189"/>
      <c r="D17" s="195">
        <v>5</v>
      </c>
      <c r="E17" s="189" t="s">
        <v>144</v>
      </c>
      <c r="F17" s="194">
        <f>J11</f>
        <v>0.47</v>
      </c>
      <c r="G17" s="190" t="s">
        <v>200</v>
      </c>
      <c r="H17" s="189">
        <v>2</v>
      </c>
      <c r="I17" s="195">
        <f t="shared" ref="I17:I20" si="0">IF(H17="",D17*F17,D17*F17*H17)</f>
        <v>4.6999999999999993</v>
      </c>
      <c r="J17" s="53"/>
      <c r="K17" s="53"/>
      <c r="L17" s="53"/>
      <c r="M17" s="53"/>
      <c r="N17" s="53"/>
      <c r="O17" s="59"/>
    </row>
    <row r="18" spans="1:15" s="12" customFormat="1" x14ac:dyDescent="0.3">
      <c r="A18" s="190">
        <v>40</v>
      </c>
      <c r="B18" s="192" t="s">
        <v>202</v>
      </c>
      <c r="C18" s="189"/>
      <c r="D18" s="195">
        <v>10</v>
      </c>
      <c r="E18" s="193" t="s">
        <v>144</v>
      </c>
      <c r="F18" s="196">
        <f>J11</f>
        <v>0.47</v>
      </c>
      <c r="G18" s="189"/>
      <c r="H18" s="189"/>
      <c r="I18" s="195">
        <f t="shared" si="0"/>
        <v>4.6999999999999993</v>
      </c>
      <c r="J18" s="54"/>
      <c r="K18" s="54"/>
      <c r="L18" s="54"/>
      <c r="M18" s="54"/>
      <c r="N18" s="54"/>
      <c r="O18" s="63"/>
    </row>
    <row r="19" spans="1:15" x14ac:dyDescent="0.3">
      <c r="A19" s="189">
        <v>50</v>
      </c>
      <c r="B19" s="192" t="s">
        <v>203</v>
      </c>
      <c r="C19" s="189"/>
      <c r="D19" s="195">
        <v>0.35</v>
      </c>
      <c r="E19" s="189" t="s">
        <v>204</v>
      </c>
      <c r="F19" s="197">
        <v>5</v>
      </c>
      <c r="G19" s="193"/>
      <c r="H19" s="189"/>
      <c r="I19" s="195">
        <f t="shared" si="0"/>
        <v>1.75</v>
      </c>
      <c r="J19" s="53"/>
      <c r="K19" s="53"/>
      <c r="L19" s="53"/>
      <c r="M19" s="53"/>
      <c r="N19" s="53"/>
      <c r="O19" s="59"/>
    </row>
    <row r="20" spans="1:15" x14ac:dyDescent="0.3">
      <c r="A20" s="189">
        <v>60</v>
      </c>
      <c r="B20" s="192" t="s">
        <v>207</v>
      </c>
      <c r="C20" s="189"/>
      <c r="D20" s="195">
        <v>0.01</v>
      </c>
      <c r="E20" s="189" t="s">
        <v>47</v>
      </c>
      <c r="F20" s="189">
        <v>258.60000000000002</v>
      </c>
      <c r="G20" s="193" t="s">
        <v>208</v>
      </c>
      <c r="H20" s="189">
        <v>2</v>
      </c>
      <c r="I20" s="195">
        <f t="shared" si="0"/>
        <v>5.1720000000000006</v>
      </c>
      <c r="J20" s="53"/>
      <c r="K20" s="53"/>
      <c r="L20" s="53"/>
      <c r="M20" s="53"/>
      <c r="N20" s="53"/>
      <c r="O20" s="59"/>
    </row>
    <row r="21" spans="1:15" x14ac:dyDescent="0.3">
      <c r="A21" s="65"/>
      <c r="B21" s="20"/>
      <c r="C21" s="20"/>
      <c r="D21" s="20"/>
      <c r="E21" s="20"/>
      <c r="F21" s="20"/>
      <c r="G21" s="20"/>
      <c r="H21" s="123" t="s">
        <v>18</v>
      </c>
      <c r="I21" s="121">
        <f>SUM(I15:I20)</f>
        <v>80.254000000000005</v>
      </c>
      <c r="J21" s="20"/>
      <c r="K21" s="20"/>
      <c r="L21" s="20"/>
      <c r="M21" s="20"/>
      <c r="N21" s="20"/>
      <c r="O21" s="59"/>
    </row>
    <row r="22" spans="1:15" ht="15" thickBot="1" x14ac:dyDescent="0.35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'FR A0700'!A1" display="'FR A0700'!A1" xr:uid="{00000000-0004-0000-0700-000000000000}"/>
    <hyperlink ref="E3" location="dFR_0700_002!A1" display="Drawing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B1"/>
  <sheetViews>
    <sheetView workbookViewId="0">
      <selection activeCell="M16" sqref="M16"/>
    </sheetView>
  </sheetViews>
  <sheetFormatPr baseColWidth="10" defaultRowHeight="14.4" x14ac:dyDescent="0.3"/>
  <sheetData>
    <row r="1" spans="1:2" x14ac:dyDescent="0.3">
      <c r="A1" t="s">
        <v>158</v>
      </c>
      <c r="B1" s="79" t="s">
        <v>176</v>
      </c>
    </row>
  </sheetData>
  <hyperlinks>
    <hyperlink ref="B1" location="FR_0700_002!A1" display="FR_0700_002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44</vt:i4>
      </vt:variant>
    </vt:vector>
  </HeadingPairs>
  <TitlesOfParts>
    <vt:vector size="63" baseType="lpstr">
      <vt:lpstr>Instructions</vt:lpstr>
      <vt:lpstr>BOM</vt:lpstr>
      <vt:lpstr>FR A0700</vt:lpstr>
      <vt:lpstr>FR_0700_000</vt:lpstr>
      <vt:lpstr>dFR_0700_000</vt:lpstr>
      <vt:lpstr>FR_0700_001</vt:lpstr>
      <vt:lpstr>dFR_0700_001</vt:lpstr>
      <vt:lpstr>FR_0700_002</vt:lpstr>
      <vt:lpstr>dFR_0700_002</vt:lpstr>
      <vt:lpstr>FR_0700_003</vt:lpstr>
      <vt:lpstr>dFR_0700_003</vt:lpstr>
      <vt:lpstr>FR_0700_004</vt:lpstr>
      <vt:lpstr>dFR_0700_004</vt:lpstr>
      <vt:lpstr>FR_0700_005</vt:lpstr>
      <vt:lpstr>dFR_0700_005</vt:lpstr>
      <vt:lpstr>FR_0700_006</vt:lpstr>
      <vt:lpstr>dFR_0700_006</vt:lpstr>
      <vt:lpstr>FR_0700_007</vt:lpstr>
      <vt:lpstr>dFR_0700_007</vt:lpstr>
      <vt:lpstr>BOM!Car</vt:lpstr>
      <vt:lpstr>BOM!CompCode</vt:lpstr>
      <vt:lpstr>FR_0700_000</vt:lpstr>
      <vt:lpstr>FR_0700_000_m</vt:lpstr>
      <vt:lpstr>FR_0700_000_p</vt:lpstr>
      <vt:lpstr>FR_0700_000_q</vt:lpstr>
      <vt:lpstr>FR_0700_001</vt:lpstr>
      <vt:lpstr>FR_0700_001_m</vt:lpstr>
      <vt:lpstr>FR_0700_001_p</vt:lpstr>
      <vt:lpstr>FR_0700_001_q</vt:lpstr>
      <vt:lpstr>FR_0700_002</vt:lpstr>
      <vt:lpstr>FR_0700_002_m</vt:lpstr>
      <vt:lpstr>FR_0700_002_p</vt:lpstr>
      <vt:lpstr>FR_0700_002_q</vt:lpstr>
      <vt:lpstr>FR_0700_003</vt:lpstr>
      <vt:lpstr>FR_0700_003_m</vt:lpstr>
      <vt:lpstr>FR_0700_003_p</vt:lpstr>
      <vt:lpstr>FR_0700_003_q</vt:lpstr>
      <vt:lpstr>FR_0700_004</vt:lpstr>
      <vt:lpstr>FR_0700_004_m</vt:lpstr>
      <vt:lpstr>FR_0700_004_p</vt:lpstr>
      <vt:lpstr>FR_0700_004_q</vt:lpstr>
      <vt:lpstr>FR_0700_005</vt:lpstr>
      <vt:lpstr>FR_0700_005_m</vt:lpstr>
      <vt:lpstr>FR_0700_005_p</vt:lpstr>
      <vt:lpstr>FR_0700_005_q</vt:lpstr>
      <vt:lpstr>FR_0700_006</vt:lpstr>
      <vt:lpstr>FR_0700_006_m</vt:lpstr>
      <vt:lpstr>FR_0700_006_p</vt:lpstr>
      <vt:lpstr>FR_0700_006_q</vt:lpstr>
      <vt:lpstr>FR_0700_007</vt:lpstr>
      <vt:lpstr>FR_0700_007_m</vt:lpstr>
      <vt:lpstr>FR_0700_007_p</vt:lpstr>
      <vt:lpstr>FR_0700_007_q</vt:lpstr>
      <vt:lpstr>FR_A0700</vt:lpstr>
      <vt:lpstr>FR_A0700_f</vt:lpstr>
      <vt:lpstr>FR_A0700_m</vt:lpstr>
      <vt:lpstr>FR_A0700_p</vt:lpstr>
      <vt:lpstr>FR_A0700_pa</vt:lpstr>
      <vt:lpstr>FR_A0700_q</vt:lpstr>
      <vt:lpstr>FR_A0700_t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2018-04-06T08:35:39Z</dcterms:modified>
  <dc:language>fr-FR</dc:language>
</cp:coreProperties>
</file>