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3_ncr:1_{634405E2-3118-48E9-A5FB-D0B7F0A8C099}" xr6:coauthVersionLast="32" xr6:coauthVersionMax="32" xr10:uidLastSave="{00000000-0000-0000-0000-000000000000}"/>
  <bookViews>
    <workbookView xWindow="0" yWindow="0" windowWidth="15210" windowHeight="3870" firstSheet="11" activeTab="17" xr2:uid="{00000000-000D-0000-FFFF-FFFF00000000}"/>
  </bookViews>
  <sheets>
    <sheet name="BOM" sheetId="22" r:id="rId1"/>
    <sheet name="MS A0100" sheetId="2" r:id="rId2"/>
    <sheet name="MS 01001" sheetId="3" r:id="rId3"/>
    <sheet name="dMS 01001" sheetId="4" r:id="rId4"/>
    <sheet name="MS 01002" sheetId="5" r:id="rId5"/>
    <sheet name="dMS 01002" sheetId="6" r:id="rId6"/>
    <sheet name="MS 01003" sheetId="7" r:id="rId7"/>
    <sheet name="dMS 01003" sheetId="8" r:id="rId8"/>
    <sheet name="MS 01004" sheetId="9" r:id="rId9"/>
    <sheet name="dMS 01004" sheetId="10" r:id="rId10"/>
    <sheet name="MS 01005" sheetId="11" r:id="rId11"/>
    <sheet name="dMS 01005" sheetId="12" r:id="rId12"/>
    <sheet name="MS 01006" sheetId="13" r:id="rId13"/>
    <sheet name="dMS 01006" sheetId="14" r:id="rId14"/>
    <sheet name="MS 01007" sheetId="15" r:id="rId15"/>
    <sheet name="dMS 01007" sheetId="16" r:id="rId16"/>
    <sheet name="MS 01008" sheetId="17" r:id="rId17"/>
    <sheet name="dMS 01008" sheetId="18" r:id="rId18"/>
    <sheet name="MS A0200" sheetId="19" r:id="rId19"/>
    <sheet name="MS 02001" sheetId="20" r:id="rId20"/>
    <sheet name="MS A0300" sheetId="24" r:id="rId21"/>
    <sheet name="MS A0400" sheetId="26" r:id="rId22"/>
    <sheet name="MS 04001" sheetId="27" r:id="rId23"/>
    <sheet name="MS 04002" sheetId="28" r:id="rId24"/>
    <sheet name="dMS 04002" sheetId="34" r:id="rId25"/>
    <sheet name="MS 04003" sheetId="29" r:id="rId26"/>
    <sheet name="dMS 04003" sheetId="35" r:id="rId27"/>
    <sheet name="MS A0500" sheetId="31" r:id="rId28"/>
    <sheet name="MS 05001" sheetId="32" r:id="rId29"/>
    <sheet name="dMS 05001" sheetId="33" r:id="rId30"/>
  </sheets>
  <externalReferences>
    <externalReference r:id="rId31"/>
  </externalReferences>
  <definedNames>
    <definedName name="MS_0100_001">'MS 01001'!$B$6</definedName>
    <definedName name="MS_0100_001_BOM">BOM!$C$8</definedName>
    <definedName name="MS_0100_001_m">'MS 01001'!$N$12</definedName>
    <definedName name="MS_0100_001_p">'MS 01001'!$I$18</definedName>
    <definedName name="MS_0100_001_q">'MS 01001'!$N$3</definedName>
    <definedName name="MS_0100_002">'MS 01002'!$B$6</definedName>
    <definedName name="MS_0100_002_BOM">BOM!$C$9</definedName>
    <definedName name="MS_0100_002_m">'MS 01002'!$N$12</definedName>
    <definedName name="MS_0100_002_p">'MS 01002'!$I$17</definedName>
    <definedName name="MS_0100_002_q">'MS 01002'!$N$3</definedName>
    <definedName name="MS_0100_003">'MS 01003'!$B$6</definedName>
    <definedName name="MS_0100_003_BOM">BOM!$C$10</definedName>
    <definedName name="MS_0100_003_m">'MS 01003'!$N$12</definedName>
    <definedName name="MS_0100_003_p">'MS 01003'!$I$18</definedName>
    <definedName name="MS_0100_003_q">'MS 01003'!$N$3</definedName>
    <definedName name="MS_0100_004">'MS 01004'!$B$6</definedName>
    <definedName name="MS_0100_004_BOM">BOM!$C$11</definedName>
    <definedName name="MS_0100_004_m">'MS 01004'!$N$12</definedName>
    <definedName name="MS_0100_004_p">'MS 01004'!$I$17</definedName>
    <definedName name="MS_0100_004_q">'MS 01004'!$N$3</definedName>
    <definedName name="MS_0100_005">'MS 01005'!$B$6</definedName>
    <definedName name="MS_0100_005_BOM">BOM!$C$12</definedName>
    <definedName name="MS_0100_005_m">'MS 01005'!$N$12</definedName>
    <definedName name="MS_0100_005_p">'MS 01005'!$I$17</definedName>
    <definedName name="MS_0100_005_q">'MS 01005'!$N$3</definedName>
    <definedName name="MS_0100_006">'MS 01006'!$B$6</definedName>
    <definedName name="MS_0100_006_BOM">BOM!$C$13</definedName>
    <definedName name="MS_0100_006_m">'MS 01006'!$N$12</definedName>
    <definedName name="MS_0100_006_p">'MS 01006'!$I$17</definedName>
    <definedName name="MS_0100_006_q">'MS 01006'!$N$3</definedName>
    <definedName name="MS_0100_007">'MS 01007'!$B$6</definedName>
    <definedName name="MS_0100_007_BOM">BOM!$C$14</definedName>
    <definedName name="MS_0100_007_m">'MS 01007'!$N$12</definedName>
    <definedName name="MS_0100_007_p">'MS 01007'!$I$17</definedName>
    <definedName name="MS_0100_007_q">'MS 01007'!$N$3</definedName>
    <definedName name="MS_0100_008">'MS 01008'!$B$6</definedName>
    <definedName name="MS_0100_008_BOM">BOM!$C$15</definedName>
    <definedName name="MS_0100_008_m">'MS 01008'!$N$12</definedName>
    <definedName name="MS_0100_008_p">'MS 01008'!$I$17</definedName>
    <definedName name="MS_0100_008_q">'MS 01008'!$N$3</definedName>
    <definedName name="MS_02001">'MS 02001'!$B$6</definedName>
    <definedName name="MS_02001_a">'MS 02001'!$N$3</definedName>
    <definedName name="MS_02001_BOM">BOM!$C$17</definedName>
    <definedName name="MS_02001_m">'MS 02001'!$N$13</definedName>
    <definedName name="MS_02001_p">'MS 02001'!$I$18</definedName>
    <definedName name="MS_02001_q">'MS 02001'!$N$3</definedName>
    <definedName name="MS_04001">'MS 04001'!$B$6</definedName>
    <definedName name="MS_04001_BOM">BOM!$C$20</definedName>
    <definedName name="MS_04001_m">'MS 04001'!$N$13</definedName>
    <definedName name="MS_04001_p">'MS 04001'!$I$24</definedName>
    <definedName name="MS_04001_q">'MS 04001'!$N$3</definedName>
    <definedName name="MS_04001_t">'MS 04001'!$I$29</definedName>
    <definedName name="MS_04002">'MS 04002'!$B$6</definedName>
    <definedName name="MS_04002_BOM">BOM!$C$21</definedName>
    <definedName name="MS_04002_m">'MS 04002'!$N$12</definedName>
    <definedName name="MS_04002_p">'MS 04002'!$I$18</definedName>
    <definedName name="MS_04002_q">'MS 04002'!$N$3</definedName>
    <definedName name="MS_04003">'MS 04003'!$B$6</definedName>
    <definedName name="MS_04003_BOM">BOM!$C$22</definedName>
    <definedName name="MS_04003_m">'MS 04003'!$N$12</definedName>
    <definedName name="MS_04003_p">'MS 04003'!$I$18</definedName>
    <definedName name="MS_04003_q">'MS 04003'!$N$3</definedName>
    <definedName name="MS_05001">'MS 05001'!$B$6</definedName>
    <definedName name="MS_05001_BOM">BOM!$C$24</definedName>
    <definedName name="MS_05001_m">'MS 05001'!$N$12</definedName>
    <definedName name="MS_05001_p">'MS 05001'!$I$17</definedName>
    <definedName name="MS_05001_q">'MS 05001'!$N$3</definedName>
    <definedName name="MS_A0100">'MS A0100'!$B$5</definedName>
    <definedName name="MS_A0100_BOM">BOM!$C$7</definedName>
    <definedName name="MS_A0100_f">'MS A0100'!$J$65</definedName>
    <definedName name="MS_A0100_m">'MS A0100'!$N$24</definedName>
    <definedName name="MS_A0100_p">'MS A0100'!$I$59</definedName>
    <definedName name="MS_A0100_pa">'MS A0100'!$E$18</definedName>
    <definedName name="MS_A0100_q">'MS A0100'!$N$3</definedName>
    <definedName name="MS_A0100_t">'MS A0100'!$I$69</definedName>
    <definedName name="MS_A0200">'MS A0200'!$B$5</definedName>
    <definedName name="MS_A0200_BOM">BOM!$C$16</definedName>
    <definedName name="MS_A0200_f">'MS A0200'!$J$23</definedName>
    <definedName name="MS_A0200_p">'MS A0200'!$I$18</definedName>
    <definedName name="MS_A0200_pa">'MS A0200'!$E$12</definedName>
    <definedName name="MS_A0200_q">'MS A0200'!$N$3</definedName>
    <definedName name="MS_A0300">'MS A0300'!$B$5</definedName>
    <definedName name="MS_A0300_BOM">BOM!$C$18</definedName>
    <definedName name="MS_A0300_m">'MS A0300'!$N$14</definedName>
    <definedName name="MS_A0300_p">'MS A0300'!$I$23</definedName>
    <definedName name="MS_A0300_q">'MS A0300'!$N$3</definedName>
    <definedName name="MS_A0400">'MS A0400'!$B$5</definedName>
    <definedName name="MS_A0400_BOM">BOM!$C$19</definedName>
    <definedName name="MS_A0400_f">'MS A0400'!$J$31</definedName>
    <definedName name="MS_A0400_m">'MS A0400'!$N$17</definedName>
    <definedName name="MS_A0400_p">'MS A0400'!$I$25</definedName>
    <definedName name="MS_A0400_pa">'MS A0400'!$E$13</definedName>
    <definedName name="MS_A0400_q">'MS A0400'!$N$3</definedName>
    <definedName name="MS_A0400_t">'MS A0400'!$I$35</definedName>
    <definedName name="MS_A0500">'MS A0500'!$B$5</definedName>
    <definedName name="MS_A0500_BOM">BOM!$C$23</definedName>
    <definedName name="MS_A0500_f">'MS A0500'!$J$30</definedName>
    <definedName name="MS_A0500_m">'MS A0500'!$N$16</definedName>
    <definedName name="MS_A0500_p">'MS A0500'!$I$25</definedName>
    <definedName name="MS_A0500_pa">'MS A0500'!$E$11</definedName>
    <definedName name="MS_A0500_q">'MS A0500'!$N$3</definedName>
    <definedName name="MS_A0500_t">'MS A0500'!$I$34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4" l="1"/>
  <c r="B1" i="35"/>
  <c r="B1" i="34"/>
  <c r="C7" i="22"/>
  <c r="B1" i="18"/>
  <c r="B1" i="16"/>
  <c r="B1" i="14"/>
  <c r="B1" i="12"/>
  <c r="B1" i="10"/>
  <c r="I8" i="22"/>
  <c r="I17" i="22"/>
  <c r="B4" i="29"/>
  <c r="B4" i="27"/>
  <c r="I23" i="27"/>
  <c r="N12" i="27"/>
  <c r="N11" i="24"/>
  <c r="B7" i="22"/>
  <c r="B23" i="22"/>
  <c r="C23" i="22"/>
  <c r="C22" i="22"/>
  <c r="C20" i="22"/>
  <c r="C18" i="22"/>
  <c r="C15" i="22"/>
  <c r="C14" i="22"/>
  <c r="C9" i="22"/>
  <c r="I24" i="22"/>
  <c r="I23" i="22"/>
  <c r="F24" i="22"/>
  <c r="F23" i="22"/>
  <c r="E24" i="22"/>
  <c r="C24" i="22"/>
  <c r="B25" i="22"/>
  <c r="O1" i="22"/>
  <c r="I22" i="22"/>
  <c r="I20" i="22"/>
  <c r="I18" i="22"/>
  <c r="F22" i="22"/>
  <c r="F18" i="22"/>
  <c r="F19" i="22"/>
  <c r="E21" i="22"/>
  <c r="C19" i="22"/>
  <c r="B19" i="22"/>
  <c r="B18" i="22"/>
  <c r="I19" i="22"/>
  <c r="B20" i="22"/>
  <c r="F20" i="22"/>
  <c r="B21" i="22"/>
  <c r="C21" i="22"/>
  <c r="F21" i="22"/>
  <c r="I21" i="22"/>
  <c r="B22" i="22"/>
  <c r="I16" i="22"/>
  <c r="F17" i="22"/>
  <c r="F16" i="22"/>
  <c r="E17" i="22"/>
  <c r="C16" i="22"/>
  <c r="B16" i="22"/>
  <c r="I7" i="22"/>
  <c r="E22" i="22"/>
  <c r="E20" i="22"/>
  <c r="F7" i="22"/>
  <c r="B1" i="33"/>
  <c r="B3" i="20"/>
  <c r="B3" i="32"/>
  <c r="B24" i="22"/>
  <c r="B4" i="32"/>
  <c r="N11" i="32"/>
  <c r="N12" i="32"/>
  <c r="I15" i="32"/>
  <c r="I17" i="32"/>
  <c r="K24" i="22"/>
  <c r="I16" i="32"/>
  <c r="D10" i="31"/>
  <c r="N14" i="31"/>
  <c r="N16" i="31"/>
  <c r="J23" i="22"/>
  <c r="N15" i="31"/>
  <c r="I19" i="31"/>
  <c r="I20" i="31"/>
  <c r="I21" i="31"/>
  <c r="I22" i="31"/>
  <c r="I23" i="31"/>
  <c r="I24" i="31"/>
  <c r="J28" i="31"/>
  <c r="J30" i="31"/>
  <c r="L23" i="22"/>
  <c r="J29" i="31"/>
  <c r="I33" i="31"/>
  <c r="I34" i="31"/>
  <c r="M23" i="22"/>
  <c r="I25" i="31"/>
  <c r="J24" i="22"/>
  <c r="H24" i="22"/>
  <c r="N24" i="22"/>
  <c r="N2" i="32"/>
  <c r="K23" i="22"/>
  <c r="H23" i="22"/>
  <c r="N23" i="22"/>
  <c r="B3" i="29"/>
  <c r="N11" i="29"/>
  <c r="N12" i="29"/>
  <c r="I16" i="29"/>
  <c r="I18" i="29"/>
  <c r="K22" i="22"/>
  <c r="A17" i="29"/>
  <c r="I17" i="29"/>
  <c r="B3" i="28"/>
  <c r="B4" i="28"/>
  <c r="N11" i="28"/>
  <c r="N12" i="28"/>
  <c r="I16" i="28"/>
  <c r="A17" i="28"/>
  <c r="I17" i="28"/>
  <c r="B3" i="27"/>
  <c r="N11" i="27"/>
  <c r="I17" i="27"/>
  <c r="A18" i="27"/>
  <c r="A19" i="27"/>
  <c r="A20" i="27"/>
  <c r="A21" i="27"/>
  <c r="A22" i="27"/>
  <c r="I18" i="27"/>
  <c r="I19" i="27"/>
  <c r="I20" i="27"/>
  <c r="I21" i="27"/>
  <c r="I22" i="27"/>
  <c r="I28" i="27"/>
  <c r="I29" i="27"/>
  <c r="M20" i="22"/>
  <c r="D10" i="26"/>
  <c r="D11" i="26"/>
  <c r="D12" i="26"/>
  <c r="N16" i="26"/>
  <c r="N17" i="26"/>
  <c r="J19" i="22"/>
  <c r="I20" i="26"/>
  <c r="I21" i="26"/>
  <c r="I22" i="26"/>
  <c r="I23" i="26"/>
  <c r="I24" i="26"/>
  <c r="J28" i="26"/>
  <c r="J29" i="26"/>
  <c r="J30" i="26"/>
  <c r="I34" i="26"/>
  <c r="I35" i="26"/>
  <c r="M19" i="22"/>
  <c r="N5" i="32"/>
  <c r="C10" i="31"/>
  <c r="E10" i="31"/>
  <c r="E11" i="31"/>
  <c r="N2" i="31"/>
  <c r="J21" i="22"/>
  <c r="N2" i="28"/>
  <c r="C11" i="26"/>
  <c r="E11" i="26"/>
  <c r="J22" i="22"/>
  <c r="H22" i="22"/>
  <c r="N22" i="22"/>
  <c r="N2" i="29"/>
  <c r="J20" i="22"/>
  <c r="N13" i="27"/>
  <c r="I18" i="28"/>
  <c r="K21" i="22"/>
  <c r="J31" i="26"/>
  <c r="L19" i="22"/>
  <c r="I25" i="26"/>
  <c r="K19" i="22"/>
  <c r="I24" i="27"/>
  <c r="N2" i="27"/>
  <c r="C10" i="26"/>
  <c r="C12" i="26"/>
  <c r="E12" i="26"/>
  <c r="N5" i="28"/>
  <c r="H21" i="22"/>
  <c r="N21" i="22"/>
  <c r="H19" i="22"/>
  <c r="N19" i="22"/>
  <c r="K20" i="22"/>
  <c r="H20" i="22"/>
  <c r="N20" i="22"/>
  <c r="N5" i="29"/>
  <c r="N12" i="24"/>
  <c r="N13" i="24"/>
  <c r="I17" i="24"/>
  <c r="I18" i="24"/>
  <c r="I19" i="24"/>
  <c r="I20" i="24"/>
  <c r="I21" i="24"/>
  <c r="I22" i="24"/>
  <c r="I23" i="24"/>
  <c r="K18" i="22"/>
  <c r="N14" i="24"/>
  <c r="I17" i="20"/>
  <c r="I18" i="20"/>
  <c r="K17" i="22"/>
  <c r="N12" i="20"/>
  <c r="N13" i="20"/>
  <c r="J17" i="22"/>
  <c r="B4" i="20"/>
  <c r="J22" i="19"/>
  <c r="J23" i="19"/>
  <c r="L16" i="22"/>
  <c r="I17" i="19"/>
  <c r="I16" i="19"/>
  <c r="D11" i="19"/>
  <c r="I16" i="17"/>
  <c r="I15" i="17"/>
  <c r="I17" i="17"/>
  <c r="H15" i="17"/>
  <c r="J11" i="17"/>
  <c r="E11" i="17"/>
  <c r="B4" i="17"/>
  <c r="B3" i="17"/>
  <c r="I16" i="15"/>
  <c r="I15" i="15"/>
  <c r="I17" i="15"/>
  <c r="J11" i="15"/>
  <c r="N11" i="15"/>
  <c r="N12" i="15"/>
  <c r="N2" i="15"/>
  <c r="N5" i="15"/>
  <c r="B4" i="15"/>
  <c r="B3" i="15"/>
  <c r="I16" i="13"/>
  <c r="I17" i="13"/>
  <c r="I15" i="13"/>
  <c r="N11" i="13"/>
  <c r="N12" i="13"/>
  <c r="E11" i="13"/>
  <c r="B4" i="13"/>
  <c r="B3" i="13"/>
  <c r="I16" i="11"/>
  <c r="I15" i="11"/>
  <c r="I17" i="11"/>
  <c r="N11" i="11"/>
  <c r="N12" i="11"/>
  <c r="E11" i="11"/>
  <c r="B4" i="11"/>
  <c r="B3" i="11"/>
  <c r="I16" i="9"/>
  <c r="I17" i="9"/>
  <c r="I15" i="9"/>
  <c r="N12" i="9"/>
  <c r="N2" i="9"/>
  <c r="N5" i="9"/>
  <c r="N11" i="9"/>
  <c r="E11" i="9"/>
  <c r="B4" i="9"/>
  <c r="B3" i="9"/>
  <c r="I17" i="7"/>
  <c r="I16" i="7"/>
  <c r="F16" i="7"/>
  <c r="I15" i="7"/>
  <c r="I18" i="7"/>
  <c r="N11" i="7"/>
  <c r="N12" i="7"/>
  <c r="N2" i="7"/>
  <c r="N5" i="7"/>
  <c r="E11" i="7"/>
  <c r="B4" i="7"/>
  <c r="B3" i="7"/>
  <c r="I16" i="5"/>
  <c r="F16" i="5"/>
  <c r="I15" i="5"/>
  <c r="I17" i="5"/>
  <c r="N11" i="5"/>
  <c r="N12" i="5"/>
  <c r="N2" i="5"/>
  <c r="E11" i="5"/>
  <c r="B4" i="5"/>
  <c r="B3" i="5"/>
  <c r="I17" i="3"/>
  <c r="F16" i="3"/>
  <c r="I16" i="3"/>
  <c r="I15" i="3"/>
  <c r="N11" i="3"/>
  <c r="N12" i="3"/>
  <c r="E11" i="3"/>
  <c r="B4" i="3"/>
  <c r="B3" i="3"/>
  <c r="F68" i="2"/>
  <c r="I68" i="2"/>
  <c r="I69" i="2"/>
  <c r="M7" i="22"/>
  <c r="J64" i="2"/>
  <c r="D64" i="2"/>
  <c r="J63" i="2"/>
  <c r="D62" i="2"/>
  <c r="J62" i="2"/>
  <c r="J65" i="2"/>
  <c r="L7" i="2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F30" i="2"/>
  <c r="I30" i="2"/>
  <c r="F29" i="2"/>
  <c r="I29" i="2"/>
  <c r="F28" i="2"/>
  <c r="I28" i="2"/>
  <c r="F27" i="2"/>
  <c r="I27" i="2"/>
  <c r="N23" i="2"/>
  <c r="M22" i="2"/>
  <c r="N22" i="2"/>
  <c r="E22" i="2"/>
  <c r="E21" i="2"/>
  <c r="M21" i="2"/>
  <c r="N21" i="2"/>
  <c r="D17" i="2"/>
  <c r="D16" i="2"/>
  <c r="D15" i="2"/>
  <c r="D14" i="2"/>
  <c r="D13" i="2"/>
  <c r="D12" i="2"/>
  <c r="D11" i="2"/>
  <c r="D10" i="2"/>
  <c r="K15" i="22"/>
  <c r="J15" i="22"/>
  <c r="I15" i="22"/>
  <c r="F15" i="22"/>
  <c r="K14" i="22"/>
  <c r="J14" i="22"/>
  <c r="I14" i="22"/>
  <c r="F14" i="22"/>
  <c r="K13" i="22"/>
  <c r="J13" i="22"/>
  <c r="I13" i="22"/>
  <c r="F13" i="22"/>
  <c r="C13" i="22"/>
  <c r="K12" i="22"/>
  <c r="J12" i="22"/>
  <c r="I12" i="22"/>
  <c r="F12" i="22"/>
  <c r="C12" i="22"/>
  <c r="K11" i="22"/>
  <c r="J11" i="22"/>
  <c r="I11" i="22"/>
  <c r="F11" i="22"/>
  <c r="C11" i="22"/>
  <c r="K10" i="22"/>
  <c r="J10" i="22"/>
  <c r="I10" i="22"/>
  <c r="F10" i="22"/>
  <c r="C10" i="22"/>
  <c r="K9" i="22"/>
  <c r="J9" i="22"/>
  <c r="I9" i="22"/>
  <c r="F9" i="22"/>
  <c r="K8" i="22"/>
  <c r="J8" i="22"/>
  <c r="F8" i="22"/>
  <c r="C8" i="22"/>
  <c r="E15" i="22"/>
  <c r="N5" i="5"/>
  <c r="C11" i="2"/>
  <c r="N24" i="2"/>
  <c r="J7" i="22"/>
  <c r="N2" i="11"/>
  <c r="N5" i="11"/>
  <c r="E11" i="15"/>
  <c r="N11" i="17"/>
  <c r="N12" i="17"/>
  <c r="N2" i="17"/>
  <c r="C17" i="2"/>
  <c r="M25" i="22"/>
  <c r="L25" i="22"/>
  <c r="N2" i="13"/>
  <c r="N5" i="13"/>
  <c r="I18" i="19"/>
  <c r="K16" i="22"/>
  <c r="H16" i="22"/>
  <c r="N16" i="22"/>
  <c r="K25" i="22"/>
  <c r="H17" i="22"/>
  <c r="N17" i="22"/>
  <c r="I59" i="2"/>
  <c r="K7" i="22"/>
  <c r="N2" i="24"/>
  <c r="N5" i="24"/>
  <c r="J18" i="22"/>
  <c r="J25" i="22"/>
  <c r="I18" i="3"/>
  <c r="N2" i="3"/>
  <c r="N5" i="3"/>
  <c r="B9" i="22"/>
  <c r="B13" i="22"/>
  <c r="B8" i="22"/>
  <c r="B10" i="22"/>
  <c r="B14" i="22"/>
  <c r="B11" i="22"/>
  <c r="B15" i="22"/>
  <c r="B12" i="22"/>
  <c r="N2" i="20"/>
  <c r="N5" i="20"/>
  <c r="N5" i="31"/>
  <c r="C12" i="2"/>
  <c r="E12" i="2"/>
  <c r="C14" i="2"/>
  <c r="E14" i="2"/>
  <c r="H9" i="22"/>
  <c r="N9" i="22"/>
  <c r="H10" i="22"/>
  <c r="N10" i="22"/>
  <c r="H15" i="22"/>
  <c r="N15" i="22"/>
  <c r="C16" i="2"/>
  <c r="E16" i="2"/>
  <c r="H12" i="22"/>
  <c r="N12" i="22"/>
  <c r="H14" i="22"/>
  <c r="N14" i="22"/>
  <c r="H8" i="22"/>
  <c r="N8" i="22"/>
  <c r="H11" i="22"/>
  <c r="N11" i="22"/>
  <c r="H13" i="22"/>
  <c r="N13" i="22"/>
  <c r="E11" i="2"/>
  <c r="N5" i="17"/>
  <c r="E17" i="2"/>
  <c r="E8" i="22"/>
  <c r="E13" i="22"/>
  <c r="C15" i="2"/>
  <c r="E15" i="2"/>
  <c r="E9" i="22"/>
  <c r="C13" i="2"/>
  <c r="E13" i="2"/>
  <c r="C11" i="19"/>
  <c r="E11" i="19"/>
  <c r="E12" i="19"/>
  <c r="N2" i="19"/>
  <c r="N5" i="19"/>
  <c r="E12" i="22"/>
  <c r="E10" i="22"/>
  <c r="E14" i="22"/>
  <c r="E11" i="22"/>
  <c r="C10" i="2"/>
  <c r="E10" i="2"/>
  <c r="E18" i="2"/>
  <c r="N2" i="2"/>
  <c r="N5" i="2"/>
  <c r="H7" i="22"/>
  <c r="N7" i="22"/>
  <c r="H18" i="22"/>
  <c r="N18" i="22"/>
  <c r="N5" i="27"/>
  <c r="E10" i="26"/>
  <c r="E13" i="26"/>
  <c r="N25" i="22"/>
  <c r="N2" i="26"/>
  <c r="N5" i="26"/>
</calcChain>
</file>

<file path=xl/sharedStrings.xml><?xml version="1.0" encoding="utf-8"?>
<sst xmlns="http://schemas.openxmlformats.org/spreadsheetml/2006/main" count="1380" uniqueCount="244">
  <si>
    <t>Sub Total</t>
  </si>
  <si>
    <t>point</t>
  </si>
  <si>
    <t>Mounts welded to the chassis</t>
  </si>
  <si>
    <t>Welds - Welding Fixture</t>
  </si>
  <si>
    <t>FractionIncluded</t>
  </si>
  <si>
    <t>PVF</t>
  </si>
  <si>
    <t>Quantity</t>
  </si>
  <si>
    <t>Unit</t>
  </si>
  <si>
    <t>UnitCost</t>
  </si>
  <si>
    <t>Use</t>
  </si>
  <si>
    <t>Tooling</t>
  </si>
  <si>
    <t>ItemOrder</t>
  </si>
  <si>
    <t>mm</t>
  </si>
  <si>
    <t>Fixing the Plates to the Brackets</t>
  </si>
  <si>
    <t>Nut, Grade 8.8 (SAE 5)</t>
  </si>
  <si>
    <t>Washer, Grade 8.8 (SAE 5)</t>
  </si>
  <si>
    <t>Bolt, Grade 8.8 (SAE 5)</t>
  </si>
  <si>
    <t>Unit2</t>
  </si>
  <si>
    <t>Size2</t>
  </si>
  <si>
    <t>Unit1</t>
  </si>
  <si>
    <t>Size1</t>
  </si>
  <si>
    <t>Fastener</t>
  </si>
  <si>
    <t>m</t>
  </si>
  <si>
    <t>Sealing with aluminium tape</t>
  </si>
  <si>
    <t>Tape</t>
  </si>
  <si>
    <t>Fixing the Firewall Lower right Side Plate to the Brackets</t>
  </si>
  <si>
    <t>Reaction Tool &lt;= 25.4 mm</t>
  </si>
  <si>
    <t>Positioning the Firewall Lower right Side Plate on the Brackets</t>
  </si>
  <si>
    <t>Assemble, 1 kg, Loose</t>
  </si>
  <si>
    <t>Fixing the Firewall Middle right Side Plate to the Brackets</t>
  </si>
  <si>
    <t>Positioning the Firewall Middle right Side Plate on the Brackets</t>
  </si>
  <si>
    <t>Fixing the Firewall Upper right Side Plate to the Brackets</t>
  </si>
  <si>
    <t>Positioning the Firewall Upper right Side Plate on the Brackets</t>
  </si>
  <si>
    <t>Fixing the Firewall Lower left Side Plate to the Brackets</t>
  </si>
  <si>
    <t>Positioning the Firewall Lower left Side Plate on the Brackets</t>
  </si>
  <si>
    <t>Fixing the Firewall Middle left Side Plate to the Brackets</t>
  </si>
  <si>
    <t>Positioning the Firewall Middle left Side Plate on the Brackets</t>
  </si>
  <si>
    <t>Fixing the Firewall Upper left Side Plate to the Brackets</t>
  </si>
  <si>
    <t>Positioning the Firewall Upper left Side Plate on the Brackets</t>
  </si>
  <si>
    <t>Fixing the Firewall Bottom Plate to the Brackets</t>
  </si>
  <si>
    <t>Positioning the Firewall Bottom Plate on the Brackets</t>
  </si>
  <si>
    <t>Fixing the Firewall Upper Plate to the Brackets</t>
  </si>
  <si>
    <t>Positioning the Firewall Upper Plate on the Brackets</t>
  </si>
  <si>
    <t>Fixing the Firewall Middle Plate to the Brackets</t>
  </si>
  <si>
    <t>Positioning the Firewall Middle Plate on the Brackets</t>
  </si>
  <si>
    <t>m^2</t>
  </si>
  <si>
    <t>Painting the Firewall Middle, Bottom and Sides Brackets</t>
  </si>
  <si>
    <t>Aerosol Apply</t>
  </si>
  <si>
    <t>Painting the Firewall Up Brackets</t>
  </si>
  <si>
    <t>cm</t>
  </si>
  <si>
    <t>Welding the Firewall Middle, Bottom and Sides Brackets on the chassis</t>
  </si>
  <si>
    <t>Weld</t>
  </si>
  <si>
    <t>Welding the Firewall Up Brackets on the chassis</t>
  </si>
  <si>
    <t>Mult. Val.</t>
  </si>
  <si>
    <t>Multiplier</t>
  </si>
  <si>
    <t>Process</t>
  </si>
  <si>
    <t>Paint</t>
  </si>
  <si>
    <t>Density</t>
  </si>
  <si>
    <t>Length</t>
  </si>
  <si>
    <t>Area</t>
  </si>
  <si>
    <t>Area Name</t>
  </si>
  <si>
    <t>Material</t>
  </si>
  <si>
    <t>Firewall Middle, Bottom and Sides Bracket</t>
  </si>
  <si>
    <t>Firewall Up Bracket</t>
  </si>
  <si>
    <t>Firewall Lower Side</t>
  </si>
  <si>
    <t>Firewall Middle Side</t>
  </si>
  <si>
    <t>Firewall Upper Side</t>
  </si>
  <si>
    <t>Firewall Bottom</t>
  </si>
  <si>
    <t>Firewall Middle</t>
  </si>
  <si>
    <t>Firewall Up</t>
  </si>
  <si>
    <t>Part Cost</t>
  </si>
  <si>
    <t>Part</t>
  </si>
  <si>
    <t>The assembly of the Firewall</t>
  </si>
  <si>
    <t>Details</t>
  </si>
  <si>
    <t>FileLink3</t>
  </si>
  <si>
    <t>AA</t>
  </si>
  <si>
    <t>Suffix</t>
  </si>
  <si>
    <t>Extended Cost</t>
  </si>
  <si>
    <t>FileLink2</t>
  </si>
  <si>
    <t>P/N Base</t>
  </si>
  <si>
    <t>FileLink1</t>
  </si>
  <si>
    <t>Firewall</t>
  </si>
  <si>
    <t>Assembly</t>
  </si>
  <si>
    <t>Qty</t>
  </si>
  <si>
    <t>System</t>
  </si>
  <si>
    <t>Asm Cost</t>
  </si>
  <si>
    <t>Car #</t>
  </si>
  <si>
    <t>Back to BOM</t>
  </si>
  <si>
    <t>Ecole Centrale de Lyon</t>
  </si>
  <si>
    <t>University</t>
  </si>
  <si>
    <t>bend</t>
  </si>
  <si>
    <t>Sheet metal bends</t>
  </si>
  <si>
    <t>Material - Aluminum</t>
  </si>
  <si>
    <t>Laser Cut</t>
  </si>
  <si>
    <t>unit</t>
  </si>
  <si>
    <t>Machining Setup, Install and remove</t>
  </si>
  <si>
    <t>Frontal area</t>
  </si>
  <si>
    <t>kg</t>
  </si>
  <si>
    <t>Aluminum, Normal (per kg)</t>
  </si>
  <si>
    <t>Upper plate</t>
  </si>
  <si>
    <t>Drawing</t>
  </si>
  <si>
    <t>Drawing part :</t>
  </si>
  <si>
    <t>Middle plate</t>
  </si>
  <si>
    <t xml:space="preserve">Drawing part : </t>
  </si>
  <si>
    <t>Lower plate</t>
  </si>
  <si>
    <t xml:space="preserve">Drawing Part : </t>
  </si>
  <si>
    <t>2 parts made from the same plate</t>
  </si>
  <si>
    <t>Upper side plate</t>
  </si>
  <si>
    <t>Middle side plate</t>
  </si>
  <si>
    <t>frontal area</t>
  </si>
  <si>
    <t>Lower side plate</t>
  </si>
  <si>
    <t>Material - Steel</t>
  </si>
  <si>
    <t>4 parts made from the same plate</t>
  </si>
  <si>
    <t>Steel, Alloy (kg)</t>
  </si>
  <si>
    <t>Bracket for the upper plate</t>
  </si>
  <si>
    <t>24 parts made from the same plate</t>
  </si>
  <si>
    <t>Bracket for the Middle, Bottom and Side plates</t>
  </si>
  <si>
    <t>Maintaining rollbar padding</t>
  </si>
  <si>
    <t>Tie Wrap</t>
  </si>
  <si>
    <t>Install Tie Wrap (Zip Tie, Cable Clamp)</t>
  </si>
  <si>
    <t>Placing rollbar padding on frame</t>
  </si>
  <si>
    <t>Assemble, 1kg, Line-on-Line</t>
  </si>
  <si>
    <t>Rollbar padding</t>
  </si>
  <si>
    <t>2 roll bar paddings on frame</t>
  </si>
  <si>
    <t>MS A0200</t>
  </si>
  <si>
    <t>Driver's Safety</t>
  </si>
  <si>
    <t>cm^2</t>
  </si>
  <si>
    <t>Applying glue to padding</t>
  </si>
  <si>
    <t>Brush apply</t>
  </si>
  <si>
    <t>Roll Hoop Padding</t>
  </si>
  <si>
    <t>Adhesive</t>
  </si>
  <si>
    <t>MS 02001</t>
  </si>
  <si>
    <t>Area Total</t>
  </si>
  <si>
    <t>Details Page Number</t>
  </si>
  <si>
    <t>Total Cost</t>
  </si>
  <si>
    <t>Tooling Cost</t>
  </si>
  <si>
    <t>Fastener Cost</t>
  </si>
  <si>
    <t>Process Cost</t>
  </si>
  <si>
    <t>Material Cost</t>
  </si>
  <si>
    <t>Unit Cost</t>
  </si>
  <si>
    <t>Description</t>
  </si>
  <si>
    <t>Component</t>
  </si>
  <si>
    <t>Asm</t>
  </si>
  <si>
    <t>Rev. Lvl.</t>
  </si>
  <si>
    <t>Asm/Prt #</t>
  </si>
  <si>
    <t>Area of Commodity</t>
  </si>
  <si>
    <t>Line Num.</t>
  </si>
  <si>
    <t>The cost of assemlies on this chart should not include the cost of the parts in the assembly but only the materials, processes, fasteners and tooling in the assembly level.</t>
  </si>
  <si>
    <t>Year</t>
  </si>
  <si>
    <t>FSAEI</t>
  </si>
  <si>
    <t>Competition Code</t>
  </si>
  <si>
    <t>Total Vehicle Cost</t>
  </si>
  <si>
    <t>Placing padding &amp; fabric on firewall</t>
  </si>
  <si>
    <t>Assemble, 1kg, Loose</t>
  </si>
  <si>
    <t>Applying glue to firewall</t>
  </si>
  <si>
    <t>Placing fabric on padding</t>
  </si>
  <si>
    <t>Cutting fabric into shape</t>
  </si>
  <si>
    <t>Cut (scissors, knife)</t>
  </si>
  <si>
    <t>Cutting padding into shape</t>
  </si>
  <si>
    <t>Recover padding</t>
  </si>
  <si>
    <t>Fabric</t>
  </si>
  <si>
    <t>Maintain padding on firewall</t>
  </si>
  <si>
    <t>Head Rest Padding</t>
  </si>
  <si>
    <t>Placed on firewall</t>
  </si>
  <si>
    <t>MS A0300</t>
  </si>
  <si>
    <t>Head Restraint</t>
  </si>
  <si>
    <t>Welding bracket to frame</t>
  </si>
  <si>
    <t>Bolt seat and brackets</t>
  </si>
  <si>
    <t>Washer, Grade 8,8 (SAE 5)</t>
  </si>
  <si>
    <t>Nut, Grade 8,8 (SAE 5)</t>
  </si>
  <si>
    <t>Bolt, Grade 8,8 (SAE 5)</t>
  </si>
  <si>
    <t>Fasten seat to brackets</t>
  </si>
  <si>
    <t>Reaction tool &lt;= 25,4 mm</t>
  </si>
  <si>
    <t>Assemble seat</t>
  </si>
  <si>
    <t>Repeat 2 times</t>
  </si>
  <si>
    <t>Bracket painting</t>
  </si>
  <si>
    <t>Welding brackets  to frame</t>
  </si>
  <si>
    <t>Seat brackets painting</t>
  </si>
  <si>
    <t>Front seat bracket</t>
  </si>
  <si>
    <t>Rear seat bracket</t>
  </si>
  <si>
    <t>Seat</t>
  </si>
  <si>
    <t>Driver's restraint system</t>
  </si>
  <si>
    <t>MS A0400</t>
  </si>
  <si>
    <t>Driver's seat</t>
  </si>
  <si>
    <t>Lamination</t>
  </si>
  <si>
    <t>Lamination - Composite Tool</t>
  </si>
  <si>
    <t>hole</t>
  </si>
  <si>
    <t>Cutout fixation holes</t>
  </si>
  <si>
    <t>Drilled holes &lt; 25,4 mm dia.</t>
  </si>
  <si>
    <t>cm^3</t>
  </si>
  <si>
    <t>Clean cuts</t>
  </si>
  <si>
    <t>Hand Finish - Material Removal</t>
  </si>
  <si>
    <t>cut</t>
  </si>
  <si>
    <t>Cutout seat border</t>
  </si>
  <si>
    <t>Non-metallic cutting &gt; 76,2 mm</t>
  </si>
  <si>
    <t>Resin application, Manual</t>
  </si>
  <si>
    <t>Lamination, Manual</t>
  </si>
  <si>
    <t>Cut ply</t>
  </si>
  <si>
    <t>Stock material for part</t>
  </si>
  <si>
    <t>Glass Fiber, 1 Ply</t>
  </si>
  <si>
    <t>MS 04001</t>
  </si>
  <si>
    <t xml:space="preserve">Material - Steel </t>
  </si>
  <si>
    <t>Cutout shape</t>
  </si>
  <si>
    <t>2 parts with one machine setup</t>
  </si>
  <si>
    <t>Setup for laser cutting</t>
  </si>
  <si>
    <t>Steel, Mild</t>
  </si>
  <si>
    <t>MS 04002</t>
  </si>
  <si>
    <t>MS 04003</t>
  </si>
  <si>
    <t>Welding tab to frame</t>
  </si>
  <si>
    <t>Attach harness to tab</t>
  </si>
  <si>
    <t>Eyebolt, Threaded, Steel</t>
  </si>
  <si>
    <t>Assemble harness</t>
  </si>
  <si>
    <t>Assemble, 3kg, Loose</t>
  </si>
  <si>
    <t>Fastener installation</t>
  </si>
  <si>
    <t>Wrench &lt;= 25,4 mm</t>
  </si>
  <si>
    <t>tab painting</t>
  </si>
  <si>
    <t>Harness tab painting</t>
  </si>
  <si>
    <t>6-point harness</t>
  </si>
  <si>
    <t>Harness, Driver</t>
  </si>
  <si>
    <t>Harness bracket</t>
  </si>
  <si>
    <t>MS A0500</t>
  </si>
  <si>
    <t>Harness</t>
  </si>
  <si>
    <t>MS 05001</t>
  </si>
  <si>
    <t>Machining Setup, Install and Remove</t>
  </si>
  <si>
    <t>Same plan as in 2017</t>
  </si>
  <si>
    <t>Miscellaneous, Finish &amp; Assembly</t>
  </si>
  <si>
    <t>Aluminum tape</t>
  </si>
  <si>
    <t>Assemble, 3 kg, Loose</t>
  </si>
  <si>
    <t>Ratchet &lt;= 6.35 mm</t>
  </si>
  <si>
    <t>Assemble eyebolts on tabs</t>
  </si>
  <si>
    <t>Grommet, Elastomer</t>
  </si>
  <si>
    <t>For harness holes</t>
  </si>
  <si>
    <t>Insert gromets</t>
  </si>
  <si>
    <t>Reaction tool &lt;= 6.35 mm</t>
  </si>
  <si>
    <t>MS 01001</t>
  </si>
  <si>
    <t>MS A0100</t>
  </si>
  <si>
    <t>MS 01002</t>
  </si>
  <si>
    <t>MS 01003</t>
  </si>
  <si>
    <t>MS 01004</t>
  </si>
  <si>
    <t>MS 01005</t>
  </si>
  <si>
    <t>MS 01006</t>
  </si>
  <si>
    <t>MS 01007</t>
  </si>
  <si>
    <t>MS 01008</t>
  </si>
  <si>
    <t>Drawing Part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</si>
</sst>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(\$* #,##0.00_);_(\$* \(#,##0.00\);_(\$* \-??_);_(@_)"/>
    <numFmt numFmtId="165" formatCode="\$#,##0.00_);&quot;($&quot;#,##0.00\)"/>
    <numFmt numFmtId="166" formatCode="0.0000"/>
    <numFmt numFmtId="167" formatCode="_(* #,##0.0000_);_(* \(#,##0.0000\);_(* \-??_);_(@_)"/>
    <numFmt numFmtId="168" formatCode="_(* #,##0.00_);_(* \(#,##0.00\);_(* \-??_);_(@_)"/>
    <numFmt numFmtId="169" formatCode="_(* #,##0_);_(* \(#,##0\);_(* \-??_);_(@_)"/>
    <numFmt numFmtId="170" formatCode="_-[$$-409]* #,##0.00_ ;_-[$$-409]* \-#,##0.00\ ;_-[$$-409]* &quot;-&quot;??_ ;_-@_ "/>
    <numFmt numFmtId="171" formatCode="_(* #,##0.000_);_(* \(#,##0.000\);_(* \-??_);_(@_)"/>
    <numFmt numFmtId="172" formatCode="0.000"/>
    <numFmt numFmtId="173" formatCode="_-[$$-409]* #,##0.00_ ;_-[$$-409]* \-#,##0.00,;_-[$$-409]* \-??_ ;_-@_ "/>
    <numFmt numFmtId="174" formatCode="_(* #,##0.00_);_(* \(#,##0.00\);_(* &quot;-&quot;??_);_(@_)"/>
    <numFmt numFmtId="175" formatCode="#,##0.0000"/>
    <numFmt numFmtId="176" formatCode="_(&quot;$&quot;* #,##0.00_);_(&quot;$&quot;* \(#,##0.00\);_(&quot;$&quot;* &quot;-&quot;??_);_(@_)"/>
    <numFmt numFmtId="177" formatCode="_(&quot;$&quot;* #,##0.000_);_(&quot;$&quot;* \(#,##0.000\);_(&quot;$&quot;* &quot;-&quot;??_);_(@_)"/>
    <numFmt numFmtId="178" formatCode="* #,##0.000,;* \(#,##0.000\);* \-#,;@\ "/>
  </numFmts>
  <fonts count="2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u/>
      <sz val="11"/>
      <color theme="10"/>
      <name val="Calibri"/>
      <family val="2"/>
      <charset val="1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1"/>
      <name val="Arial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b/>
      <sz val="11"/>
      <color theme="0"/>
      <name val="Calibri"/>
      <family val="2"/>
    </font>
    <font>
      <sz val="11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rgb="FFFCD5B5"/>
      </patternFill>
    </fill>
    <fill>
      <patternFill patternType="solid">
        <fgColor theme="7" tint="0.59999389629810485"/>
        <bgColor rgb="FFFAC09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CCFF"/>
        <bgColor theme="0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B1A0C7"/>
        <bgColor rgb="FFFCD5B5"/>
      </patternFill>
    </fill>
    <fill>
      <patternFill patternType="solid">
        <fgColor theme="7" tint="0.59999389629810485"/>
        <bgColor rgb="FFFCD5B5"/>
      </patternFill>
    </fill>
  </fills>
  <borders count="60">
    <border>
      <left/>
      <right/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auto="1"/>
      </left>
      <right/>
      <top/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0">
    <xf numFmtId="0" fontId="0" fillId="0" borderId="0"/>
    <xf numFmtId="0" fontId="1" fillId="0" borderId="0"/>
    <xf numFmtId="165" fontId="1" fillId="0" borderId="7">
      <alignment vertical="center" wrapText="1"/>
    </xf>
    <xf numFmtId="0" fontId="5" fillId="0" borderId="0" applyNumberFormat="0" applyFill="0" applyBorder="0" applyAlignment="0" applyProtection="0"/>
    <xf numFmtId="0" fontId="6" fillId="0" borderId="0"/>
    <xf numFmtId="0" fontId="8" fillId="0" borderId="0"/>
    <xf numFmtId="174" fontId="8" fillId="0" borderId="0" applyFont="0" applyFill="0" applyBorder="0" applyAlignment="0" applyProtection="0"/>
    <xf numFmtId="0" fontId="7" fillId="0" borderId="0"/>
    <xf numFmtId="176" fontId="20" fillId="10" borderId="56">
      <alignment vertical="center" wrapText="1"/>
    </xf>
    <xf numFmtId="0" fontId="25" fillId="0" borderId="0"/>
  </cellStyleXfs>
  <cellXfs count="416">
    <xf numFmtId="0" fontId="0" fillId="0" borderId="0" xfId="0"/>
    <xf numFmtId="0" fontId="1" fillId="0" borderId="0" xfId="1"/>
    <xf numFmtId="0" fontId="1" fillId="0" borderId="0" xfId="1" applyBorder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2" fillId="0" borderId="0" xfId="1" applyFont="1" applyBorder="1"/>
    <xf numFmtId="164" fontId="2" fillId="2" borderId="5" xfId="1" applyNumberFormat="1" applyFont="1" applyFill="1" applyBorder="1"/>
    <xf numFmtId="0" fontId="2" fillId="2" borderId="5" xfId="1" applyFont="1" applyFill="1" applyBorder="1" applyAlignment="1">
      <alignment horizontal="right"/>
    </xf>
    <xf numFmtId="0" fontId="2" fillId="0" borderId="6" xfId="1" applyFont="1" applyBorder="1"/>
    <xf numFmtId="164" fontId="3" fillId="0" borderId="8" xfId="2" applyNumberFormat="1" applyFont="1" applyBorder="1" applyAlignment="1" applyProtection="1"/>
    <xf numFmtId="0" fontId="3" fillId="0" borderId="8" xfId="1" applyFont="1" applyBorder="1"/>
    <xf numFmtId="0" fontId="2" fillId="2" borderId="8" xfId="1" applyFont="1" applyFill="1" applyBorder="1"/>
    <xf numFmtId="0" fontId="1" fillId="0" borderId="6" xfId="1" applyBorder="1"/>
    <xf numFmtId="164" fontId="2" fillId="2" borderId="8" xfId="1" applyNumberFormat="1" applyFont="1" applyFill="1" applyBorder="1"/>
    <xf numFmtId="0" fontId="2" fillId="2" borderId="8" xfId="1" applyFont="1" applyFill="1" applyBorder="1" applyAlignment="1">
      <alignment horizontal="right"/>
    </xf>
    <xf numFmtId="0" fontId="1" fillId="0" borderId="0" xfId="1" applyFill="1"/>
    <xf numFmtId="0" fontId="1" fillId="0" borderId="4" xfId="1" applyFill="1" applyBorder="1"/>
    <xf numFmtId="0" fontId="1" fillId="0" borderId="0" xfId="1" applyFill="1" applyBorder="1"/>
    <xf numFmtId="164" fontId="3" fillId="0" borderId="10" xfId="2" applyNumberFormat="1" applyFont="1" applyBorder="1" applyAlignment="1" applyProtection="1"/>
    <xf numFmtId="0" fontId="3" fillId="0" borderId="10" xfId="1" applyFont="1" applyBorder="1"/>
    <xf numFmtId="0" fontId="1" fillId="0" borderId="10" xfId="1" applyBorder="1"/>
    <xf numFmtId="0" fontId="0" fillId="0" borderId="10" xfId="2" applyNumberFormat="1" applyFont="1" applyBorder="1" applyAlignment="1">
      <alignment wrapText="1"/>
    </xf>
    <xf numFmtId="164" fontId="3" fillId="0" borderId="11" xfId="2" applyNumberFormat="1" applyFont="1" applyBorder="1" applyAlignment="1" applyProtection="1"/>
    <xf numFmtId="0" fontId="3" fillId="0" borderId="11" xfId="1" applyFont="1" applyBorder="1"/>
    <xf numFmtId="0" fontId="0" fillId="0" borderId="8" xfId="2" applyNumberFormat="1" applyFont="1" applyBorder="1" applyAlignment="1">
      <alignment wrapText="1"/>
    </xf>
    <xf numFmtId="0" fontId="1" fillId="0" borderId="11" xfId="1" applyBorder="1"/>
    <xf numFmtId="0" fontId="0" fillId="0" borderId="11" xfId="2" applyNumberFormat="1" applyFont="1" applyBorder="1" applyAlignment="1">
      <alignment wrapText="1"/>
    </xf>
    <xf numFmtId="0" fontId="1" fillId="0" borderId="8" xfId="1" applyBorder="1"/>
    <xf numFmtId="0" fontId="1" fillId="0" borderId="0" xfId="1" applyAlignment="1">
      <alignment wrapText="1"/>
    </xf>
    <xf numFmtId="0" fontId="1" fillId="0" borderId="4" xfId="1" applyBorder="1" applyAlignment="1">
      <alignment wrapText="1"/>
    </xf>
    <xf numFmtId="168" fontId="3" fillId="0" borderId="10" xfId="2" applyNumberFormat="1" applyFont="1" applyBorder="1" applyAlignment="1" applyProtection="1"/>
    <xf numFmtId="0" fontId="1" fillId="0" borderId="0" xfId="1" applyFont="1" applyBorder="1"/>
    <xf numFmtId="164" fontId="3" fillId="0" borderId="13" xfId="2" applyNumberFormat="1" applyFont="1" applyBorder="1" applyAlignment="1" applyProtection="1"/>
    <xf numFmtId="0" fontId="5" fillId="0" borderId="0" xfId="3" applyFill="1"/>
    <xf numFmtId="37" fontId="3" fillId="0" borderId="8" xfId="1" applyNumberFormat="1" applyFont="1" applyBorder="1" applyAlignment="1"/>
    <xf numFmtId="0" fontId="2" fillId="2" borderId="12" xfId="1" applyFont="1" applyFill="1" applyBorder="1"/>
    <xf numFmtId="0" fontId="3" fillId="0" borderId="0" xfId="1" applyFont="1" applyBorder="1"/>
    <xf numFmtId="0" fontId="2" fillId="2" borderId="0" xfId="1" applyFont="1" applyFill="1" applyBorder="1"/>
    <xf numFmtId="0" fontId="3" fillId="0" borderId="0" xfId="1" applyFont="1" applyBorder="1" applyAlignment="1">
      <alignment horizontal="left"/>
    </xf>
    <xf numFmtId="37" fontId="3" fillId="0" borderId="8" xfId="2" applyNumberFormat="1" applyFont="1" applyBorder="1" applyAlignment="1" applyProtection="1"/>
    <xf numFmtId="170" fontId="3" fillId="0" borderId="8" xfId="2" applyNumberFormat="1" applyFont="1" applyBorder="1" applyAlignment="1" applyProtection="1"/>
    <xf numFmtId="0" fontId="3" fillId="0" borderId="8" xfId="1" applyFont="1" applyBorder="1" applyAlignment="1">
      <alignment horizontal="right"/>
    </xf>
    <xf numFmtId="0" fontId="1" fillId="0" borderId="17" xfId="1" applyBorder="1"/>
    <xf numFmtId="0" fontId="1" fillId="0" borderId="18" xfId="1" applyBorder="1"/>
    <xf numFmtId="0" fontId="1" fillId="0" borderId="19" xfId="1" applyBorder="1"/>
    <xf numFmtId="164" fontId="2" fillId="3" borderId="9" xfId="1" applyNumberFormat="1" applyFont="1" applyFill="1" applyBorder="1"/>
    <xf numFmtId="0" fontId="2" fillId="3" borderId="9" xfId="1" applyFont="1" applyFill="1" applyBorder="1" applyAlignment="1">
      <alignment horizontal="right"/>
    </xf>
    <xf numFmtId="1" fontId="3" fillId="0" borderId="10" xfId="1" applyNumberFormat="1" applyFont="1" applyBorder="1"/>
    <xf numFmtId="0" fontId="4" fillId="0" borderId="10" xfId="4" applyFont="1" applyFill="1" applyBorder="1" applyAlignment="1">
      <alignment wrapText="1"/>
    </xf>
    <xf numFmtId="2" fontId="3" fillId="0" borderId="10" xfId="1" applyNumberFormat="1" applyFont="1" applyBorder="1"/>
    <xf numFmtId="0" fontId="1" fillId="0" borderId="0" xfId="1" applyBorder="1" applyAlignment="1">
      <alignment wrapText="1"/>
    </xf>
    <xf numFmtId="164" fontId="3" fillId="0" borderId="10" xfId="2" applyNumberFormat="1" applyFont="1" applyBorder="1" applyAlignment="1" applyProtection="1">
      <alignment wrapText="1"/>
    </xf>
    <xf numFmtId="0" fontId="1" fillId="0" borderId="10" xfId="1" applyBorder="1" applyAlignment="1">
      <alignment wrapText="1"/>
    </xf>
    <xf numFmtId="0" fontId="2" fillId="3" borderId="10" xfId="1" applyFont="1" applyFill="1" applyBorder="1"/>
    <xf numFmtId="0" fontId="2" fillId="3" borderId="20" xfId="1" applyFont="1" applyFill="1" applyBorder="1"/>
    <xf numFmtId="0" fontId="2" fillId="3" borderId="10" xfId="1" applyFont="1" applyFill="1" applyBorder="1" applyAlignment="1">
      <alignment horizontal="right"/>
    </xf>
    <xf numFmtId="0" fontId="1" fillId="0" borderId="0" xfId="1" applyAlignment="1"/>
    <xf numFmtId="0" fontId="1" fillId="0" borderId="4" xfId="1" applyBorder="1" applyAlignment="1"/>
    <xf numFmtId="171" fontId="3" fillId="0" borderId="10" xfId="2" applyNumberFormat="1" applyFont="1" applyBorder="1" applyAlignment="1" applyProtection="1"/>
    <xf numFmtId="11" fontId="3" fillId="0" borderId="10" xfId="1" applyNumberFormat="1" applyFont="1" applyBorder="1" applyAlignment="1"/>
    <xf numFmtId="0" fontId="3" fillId="0" borderId="10" xfId="1" applyFont="1" applyBorder="1" applyAlignment="1"/>
    <xf numFmtId="0" fontId="3" fillId="0" borderId="10" xfId="1" applyFont="1" applyBorder="1" applyAlignment="1" applyProtection="1"/>
    <xf numFmtId="0" fontId="3" fillId="0" borderId="20" xfId="1" applyFont="1" applyBorder="1" applyAlignment="1"/>
    <xf numFmtId="0" fontId="2" fillId="3" borderId="9" xfId="1" applyFont="1" applyFill="1" applyBorder="1"/>
    <xf numFmtId="0" fontId="2" fillId="3" borderId="21" xfId="1" applyFont="1" applyFill="1" applyBorder="1"/>
    <xf numFmtId="0" fontId="2" fillId="0" borderId="22" xfId="1" applyFont="1" applyBorder="1"/>
    <xf numFmtId="0" fontId="2" fillId="0" borderId="23" xfId="1" applyFont="1" applyBorder="1"/>
    <xf numFmtId="0" fontId="2" fillId="3" borderId="8" xfId="1" applyFont="1" applyFill="1" applyBorder="1"/>
    <xf numFmtId="0" fontId="2" fillId="3" borderId="24" xfId="1" applyFont="1" applyFill="1" applyBorder="1"/>
    <xf numFmtId="49" fontId="3" fillId="0" borderId="0" xfId="1" applyNumberFormat="1" applyFont="1" applyBorder="1" applyAlignment="1">
      <alignment horizontal="left"/>
    </xf>
    <xf numFmtId="0" fontId="5" fillId="0" borderId="0" xfId="3" applyBorder="1"/>
    <xf numFmtId="0" fontId="5" fillId="0" borderId="0" xfId="3"/>
    <xf numFmtId="0" fontId="2" fillId="3" borderId="8" xfId="1" applyFont="1" applyFill="1" applyBorder="1" applyAlignment="1">
      <alignment horizontal="left"/>
    </xf>
    <xf numFmtId="0" fontId="1" fillId="0" borderId="11" xfId="1" applyBorder="1" applyAlignment="1">
      <alignment wrapText="1"/>
    </xf>
    <xf numFmtId="0" fontId="4" fillId="0" borderId="25" xfId="4" applyFont="1" applyFill="1" applyBorder="1" applyAlignment="1">
      <alignment wrapText="1"/>
    </xf>
    <xf numFmtId="0" fontId="1" fillId="0" borderId="26" xfId="1" applyBorder="1" applyAlignment="1">
      <alignment wrapText="1"/>
    </xf>
    <xf numFmtId="0" fontId="2" fillId="3" borderId="27" xfId="1" applyFont="1" applyFill="1" applyBorder="1"/>
    <xf numFmtId="0" fontId="2" fillId="3" borderId="28" xfId="1" applyFont="1" applyFill="1" applyBorder="1"/>
    <xf numFmtId="0" fontId="2" fillId="3" borderId="27" xfId="1" applyFont="1" applyFill="1" applyBorder="1" applyAlignment="1">
      <alignment horizontal="right"/>
    </xf>
    <xf numFmtId="164" fontId="3" fillId="0" borderId="27" xfId="2" applyNumberFormat="1" applyFont="1" applyBorder="1" applyAlignment="1" applyProtection="1"/>
    <xf numFmtId="2" fontId="3" fillId="0" borderId="27" xfId="2" applyNumberFormat="1" applyFont="1" applyBorder="1" applyAlignment="1" applyProtection="1"/>
    <xf numFmtId="3" fontId="1" fillId="0" borderId="27" xfId="1" applyNumberFormat="1" applyBorder="1" applyAlignment="1"/>
    <xf numFmtId="171" fontId="3" fillId="0" borderId="27" xfId="2" applyNumberFormat="1" applyFont="1" applyBorder="1" applyAlignment="1" applyProtection="1"/>
    <xf numFmtId="166" fontId="3" fillId="0" borderId="27" xfId="2" applyNumberFormat="1" applyFont="1" applyBorder="1" applyAlignment="1" applyProtection="1"/>
    <xf numFmtId="11" fontId="3" fillId="0" borderId="27" xfId="1" applyNumberFormat="1" applyFont="1" applyBorder="1" applyAlignment="1"/>
    <xf numFmtId="168" fontId="3" fillId="0" borderId="27" xfId="2" applyNumberFormat="1" applyFont="1" applyBorder="1" applyAlignment="1" applyProtection="1"/>
    <xf numFmtId="0" fontId="3" fillId="0" borderId="27" xfId="1" applyFont="1" applyBorder="1" applyAlignment="1"/>
    <xf numFmtId="0" fontId="3" fillId="0" borderId="27" xfId="1" applyFont="1" applyBorder="1" applyAlignment="1" applyProtection="1"/>
    <xf numFmtId="0" fontId="3" fillId="0" borderId="28" xfId="1" applyFont="1" applyBorder="1" applyAlignment="1"/>
    <xf numFmtId="0" fontId="1" fillId="0" borderId="27" xfId="1" applyBorder="1"/>
    <xf numFmtId="0" fontId="0" fillId="0" borderId="27" xfId="2" applyNumberFormat="1" applyFont="1" applyBorder="1" applyAlignment="1">
      <alignment wrapText="1"/>
    </xf>
    <xf numFmtId="1" fontId="3" fillId="0" borderId="27" xfId="1" applyNumberFormat="1" applyFont="1" applyBorder="1"/>
    <xf numFmtId="0" fontId="3" fillId="0" borderId="27" xfId="1" applyFont="1" applyBorder="1"/>
    <xf numFmtId="0" fontId="4" fillId="0" borderId="27" xfId="4" applyFont="1" applyFill="1" applyBorder="1" applyAlignment="1">
      <alignment wrapText="1"/>
    </xf>
    <xf numFmtId="2" fontId="3" fillId="0" borderId="11" xfId="1" applyNumberFormat="1" applyFont="1" applyBorder="1"/>
    <xf numFmtId="0" fontId="3" fillId="0" borderId="26" xfId="1" applyFont="1" applyBorder="1"/>
    <xf numFmtId="164" fontId="3" fillId="0" borderId="27" xfId="2" applyNumberFormat="1" applyFont="1" applyBorder="1" applyAlignment="1" applyProtection="1">
      <alignment wrapText="1"/>
    </xf>
    <xf numFmtId="0" fontId="1" fillId="0" borderId="27" xfId="1" applyBorder="1" applyAlignment="1">
      <alignment wrapText="1"/>
    </xf>
    <xf numFmtId="2" fontId="1" fillId="0" borderId="27" xfId="1" applyNumberFormat="1" applyBorder="1" applyAlignment="1">
      <alignment wrapText="1"/>
    </xf>
    <xf numFmtId="0" fontId="1" fillId="0" borderId="28" xfId="1" applyBorder="1" applyAlignment="1">
      <alignment wrapText="1"/>
    </xf>
    <xf numFmtId="2" fontId="3" fillId="0" borderId="27" xfId="1" applyNumberFormat="1" applyFont="1" applyBorder="1"/>
    <xf numFmtId="172" fontId="3" fillId="0" borderId="27" xfId="2" applyNumberFormat="1" applyFont="1" applyBorder="1" applyAlignment="1" applyProtection="1"/>
    <xf numFmtId="0" fontId="4" fillId="0" borderId="27" xfId="1" applyFont="1" applyBorder="1"/>
    <xf numFmtId="167" fontId="3" fillId="0" borderId="27" xfId="2" applyNumberFormat="1" applyFont="1" applyBorder="1" applyAlignment="1" applyProtection="1"/>
    <xf numFmtId="0" fontId="3" fillId="0" borderId="8" xfId="2" applyNumberFormat="1" applyFont="1" applyBorder="1" applyAlignment="1" applyProtection="1">
      <alignment vertical="center" wrapText="1"/>
    </xf>
    <xf numFmtId="173" fontId="3" fillId="0" borderId="8" xfId="1" applyNumberFormat="1" applyFont="1" applyBorder="1"/>
    <xf numFmtId="164" fontId="2" fillId="0" borderId="0" xfId="1" applyNumberFormat="1" applyFont="1" applyFill="1" applyBorder="1"/>
    <xf numFmtId="0" fontId="2" fillId="0" borderId="0" xfId="1" applyFont="1" applyFill="1" applyBorder="1" applyAlignment="1">
      <alignment horizontal="right"/>
    </xf>
    <xf numFmtId="0" fontId="2" fillId="0" borderId="0" xfId="1" applyFont="1" applyFill="1" applyBorder="1"/>
    <xf numFmtId="164" fontId="4" fillId="0" borderId="27" xfId="2" applyNumberFormat="1" applyFont="1" applyBorder="1" applyAlignment="1" applyProtection="1"/>
    <xf numFmtId="0" fontId="5" fillId="0" borderId="27" xfId="3" applyNumberFormat="1" applyBorder="1" applyAlignment="1" applyProtection="1"/>
    <xf numFmtId="0" fontId="4" fillId="0" borderId="27" xfId="1" applyFont="1" applyFill="1" applyBorder="1"/>
    <xf numFmtId="0" fontId="9" fillId="0" borderId="0" xfId="5" applyFont="1" applyFill="1" applyBorder="1" applyAlignment="1">
      <alignment horizontal="left"/>
    </xf>
    <xf numFmtId="0" fontId="1" fillId="0" borderId="29" xfId="1" applyBorder="1"/>
    <xf numFmtId="0" fontId="1" fillId="0" borderId="30" xfId="1" applyBorder="1"/>
    <xf numFmtId="0" fontId="1" fillId="0" borderId="31" xfId="1" applyBorder="1"/>
    <xf numFmtId="0" fontId="1" fillId="0" borderId="32" xfId="1" applyBorder="1"/>
    <xf numFmtId="0" fontId="1" fillId="0" borderId="33" xfId="1" applyBorder="1"/>
    <xf numFmtId="0" fontId="1" fillId="0" borderId="32" xfId="1" applyBorder="1" applyAlignment="1">
      <alignment wrapText="1"/>
    </xf>
    <xf numFmtId="0" fontId="1" fillId="0" borderId="34" xfId="1" applyBorder="1" applyAlignment="1">
      <alignment wrapText="1"/>
    </xf>
    <xf numFmtId="0" fontId="2" fillId="3" borderId="34" xfId="1" applyFont="1" applyFill="1" applyBorder="1"/>
    <xf numFmtId="0" fontId="2" fillId="0" borderId="33" xfId="1" applyFont="1" applyBorder="1"/>
    <xf numFmtId="0" fontId="1" fillId="0" borderId="32" xfId="1" applyBorder="1" applyAlignment="1"/>
    <xf numFmtId="0" fontId="3" fillId="0" borderId="34" xfId="1" applyFont="1" applyBorder="1" applyAlignment="1"/>
    <xf numFmtId="0" fontId="10" fillId="0" borderId="0" xfId="1" applyFont="1" applyFill="1"/>
    <xf numFmtId="0" fontId="10" fillId="0" borderId="32" xfId="1" applyFont="1" applyFill="1" applyBorder="1"/>
    <xf numFmtId="0" fontId="4" fillId="0" borderId="9" xfId="1" applyFont="1" applyFill="1" applyBorder="1"/>
    <xf numFmtId="0" fontId="4" fillId="0" borderId="35" xfId="1" applyFont="1" applyFill="1" applyBorder="1"/>
    <xf numFmtId="0" fontId="2" fillId="3" borderId="35" xfId="1" applyFont="1" applyFill="1" applyBorder="1"/>
    <xf numFmtId="0" fontId="2" fillId="0" borderId="36" xfId="1" applyFont="1" applyBorder="1"/>
    <xf numFmtId="0" fontId="2" fillId="3" borderId="37" xfId="1" applyFont="1" applyFill="1" applyBorder="1"/>
    <xf numFmtId="0" fontId="1" fillId="0" borderId="38" xfId="1" applyBorder="1"/>
    <xf numFmtId="0" fontId="1" fillId="0" borderId="39" xfId="1" applyBorder="1"/>
    <xf numFmtId="0" fontId="1" fillId="0" borderId="40" xfId="1" applyBorder="1"/>
    <xf numFmtId="0" fontId="8" fillId="0" borderId="0" xfId="5" applyFont="1"/>
    <xf numFmtId="0" fontId="11" fillId="0" borderId="0" xfId="5" applyFont="1"/>
    <xf numFmtId="174" fontId="11" fillId="0" borderId="0" xfId="6" applyFont="1"/>
    <xf numFmtId="0" fontId="12" fillId="0" borderId="0" xfId="5" applyFont="1"/>
    <xf numFmtId="0" fontId="13" fillId="0" borderId="0" xfId="5" applyFont="1"/>
    <xf numFmtId="0" fontId="8" fillId="0" borderId="0" xfId="5" applyFont="1" applyProtection="1">
      <protection locked="0"/>
    </xf>
    <xf numFmtId="0" fontId="11" fillId="0" borderId="0" xfId="5" applyFont="1" applyProtection="1">
      <protection locked="0"/>
    </xf>
    <xf numFmtId="174" fontId="8" fillId="0" borderId="0" xfId="6" applyFont="1"/>
    <xf numFmtId="174" fontId="8" fillId="0" borderId="0" xfId="5" applyNumberFormat="1" applyFont="1"/>
    <xf numFmtId="0" fontId="9" fillId="4" borderId="27" xfId="5" applyFont="1" applyFill="1" applyBorder="1" applyAlignment="1">
      <alignment horizontal="center"/>
    </xf>
    <xf numFmtId="170" fontId="9" fillId="4" borderId="27" xfId="5" applyNumberFormat="1" applyFont="1" applyFill="1" applyBorder="1" applyAlignment="1">
      <alignment horizontal="right"/>
    </xf>
    <xf numFmtId="170" fontId="9" fillId="4" borderId="27" xfId="5" applyNumberFormat="1" applyFont="1" applyFill="1" applyBorder="1" applyAlignment="1" applyProtection="1">
      <alignment horizontal="center"/>
      <protection locked="0"/>
    </xf>
    <xf numFmtId="37" fontId="9" fillId="4" borderId="27" xfId="5" applyNumberFormat="1" applyFont="1" applyFill="1" applyBorder="1" applyAlignment="1" applyProtection="1">
      <alignment horizontal="center"/>
      <protection locked="0"/>
    </xf>
    <xf numFmtId="170" fontId="9" fillId="4" borderId="27" xfId="6" applyNumberFormat="1" applyFont="1" applyFill="1" applyBorder="1" applyProtection="1">
      <protection locked="0"/>
    </xf>
    <xf numFmtId="18" fontId="9" fillId="4" borderId="27" xfId="5" applyNumberFormat="1" applyFont="1" applyFill="1" applyBorder="1" applyAlignment="1" applyProtection="1">
      <protection locked="0"/>
    </xf>
    <xf numFmtId="0" fontId="5" fillId="4" borderId="27" xfId="3" applyFill="1" applyBorder="1" applyAlignment="1">
      <alignment horizontal="left"/>
    </xf>
    <xf numFmtId="0" fontId="9" fillId="4" borderId="27" xfId="5" applyFont="1" applyFill="1" applyBorder="1" applyAlignment="1">
      <alignment horizontal="left"/>
    </xf>
    <xf numFmtId="0" fontId="9" fillId="4" borderId="27" xfId="5" applyFont="1" applyFill="1" applyBorder="1" applyProtection="1">
      <protection locked="0"/>
    </xf>
    <xf numFmtId="0" fontId="14" fillId="0" borderId="0" xfId="5" applyFont="1"/>
    <xf numFmtId="0" fontId="15" fillId="0" borderId="11" xfId="5" applyFont="1" applyBorder="1" applyAlignment="1">
      <alignment horizontal="center" wrapText="1"/>
    </xf>
    <xf numFmtId="2" fontId="15" fillId="0" borderId="11" xfId="5" applyNumberFormat="1" applyFont="1" applyBorder="1" applyAlignment="1">
      <alignment horizontal="center" wrapText="1"/>
    </xf>
    <xf numFmtId="174" fontId="15" fillId="0" borderId="11" xfId="6" applyFont="1" applyBorder="1" applyAlignment="1">
      <alignment horizontal="center" wrapText="1"/>
    </xf>
    <xf numFmtId="0" fontId="15" fillId="0" borderId="0" xfId="5" applyFont="1" applyAlignment="1">
      <alignment horizontal="center"/>
    </xf>
    <xf numFmtId="0" fontId="7" fillId="0" borderId="0" xfId="7" applyFill="1"/>
    <xf numFmtId="0" fontId="7" fillId="0" borderId="0" xfId="7" applyFont="1" applyFill="1"/>
    <xf numFmtId="0" fontId="7" fillId="0" borderId="0" xfId="7" applyFill="1" applyBorder="1"/>
    <xf numFmtId="0" fontId="7" fillId="0" borderId="0" xfId="7" applyFont="1" applyFill="1" applyBorder="1"/>
    <xf numFmtId="0" fontId="16" fillId="0" borderId="0" xfId="7" applyFont="1" applyFill="1" applyBorder="1"/>
    <xf numFmtId="0" fontId="7" fillId="0" borderId="0" xfId="7"/>
    <xf numFmtId="0" fontId="7" fillId="0" borderId="0" xfId="7" applyFont="1"/>
    <xf numFmtId="0" fontId="17" fillId="0" borderId="0" xfId="5" applyFont="1"/>
    <xf numFmtId="0" fontId="7" fillId="0" borderId="0" xfId="7" applyBorder="1"/>
    <xf numFmtId="0" fontId="7" fillId="5" borderId="41" xfId="7" quotePrefix="1" applyFont="1" applyFill="1" applyBorder="1" applyAlignment="1">
      <alignment horizontal="left"/>
    </xf>
    <xf numFmtId="0" fontId="18" fillId="6" borderId="42" xfId="7" applyFont="1" applyFill="1" applyBorder="1"/>
    <xf numFmtId="0" fontId="7" fillId="5" borderId="41" xfId="7" quotePrefix="1" applyFill="1" applyBorder="1" applyAlignment="1">
      <alignment horizontal="left"/>
    </xf>
    <xf numFmtId="0" fontId="18" fillId="6" borderId="43" xfId="7" applyFont="1" applyFill="1" applyBorder="1"/>
    <xf numFmtId="0" fontId="7" fillId="5" borderId="41" xfId="7" applyFont="1" applyFill="1" applyBorder="1"/>
    <xf numFmtId="0" fontId="18" fillId="6" borderId="44" xfId="7" applyFont="1" applyFill="1" applyBorder="1"/>
    <xf numFmtId="2" fontId="7" fillId="7" borderId="45" xfId="7" quotePrefix="1" applyNumberFormat="1" applyFill="1" applyBorder="1" applyAlignment="1">
      <alignment horizontal="right"/>
    </xf>
    <xf numFmtId="0" fontId="16" fillId="8" borderId="0" xfId="7" applyFont="1" applyFill="1" applyBorder="1" applyAlignment="1"/>
    <xf numFmtId="0" fontId="18" fillId="8" borderId="0" xfId="7" applyFont="1" applyFill="1" applyBorder="1" applyAlignment="1"/>
    <xf numFmtId="0" fontId="7" fillId="5" borderId="46" xfId="7" applyFont="1" applyFill="1" applyBorder="1"/>
    <xf numFmtId="0" fontId="18" fillId="6" borderId="47" xfId="7" applyFont="1" applyFill="1" applyBorder="1"/>
    <xf numFmtId="0" fontId="9" fillId="9" borderId="27" xfId="5" applyFont="1" applyFill="1" applyBorder="1" applyAlignment="1">
      <alignment horizontal="center"/>
    </xf>
    <xf numFmtId="170" fontId="9" fillId="9" borderId="27" xfId="5" applyNumberFormat="1" applyFont="1" applyFill="1" applyBorder="1" applyAlignment="1">
      <alignment horizontal="right"/>
    </xf>
    <xf numFmtId="170" fontId="9" fillId="9" borderId="27" xfId="5" applyNumberFormat="1" applyFont="1" applyFill="1" applyBorder="1" applyAlignment="1" applyProtection="1">
      <alignment horizontal="center"/>
      <protection locked="0"/>
    </xf>
    <xf numFmtId="37" fontId="9" fillId="9" borderId="27" xfId="5" applyNumberFormat="1" applyFont="1" applyFill="1" applyBorder="1" applyAlignment="1" applyProtection="1">
      <alignment horizontal="center"/>
      <protection locked="0"/>
    </xf>
    <xf numFmtId="170" fontId="9" fillId="9" borderId="27" xfId="6" applyNumberFormat="1" applyFont="1" applyFill="1" applyBorder="1" applyProtection="1">
      <protection locked="0"/>
    </xf>
    <xf numFmtId="0" fontId="5" fillId="9" borderId="27" xfId="3" applyFill="1" applyBorder="1" applyAlignment="1">
      <alignment horizontal="left"/>
    </xf>
    <xf numFmtId="18" fontId="9" fillId="9" borderId="27" xfId="5" applyNumberFormat="1" applyFont="1" applyFill="1" applyBorder="1" applyAlignment="1" applyProtection="1">
      <protection locked="0"/>
    </xf>
    <xf numFmtId="0" fontId="9" fillId="9" borderId="27" xfId="5" applyFont="1" applyFill="1" applyBorder="1" applyAlignment="1">
      <alignment horizontal="left"/>
    </xf>
    <xf numFmtId="0" fontId="9" fillId="9" borderId="27" xfId="5" applyFont="1" applyFill="1" applyBorder="1" applyProtection="1">
      <protection locked="0"/>
    </xf>
    <xf numFmtId="0" fontId="5" fillId="9" borderId="0" xfId="3" applyFill="1"/>
    <xf numFmtId="0" fontId="9" fillId="9" borderId="27" xfId="5" applyFont="1" applyFill="1" applyBorder="1" applyAlignment="1" applyProtection="1">
      <alignment horizontal="center"/>
      <protection locked="0"/>
    </xf>
    <xf numFmtId="18" fontId="9" fillId="9" borderId="27" xfId="5" applyNumberFormat="1" applyFont="1" applyFill="1" applyBorder="1" applyAlignment="1" applyProtection="1">
      <alignment horizontal="right"/>
      <protection locked="0"/>
    </xf>
    <xf numFmtId="0" fontId="1" fillId="0" borderId="0" xfId="1" applyFont="1"/>
    <xf numFmtId="0" fontId="1" fillId="0" borderId="4" xfId="1" applyFont="1" applyBorder="1"/>
    <xf numFmtId="0" fontId="4" fillId="0" borderId="8" xfId="1" applyFont="1" applyBorder="1"/>
    <xf numFmtId="2" fontId="3" fillId="0" borderId="8" xfId="2" applyNumberFormat="1" applyFont="1" applyBorder="1" applyAlignment="1" applyProtection="1"/>
    <xf numFmtId="0" fontId="1" fillId="0" borderId="8" xfId="1" applyBorder="1" applyAlignment="1"/>
    <xf numFmtId="171" fontId="3" fillId="0" borderId="8" xfId="2" applyNumberFormat="1" applyFont="1" applyBorder="1" applyAlignment="1" applyProtection="1"/>
    <xf numFmtId="166" fontId="3" fillId="0" borderId="8" xfId="2" applyNumberFormat="1" applyFont="1" applyBorder="1" applyAlignment="1" applyProtection="1"/>
    <xf numFmtId="11" fontId="3" fillId="0" borderId="8" xfId="1" applyNumberFormat="1" applyFont="1" applyBorder="1" applyAlignment="1"/>
    <xf numFmtId="168" fontId="3" fillId="0" borderId="8" xfId="2" applyNumberFormat="1" applyFont="1" applyBorder="1" applyAlignment="1" applyProtection="1"/>
    <xf numFmtId="0" fontId="3" fillId="0" borderId="8" xfId="1" applyFont="1" applyBorder="1" applyAlignment="1"/>
    <xf numFmtId="2" fontId="3" fillId="0" borderId="8" xfId="1" applyNumberFormat="1" applyFont="1" applyBorder="1" applyAlignment="1"/>
    <xf numFmtId="0" fontId="1" fillId="0" borderId="27" xfId="1" applyBorder="1" applyAlignment="1"/>
    <xf numFmtId="175" fontId="3" fillId="0" borderId="8" xfId="2" applyNumberFormat="1" applyFont="1" applyBorder="1" applyAlignment="1" applyProtection="1"/>
    <xf numFmtId="11" fontId="3" fillId="0" borderId="8" xfId="1" applyNumberFormat="1" applyFont="1" applyBorder="1"/>
    <xf numFmtId="39" fontId="3" fillId="0" borderId="8" xfId="2" applyNumberFormat="1" applyFont="1" applyBorder="1" applyAlignment="1" applyProtection="1"/>
    <xf numFmtId="172" fontId="1" fillId="0" borderId="8" xfId="1" applyNumberFormat="1" applyBorder="1"/>
    <xf numFmtId="0" fontId="3" fillId="0" borderId="8" xfId="1" applyFont="1" applyBorder="1" applyAlignment="1">
      <alignment wrapText="1"/>
    </xf>
    <xf numFmtId="37" fontId="4" fillId="0" borderId="27" xfId="1" applyNumberFormat="1" applyFont="1" applyBorder="1"/>
    <xf numFmtId="0" fontId="5" fillId="0" borderId="27" xfId="3" applyBorder="1"/>
    <xf numFmtId="0" fontId="5" fillId="0" borderId="27" xfId="3" applyFill="1" applyBorder="1"/>
    <xf numFmtId="1" fontId="1" fillId="0" borderId="27" xfId="1" applyNumberFormat="1" applyBorder="1" applyAlignment="1">
      <alignment wrapText="1"/>
    </xf>
    <xf numFmtId="0" fontId="5" fillId="0" borderId="8" xfId="3" applyNumberFormat="1" applyBorder="1" applyAlignment="1" applyProtection="1"/>
    <xf numFmtId="0" fontId="3" fillId="0" borderId="28" xfId="1" applyFont="1" applyBorder="1"/>
    <xf numFmtId="0" fontId="2" fillId="2" borderId="37" xfId="1" applyFont="1" applyFill="1" applyBorder="1"/>
    <xf numFmtId="0" fontId="2" fillId="2" borderId="50" xfId="1" applyFont="1" applyFill="1" applyBorder="1"/>
    <xf numFmtId="0" fontId="4" fillId="0" borderId="34" xfId="1" applyFont="1" applyFill="1" applyBorder="1"/>
    <xf numFmtId="0" fontId="3" fillId="0" borderId="37" xfId="1" applyFont="1" applyBorder="1"/>
    <xf numFmtId="0" fontId="1" fillId="0" borderId="10" xfId="1" applyBorder="1" applyAlignment="1"/>
    <xf numFmtId="0" fontId="4" fillId="0" borderId="10" xfId="4" applyFont="1" applyFill="1" applyBorder="1" applyAlignment="1"/>
    <xf numFmtId="0" fontId="0" fillId="0" borderId="10" xfId="2" applyNumberFormat="1" applyFont="1" applyBorder="1" applyAlignment="1"/>
    <xf numFmtId="0" fontId="1" fillId="0" borderId="0" xfId="1" applyBorder="1" applyAlignment="1"/>
    <xf numFmtId="0" fontId="4" fillId="0" borderId="51" xfId="4" applyFont="1" applyFill="1" applyBorder="1" applyAlignment="1">
      <alignment wrapText="1"/>
    </xf>
    <xf numFmtId="164" fontId="3" fillId="0" borderId="8" xfId="2" applyNumberFormat="1" applyFont="1" applyBorder="1" applyAlignment="1" applyProtection="1">
      <alignment wrapText="1"/>
    </xf>
    <xf numFmtId="168" fontId="3" fillId="0" borderId="8" xfId="2" applyNumberFormat="1" applyFont="1" applyBorder="1" applyAlignment="1" applyProtection="1">
      <alignment wrapText="1"/>
    </xf>
    <xf numFmtId="11" fontId="3" fillId="0" borderId="8" xfId="1" applyNumberFormat="1" applyFont="1" applyBorder="1" applyAlignment="1">
      <alignment wrapText="1"/>
    </xf>
    <xf numFmtId="166" fontId="3" fillId="0" borderId="8" xfId="2" applyNumberFormat="1" applyFont="1" applyBorder="1" applyAlignment="1" applyProtection="1">
      <alignment wrapText="1"/>
    </xf>
    <xf numFmtId="171" fontId="3" fillId="0" borderId="8" xfId="2" applyNumberFormat="1" applyFont="1" applyBorder="1" applyAlignment="1" applyProtection="1">
      <alignment wrapText="1"/>
    </xf>
    <xf numFmtId="0" fontId="1" fillId="0" borderId="8" xfId="1" applyBorder="1" applyAlignment="1">
      <alignment wrapText="1"/>
    </xf>
    <xf numFmtId="0" fontId="1" fillId="0" borderId="19" xfId="1" applyBorder="1" applyAlignment="1"/>
    <xf numFmtId="0" fontId="1" fillId="0" borderId="18" xfId="1" applyBorder="1" applyAlignment="1"/>
    <xf numFmtId="0" fontId="1" fillId="0" borderId="17" xfId="1" applyBorder="1" applyAlignment="1"/>
    <xf numFmtId="0" fontId="2" fillId="2" borderId="8" xfId="1" applyFont="1" applyFill="1" applyBorder="1" applyAlignment="1"/>
    <xf numFmtId="0" fontId="3" fillId="0" borderId="0" xfId="1" applyFont="1" applyBorder="1" applyAlignment="1"/>
    <xf numFmtId="0" fontId="1" fillId="0" borderId="0" xfId="1" applyFont="1" applyBorder="1" applyAlignment="1"/>
    <xf numFmtId="0" fontId="2" fillId="2" borderId="0" xfId="1" applyFont="1" applyFill="1" applyBorder="1" applyAlignment="1"/>
    <xf numFmtId="0" fontId="1" fillId="0" borderId="6" xfId="1" applyBorder="1" applyAlignment="1"/>
    <xf numFmtId="164" fontId="2" fillId="2" borderId="8" xfId="1" applyNumberFormat="1" applyFont="1" applyFill="1" applyBorder="1" applyAlignment="1"/>
    <xf numFmtId="0" fontId="2" fillId="0" borderId="6" xfId="1" applyFont="1" applyBorder="1" applyAlignment="1"/>
    <xf numFmtId="0" fontId="2" fillId="0" borderId="0" xfId="1" applyFont="1" applyBorder="1" applyAlignment="1"/>
    <xf numFmtId="0" fontId="0" fillId="0" borderId="8" xfId="2" applyNumberFormat="1" applyFont="1" applyBorder="1" applyAlignment="1"/>
    <xf numFmtId="0" fontId="1" fillId="0" borderId="4" xfId="1" applyFont="1" applyBorder="1" applyAlignment="1"/>
    <xf numFmtId="0" fontId="1" fillId="0" borderId="0" xfId="1" applyFont="1" applyAlignment="1"/>
    <xf numFmtId="0" fontId="4" fillId="0" borderId="8" xfId="1" applyFont="1" applyBorder="1" applyAlignment="1"/>
    <xf numFmtId="173" fontId="3" fillId="0" borderId="8" xfId="1" applyNumberFormat="1" applyFont="1" applyBorder="1" applyAlignment="1"/>
    <xf numFmtId="0" fontId="3" fillId="0" borderId="8" xfId="2" applyNumberFormat="1" applyFont="1" applyBorder="1" applyAlignment="1" applyProtection="1">
      <alignment vertical="center"/>
    </xf>
    <xf numFmtId="164" fontId="2" fillId="2" borderId="5" xfId="1" applyNumberFormat="1" applyFont="1" applyFill="1" applyBorder="1" applyAlignment="1"/>
    <xf numFmtId="0" fontId="1" fillId="0" borderId="3" xfId="1" applyBorder="1" applyAlignment="1"/>
    <xf numFmtId="0" fontId="1" fillId="0" borderId="2" xfId="1" applyBorder="1" applyAlignment="1"/>
    <xf numFmtId="0" fontId="1" fillId="0" borderId="1" xfId="1" applyBorder="1" applyAlignment="1"/>
    <xf numFmtId="0" fontId="9" fillId="9" borderId="11" xfId="5" applyFont="1" applyFill="1" applyBorder="1" applyProtection="1">
      <protection locked="0"/>
    </xf>
    <xf numFmtId="0" fontId="9" fillId="9" borderId="11" xfId="5" applyFont="1" applyFill="1" applyBorder="1" applyAlignment="1">
      <alignment horizontal="left"/>
    </xf>
    <xf numFmtId="18" fontId="9" fillId="9" borderId="11" xfId="5" applyNumberFormat="1" applyFont="1" applyFill="1" applyBorder="1" applyAlignment="1" applyProtection="1">
      <protection locked="0"/>
    </xf>
    <xf numFmtId="0" fontId="5" fillId="9" borderId="11" xfId="3" applyFill="1" applyBorder="1" applyAlignment="1">
      <alignment horizontal="left"/>
    </xf>
    <xf numFmtId="11" fontId="9" fillId="9" borderId="11" xfId="5" applyNumberFormat="1" applyFont="1" applyFill="1" applyBorder="1" applyAlignment="1" applyProtection="1">
      <protection locked="0"/>
    </xf>
    <xf numFmtId="170" fontId="9" fillId="9" borderId="11" xfId="6" applyNumberFormat="1" applyFont="1" applyFill="1" applyBorder="1" applyProtection="1">
      <protection locked="0"/>
    </xf>
    <xf numFmtId="37" fontId="9" fillId="9" borderId="11" xfId="5" applyNumberFormat="1" applyFont="1" applyFill="1" applyBorder="1" applyAlignment="1" applyProtection="1">
      <alignment horizontal="center"/>
      <protection locked="0"/>
    </xf>
    <xf numFmtId="170" fontId="9" fillId="9" borderId="11" xfId="5" applyNumberFormat="1" applyFont="1" applyFill="1" applyBorder="1" applyAlignment="1" applyProtection="1">
      <alignment horizontal="center"/>
      <protection locked="0"/>
    </xf>
    <xf numFmtId="170" fontId="9" fillId="9" borderId="11" xfId="5" applyNumberFormat="1" applyFont="1" applyFill="1" applyBorder="1" applyAlignment="1">
      <alignment horizontal="right"/>
    </xf>
    <xf numFmtId="0" fontId="9" fillId="9" borderId="11" xfId="5" applyFont="1" applyFill="1" applyBorder="1" applyAlignment="1">
      <alignment horizontal="center"/>
    </xf>
    <xf numFmtId="0" fontId="8" fillId="0" borderId="11" xfId="5" applyFont="1" applyBorder="1"/>
    <xf numFmtId="0" fontId="9" fillId="0" borderId="52" xfId="5" applyFont="1" applyFill="1" applyBorder="1" applyProtection="1">
      <protection locked="0"/>
    </xf>
    <xf numFmtId="0" fontId="9" fillId="0" borderId="53" xfId="5" applyFont="1" applyFill="1" applyBorder="1" applyAlignment="1">
      <alignment horizontal="left"/>
    </xf>
    <xf numFmtId="18" fontId="9" fillId="0" borderId="53" xfId="5" applyNumberFormat="1" applyFont="1" applyFill="1" applyBorder="1" applyAlignment="1" applyProtection="1">
      <protection locked="0"/>
    </xf>
    <xf numFmtId="174" fontId="9" fillId="0" borderId="53" xfId="6" applyFont="1" applyFill="1" applyBorder="1" applyProtection="1">
      <protection locked="0"/>
    </xf>
    <xf numFmtId="0" fontId="9" fillId="0" borderId="53" xfId="5" applyFont="1" applyFill="1" applyBorder="1" applyAlignment="1" applyProtection="1">
      <alignment horizontal="center"/>
      <protection locked="0"/>
    </xf>
    <xf numFmtId="170" fontId="9" fillId="0" borderId="53" xfId="5" applyNumberFormat="1" applyFont="1" applyFill="1" applyBorder="1" applyAlignment="1">
      <alignment horizontal="right"/>
    </xf>
    <xf numFmtId="0" fontId="8" fillId="0" borderId="54" xfId="5" applyFont="1" applyFill="1" applyBorder="1"/>
    <xf numFmtId="0" fontId="3" fillId="0" borderId="12" xfId="1" applyFont="1" applyBorder="1" applyAlignment="1"/>
    <xf numFmtId="0" fontId="19" fillId="9" borderId="27" xfId="5" applyFont="1" applyFill="1" applyBorder="1" applyAlignment="1">
      <alignment horizontal="left"/>
    </xf>
    <xf numFmtId="18" fontId="5" fillId="9" borderId="27" xfId="3" applyNumberFormat="1" applyFill="1" applyBorder="1" applyAlignment="1" applyProtection="1">
      <protection locked="0"/>
    </xf>
    <xf numFmtId="0" fontId="11" fillId="9" borderId="27" xfId="5" applyFont="1" applyFill="1" applyBorder="1"/>
    <xf numFmtId="0" fontId="8" fillId="9" borderId="27" xfId="5" applyFont="1" applyFill="1" applyBorder="1"/>
    <xf numFmtId="0" fontId="8" fillId="0" borderId="0" xfId="5" applyFont="1" applyBorder="1"/>
    <xf numFmtId="0" fontId="8" fillId="0" borderId="0" xfId="5" applyFont="1" applyFill="1" applyBorder="1"/>
    <xf numFmtId="0" fontId="9" fillId="0" borderId="55" xfId="5" applyFont="1" applyFill="1" applyBorder="1" applyAlignment="1">
      <alignment horizontal="center"/>
    </xf>
    <xf numFmtId="0" fontId="9" fillId="9" borderId="51" xfId="5" applyFont="1" applyFill="1" applyBorder="1" applyProtection="1">
      <protection locked="0"/>
    </xf>
    <xf numFmtId="0" fontId="9" fillId="9" borderId="51" xfId="5" applyFont="1" applyFill="1" applyBorder="1" applyAlignment="1">
      <alignment horizontal="left"/>
    </xf>
    <xf numFmtId="18" fontId="9" fillId="9" borderId="51" xfId="5" applyNumberFormat="1" applyFont="1" applyFill="1" applyBorder="1" applyAlignment="1" applyProtection="1">
      <alignment horizontal="right"/>
      <protection locked="0"/>
    </xf>
    <xf numFmtId="18" fontId="9" fillId="9" borderId="51" xfId="5" applyNumberFormat="1" applyFont="1" applyFill="1" applyBorder="1" applyAlignment="1" applyProtection="1">
      <protection locked="0"/>
    </xf>
    <xf numFmtId="0" fontId="5" fillId="9" borderId="51" xfId="3" applyFill="1" applyBorder="1" applyAlignment="1">
      <alignment horizontal="left"/>
    </xf>
    <xf numFmtId="170" fontId="9" fillId="9" borderId="51" xfId="6" applyNumberFormat="1" applyFont="1" applyFill="1" applyBorder="1" applyProtection="1">
      <protection locked="0"/>
    </xf>
    <xf numFmtId="37" fontId="9" fillId="9" borderId="51" xfId="5" applyNumberFormat="1" applyFont="1" applyFill="1" applyBorder="1" applyAlignment="1" applyProtection="1">
      <alignment horizontal="center"/>
      <protection locked="0"/>
    </xf>
    <xf numFmtId="170" fontId="9" fillId="9" borderId="51" xfId="5" applyNumberFormat="1" applyFont="1" applyFill="1" applyBorder="1" applyAlignment="1" applyProtection="1">
      <alignment horizontal="center"/>
      <protection locked="0"/>
    </xf>
    <xf numFmtId="170" fontId="9" fillId="9" borderId="51" xfId="5" applyNumberFormat="1" applyFont="1" applyFill="1" applyBorder="1" applyAlignment="1">
      <alignment horizontal="right"/>
    </xf>
    <xf numFmtId="0" fontId="9" fillId="9" borderId="51" xfId="5" applyFont="1" applyFill="1" applyBorder="1" applyAlignment="1">
      <alignment horizontal="center"/>
    </xf>
    <xf numFmtId="0" fontId="9" fillId="9" borderId="0" xfId="5" applyFont="1" applyFill="1"/>
    <xf numFmtId="170" fontId="8" fillId="9" borderId="27" xfId="6" applyNumberFormat="1" applyFont="1" applyFill="1" applyBorder="1"/>
    <xf numFmtId="0" fontId="5" fillId="0" borderId="0" xfId="3" applyBorder="1" applyAlignment="1"/>
    <xf numFmtId="11" fontId="3" fillId="0" borderId="27" xfId="2" applyNumberFormat="1" applyFont="1" applyBorder="1" applyAlignment="1" applyProtection="1"/>
    <xf numFmtId="164" fontId="3" fillId="4" borderId="8" xfId="2" applyNumberFormat="1" applyFont="1" applyFill="1" applyBorder="1" applyAlignment="1" applyProtection="1"/>
    <xf numFmtId="170" fontId="4" fillId="0" borderId="9" xfId="1" applyNumberFormat="1" applyFont="1" applyFill="1" applyBorder="1"/>
    <xf numFmtId="172" fontId="3" fillId="0" borderId="27" xfId="1" applyNumberFormat="1" applyFont="1" applyBorder="1" applyAlignment="1"/>
    <xf numFmtId="0" fontId="21" fillId="0" borderId="19" xfId="1" applyFont="1" applyBorder="1"/>
    <xf numFmtId="0" fontId="21" fillId="0" borderId="18" xfId="1" applyFont="1" applyBorder="1"/>
    <xf numFmtId="0" fontId="21" fillId="0" borderId="17" xfId="1" applyFont="1" applyBorder="1"/>
    <xf numFmtId="0" fontId="21" fillId="0" borderId="0" xfId="1" applyFont="1"/>
    <xf numFmtId="0" fontId="22" fillId="2" borderId="8" xfId="1" applyFont="1" applyFill="1" applyBorder="1"/>
    <xf numFmtId="0" fontId="23" fillId="0" borderId="0" xfId="1" applyFont="1" applyBorder="1"/>
    <xf numFmtId="0" fontId="21" fillId="0" borderId="0" xfId="1" applyFont="1" applyBorder="1"/>
    <xf numFmtId="0" fontId="24" fillId="0" borderId="0" xfId="3" applyFont="1" applyBorder="1"/>
    <xf numFmtId="0" fontId="23" fillId="0" borderId="8" xfId="1" applyFont="1" applyBorder="1" applyAlignment="1">
      <alignment horizontal="right"/>
    </xf>
    <xf numFmtId="170" fontId="23" fillId="0" borderId="8" xfId="2" applyNumberFormat="1" applyFont="1" applyBorder="1" applyAlignment="1" applyProtection="1"/>
    <xf numFmtId="0" fontId="21" fillId="0" borderId="4" xfId="1" applyFont="1" applyBorder="1"/>
    <xf numFmtId="0" fontId="23" fillId="0" borderId="0" xfId="5" applyFont="1" applyFill="1" applyBorder="1" applyAlignment="1">
      <alignment horizontal="left"/>
    </xf>
    <xf numFmtId="37" fontId="23" fillId="0" borderId="8" xfId="2" applyNumberFormat="1" applyFont="1" applyBorder="1" applyAlignment="1" applyProtection="1"/>
    <xf numFmtId="0" fontId="22" fillId="2" borderId="0" xfId="1" applyFont="1" applyFill="1" applyBorder="1"/>
    <xf numFmtId="0" fontId="23" fillId="0" borderId="0" xfId="1" applyFont="1" applyBorder="1" applyAlignment="1">
      <alignment horizontal="left"/>
    </xf>
    <xf numFmtId="164" fontId="23" fillId="0" borderId="8" xfId="2" applyNumberFormat="1" applyFont="1" applyBorder="1" applyAlignment="1" applyProtection="1"/>
    <xf numFmtId="0" fontId="21" fillId="0" borderId="6" xfId="1" applyFont="1" applyBorder="1"/>
    <xf numFmtId="0" fontId="22" fillId="2" borderId="12" xfId="1" applyFont="1" applyFill="1" applyBorder="1"/>
    <xf numFmtId="0" fontId="23" fillId="0" borderId="10" xfId="1" applyFont="1" applyBorder="1"/>
    <xf numFmtId="0" fontId="24" fillId="0" borderId="10" xfId="3" applyNumberFormat="1" applyFont="1" applyBorder="1" applyAlignment="1" applyProtection="1">
      <alignment wrapText="1"/>
    </xf>
    <xf numFmtId="164" fontId="23" fillId="0" borderId="13" xfId="2" applyNumberFormat="1" applyFont="1" applyBorder="1" applyAlignment="1" applyProtection="1"/>
    <xf numFmtId="37" fontId="23" fillId="0" borderId="8" xfId="1" applyNumberFormat="1" applyFont="1" applyBorder="1" applyAlignment="1"/>
    <xf numFmtId="0" fontId="24" fillId="0" borderId="27" xfId="3" applyFont="1" applyFill="1" applyBorder="1"/>
    <xf numFmtId="0" fontId="23" fillId="0" borderId="8" xfId="1" applyFont="1" applyBorder="1"/>
    <xf numFmtId="0" fontId="23" fillId="0" borderId="4" xfId="2" applyNumberFormat="1" applyFont="1" applyBorder="1" applyAlignment="1"/>
    <xf numFmtId="0" fontId="24" fillId="0" borderId="10" xfId="3" applyFont="1" applyBorder="1" applyAlignment="1">
      <alignment wrapText="1"/>
    </xf>
    <xf numFmtId="164" fontId="23" fillId="0" borderId="48" xfId="2" applyNumberFormat="1" applyFont="1" applyBorder="1" applyAlignment="1" applyProtection="1"/>
    <xf numFmtId="0" fontId="24" fillId="0" borderId="16" xfId="3" applyFont="1" applyFill="1" applyBorder="1" applyAlignment="1">
      <alignment wrapText="1"/>
    </xf>
    <xf numFmtId="164" fontId="23" fillId="0" borderId="27" xfId="2" applyNumberFormat="1" applyFont="1" applyBorder="1" applyAlignment="1" applyProtection="1"/>
    <xf numFmtId="0" fontId="23" fillId="0" borderId="13" xfId="1" applyFont="1" applyBorder="1"/>
    <xf numFmtId="164" fontId="23" fillId="0" borderId="49" xfId="2" applyNumberFormat="1" applyFont="1" applyBorder="1" applyAlignment="1" applyProtection="1"/>
    <xf numFmtId="0" fontId="22" fillId="2" borderId="8" xfId="1" applyFont="1" applyFill="1" applyBorder="1" applyAlignment="1">
      <alignment horizontal="right"/>
    </xf>
    <xf numFmtId="164" fontId="22" fillId="2" borderId="8" xfId="1" applyNumberFormat="1" applyFont="1" applyFill="1" applyBorder="1"/>
    <xf numFmtId="0" fontId="22" fillId="2" borderId="10" xfId="1" applyFont="1" applyFill="1" applyBorder="1"/>
    <xf numFmtId="0" fontId="22" fillId="2" borderId="13" xfId="1" applyFont="1" applyFill="1" applyBorder="1"/>
    <xf numFmtId="0" fontId="23" fillId="0" borderId="11" xfId="1" applyFont="1" applyBorder="1"/>
    <xf numFmtId="0" fontId="23" fillId="0" borderId="12" xfId="1" applyFont="1" applyBorder="1"/>
    <xf numFmtId="164" fontId="23" fillId="0" borderId="11" xfId="2" applyNumberFormat="1" applyFont="1" applyBorder="1" applyAlignment="1" applyProtection="1"/>
    <xf numFmtId="11" fontId="23" fillId="0" borderId="11" xfId="1" applyNumberFormat="1" applyFont="1" applyBorder="1"/>
    <xf numFmtId="168" fontId="23" fillId="0" borderId="11" xfId="2" applyNumberFormat="1" applyFont="1" applyBorder="1" applyAlignment="1" applyProtection="1"/>
    <xf numFmtId="2" fontId="23" fillId="0" borderId="11" xfId="2" applyNumberFormat="1" applyFont="1" applyBorder="1" applyAlignment="1" applyProtection="1"/>
    <xf numFmtId="169" fontId="23" fillId="0" borderId="11" xfId="2" applyNumberFormat="1" applyFont="1" applyBorder="1" applyAlignment="1" applyProtection="1"/>
    <xf numFmtId="11" fontId="23" fillId="0" borderId="11" xfId="2" applyNumberFormat="1" applyFont="1" applyBorder="1" applyAlignment="1" applyProtection="1"/>
    <xf numFmtId="164" fontId="23" fillId="0" borderId="12" xfId="2" applyNumberFormat="1" applyFont="1" applyBorder="1" applyAlignment="1" applyProtection="1"/>
    <xf numFmtId="166" fontId="23" fillId="0" borderId="11" xfId="1" applyNumberFormat="1" applyFont="1" applyBorder="1"/>
    <xf numFmtId="166" fontId="23" fillId="0" borderId="11" xfId="2" applyNumberFormat="1" applyFont="1" applyBorder="1" applyAlignment="1" applyProtection="1"/>
    <xf numFmtId="164" fontId="23" fillId="0" borderId="10" xfId="2" applyNumberFormat="1" applyFont="1" applyBorder="1" applyAlignment="1" applyProtection="1"/>
    <xf numFmtId="2" fontId="23" fillId="0" borderId="10" xfId="1" applyNumberFormat="1" applyFont="1" applyBorder="1"/>
    <xf numFmtId="168" fontId="23" fillId="0" borderId="10" xfId="2" applyNumberFormat="1" applyFont="1" applyBorder="1" applyAlignment="1" applyProtection="1"/>
    <xf numFmtId="2" fontId="23" fillId="0" borderId="10" xfId="2" applyNumberFormat="1" applyFont="1" applyBorder="1" applyAlignment="1" applyProtection="1"/>
    <xf numFmtId="169" fontId="23" fillId="0" borderId="10" xfId="2" applyNumberFormat="1" applyFont="1" applyBorder="1" applyAlignment="1" applyProtection="1"/>
    <xf numFmtId="11" fontId="23" fillId="0" borderId="10" xfId="2" applyNumberFormat="1" applyFont="1" applyBorder="1" applyAlignment="1" applyProtection="1"/>
    <xf numFmtId="0" fontId="22" fillId="0" borderId="6" xfId="1" applyFont="1" applyBorder="1"/>
    <xf numFmtId="0" fontId="22" fillId="0" borderId="0" xfId="1" applyFont="1" applyBorder="1"/>
    <xf numFmtId="0" fontId="22" fillId="2" borderId="5" xfId="1" applyFont="1" applyFill="1" applyBorder="1"/>
    <xf numFmtId="164" fontId="22" fillId="2" borderId="5" xfId="1" applyNumberFormat="1" applyFont="1" applyFill="1" applyBorder="1"/>
    <xf numFmtId="0" fontId="21" fillId="0" borderId="4" xfId="1" applyFont="1" applyBorder="1" applyAlignment="1">
      <alignment wrapText="1"/>
    </xf>
    <xf numFmtId="0" fontId="21" fillId="0" borderId="0" xfId="1" applyFont="1" applyAlignment="1">
      <alignment wrapText="1"/>
    </xf>
    <xf numFmtId="0" fontId="21" fillId="0" borderId="8" xfId="1" applyFont="1" applyBorder="1"/>
    <xf numFmtId="0" fontId="23" fillId="0" borderId="8" xfId="2" applyNumberFormat="1" applyFont="1" applyBorder="1" applyAlignment="1">
      <alignment wrapText="1"/>
    </xf>
    <xf numFmtId="11" fontId="21" fillId="0" borderId="8" xfId="1" applyNumberFormat="1" applyFont="1" applyBorder="1"/>
    <xf numFmtId="0" fontId="7" fillId="0" borderId="8" xfId="2" applyNumberFormat="1" applyFont="1" applyBorder="1" applyAlignment="1">
      <alignment wrapText="1"/>
    </xf>
    <xf numFmtId="166" fontId="21" fillId="0" borderId="8" xfId="1" applyNumberFormat="1" applyFont="1" applyBorder="1"/>
    <xf numFmtId="0" fontId="7" fillId="0" borderId="12" xfId="2" applyNumberFormat="1" applyFont="1" applyBorder="1" applyAlignment="1">
      <alignment wrapText="1"/>
    </xf>
    <xf numFmtId="0" fontId="21" fillId="0" borderId="12" xfId="1" applyFont="1" applyBorder="1"/>
    <xf numFmtId="0" fontId="7" fillId="0" borderId="10" xfId="2" applyNumberFormat="1" applyFont="1" applyBorder="1" applyAlignment="1">
      <alignment wrapText="1"/>
    </xf>
    <xf numFmtId="0" fontId="21" fillId="0" borderId="10" xfId="1" applyFont="1" applyBorder="1"/>
    <xf numFmtId="0" fontId="7" fillId="0" borderId="11" xfId="2" applyNumberFormat="1" applyFont="1" applyBorder="1" applyAlignment="1">
      <alignment wrapText="1"/>
    </xf>
    <xf numFmtId="0" fontId="21" fillId="0" borderId="11" xfId="1" applyFont="1" applyBorder="1"/>
    <xf numFmtId="0" fontId="22" fillId="2" borderId="9" xfId="1" applyFont="1" applyFill="1" applyBorder="1" applyAlignment="1">
      <alignment horizontal="right"/>
    </xf>
    <xf numFmtId="164" fontId="22" fillId="2" borderId="9" xfId="1" applyNumberFormat="1" applyFont="1" applyFill="1" applyBorder="1"/>
    <xf numFmtId="0" fontId="23" fillId="0" borderId="8" xfId="1" applyFont="1" applyFill="1" applyBorder="1"/>
    <xf numFmtId="164" fontId="23" fillId="0" borderId="8" xfId="2" applyNumberFormat="1" applyFont="1" applyFill="1" applyBorder="1" applyAlignment="1" applyProtection="1"/>
    <xf numFmtId="0" fontId="21" fillId="0" borderId="0" xfId="1" applyFont="1" applyFill="1" applyBorder="1"/>
    <xf numFmtId="0" fontId="21" fillId="0" borderId="4" xfId="1" applyFont="1" applyFill="1" applyBorder="1"/>
    <xf numFmtId="0" fontId="21" fillId="0" borderId="0" xfId="1" applyFont="1" applyFill="1"/>
    <xf numFmtId="0" fontId="22" fillId="2" borderId="5" xfId="1" applyFont="1" applyFill="1" applyBorder="1" applyAlignment="1">
      <alignment horizontal="right"/>
    </xf>
    <xf numFmtId="0" fontId="21" fillId="0" borderId="3" xfId="1" applyFont="1" applyBorder="1"/>
    <xf numFmtId="0" fontId="21" fillId="0" borderId="2" xfId="1" applyFont="1" applyBorder="1"/>
    <xf numFmtId="0" fontId="21" fillId="0" borderId="1" xfId="1" applyFont="1" applyBorder="1"/>
    <xf numFmtId="0" fontId="21" fillId="0" borderId="15" xfId="1" applyFont="1" applyBorder="1" applyAlignment="1">
      <alignment wrapText="1"/>
    </xf>
    <xf numFmtId="0" fontId="21" fillId="0" borderId="14" xfId="1" applyFont="1" applyBorder="1" applyAlignment="1">
      <alignment wrapText="1"/>
    </xf>
    <xf numFmtId="0" fontId="21" fillId="0" borderId="11" xfId="1" applyFont="1" applyBorder="1" applyAlignment="1">
      <alignment wrapText="1"/>
    </xf>
    <xf numFmtId="0" fontId="21" fillId="0" borderId="10" xfId="1" applyFont="1" applyBorder="1" applyAlignment="1">
      <alignment wrapText="1"/>
    </xf>
    <xf numFmtId="1" fontId="1" fillId="0" borderId="10" xfId="1" applyNumberFormat="1" applyBorder="1" applyAlignment="1"/>
    <xf numFmtId="1" fontId="3" fillId="0" borderId="10" xfId="2" applyNumberFormat="1" applyFont="1" applyBorder="1" applyAlignment="1" applyProtection="1"/>
    <xf numFmtId="172" fontId="3" fillId="0" borderId="10" xfId="1" applyNumberFormat="1" applyFont="1" applyBorder="1" applyAlignment="1"/>
    <xf numFmtId="0" fontId="22" fillId="11" borderId="8" xfId="1" applyFont="1" applyFill="1" applyBorder="1"/>
    <xf numFmtId="0" fontId="22" fillId="0" borderId="0" xfId="1" applyFont="1" applyFill="1" applyBorder="1"/>
    <xf numFmtId="1" fontId="1" fillId="0" borderId="27" xfId="1" applyNumberFormat="1" applyBorder="1" applyAlignment="1"/>
    <xf numFmtId="1" fontId="3" fillId="0" borderId="27" xfId="2" applyNumberFormat="1" applyFont="1" applyBorder="1" applyAlignment="1" applyProtection="1"/>
    <xf numFmtId="1" fontId="1" fillId="0" borderId="10" xfId="1" applyNumberFormat="1" applyBorder="1" applyAlignment="1">
      <alignment wrapText="1"/>
    </xf>
    <xf numFmtId="0" fontId="1" fillId="0" borderId="27" xfId="1" applyNumberFormat="1" applyBorder="1" applyAlignment="1"/>
    <xf numFmtId="166" fontId="3" fillId="0" borderId="10" xfId="2" applyNumberFormat="1" applyFont="1" applyBorder="1" applyAlignment="1" applyProtection="1"/>
    <xf numFmtId="0" fontId="4" fillId="0" borderId="27" xfId="2" applyNumberFormat="1" applyFont="1" applyBorder="1" applyAlignment="1" applyProtection="1"/>
    <xf numFmtId="170" fontId="4" fillId="0" borderId="27" xfId="1" applyNumberFormat="1" applyFont="1" applyFill="1" applyBorder="1"/>
    <xf numFmtId="0" fontId="3" fillId="0" borderId="8" xfId="2" applyNumberFormat="1" applyFont="1" applyBorder="1" applyAlignment="1" applyProtection="1"/>
    <xf numFmtId="177" fontId="23" fillId="0" borderId="0" xfId="8" applyNumberFormat="1" applyFont="1" applyFill="1" applyBorder="1">
      <alignment vertical="center" wrapText="1"/>
    </xf>
    <xf numFmtId="1" fontId="3" fillId="0" borderId="8" xfId="2" applyNumberFormat="1" applyFont="1" applyBorder="1" applyAlignment="1" applyProtection="1">
      <alignment wrapText="1"/>
    </xf>
    <xf numFmtId="169" fontId="3" fillId="0" borderId="8" xfId="2" applyNumberFormat="1" applyFont="1" applyBorder="1" applyAlignment="1" applyProtection="1"/>
    <xf numFmtId="0" fontId="2" fillId="12" borderId="37" xfId="1" applyFont="1" applyFill="1" applyBorder="1"/>
    <xf numFmtId="0" fontId="2" fillId="12" borderId="8" xfId="1" applyFont="1" applyFill="1" applyBorder="1"/>
    <xf numFmtId="0" fontId="2" fillId="12" borderId="5" xfId="1" applyFont="1" applyFill="1" applyBorder="1" applyAlignment="1">
      <alignment horizontal="right"/>
    </xf>
    <xf numFmtId="164" fontId="2" fillId="12" borderId="5" xfId="1" applyNumberFormat="1" applyFont="1" applyFill="1" applyBorder="1"/>
    <xf numFmtId="170" fontId="8" fillId="0" borderId="0" xfId="5" applyNumberFormat="1" applyFont="1"/>
    <xf numFmtId="0" fontId="3" fillId="0" borderId="57" xfId="9" applyFont="1" applyBorder="1" applyAlignment="1" applyProtection="1">
      <alignment vertical="center" wrapText="1"/>
    </xf>
    <xf numFmtId="0" fontId="3" fillId="0" borderId="58" xfId="9" applyFont="1" applyBorder="1" applyAlignment="1"/>
    <xf numFmtId="164" fontId="3" fillId="0" borderId="59" xfId="9" applyNumberFormat="1" applyFont="1" applyBorder="1" applyAlignment="1" applyProtection="1"/>
    <xf numFmtId="0" fontId="3" fillId="0" borderId="59" xfId="9" applyFont="1" applyBorder="1" applyAlignment="1"/>
    <xf numFmtId="0" fontId="3" fillId="0" borderId="59" xfId="9" applyFont="1" applyBorder="1" applyAlignment="1" applyProtection="1"/>
    <xf numFmtId="11" fontId="3" fillId="0" borderId="59" xfId="9" applyNumberFormat="1" applyFont="1" applyBorder="1" applyAlignment="1"/>
    <xf numFmtId="11" fontId="3" fillId="0" borderId="59" xfId="9" applyNumberFormat="1" applyFont="1" applyBorder="1" applyAlignment="1" applyProtection="1"/>
    <xf numFmtId="178" fontId="3" fillId="0" borderId="59" xfId="9" applyNumberFormat="1" applyFont="1" applyBorder="1" applyAlignment="1" applyProtection="1"/>
    <xf numFmtId="3" fontId="25" fillId="0" borderId="59" xfId="9" applyNumberFormat="1" applyBorder="1" applyAlignment="1"/>
    <xf numFmtId="1" fontId="3" fillId="0" borderId="59" xfId="9" applyNumberFormat="1" applyFont="1" applyBorder="1" applyAlignment="1" applyProtection="1"/>
    <xf numFmtId="0" fontId="3" fillId="0" borderId="27" xfId="9" applyFont="1" applyBorder="1" applyAlignment="1"/>
    <xf numFmtId="0" fontId="26" fillId="0" borderId="27" xfId="9" applyFont="1" applyBorder="1" applyAlignment="1">
      <alignment wrapText="1"/>
    </xf>
    <xf numFmtId="0" fontId="25" fillId="0" borderId="27" xfId="9" applyBorder="1"/>
    <xf numFmtId="164" fontId="3" fillId="0" borderId="27" xfId="9" applyNumberFormat="1" applyFont="1" applyBorder="1" applyAlignment="1" applyProtection="1"/>
    <xf numFmtId="0" fontId="3" fillId="0" borderId="27" xfId="9" applyFont="1" applyBorder="1"/>
    <xf numFmtId="1" fontId="25" fillId="0" borderId="27" xfId="9" applyNumberFormat="1" applyBorder="1"/>
    <xf numFmtId="164" fontId="3" fillId="0" borderId="27" xfId="9" applyNumberFormat="1" applyFont="1" applyBorder="1" applyAlignment="1" applyProtection="1">
      <alignment wrapText="1"/>
    </xf>
    <xf numFmtId="18" fontId="9" fillId="9" borderId="11" xfId="5" applyNumberFormat="1" applyFont="1" applyFill="1" applyBorder="1" applyAlignment="1" applyProtection="1">
      <alignment horizontal="right"/>
      <protection locked="0"/>
    </xf>
  </cellXfs>
  <cellStyles count="10">
    <cellStyle name="Comma 2" xfId="6" xr:uid="{00000000-0005-0000-0000-000000000000}"/>
    <cellStyle name="Cost_Yellow" xfId="8" xr:uid="{00000000-0005-0000-0000-000001000000}"/>
    <cellStyle name="Lien hypertexte" xfId="3" builtinId="8"/>
    <cellStyle name="Normal" xfId="0" builtinId="0"/>
    <cellStyle name="Normal 10" xfId="9" xr:uid="{00000000-0005-0000-0000-000004000000}"/>
    <cellStyle name="Normal 2" xfId="1" xr:uid="{00000000-0005-0000-0000-000005000000}"/>
    <cellStyle name="Normal 2 2" xfId="5" xr:uid="{00000000-0005-0000-0000-000006000000}"/>
    <cellStyle name="Normal 3" xfId="7" xr:uid="{00000000-0005-0000-0000-000007000000}"/>
    <cellStyle name="Normal_Sheet1" xfId="4" xr:uid="{00000000-0005-0000-0000-000008000000}"/>
    <cellStyle name="TableStyleLight1" xfId="2" xr:uid="{00000000-0005-0000-0000-000009000000}"/>
  </cellStyles>
  <dxfs count="0"/>
  <tableStyles count="0" defaultTableStyle="TableStyleMedium2" defaultPivotStyle="PivotStyleLight16"/>
  <colors>
    <mruColors>
      <color rgb="FFB1A0C7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#MS_0100_005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hyperlink" Target="#MS_0100_006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hyperlink" Target="#MS_0100_007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hyperlink" Target="#MS_0100_008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hyperlink" Target="#MS_04002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hyperlink" Target="#MS_04003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hyperlink" Target="#MS_0500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MS_0100_00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MS_0100_002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MS_0100_003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MS_0100_004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101600</xdr:colOff>
      <xdr:row>25</xdr:row>
      <xdr:rowOff>63500</xdr:rowOff>
    </xdr:from>
    <xdr:to>
      <xdr:col>14</xdr:col>
      <xdr:colOff>254000</xdr:colOff>
      <xdr:row>44</xdr:row>
      <xdr:rowOff>125910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1DA9A48-E738-4711-86C3-19D9631DF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96800" y="4838700"/>
          <a:ext cx="3390900" cy="368191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1047750</xdr:colOff>
      <xdr:row>0</xdr:row>
      <xdr:rowOff>39708</xdr:rowOff>
    </xdr:from>
    <xdr:to>
      <xdr:col>8</xdr:col>
      <xdr:colOff>438150</xdr:colOff>
      <xdr:row>8</xdr:row>
      <xdr:rowOff>152950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09BE619-E38B-4987-905A-BB5CB59B5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38825" y="39708"/>
          <a:ext cx="2105025" cy="163724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281941</xdr:colOff>
      <xdr:row>1</xdr:row>
      <xdr:rowOff>114300</xdr:rowOff>
    </xdr:from>
    <xdr:ext cx="6899222" cy="529486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DE9D1-B59E-469F-AF08-656AB6EB4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1" y="304800"/>
          <a:ext cx="6899222" cy="5294862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1019175</xdr:colOff>
      <xdr:row>0</xdr:row>
      <xdr:rowOff>28576</xdr:rowOff>
    </xdr:from>
    <xdr:to>
      <xdr:col>8</xdr:col>
      <xdr:colOff>428625</xdr:colOff>
      <xdr:row>8</xdr:row>
      <xdr:rowOff>142586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9FCCF5A7-5C0A-4FA9-8E2F-428E35D79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10250" y="28576"/>
          <a:ext cx="2124075" cy="163801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259080</xdr:colOff>
      <xdr:row>1</xdr:row>
      <xdr:rowOff>121920</xdr:rowOff>
    </xdr:from>
    <xdr:ext cx="6813663" cy="5180571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8D3F26-A49C-462F-9942-920E3A3EB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80" y="312420"/>
          <a:ext cx="6813663" cy="5180571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1104900</xdr:colOff>
      <xdr:row>0</xdr:row>
      <xdr:rowOff>47625</xdr:rowOff>
    </xdr:from>
    <xdr:to>
      <xdr:col>8</xdr:col>
      <xdr:colOff>504825</xdr:colOff>
      <xdr:row>8</xdr:row>
      <xdr:rowOff>139574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C7BDE74-0879-4AA4-88CD-5F4404748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95975" y="47625"/>
          <a:ext cx="2114550" cy="161594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213360</xdr:colOff>
      <xdr:row>1</xdr:row>
      <xdr:rowOff>7620</xdr:rowOff>
    </xdr:from>
    <xdr:ext cx="7165203" cy="549869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144C6A-7130-4817-A9A6-47B4FE6E0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198120"/>
          <a:ext cx="7165203" cy="5498698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1304925</xdr:colOff>
      <xdr:row>0</xdr:row>
      <xdr:rowOff>66676</xdr:rowOff>
    </xdr:from>
    <xdr:to>
      <xdr:col>8</xdr:col>
      <xdr:colOff>295275</xdr:colOff>
      <xdr:row>8</xdr:row>
      <xdr:rowOff>164278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70A45F7-473A-4711-8FCC-E684D66A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91300" y="66676"/>
          <a:ext cx="1876425" cy="162160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320040</xdr:colOff>
      <xdr:row>1</xdr:row>
      <xdr:rowOff>76200</xdr:rowOff>
    </xdr:from>
    <xdr:ext cx="7006892" cy="535582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7030F8-FF1F-4051-8F0B-22477A27A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0" y="266700"/>
          <a:ext cx="7006892" cy="5355827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552290</xdr:colOff>
      <xdr:row>16</xdr:row>
      <xdr:rowOff>121664</xdr:rowOff>
    </xdr:from>
    <xdr:ext cx="1993404" cy="2372056"/>
    <xdr:pic>
      <xdr:nvPicPr>
        <xdr:cNvPr id="2" name="Image 1">
          <a:extLst>
            <a:ext uri="{FF2B5EF4-FFF2-40B4-BE49-F238E27FC236}">
              <a16:creationId xmlns:a16="http://schemas.microsoft.com/office/drawing/2014/main" id="{247EA8A0-80C2-4F9C-A0B6-21BCBF486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290" y="2979164"/>
          <a:ext cx="1993404" cy="2372056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389003</xdr:colOff>
      <xdr:row>14</xdr:row>
      <xdr:rowOff>41622</xdr:rowOff>
    </xdr:from>
    <xdr:ext cx="1437923" cy="1102179"/>
    <xdr:pic>
      <xdr:nvPicPr>
        <xdr:cNvPr id="2" name="Image 1">
          <a:extLst>
            <a:ext uri="{FF2B5EF4-FFF2-40B4-BE49-F238E27FC236}">
              <a16:creationId xmlns:a16="http://schemas.microsoft.com/office/drawing/2014/main" id="{FA6EFB16-AB6B-49F8-8F15-A31E9F99F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4603" y="2708622"/>
          <a:ext cx="1437923" cy="110217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965200</xdr:colOff>
      <xdr:row>0</xdr:row>
      <xdr:rowOff>52498</xdr:rowOff>
    </xdr:from>
    <xdr:to>
      <xdr:col>8</xdr:col>
      <xdr:colOff>552426</xdr:colOff>
      <xdr:row>8</xdr:row>
      <xdr:rowOff>127000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73B0EA2-D373-4410-8AB4-D825970A4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96000" y="52498"/>
          <a:ext cx="1581126" cy="159850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38099</xdr:rowOff>
    </xdr:from>
    <xdr:to>
      <xdr:col>7</xdr:col>
      <xdr:colOff>709978</xdr:colOff>
      <xdr:row>23</xdr:row>
      <xdr:rowOff>114300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E17408-C0F7-4DC1-997D-A517C1F45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2875" y="228599"/>
          <a:ext cx="6034453" cy="426720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276225</xdr:colOff>
      <xdr:row>12</xdr:row>
      <xdr:rowOff>161925</xdr:rowOff>
    </xdr:from>
    <xdr:ext cx="1611066" cy="1388969"/>
    <xdr:pic>
      <xdr:nvPicPr>
        <xdr:cNvPr id="2" name="Image 1">
          <a:extLst>
            <a:ext uri="{FF2B5EF4-FFF2-40B4-BE49-F238E27FC236}">
              <a16:creationId xmlns:a16="http://schemas.microsoft.com/office/drawing/2014/main" id="{59E2B933-D317-4B44-90B7-31292A58C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2447925"/>
          <a:ext cx="1611066" cy="1388969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418934</xdr:colOff>
      <xdr:row>22</xdr:row>
      <xdr:rowOff>161925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E7A360-50E3-4FC4-A5D7-45A51CCC2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5886284" cy="41624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184365</xdr:colOff>
      <xdr:row>12</xdr:row>
      <xdr:rowOff>82733</xdr:rowOff>
    </xdr:from>
    <xdr:ext cx="1203111" cy="1022168"/>
    <xdr:pic>
      <xdr:nvPicPr>
        <xdr:cNvPr id="2" name="Image 1">
          <a:extLst>
            <a:ext uri="{FF2B5EF4-FFF2-40B4-BE49-F238E27FC236}">
              <a16:creationId xmlns:a16="http://schemas.microsoft.com/office/drawing/2014/main" id="{DDEE29CA-F27C-45A4-8DF0-5C8E14073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9565" y="2368733"/>
          <a:ext cx="1203111" cy="1022168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</xdr:rowOff>
    </xdr:from>
    <xdr:ext cx="5883214" cy="426944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BAEEEB-E2B1-4DAF-97B7-74C7CA635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1"/>
          <a:ext cx="5883214" cy="426944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259081</xdr:colOff>
      <xdr:row>1</xdr:row>
      <xdr:rowOff>106680</xdr:rowOff>
    </xdr:from>
    <xdr:ext cx="7455247" cy="566062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A7A5F2-26A6-48E0-8965-346F6E0C0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81" y="297180"/>
          <a:ext cx="7455247" cy="566062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826283</xdr:colOff>
      <xdr:row>0</xdr:row>
      <xdr:rowOff>90523</xdr:rowOff>
    </xdr:from>
    <xdr:to>
      <xdr:col>8</xdr:col>
      <xdr:colOff>797099</xdr:colOff>
      <xdr:row>8</xdr:row>
      <xdr:rowOff>11206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A916615-A90C-40C6-8951-2670C8EC1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36165" y="90523"/>
          <a:ext cx="1976669" cy="14446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289561</xdr:colOff>
      <xdr:row>1</xdr:row>
      <xdr:rowOff>139228</xdr:rowOff>
    </xdr:from>
    <xdr:ext cx="6892290" cy="526612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908793-1945-4255-812A-5E4C4D89D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1" y="329728"/>
          <a:ext cx="6892290" cy="526612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12</xdr:row>
      <xdr:rowOff>38100</xdr:rowOff>
    </xdr:from>
    <xdr:to>
      <xdr:col>12</xdr:col>
      <xdr:colOff>619125</xdr:colOff>
      <xdr:row>18</xdr:row>
      <xdr:rowOff>172101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30F2782-0212-41B7-98B9-2DB6F2D27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29526" y="2324100"/>
          <a:ext cx="2076449" cy="14675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281940</xdr:colOff>
      <xdr:row>1</xdr:row>
      <xdr:rowOff>114300</xdr:rowOff>
    </xdr:from>
    <xdr:ext cx="7490727" cy="575968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764FB9-926F-4387-863E-93AC3BED4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0" y="304800"/>
          <a:ext cx="7490727" cy="5759682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1123950</xdr:colOff>
      <xdr:row>0</xdr:row>
      <xdr:rowOff>28575</xdr:rowOff>
    </xdr:from>
    <xdr:to>
      <xdr:col>8</xdr:col>
      <xdr:colOff>457200</xdr:colOff>
      <xdr:row>8</xdr:row>
      <xdr:rowOff>132312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E8E2C80-ABED-4990-BFF7-5EAA4587E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15025" y="28575"/>
          <a:ext cx="2047875" cy="162773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205740</xdr:colOff>
      <xdr:row>1</xdr:row>
      <xdr:rowOff>114300</xdr:rowOff>
    </xdr:from>
    <xdr:ext cx="6818156" cy="524152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B71EE4-D3CF-48F9-B359-7AF5AE6E2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304800"/>
          <a:ext cx="6818156" cy="52415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PHAL~1/AppData/Local/Temp/MS_A0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MS_A0100"/>
      <sheetName val="MS_0100_001"/>
      <sheetName val="dMS_0100_001"/>
      <sheetName val="MS_0100_002"/>
      <sheetName val="dMS_0100_002"/>
      <sheetName val="MS_0100_003"/>
      <sheetName val="dMS_0100_003"/>
      <sheetName val="MS_0100_004"/>
      <sheetName val="dMS_0100_004"/>
      <sheetName val="MS_0100_005"/>
      <sheetName val="dMS_0100_005"/>
      <sheetName val="MS_0100_006"/>
      <sheetName val="dMS_0100_006"/>
      <sheetName val="MS_0100_007"/>
      <sheetName val="dMS_0100_007"/>
      <sheetName val="MS_0100_008"/>
      <sheetName val="dMS_0100_008"/>
    </sheetNames>
    <sheetDataSet>
      <sheetData sheetId="0" refreshError="1"/>
      <sheetData sheetId="1" refreshError="1"/>
      <sheetData sheetId="2" refreshError="1"/>
      <sheetData sheetId="3" refreshError="1">
        <row r="3">
          <cell r="N3">
            <v>1</v>
          </cell>
        </row>
        <row r="5">
          <cell r="B5" t="str">
            <v>Firewall Up</v>
          </cell>
        </row>
      </sheetData>
      <sheetData sheetId="4" refreshError="1"/>
      <sheetData sheetId="5" refreshError="1">
        <row r="3">
          <cell r="N3">
            <v>1</v>
          </cell>
        </row>
        <row r="5">
          <cell r="B5" t="str">
            <v>Firewall Middle</v>
          </cell>
        </row>
      </sheetData>
      <sheetData sheetId="6" refreshError="1"/>
      <sheetData sheetId="7" refreshError="1">
        <row r="3">
          <cell r="N3">
            <v>1</v>
          </cell>
        </row>
        <row r="5">
          <cell r="B5" t="str">
            <v>Firewall Bottom</v>
          </cell>
        </row>
      </sheetData>
      <sheetData sheetId="8" refreshError="1"/>
      <sheetData sheetId="9" refreshError="1">
        <row r="3">
          <cell r="N3">
            <v>2</v>
          </cell>
        </row>
        <row r="5">
          <cell r="B5" t="str">
            <v>Firewall Upper Side</v>
          </cell>
        </row>
      </sheetData>
      <sheetData sheetId="10" refreshError="1"/>
      <sheetData sheetId="11" refreshError="1">
        <row r="3">
          <cell r="N3">
            <v>2</v>
          </cell>
        </row>
        <row r="5">
          <cell r="B5" t="str">
            <v>Firewall Middle Side</v>
          </cell>
        </row>
      </sheetData>
      <sheetData sheetId="12" refreshError="1"/>
      <sheetData sheetId="13" refreshError="1">
        <row r="3">
          <cell r="N3">
            <v>2</v>
          </cell>
        </row>
        <row r="5">
          <cell r="B5" t="str">
            <v>Firewall Lower Side</v>
          </cell>
        </row>
      </sheetData>
      <sheetData sheetId="14" refreshError="1"/>
      <sheetData sheetId="15" refreshError="1">
        <row r="3">
          <cell r="N3">
            <v>4</v>
          </cell>
        </row>
        <row r="5">
          <cell r="B5" t="str">
            <v>Firewall Up Bracket</v>
          </cell>
        </row>
      </sheetData>
      <sheetData sheetId="16" refreshError="1"/>
      <sheetData sheetId="17" refreshError="1">
        <row r="3">
          <cell r="N3">
            <v>24</v>
          </cell>
        </row>
        <row r="5">
          <cell r="B5" t="str">
            <v>Firewall Middle, Bottom and Sides Bracket</v>
          </cell>
        </row>
      </sheetData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G171"/>
  <sheetViews>
    <sheetView zoomScale="85" zoomScaleNormal="85" workbookViewId="0">
      <pane xSplit="3" ySplit="6" topLeftCell="D13" activePane="bottomRight" state="frozen"/>
      <selection activeCell="H10" sqref="H10"/>
      <selection pane="topRight" activeCell="H10" sqref="H10"/>
      <selection pane="bottomLeft" activeCell="H10" sqref="H10"/>
      <selection pane="bottomRight" activeCell="F29" sqref="F29"/>
    </sheetView>
  </sheetViews>
  <sheetFormatPr baseColWidth="10" defaultColWidth="9.140625" defaultRowHeight="12.75" x14ac:dyDescent="0.2"/>
  <cols>
    <col min="1" max="1" width="17.42578125" style="137" bestFit="1" customWidth="1"/>
    <col min="2" max="2" width="33.85546875" style="136" customWidth="1"/>
    <col min="3" max="3" width="14.42578125" style="137" bestFit="1" customWidth="1"/>
    <col min="4" max="4" width="8.85546875" style="137" customWidth="1"/>
    <col min="5" max="5" width="23" style="137" customWidth="1"/>
    <col min="6" max="6" width="39.85546875" style="139" customWidth="1"/>
    <col min="7" max="7" width="14" style="137" customWidth="1"/>
    <col min="8" max="8" width="11" style="137" bestFit="1" customWidth="1"/>
    <col min="9" max="9" width="9.28515625" style="138" customWidth="1"/>
    <col min="10" max="13" width="10.42578125" style="138" customWidth="1"/>
    <col min="14" max="14" width="9.7109375" style="137" bestFit="1" customWidth="1"/>
    <col min="15" max="15" width="9.85546875" style="136" customWidth="1"/>
    <col min="16" max="16384" width="9.140625" style="136"/>
  </cols>
  <sheetData>
    <row r="1" spans="1:15" ht="15.75" thickBot="1" x14ac:dyDescent="0.3">
      <c r="A1" s="178" t="s">
        <v>89</v>
      </c>
      <c r="B1" s="177" t="s">
        <v>88</v>
      </c>
      <c r="D1" s="166"/>
      <c r="M1" s="176" t="s">
        <v>151</v>
      </c>
      <c r="N1" s="175"/>
      <c r="O1" s="174" t="e">
        <f>#REF!</f>
        <v>#REF!</v>
      </c>
    </row>
    <row r="2" spans="1:15" s="164" customFormat="1" ht="15.75" thickBot="1" x14ac:dyDescent="0.3">
      <c r="A2" s="173" t="s">
        <v>150</v>
      </c>
      <c r="B2" s="172" t="s">
        <v>149</v>
      </c>
      <c r="C2" s="167"/>
      <c r="F2" s="165"/>
    </row>
    <row r="3" spans="1:15" s="164" customFormat="1" ht="16.5" thickTop="1" thickBot="1" x14ac:dyDescent="0.3">
      <c r="A3" s="171" t="s">
        <v>148</v>
      </c>
      <c r="B3" s="170">
        <v>2018</v>
      </c>
      <c r="C3" s="167"/>
      <c r="F3" s="165"/>
    </row>
    <row r="4" spans="1:15" s="164" customFormat="1" ht="16.5" thickTop="1" thickBot="1" x14ac:dyDescent="0.3">
      <c r="A4" s="169" t="s">
        <v>86</v>
      </c>
      <c r="B4" s="168">
        <v>81</v>
      </c>
      <c r="C4" s="167"/>
      <c r="D4" s="166" t="s">
        <v>147</v>
      </c>
      <c r="F4" s="165"/>
    </row>
    <row r="5" spans="1:15" s="159" customFormat="1" ht="15.75" thickTop="1" x14ac:dyDescent="0.25">
      <c r="A5" s="163"/>
      <c r="B5" s="162"/>
      <c r="C5" s="161"/>
      <c r="F5" s="160"/>
    </row>
    <row r="6" spans="1:15" s="154" customFormat="1" ht="49.5" customHeight="1" x14ac:dyDescent="0.25">
      <c r="A6" s="158" t="s">
        <v>146</v>
      </c>
      <c r="B6" s="155" t="s">
        <v>145</v>
      </c>
      <c r="C6" s="155" t="s">
        <v>144</v>
      </c>
      <c r="D6" s="155" t="s">
        <v>143</v>
      </c>
      <c r="E6" s="155" t="s">
        <v>142</v>
      </c>
      <c r="F6" s="155" t="s">
        <v>141</v>
      </c>
      <c r="G6" s="155" t="s">
        <v>140</v>
      </c>
      <c r="H6" s="157" t="s">
        <v>139</v>
      </c>
      <c r="I6" s="155" t="s">
        <v>6</v>
      </c>
      <c r="J6" s="155" t="s">
        <v>138</v>
      </c>
      <c r="K6" s="155" t="s">
        <v>137</v>
      </c>
      <c r="L6" s="155" t="s">
        <v>136</v>
      </c>
      <c r="M6" s="155" t="s">
        <v>135</v>
      </c>
      <c r="N6" s="156" t="s">
        <v>134</v>
      </c>
      <c r="O6" s="155" t="s">
        <v>133</v>
      </c>
    </row>
    <row r="7" spans="1:15" ht="15" x14ac:dyDescent="0.25">
      <c r="A7" s="153"/>
      <c r="B7" s="152" t="str">
        <f>'MS A0100'!B3</f>
        <v>Miscellaneous, Finish &amp; Assembly</v>
      </c>
      <c r="C7" s="150" t="str">
        <f>MS_A0100</f>
        <v>MS A0100</v>
      </c>
      <c r="D7" s="150" t="s">
        <v>75</v>
      </c>
      <c r="E7" s="150"/>
      <c r="F7" s="151" t="str">
        <f>'MS A0100'!B4</f>
        <v>Firewall</v>
      </c>
      <c r="G7" s="150"/>
      <c r="H7" s="149">
        <f t="shared" ref="H7:H15" si="0">SUM(J7:M7)</f>
        <v>55.466034457959005</v>
      </c>
      <c r="I7" s="148">
        <f>MS_A0100_q</f>
        <v>1</v>
      </c>
      <c r="J7" s="147">
        <f>MS_A0100_m</f>
        <v>0.28615999999999997</v>
      </c>
      <c r="K7" s="147">
        <f>MS_A0100_p</f>
        <v>42.620233999999996</v>
      </c>
      <c r="L7" s="147">
        <f>MS_A0100_f</f>
        <v>3.2263071246256692</v>
      </c>
      <c r="M7" s="147">
        <f>MS_A0100_t</f>
        <v>9.3333333333333339</v>
      </c>
      <c r="N7" s="146">
        <f t="shared" ref="N7:N15" si="1">H7*I7</f>
        <v>55.466034457959005</v>
      </c>
      <c r="O7" s="145"/>
    </row>
    <row r="8" spans="1:15" ht="15" x14ac:dyDescent="0.25">
      <c r="A8" s="187"/>
      <c r="B8" s="186" t="str">
        <f>'MS 01001'!$B$3</f>
        <v>Miscellaneous, Finish &amp; Assembly</v>
      </c>
      <c r="C8" s="190" t="str">
        <f>MS_0100_001</f>
        <v>MS 01001</v>
      </c>
      <c r="D8" s="185" t="s">
        <v>75</v>
      </c>
      <c r="E8" s="185" t="str">
        <f t="shared" ref="E8:E15" si="2">$F$7</f>
        <v>Firewall</v>
      </c>
      <c r="F8" s="184" t="str">
        <f>[1]MS_0100_001!B5</f>
        <v>Firewall Up</v>
      </c>
      <c r="G8" s="185"/>
      <c r="H8" s="183">
        <f t="shared" si="0"/>
        <v>9.2651947324861545</v>
      </c>
      <c r="I8" s="182">
        <f>MS_A0100_q*MS_0100_001_q</f>
        <v>1</v>
      </c>
      <c r="J8" s="181">
        <f>MS_0100_001_m</f>
        <v>4.9527965088000006</v>
      </c>
      <c r="K8" s="181">
        <f>MS_0100_001_p</f>
        <v>4.3123982236861549</v>
      </c>
      <c r="L8" s="181">
        <v>0</v>
      </c>
      <c r="M8" s="181">
        <v>0</v>
      </c>
      <c r="N8" s="180">
        <f t="shared" si="1"/>
        <v>9.2651947324861545</v>
      </c>
      <c r="O8" s="179"/>
    </row>
    <row r="9" spans="1:15" ht="15" x14ac:dyDescent="0.25">
      <c r="A9" s="187"/>
      <c r="B9" s="186" t="str">
        <f>'MS 01001'!$B$3</f>
        <v>Miscellaneous, Finish &amp; Assembly</v>
      </c>
      <c r="C9" s="190" t="str">
        <f>MS_0100_002</f>
        <v>MS 01002</v>
      </c>
      <c r="D9" s="185" t="s">
        <v>75</v>
      </c>
      <c r="E9" s="185" t="str">
        <f t="shared" si="2"/>
        <v>Firewall</v>
      </c>
      <c r="F9" s="184" t="str">
        <f>[1]MS_0100_002!B5</f>
        <v>Firewall Middle</v>
      </c>
      <c r="G9" s="185"/>
      <c r="H9" s="183">
        <f t="shared" si="0"/>
        <v>7.5426952828861555</v>
      </c>
      <c r="I9" s="189">
        <f>MS_A0100_q*MS_0100_002_q</f>
        <v>1</v>
      </c>
      <c r="J9" s="181">
        <f>MS_0100_002_m</f>
        <v>4.2952970592000002</v>
      </c>
      <c r="K9" s="181">
        <f>MS_0100_002_p</f>
        <v>3.2473982236861549</v>
      </c>
      <c r="L9" s="181">
        <v>0</v>
      </c>
      <c r="M9" s="181">
        <v>0</v>
      </c>
      <c r="N9" s="180">
        <f t="shared" si="1"/>
        <v>7.5426952828861555</v>
      </c>
      <c r="O9" s="179"/>
    </row>
    <row r="10" spans="1:15" ht="15" x14ac:dyDescent="0.25">
      <c r="A10" s="187"/>
      <c r="B10" s="186" t="str">
        <f>'MS 01001'!$B$3</f>
        <v>Miscellaneous, Finish &amp; Assembly</v>
      </c>
      <c r="C10" s="190" t="str">
        <f>MS_0100_003</f>
        <v>MS 01003</v>
      </c>
      <c r="D10" s="185" t="s">
        <v>75</v>
      </c>
      <c r="E10" s="185" t="str">
        <f t="shared" si="2"/>
        <v>Firewall</v>
      </c>
      <c r="F10" s="188" t="str">
        <f>[1]MS_0100_003!B5</f>
        <v>Firewall Bottom</v>
      </c>
      <c r="G10" s="185"/>
      <c r="H10" s="183">
        <f t="shared" si="0"/>
        <v>11.141555750086155</v>
      </c>
      <c r="I10" s="182">
        <f>MS_A0100_q*MS_0100_003_q</f>
        <v>1</v>
      </c>
      <c r="J10" s="181">
        <f>MS_0100_003_m</f>
        <v>6.828157526400001</v>
      </c>
      <c r="K10" s="181">
        <f>MS_0100_003_p</f>
        <v>4.3133982236861552</v>
      </c>
      <c r="L10" s="181">
        <v>0</v>
      </c>
      <c r="M10" s="181">
        <v>0</v>
      </c>
      <c r="N10" s="180">
        <f t="shared" si="1"/>
        <v>11.141555750086155</v>
      </c>
      <c r="O10" s="179"/>
    </row>
    <row r="11" spans="1:15" ht="15" x14ac:dyDescent="0.25">
      <c r="A11" s="187"/>
      <c r="B11" s="269" t="str">
        <f>'MS 01001'!$B$3</f>
        <v>Miscellaneous, Finish &amp; Assembly</v>
      </c>
      <c r="C11" s="190" t="str">
        <f>MS_0100_004</f>
        <v>MS 01004</v>
      </c>
      <c r="D11" s="185" t="s">
        <v>75</v>
      </c>
      <c r="E11" s="185" t="str">
        <f t="shared" si="2"/>
        <v>Firewall</v>
      </c>
      <c r="F11" s="184" t="str">
        <f>[1]MS_0100_004!B5</f>
        <v>Firewall Upper Side</v>
      </c>
      <c r="G11" s="185"/>
      <c r="H11" s="183">
        <f t="shared" si="0"/>
        <v>3.1699841066880001</v>
      </c>
      <c r="I11" s="182">
        <f>MS_A0100_q*MS_0100_004_q</f>
        <v>2</v>
      </c>
      <c r="J11" s="181">
        <f>MS_0100_004_m</f>
        <v>1.2442841066879999</v>
      </c>
      <c r="K11" s="181">
        <f>MS_0100_004_p</f>
        <v>1.9257</v>
      </c>
      <c r="L11" s="181">
        <v>0</v>
      </c>
      <c r="M11" s="181">
        <v>0</v>
      </c>
      <c r="N11" s="180">
        <f t="shared" si="1"/>
        <v>6.3399682133760003</v>
      </c>
      <c r="O11" s="179"/>
    </row>
    <row r="12" spans="1:15" ht="15" x14ac:dyDescent="0.25">
      <c r="A12" s="187"/>
      <c r="B12" s="186" t="str">
        <f>'MS 01001'!$B$3</f>
        <v>Miscellaneous, Finish &amp; Assembly</v>
      </c>
      <c r="C12" s="190" t="str">
        <f>MS_0100_005</f>
        <v>MS 01005</v>
      </c>
      <c r="D12" s="185" t="s">
        <v>75</v>
      </c>
      <c r="E12" s="185" t="str">
        <f t="shared" si="2"/>
        <v>Firewall</v>
      </c>
      <c r="F12" s="184" t="str">
        <f>[1]MS_0100_005!B5</f>
        <v>Firewall Middle Side</v>
      </c>
      <c r="G12" s="185"/>
      <c r="H12" s="183">
        <f t="shared" si="0"/>
        <v>2.1490635408992</v>
      </c>
      <c r="I12" s="182">
        <f>MS_A0100_q*MS_0100_005_q</f>
        <v>2</v>
      </c>
      <c r="J12" s="181">
        <f>MS_0100_005_m</f>
        <v>0.51116354089920002</v>
      </c>
      <c r="K12" s="181">
        <f>MS_0100_005_p</f>
        <v>1.6379000000000001</v>
      </c>
      <c r="L12" s="181">
        <v>0</v>
      </c>
      <c r="M12" s="181">
        <v>0</v>
      </c>
      <c r="N12" s="180">
        <f t="shared" si="1"/>
        <v>4.2981270817984001</v>
      </c>
      <c r="O12" s="179"/>
    </row>
    <row r="13" spans="1:15" ht="15" x14ac:dyDescent="0.25">
      <c r="A13" s="187"/>
      <c r="B13" s="186" t="str">
        <f>'MS 01001'!$B$3</f>
        <v>Miscellaneous, Finish &amp; Assembly</v>
      </c>
      <c r="C13" s="190" t="str">
        <f>MS_0100_006</f>
        <v>MS 01006</v>
      </c>
      <c r="D13" s="185" t="s">
        <v>75</v>
      </c>
      <c r="E13" s="185" t="str">
        <f t="shared" si="2"/>
        <v>Firewall</v>
      </c>
      <c r="F13" s="184" t="str">
        <f>[1]MS_0100_006!B5</f>
        <v>Firewall Lower Side</v>
      </c>
      <c r="G13" s="185"/>
      <c r="H13" s="183">
        <f t="shared" si="0"/>
        <v>4.0756338985599996</v>
      </c>
      <c r="I13" s="182">
        <f>MS_A0100_q*MS_0100_006_q</f>
        <v>2</v>
      </c>
      <c r="J13" s="181">
        <f>MS_0100_006_m</f>
        <v>1.9862738985599999</v>
      </c>
      <c r="K13" s="181">
        <f>MS_0100_006_p</f>
        <v>2.0893600000000001</v>
      </c>
      <c r="L13" s="181">
        <v>0</v>
      </c>
      <c r="M13" s="181">
        <v>0</v>
      </c>
      <c r="N13" s="180">
        <f t="shared" si="1"/>
        <v>8.1512677971199992</v>
      </c>
      <c r="O13" s="179"/>
    </row>
    <row r="14" spans="1:15" ht="15" x14ac:dyDescent="0.25">
      <c r="A14" s="187"/>
      <c r="B14" s="186" t="str">
        <f>'MS 01001'!$B$3</f>
        <v>Miscellaneous, Finish &amp; Assembly</v>
      </c>
      <c r="C14" s="190" t="str">
        <f>MS_0100_007</f>
        <v>MS 01007</v>
      </c>
      <c r="D14" s="185" t="s">
        <v>75</v>
      </c>
      <c r="E14" s="185" t="str">
        <f t="shared" si="2"/>
        <v>Firewall</v>
      </c>
      <c r="F14" s="184" t="str">
        <f>[1]MS_0100_007!B5</f>
        <v>Firewall Up Bracket</v>
      </c>
      <c r="G14" s="185"/>
      <c r="H14" s="183">
        <f t="shared" si="0"/>
        <v>0.61744426503954442</v>
      </c>
      <c r="I14" s="182">
        <f>MS_A0100_q*MS_0100_007_q</f>
        <v>4</v>
      </c>
      <c r="J14" s="181">
        <f>MS_0100_007_m</f>
        <v>9.8442650395444021E-3</v>
      </c>
      <c r="K14" s="181">
        <f>MS_0100_007_p</f>
        <v>0.60760000000000003</v>
      </c>
      <c r="L14" s="181">
        <v>0</v>
      </c>
      <c r="M14" s="181">
        <v>0</v>
      </c>
      <c r="N14" s="180">
        <f t="shared" si="1"/>
        <v>2.4697770601581777</v>
      </c>
      <c r="O14" s="179"/>
    </row>
    <row r="15" spans="1:15" ht="15" x14ac:dyDescent="0.25">
      <c r="A15" s="250"/>
      <c r="B15" s="251" t="str">
        <f>'MS 01001'!$B$3</f>
        <v>Miscellaneous, Finish &amp; Assembly</v>
      </c>
      <c r="C15" s="415" t="str">
        <f>MS_0100_008</f>
        <v>MS 01008</v>
      </c>
      <c r="D15" s="252" t="s">
        <v>75</v>
      </c>
      <c r="E15" s="252" t="str">
        <f t="shared" si="2"/>
        <v>Firewall</v>
      </c>
      <c r="F15" s="253" t="str">
        <f>[1]MS_0100_008!B5</f>
        <v>Firewall Middle, Bottom and Sides Bracket</v>
      </c>
      <c r="G15" s="254"/>
      <c r="H15" s="255">
        <f t="shared" si="0"/>
        <v>0.37898755354996111</v>
      </c>
      <c r="I15" s="256">
        <f>MS_A0100_q*MS_0100_008_q</f>
        <v>24</v>
      </c>
      <c r="J15" s="257">
        <f>MS_0100_008_m</f>
        <v>1.22208868832944E-2</v>
      </c>
      <c r="K15" s="257">
        <f>MS_0100_008_p</f>
        <v>0.36676666666666669</v>
      </c>
      <c r="L15" s="257">
        <v>0</v>
      </c>
      <c r="M15" s="257">
        <v>0</v>
      </c>
      <c r="N15" s="258">
        <f t="shared" si="1"/>
        <v>9.0957012851990662</v>
      </c>
      <c r="O15" s="259"/>
    </row>
    <row r="16" spans="1:15" ht="15" x14ac:dyDescent="0.25">
      <c r="A16" s="153"/>
      <c r="B16" s="152" t="str">
        <f>'MS A0200'!B3</f>
        <v>Miscellaneous, Finish &amp; Assembly</v>
      </c>
      <c r="C16" s="150" t="str">
        <f>MS_A0200</f>
        <v>MS A0200</v>
      </c>
      <c r="D16" s="150" t="s">
        <v>75</v>
      </c>
      <c r="E16" s="150"/>
      <c r="F16" s="151" t="str">
        <f>'MS A0200'!B4</f>
        <v>Driver's Safety</v>
      </c>
      <c r="G16" s="150"/>
      <c r="H16" s="149">
        <f t="shared" ref="H16:H24" si="3">SUM(J16:M16)</f>
        <v>0.78</v>
      </c>
      <c r="I16" s="148">
        <f>MS_A0200_q</f>
        <v>1</v>
      </c>
      <c r="J16" s="147">
        <v>0</v>
      </c>
      <c r="K16" s="147">
        <f>MS_A0200_p</f>
        <v>0.62</v>
      </c>
      <c r="L16" s="147">
        <f>MS_A0200_f</f>
        <v>0.16</v>
      </c>
      <c r="M16" s="147">
        <v>0</v>
      </c>
      <c r="N16" s="146">
        <f t="shared" ref="N16:N23" si="4">H16*I16</f>
        <v>0.78</v>
      </c>
      <c r="O16" s="145"/>
    </row>
    <row r="17" spans="1:163" s="260" customFormat="1" ht="15" x14ac:dyDescent="0.25">
      <c r="A17" s="276"/>
      <c r="B17" s="277" t="s">
        <v>225</v>
      </c>
      <c r="C17" s="278" t="s">
        <v>131</v>
      </c>
      <c r="D17" s="279" t="s">
        <v>75</v>
      </c>
      <c r="E17" s="279" t="str">
        <f>F16</f>
        <v>Driver's Safety</v>
      </c>
      <c r="F17" s="280" t="str">
        <f>'MS 02001'!B5</f>
        <v>Rollbar padding</v>
      </c>
      <c r="G17" s="279"/>
      <c r="H17" s="281">
        <f t="shared" si="3"/>
        <v>3.92</v>
      </c>
      <c r="I17" s="282">
        <f>MS_A0200_q*MS_02001_q</f>
        <v>2</v>
      </c>
      <c r="J17" s="283">
        <f>MS_02001_m</f>
        <v>1.1000000000000001</v>
      </c>
      <c r="K17" s="283">
        <f>MS_02001_p</f>
        <v>2.82</v>
      </c>
      <c r="L17" s="283">
        <v>0</v>
      </c>
      <c r="M17" s="283">
        <v>0</v>
      </c>
      <c r="N17" s="284">
        <f t="shared" si="4"/>
        <v>7.84</v>
      </c>
      <c r="O17" s="285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  <c r="AM17" s="273"/>
      <c r="AN17" s="273"/>
      <c r="AO17" s="273"/>
      <c r="AP17" s="273"/>
      <c r="AQ17" s="273"/>
      <c r="AR17" s="273"/>
      <c r="AS17" s="273"/>
      <c r="AT17" s="273"/>
      <c r="AU17" s="273"/>
      <c r="AV17" s="273"/>
      <c r="AW17" s="273"/>
      <c r="AX17" s="273"/>
      <c r="AY17" s="273"/>
      <c r="AZ17" s="273"/>
      <c r="BA17" s="273"/>
      <c r="BB17" s="273"/>
      <c r="BC17" s="273"/>
      <c r="BD17" s="273"/>
      <c r="BE17" s="273"/>
      <c r="BF17" s="273"/>
      <c r="BG17" s="273"/>
      <c r="BH17" s="273"/>
      <c r="BI17" s="273"/>
      <c r="BJ17" s="273"/>
      <c r="BK17" s="273"/>
      <c r="BL17" s="273"/>
      <c r="BM17" s="273"/>
      <c r="BN17" s="273"/>
      <c r="BO17" s="273"/>
      <c r="BP17" s="273"/>
      <c r="BQ17" s="273"/>
      <c r="BR17" s="273"/>
      <c r="BS17" s="273"/>
      <c r="BT17" s="273"/>
      <c r="BU17" s="273"/>
      <c r="BV17" s="273"/>
      <c r="BW17" s="273"/>
      <c r="BX17" s="273"/>
      <c r="BY17" s="273"/>
      <c r="BZ17" s="273"/>
      <c r="CA17" s="273"/>
      <c r="CB17" s="273"/>
      <c r="CC17" s="273"/>
      <c r="CD17" s="273"/>
      <c r="CE17" s="273"/>
      <c r="CF17" s="273"/>
      <c r="CG17" s="273"/>
      <c r="CH17" s="273"/>
      <c r="CI17" s="273"/>
      <c r="CJ17" s="273"/>
      <c r="CK17" s="273"/>
      <c r="CL17" s="273"/>
      <c r="CM17" s="273"/>
      <c r="CN17" s="273"/>
      <c r="CO17" s="273"/>
      <c r="CP17" s="273"/>
      <c r="CQ17" s="273"/>
      <c r="CR17" s="273"/>
      <c r="CS17" s="273"/>
      <c r="CT17" s="273"/>
      <c r="CU17" s="273"/>
      <c r="CV17" s="273"/>
      <c r="CW17" s="273"/>
      <c r="CX17" s="273"/>
      <c r="CY17" s="273"/>
      <c r="CZ17" s="273"/>
      <c r="DA17" s="273"/>
      <c r="DB17" s="273"/>
      <c r="DC17" s="273"/>
      <c r="DD17" s="273"/>
      <c r="DE17" s="273"/>
      <c r="DF17" s="273"/>
      <c r="DG17" s="273"/>
      <c r="DH17" s="273"/>
      <c r="DI17" s="273"/>
      <c r="DJ17" s="273"/>
      <c r="DK17" s="273"/>
      <c r="DL17" s="273"/>
      <c r="DM17" s="273"/>
      <c r="DN17" s="273"/>
      <c r="DO17" s="273"/>
      <c r="DP17" s="273"/>
      <c r="DQ17" s="273"/>
      <c r="DR17" s="273"/>
      <c r="DS17" s="273"/>
      <c r="DT17" s="273"/>
      <c r="DU17" s="273"/>
      <c r="DV17" s="273"/>
      <c r="DW17" s="273"/>
      <c r="DX17" s="273"/>
      <c r="DY17" s="273"/>
      <c r="DZ17" s="273"/>
      <c r="EA17" s="273"/>
      <c r="EB17" s="273"/>
      <c r="EC17" s="273"/>
      <c r="ED17" s="273"/>
      <c r="EE17" s="273"/>
      <c r="EF17" s="273"/>
      <c r="EG17" s="273"/>
      <c r="EH17" s="273"/>
      <c r="EI17" s="273"/>
      <c r="EJ17" s="273"/>
      <c r="EK17" s="273"/>
      <c r="EL17" s="273"/>
      <c r="EM17" s="273"/>
      <c r="EN17" s="273"/>
      <c r="EO17" s="273"/>
      <c r="EP17" s="273"/>
      <c r="EQ17" s="273"/>
      <c r="ER17" s="273"/>
      <c r="ES17" s="273"/>
      <c r="ET17" s="273"/>
      <c r="EU17" s="273"/>
      <c r="EV17" s="273"/>
      <c r="EW17" s="273"/>
      <c r="EX17" s="273"/>
      <c r="EY17" s="273"/>
      <c r="EZ17" s="273"/>
      <c r="FA17" s="273"/>
      <c r="FB17" s="273"/>
      <c r="FC17" s="273"/>
      <c r="FD17" s="273"/>
      <c r="FE17" s="273"/>
      <c r="FF17" s="273"/>
      <c r="FG17" s="273"/>
    </row>
    <row r="18" spans="1:163" s="273" customFormat="1" ht="15" x14ac:dyDescent="0.25">
      <c r="A18" s="153"/>
      <c r="B18" s="152" t="str">
        <f>'MS A0300'!B3</f>
        <v>Miscellaneous, Finish &amp; Assembly</v>
      </c>
      <c r="C18" s="150" t="str">
        <f>MS_A0300</f>
        <v>MS A0300</v>
      </c>
      <c r="D18" s="150" t="s">
        <v>75</v>
      </c>
      <c r="E18" s="150"/>
      <c r="F18" s="151" t="str">
        <f>'MS A0300'!B4</f>
        <v>Head Restraint</v>
      </c>
      <c r="G18" s="150"/>
      <c r="H18" s="149">
        <f t="shared" si="3"/>
        <v>31.541499999999999</v>
      </c>
      <c r="I18" s="148">
        <f>MS_A0300_q</f>
        <v>1</v>
      </c>
      <c r="J18" s="147">
        <f>MS_A0300_m</f>
        <v>11.218500000000001</v>
      </c>
      <c r="K18" s="147">
        <f>MS_A0300_p</f>
        <v>20.323</v>
      </c>
      <c r="L18" s="147">
        <v>0</v>
      </c>
      <c r="M18" s="147">
        <v>0</v>
      </c>
      <c r="N18" s="146">
        <f t="shared" si="4"/>
        <v>31.541499999999999</v>
      </c>
      <c r="O18" s="145"/>
    </row>
    <row r="19" spans="1:163" s="273" customFormat="1" ht="15" x14ac:dyDescent="0.25">
      <c r="A19" s="153"/>
      <c r="B19" s="152" t="str">
        <f>'MS A0400'!B3</f>
        <v>Miscellaneous, Finish &amp; Assembly</v>
      </c>
      <c r="C19" s="150" t="str">
        <f>MS_A0400</f>
        <v>MS A0400</v>
      </c>
      <c r="D19" s="150" t="s">
        <v>75</v>
      </c>
      <c r="E19" s="150"/>
      <c r="F19" s="151" t="str">
        <f>'MS A0400'!B4</f>
        <v>Driver's seat</v>
      </c>
      <c r="G19" s="150"/>
      <c r="H19" s="149">
        <f t="shared" si="3"/>
        <v>4.7378333333333336</v>
      </c>
      <c r="I19" s="148">
        <f>MS_A0400_q</f>
        <v>1</v>
      </c>
      <c r="J19" s="147">
        <f>MS_A0400_m</f>
        <v>0.04</v>
      </c>
      <c r="K19" s="147">
        <f>MS_A0400_p</f>
        <v>2.8045</v>
      </c>
      <c r="L19" s="147">
        <f>MS_A0400_f</f>
        <v>0.56000000000000005</v>
      </c>
      <c r="M19" s="147">
        <f>MS_A0400_t</f>
        <v>1.3333333333333333</v>
      </c>
      <c r="N19" s="146">
        <f t="shared" si="4"/>
        <v>4.7378333333333336</v>
      </c>
      <c r="O19" s="145"/>
    </row>
    <row r="20" spans="1:163" s="273" customFormat="1" ht="15" x14ac:dyDescent="0.25">
      <c r="A20" s="187"/>
      <c r="B20" s="186" t="str">
        <f>'MS A0400'!$B$3</f>
        <v>Miscellaneous, Finish &amp; Assembly</v>
      </c>
      <c r="C20" s="190" t="str">
        <f>MS_04001</f>
        <v>MS 04001</v>
      </c>
      <c r="D20" s="185" t="s">
        <v>75</v>
      </c>
      <c r="E20" s="286" t="str">
        <f>F19</f>
        <v>Driver's seat</v>
      </c>
      <c r="F20" s="184" t="str">
        <f>'MS 04001'!B$5</f>
        <v>Seat</v>
      </c>
      <c r="G20" s="185"/>
      <c r="H20" s="183">
        <f t="shared" si="3"/>
        <v>74.600000000000009</v>
      </c>
      <c r="I20" s="182">
        <f>MS_A0400_q*MS_04001_q</f>
        <v>1</v>
      </c>
      <c r="J20" s="181">
        <f>MS_04001_m</f>
        <v>18.8</v>
      </c>
      <c r="K20" s="181">
        <f>MS_04001_p</f>
        <v>54.6</v>
      </c>
      <c r="L20" s="181">
        <v>0</v>
      </c>
      <c r="M20" s="181">
        <f>MS_04001_t</f>
        <v>1.2</v>
      </c>
      <c r="N20" s="180">
        <f t="shared" si="4"/>
        <v>74.600000000000009</v>
      </c>
      <c r="O20" s="179"/>
    </row>
    <row r="21" spans="1:163" s="273" customFormat="1" ht="15" x14ac:dyDescent="0.25">
      <c r="A21" s="187"/>
      <c r="B21" s="186" t="str">
        <f>'MS A0400'!$B$3</f>
        <v>Miscellaneous, Finish &amp; Assembly</v>
      </c>
      <c r="C21" s="190" t="str">
        <f>MS_04002</f>
        <v>MS 04002</v>
      </c>
      <c r="D21" s="185" t="s">
        <v>75</v>
      </c>
      <c r="E21" s="185" t="str">
        <f>F19</f>
        <v>Driver's seat</v>
      </c>
      <c r="F21" s="270" t="str">
        <f>'MS 04002'!B$5</f>
        <v>Rear seat bracket</v>
      </c>
      <c r="G21" s="185"/>
      <c r="H21" s="183">
        <f t="shared" si="3"/>
        <v>1.3249249999999999</v>
      </c>
      <c r="I21" s="182">
        <f>MS_A0400_q*MS_04002_q</f>
        <v>2</v>
      </c>
      <c r="J21" s="181">
        <f>MS_04002_m</f>
        <v>1.3725000000000001E-2</v>
      </c>
      <c r="K21" s="181">
        <f>MS_04002_p</f>
        <v>1.3111999999999999</v>
      </c>
      <c r="L21" s="181">
        <v>0</v>
      </c>
      <c r="M21" s="181">
        <v>0</v>
      </c>
      <c r="N21" s="180">
        <f t="shared" si="4"/>
        <v>2.6498499999999998</v>
      </c>
      <c r="O21" s="179"/>
    </row>
    <row r="22" spans="1:163" s="273" customFormat="1" ht="15" x14ac:dyDescent="0.25">
      <c r="A22" s="271"/>
      <c r="B22" s="186" t="str">
        <f>'MS A0400'!$B$3</f>
        <v>Miscellaneous, Finish &amp; Assembly</v>
      </c>
      <c r="C22" s="190" t="str">
        <f>MS_04003</f>
        <v>MS 04003</v>
      </c>
      <c r="D22" s="185" t="s">
        <v>75</v>
      </c>
      <c r="E22" s="185" t="str">
        <f>F19</f>
        <v>Driver's seat</v>
      </c>
      <c r="F22" s="184" t="str">
        <f>'MS 04003'!B$5</f>
        <v>Front seat bracket</v>
      </c>
      <c r="G22" s="271"/>
      <c r="H22" s="183">
        <f t="shared" si="3"/>
        <v>1.1864450000000002</v>
      </c>
      <c r="I22" s="182">
        <f>MS_A0400_q*MS_04003_q</f>
        <v>2</v>
      </c>
      <c r="J22" s="181">
        <f>MS_04003_m</f>
        <v>1.9125000000000003E-2</v>
      </c>
      <c r="K22" s="181">
        <f>MS_04003_p</f>
        <v>1.1673200000000001</v>
      </c>
      <c r="L22" s="287">
        <v>0</v>
      </c>
      <c r="M22" s="287">
        <v>0</v>
      </c>
      <c r="N22" s="180">
        <f t="shared" si="4"/>
        <v>2.3728900000000004</v>
      </c>
      <c r="O22" s="272"/>
    </row>
    <row r="23" spans="1:163" s="273" customFormat="1" ht="15" x14ac:dyDescent="0.25">
      <c r="A23" s="153"/>
      <c r="B23" s="152" t="str">
        <f>'MS A0500'!B3</f>
        <v>Miscellaneous, Finish &amp; Assembly</v>
      </c>
      <c r="C23" s="150" t="str">
        <f>MS_A0500</f>
        <v>MS A0500</v>
      </c>
      <c r="D23" s="150" t="s">
        <v>75</v>
      </c>
      <c r="E23" s="150"/>
      <c r="F23" s="151" t="str">
        <f>'MS A0500'!B4</f>
        <v>Harness</v>
      </c>
      <c r="G23" s="150"/>
      <c r="H23" s="149">
        <f t="shared" si="3"/>
        <v>53.650666666666666</v>
      </c>
      <c r="I23" s="148">
        <f>MS_A0500_q</f>
        <v>1</v>
      </c>
      <c r="J23" s="147">
        <f>MS_A0500_m</f>
        <v>45.06</v>
      </c>
      <c r="K23" s="147">
        <f>MS_A0500_p</f>
        <v>4.9240000000000004</v>
      </c>
      <c r="L23" s="147">
        <f>MS_A0500_f</f>
        <v>3</v>
      </c>
      <c r="M23" s="147">
        <f>MS_A0500_t</f>
        <v>0.66666666666666663</v>
      </c>
      <c r="N23" s="146">
        <f t="shared" si="4"/>
        <v>53.650666666666666</v>
      </c>
      <c r="O23" s="145"/>
    </row>
    <row r="24" spans="1:163" s="273" customFormat="1" ht="15.75" thickBot="1" x14ac:dyDescent="0.3">
      <c r="A24" s="187"/>
      <c r="B24" s="186" t="str">
        <f>'MS 05001'!B3</f>
        <v>Miscellaneous, Finish &amp; Assembly</v>
      </c>
      <c r="C24" s="190" t="str">
        <f>MS_05001</f>
        <v>MS 05001</v>
      </c>
      <c r="D24" s="185" t="s">
        <v>75</v>
      </c>
      <c r="E24" s="185" t="str">
        <f>F23</f>
        <v>Harness</v>
      </c>
      <c r="F24" s="184" t="str">
        <f>'MS 05001'!B5</f>
        <v>Harness bracket</v>
      </c>
      <c r="G24" s="185"/>
      <c r="H24" s="183">
        <f t="shared" si="3"/>
        <v>1.24925</v>
      </c>
      <c r="I24" s="182">
        <f>MS_A0500_q*MS_05001_q</f>
        <v>2</v>
      </c>
      <c r="J24" s="181">
        <f>MS_05001_m</f>
        <v>9.2249999999999999E-2</v>
      </c>
      <c r="K24" s="181">
        <f>MS_05001_p</f>
        <v>1.157</v>
      </c>
      <c r="L24" s="181"/>
      <c r="M24" s="181"/>
      <c r="N24" s="181">
        <f>I24*H24</f>
        <v>2.4984999999999999</v>
      </c>
      <c r="O24" s="179"/>
    </row>
    <row r="25" spans="1:163" s="267" customFormat="1" ht="15" thickBot="1" x14ac:dyDescent="0.25">
      <c r="A25" s="261"/>
      <c r="B25" s="262" t="str">
        <f>'MS A0100'!B3</f>
        <v>Miscellaneous, Finish &amp; Assembly</v>
      </c>
      <c r="C25" s="263"/>
      <c r="D25" s="263"/>
      <c r="E25" s="263"/>
      <c r="F25" s="262" t="s">
        <v>132</v>
      </c>
      <c r="G25" s="263"/>
      <c r="H25" s="264"/>
      <c r="I25" s="265"/>
      <c r="J25" s="266">
        <f>SUMPRODUCT($I7:$I24,J7:J24)</f>
        <v>101.74723253205165</v>
      </c>
      <c r="K25" s="266">
        <f>SUMPRODUCT($I7:$I24,K7:K24)</f>
        <v>173.2146886710585</v>
      </c>
      <c r="L25" s="266">
        <f>SUMPRODUCT($I7:$I24,L7:L24)</f>
        <v>6.9463071246256689</v>
      </c>
      <c r="M25" s="266">
        <f>SUMPRODUCT($I7:$I24,M7:M24)</f>
        <v>12.533333333333333</v>
      </c>
      <c r="N25" s="266">
        <f>SUM(N7:N24)</f>
        <v>294.4415616610691</v>
      </c>
      <c r="O25" s="275"/>
      <c r="P25" s="274"/>
      <c r="Q25" s="274"/>
      <c r="R25" s="274"/>
      <c r="S25" s="274"/>
      <c r="T25" s="274"/>
      <c r="U25" s="274"/>
      <c r="V25" s="274"/>
      <c r="W25" s="274"/>
      <c r="X25" s="274"/>
      <c r="Y25" s="274"/>
      <c r="Z25" s="274"/>
      <c r="AA25" s="274"/>
      <c r="AB25" s="274"/>
      <c r="AC25" s="274"/>
      <c r="AD25" s="274"/>
      <c r="AE25" s="274"/>
      <c r="AF25" s="274"/>
      <c r="AG25" s="274"/>
      <c r="AH25" s="274"/>
      <c r="AI25" s="274"/>
      <c r="AJ25" s="274"/>
      <c r="AK25" s="274"/>
      <c r="AL25" s="274"/>
      <c r="AM25" s="274"/>
      <c r="AN25" s="274"/>
      <c r="AO25" s="274"/>
      <c r="AP25" s="274"/>
      <c r="AQ25" s="274"/>
      <c r="AR25" s="274"/>
      <c r="AS25" s="274"/>
      <c r="AT25" s="274"/>
      <c r="AU25" s="274"/>
      <c r="AV25" s="274"/>
      <c r="AW25" s="274"/>
      <c r="AX25" s="274"/>
      <c r="AY25" s="274"/>
      <c r="AZ25" s="274"/>
      <c r="BA25" s="274"/>
      <c r="BB25" s="274"/>
      <c r="BC25" s="274"/>
      <c r="BD25" s="274"/>
      <c r="BE25" s="274"/>
      <c r="BF25" s="274"/>
      <c r="BG25" s="274"/>
      <c r="BH25" s="274"/>
      <c r="BI25" s="274"/>
      <c r="BJ25" s="274"/>
      <c r="BK25" s="274"/>
      <c r="BL25" s="274"/>
      <c r="BM25" s="274"/>
      <c r="BN25" s="274"/>
      <c r="BO25" s="274"/>
      <c r="BP25" s="274"/>
      <c r="BQ25" s="274"/>
      <c r="BR25" s="274"/>
      <c r="BS25" s="274"/>
      <c r="BT25" s="274"/>
      <c r="BU25" s="274"/>
      <c r="BV25" s="274"/>
      <c r="BW25" s="274"/>
      <c r="BX25" s="274"/>
      <c r="BY25" s="274"/>
      <c r="BZ25" s="274"/>
      <c r="CA25" s="274"/>
      <c r="CB25" s="274"/>
      <c r="CC25" s="274"/>
      <c r="CD25" s="274"/>
      <c r="CE25" s="274"/>
      <c r="CF25" s="274"/>
      <c r="CG25" s="274"/>
      <c r="CH25" s="274"/>
      <c r="CI25" s="274"/>
      <c r="CJ25" s="274"/>
      <c r="CK25" s="274"/>
      <c r="CL25" s="274"/>
      <c r="CM25" s="274"/>
      <c r="CN25" s="274"/>
      <c r="CO25" s="274"/>
      <c r="CP25" s="274"/>
      <c r="CQ25" s="274"/>
      <c r="CR25" s="274"/>
      <c r="CS25" s="274"/>
      <c r="CT25" s="274"/>
      <c r="CU25" s="274"/>
      <c r="CV25" s="274"/>
      <c r="CW25" s="274"/>
      <c r="CX25" s="274"/>
      <c r="CY25" s="274"/>
      <c r="CZ25" s="274"/>
      <c r="DA25" s="274"/>
      <c r="DB25" s="274"/>
      <c r="DC25" s="274"/>
      <c r="DD25" s="274"/>
      <c r="DE25" s="274"/>
      <c r="DF25" s="274"/>
      <c r="DG25" s="274"/>
      <c r="DH25" s="274"/>
      <c r="DI25" s="274"/>
      <c r="DJ25" s="274"/>
      <c r="DK25" s="274"/>
      <c r="DL25" s="274"/>
      <c r="DM25" s="274"/>
      <c r="DN25" s="274"/>
      <c r="DO25" s="274"/>
      <c r="DP25" s="274"/>
      <c r="DQ25" s="274"/>
      <c r="DR25" s="274"/>
      <c r="DS25" s="274"/>
      <c r="DT25" s="274"/>
      <c r="DU25" s="274"/>
      <c r="DV25" s="274"/>
      <c r="DW25" s="274"/>
      <c r="DX25" s="274"/>
      <c r="DY25" s="274"/>
      <c r="DZ25" s="274"/>
      <c r="EA25" s="274"/>
      <c r="EB25" s="274"/>
      <c r="EC25" s="274"/>
      <c r="ED25" s="274"/>
      <c r="EE25" s="274"/>
      <c r="EF25" s="274"/>
      <c r="EG25" s="274"/>
      <c r="EH25" s="274"/>
      <c r="EI25" s="274"/>
      <c r="EJ25" s="274"/>
      <c r="EK25" s="274"/>
      <c r="EL25" s="274"/>
      <c r="EM25" s="274"/>
      <c r="EN25" s="274"/>
      <c r="EO25" s="274"/>
      <c r="EP25" s="274"/>
      <c r="EQ25" s="274"/>
      <c r="ER25" s="274"/>
      <c r="ES25" s="274"/>
      <c r="ET25" s="274"/>
      <c r="EU25" s="274"/>
      <c r="EV25" s="274"/>
      <c r="EW25" s="274"/>
      <c r="EX25" s="274"/>
      <c r="EY25" s="274"/>
      <c r="EZ25" s="274"/>
      <c r="FA25" s="274"/>
      <c r="FB25" s="274"/>
      <c r="FC25" s="274"/>
      <c r="FD25" s="274"/>
      <c r="FE25" s="274"/>
      <c r="FF25" s="274"/>
      <c r="FG25" s="274"/>
    </row>
    <row r="26" spans="1:163" x14ac:dyDescent="0.2">
      <c r="A26" s="141"/>
      <c r="B26" s="139"/>
      <c r="C26" s="136"/>
      <c r="D26" s="136"/>
      <c r="E26" s="136"/>
      <c r="F26" s="136"/>
      <c r="G26" s="136"/>
      <c r="H26" s="143"/>
      <c r="I26" s="136"/>
      <c r="J26" s="136"/>
      <c r="K26" s="136"/>
      <c r="L26" s="136"/>
      <c r="M26" s="136"/>
      <c r="N26" s="136"/>
    </row>
    <row r="27" spans="1:163" x14ac:dyDescent="0.2">
      <c r="A27" s="141"/>
      <c r="B27" s="139"/>
      <c r="C27" s="136"/>
      <c r="D27" s="136"/>
      <c r="E27" s="136"/>
      <c r="F27" s="136"/>
      <c r="G27" s="136"/>
      <c r="H27" s="143"/>
      <c r="I27" s="136"/>
      <c r="J27" s="136"/>
      <c r="K27" s="136"/>
      <c r="L27" s="136"/>
      <c r="M27" s="136"/>
      <c r="N27" s="136"/>
    </row>
    <row r="28" spans="1:163" x14ac:dyDescent="0.2">
      <c r="A28" s="141"/>
      <c r="B28" s="141"/>
      <c r="D28" s="136"/>
      <c r="E28" s="136"/>
      <c r="G28" s="136"/>
      <c r="H28" s="136"/>
      <c r="I28" s="143"/>
      <c r="J28" s="143"/>
      <c r="K28" s="143"/>
      <c r="L28" s="143"/>
      <c r="M28" s="143"/>
      <c r="N28" s="397"/>
    </row>
    <row r="29" spans="1:163" x14ac:dyDescent="0.2">
      <c r="A29" s="141"/>
      <c r="B29" s="141"/>
      <c r="D29" s="136"/>
      <c r="E29" s="136"/>
      <c r="G29" s="136"/>
      <c r="H29" s="136"/>
      <c r="I29" s="143"/>
      <c r="J29" s="143"/>
      <c r="K29" s="143"/>
      <c r="L29" s="143"/>
      <c r="M29" s="143"/>
      <c r="N29" s="144"/>
    </row>
    <row r="30" spans="1:163" x14ac:dyDescent="0.2">
      <c r="A30" s="141"/>
      <c r="B30" s="141"/>
      <c r="D30" s="136"/>
      <c r="E30" s="136"/>
      <c r="G30" s="136"/>
      <c r="H30" s="136"/>
      <c r="I30" s="143"/>
      <c r="J30" s="143"/>
      <c r="K30" s="143"/>
      <c r="L30" s="143"/>
      <c r="M30" s="143"/>
      <c r="N30" s="136"/>
    </row>
    <row r="31" spans="1:163" x14ac:dyDescent="0.2">
      <c r="A31" s="141"/>
      <c r="B31" s="141"/>
      <c r="D31" s="136"/>
      <c r="E31" s="136"/>
      <c r="G31" s="136"/>
      <c r="H31" s="136"/>
      <c r="I31" s="143"/>
      <c r="J31" s="143"/>
      <c r="K31" s="143"/>
      <c r="L31" s="143"/>
      <c r="M31" s="143"/>
      <c r="N31" s="144"/>
    </row>
    <row r="32" spans="1:163" x14ac:dyDescent="0.2">
      <c r="A32" s="141"/>
      <c r="B32" s="141"/>
      <c r="D32" s="136"/>
      <c r="E32" s="136"/>
      <c r="G32" s="136"/>
      <c r="H32" s="136"/>
      <c r="I32" s="143"/>
      <c r="J32" s="143"/>
      <c r="K32" s="143"/>
      <c r="L32" s="143"/>
      <c r="M32" s="143"/>
      <c r="N32" s="136"/>
    </row>
    <row r="33" spans="1:14" x14ac:dyDescent="0.2">
      <c r="A33" s="141"/>
      <c r="B33" s="141"/>
      <c r="D33" s="136"/>
      <c r="E33" s="136"/>
      <c r="G33" s="136"/>
      <c r="H33" s="136"/>
      <c r="I33" s="143"/>
      <c r="J33" s="143"/>
      <c r="K33" s="143"/>
      <c r="L33" s="143"/>
      <c r="M33" s="143"/>
      <c r="N33" s="136"/>
    </row>
    <row r="34" spans="1:14" x14ac:dyDescent="0.2">
      <c r="A34" s="141"/>
      <c r="B34" s="141"/>
      <c r="D34" s="136"/>
      <c r="E34" s="136"/>
      <c r="G34" s="136"/>
      <c r="H34" s="136"/>
      <c r="I34" s="143"/>
      <c r="J34" s="143"/>
      <c r="K34" s="143"/>
      <c r="L34" s="143"/>
      <c r="M34" s="143"/>
      <c r="N34" s="136"/>
    </row>
    <row r="35" spans="1:14" x14ac:dyDescent="0.2">
      <c r="A35" s="141"/>
      <c r="B35" s="141"/>
      <c r="D35" s="136"/>
      <c r="E35" s="136"/>
      <c r="G35" s="136"/>
      <c r="H35" s="136"/>
      <c r="I35" s="143"/>
      <c r="J35" s="143"/>
      <c r="K35" s="143"/>
      <c r="L35" s="143"/>
      <c r="M35" s="143"/>
      <c r="N35" s="136"/>
    </row>
    <row r="36" spans="1:14" x14ac:dyDescent="0.2">
      <c r="A36" s="141"/>
      <c r="B36" s="141"/>
      <c r="D36" s="136"/>
      <c r="E36" s="136"/>
      <c r="G36" s="136"/>
      <c r="H36" s="136"/>
      <c r="I36" s="143"/>
      <c r="J36" s="143"/>
      <c r="K36" s="143"/>
      <c r="L36" s="143"/>
      <c r="M36" s="143"/>
      <c r="N36" s="136"/>
    </row>
    <row r="37" spans="1:14" x14ac:dyDescent="0.2">
      <c r="A37" s="141"/>
      <c r="B37" s="141"/>
      <c r="D37" s="136"/>
      <c r="E37" s="136"/>
      <c r="G37" s="136"/>
      <c r="H37" s="136"/>
      <c r="I37" s="143"/>
      <c r="J37" s="143"/>
      <c r="K37" s="143"/>
      <c r="L37" s="143"/>
      <c r="M37" s="143"/>
      <c r="N37" s="136"/>
    </row>
    <row r="38" spans="1:14" x14ac:dyDescent="0.2">
      <c r="A38" s="141"/>
      <c r="B38" s="141"/>
      <c r="D38" s="136"/>
      <c r="E38" s="136"/>
      <c r="G38" s="136"/>
      <c r="H38" s="136"/>
      <c r="I38" s="143"/>
      <c r="J38" s="143"/>
      <c r="K38" s="143"/>
      <c r="L38" s="143"/>
      <c r="M38" s="143"/>
      <c r="N38" s="136"/>
    </row>
    <row r="39" spans="1:14" x14ac:dyDescent="0.2">
      <c r="A39" s="141"/>
      <c r="B39" s="141"/>
      <c r="D39" s="136"/>
      <c r="E39" s="136"/>
      <c r="G39" s="136"/>
      <c r="H39" s="136"/>
      <c r="I39" s="143"/>
      <c r="J39" s="143"/>
      <c r="K39" s="143"/>
      <c r="L39" s="143"/>
      <c r="M39" s="143"/>
      <c r="N39" s="136"/>
    </row>
    <row r="40" spans="1:14" x14ac:dyDescent="0.2">
      <c r="A40" s="141"/>
      <c r="B40" s="141"/>
      <c r="D40" s="136"/>
      <c r="E40" s="136"/>
      <c r="G40" s="136"/>
      <c r="H40" s="136"/>
      <c r="I40" s="143"/>
      <c r="J40" s="143"/>
      <c r="K40" s="143"/>
      <c r="L40" s="143"/>
      <c r="M40" s="143"/>
      <c r="N40" s="136"/>
    </row>
    <row r="41" spans="1:14" x14ac:dyDescent="0.2">
      <c r="A41" s="141"/>
      <c r="B41" s="141"/>
      <c r="D41" s="136"/>
      <c r="E41" s="136"/>
      <c r="G41" s="136"/>
      <c r="H41" s="136"/>
      <c r="I41" s="143"/>
      <c r="J41" s="143"/>
      <c r="K41" s="143"/>
      <c r="L41" s="143"/>
      <c r="M41" s="143"/>
      <c r="N41" s="136"/>
    </row>
    <row r="42" spans="1:14" x14ac:dyDescent="0.2">
      <c r="A42" s="141"/>
      <c r="B42" s="141"/>
      <c r="D42" s="136"/>
      <c r="E42" s="136"/>
      <c r="G42" s="136"/>
      <c r="H42" s="136"/>
      <c r="I42" s="143"/>
      <c r="J42" s="143"/>
      <c r="K42" s="143"/>
      <c r="L42" s="143"/>
      <c r="M42" s="143"/>
      <c r="N42" s="136"/>
    </row>
    <row r="43" spans="1:14" x14ac:dyDescent="0.2">
      <c r="A43" s="141"/>
      <c r="B43" s="141"/>
      <c r="D43" s="136"/>
      <c r="E43" s="136"/>
      <c r="G43" s="136"/>
      <c r="H43" s="136"/>
      <c r="I43" s="143"/>
      <c r="J43" s="143"/>
      <c r="K43" s="143"/>
      <c r="L43" s="143"/>
      <c r="M43" s="143"/>
      <c r="N43" s="136"/>
    </row>
    <row r="44" spans="1:14" x14ac:dyDescent="0.2">
      <c r="A44" s="141"/>
      <c r="B44" s="141"/>
      <c r="D44" s="136"/>
      <c r="E44" s="136"/>
      <c r="G44" s="136"/>
      <c r="H44" s="136"/>
      <c r="I44" s="143"/>
      <c r="J44" s="143"/>
      <c r="K44" s="143"/>
      <c r="L44" s="143"/>
      <c r="M44" s="143"/>
      <c r="N44" s="136"/>
    </row>
    <row r="45" spans="1:14" x14ac:dyDescent="0.2">
      <c r="A45" s="141"/>
      <c r="B45" s="141"/>
      <c r="D45" s="136"/>
      <c r="E45" s="136"/>
      <c r="G45" s="136"/>
      <c r="H45" s="136"/>
      <c r="I45" s="143"/>
      <c r="J45" s="143"/>
      <c r="K45" s="143"/>
      <c r="L45" s="143"/>
      <c r="M45" s="143"/>
      <c r="N45" s="136"/>
    </row>
    <row r="46" spans="1:14" x14ac:dyDescent="0.2">
      <c r="A46" s="141"/>
      <c r="B46" s="141"/>
      <c r="D46" s="136"/>
      <c r="E46" s="136"/>
      <c r="G46" s="136"/>
      <c r="H46" s="136"/>
      <c r="I46" s="143"/>
      <c r="J46" s="143"/>
      <c r="K46" s="143"/>
      <c r="L46" s="143"/>
      <c r="M46" s="143"/>
      <c r="N46" s="136"/>
    </row>
    <row r="47" spans="1:14" x14ac:dyDescent="0.2">
      <c r="A47" s="141"/>
      <c r="B47" s="141"/>
      <c r="D47" s="136"/>
      <c r="E47" s="136"/>
      <c r="G47" s="136"/>
      <c r="H47" s="136"/>
      <c r="I47" s="143"/>
      <c r="J47" s="143"/>
      <c r="K47" s="143"/>
      <c r="L47" s="143"/>
      <c r="M47" s="143"/>
      <c r="N47" s="136"/>
    </row>
    <row r="48" spans="1:14" x14ac:dyDescent="0.2">
      <c r="A48" s="141"/>
      <c r="B48" s="141"/>
      <c r="D48" s="136"/>
      <c r="E48" s="136"/>
      <c r="G48" s="136"/>
      <c r="H48" s="136"/>
      <c r="I48" s="143"/>
      <c r="J48" s="143"/>
      <c r="K48" s="143"/>
      <c r="L48" s="143"/>
      <c r="M48" s="143"/>
      <c r="N48" s="136"/>
    </row>
    <row r="49" spans="1:14" x14ac:dyDescent="0.2">
      <c r="A49" s="141"/>
      <c r="B49" s="141"/>
      <c r="D49" s="136"/>
      <c r="E49" s="136"/>
      <c r="G49" s="136"/>
      <c r="H49" s="136"/>
      <c r="I49" s="143"/>
      <c r="J49" s="143"/>
      <c r="K49" s="143"/>
      <c r="L49" s="143"/>
      <c r="M49" s="143"/>
      <c r="N49" s="136"/>
    </row>
    <row r="50" spans="1:14" x14ac:dyDescent="0.2">
      <c r="A50" s="141"/>
      <c r="B50" s="141"/>
      <c r="D50" s="136"/>
      <c r="E50" s="136"/>
      <c r="G50" s="136"/>
      <c r="H50" s="136"/>
      <c r="I50" s="143"/>
      <c r="J50" s="143"/>
      <c r="K50" s="143"/>
      <c r="L50" s="143"/>
      <c r="M50" s="143"/>
      <c r="N50" s="136"/>
    </row>
    <row r="51" spans="1:14" x14ac:dyDescent="0.2">
      <c r="A51" s="141"/>
      <c r="B51" s="141"/>
      <c r="D51" s="136"/>
      <c r="E51" s="136"/>
      <c r="G51" s="136"/>
      <c r="H51" s="136"/>
      <c r="I51" s="143"/>
      <c r="J51" s="143"/>
      <c r="K51" s="143"/>
      <c r="L51" s="143"/>
      <c r="M51" s="143"/>
      <c r="N51" s="136"/>
    </row>
    <row r="52" spans="1:14" x14ac:dyDescent="0.2">
      <c r="A52" s="141"/>
      <c r="B52" s="141"/>
      <c r="D52" s="136"/>
      <c r="E52" s="136"/>
      <c r="G52" s="136"/>
      <c r="H52" s="136"/>
      <c r="I52" s="143"/>
      <c r="J52" s="143"/>
      <c r="K52" s="143"/>
      <c r="L52" s="143"/>
      <c r="M52" s="143"/>
      <c r="N52" s="136"/>
    </row>
    <row r="53" spans="1:14" x14ac:dyDescent="0.2">
      <c r="A53" s="141"/>
      <c r="B53" s="141"/>
      <c r="D53" s="136"/>
      <c r="E53" s="136"/>
      <c r="G53" s="136"/>
      <c r="H53" s="136"/>
      <c r="I53" s="143"/>
      <c r="J53" s="143"/>
      <c r="K53" s="143"/>
      <c r="L53" s="143"/>
      <c r="M53" s="143"/>
      <c r="N53" s="136"/>
    </row>
    <row r="54" spans="1:14" x14ac:dyDescent="0.2">
      <c r="A54" s="141"/>
      <c r="B54" s="141"/>
      <c r="D54" s="136"/>
      <c r="E54" s="136"/>
      <c r="G54" s="136"/>
      <c r="H54" s="136"/>
      <c r="I54" s="143"/>
      <c r="J54" s="143"/>
      <c r="K54" s="143"/>
      <c r="L54" s="143"/>
      <c r="M54" s="143"/>
      <c r="N54" s="136"/>
    </row>
    <row r="55" spans="1:14" x14ac:dyDescent="0.2">
      <c r="A55" s="141"/>
      <c r="B55" s="141"/>
      <c r="D55" s="136"/>
      <c r="E55" s="136"/>
      <c r="G55" s="136"/>
      <c r="H55" s="136"/>
      <c r="I55" s="143"/>
      <c r="J55" s="143"/>
      <c r="K55" s="143"/>
      <c r="L55" s="143"/>
      <c r="M55" s="143"/>
      <c r="N55" s="136"/>
    </row>
    <row r="56" spans="1:14" s="137" customFormat="1" x14ac:dyDescent="0.2">
      <c r="A56" s="142"/>
      <c r="B56" s="141"/>
      <c r="F56" s="139"/>
      <c r="I56" s="138"/>
      <c r="J56" s="138"/>
      <c r="K56" s="138"/>
      <c r="L56" s="138"/>
      <c r="M56" s="138"/>
    </row>
    <row r="57" spans="1:14" s="137" customFormat="1" x14ac:dyDescent="0.2">
      <c r="A57" s="142"/>
      <c r="B57" s="141"/>
      <c r="F57" s="139"/>
      <c r="I57" s="138"/>
      <c r="J57" s="138"/>
      <c r="K57" s="138"/>
      <c r="L57" s="138"/>
      <c r="M57" s="138"/>
    </row>
    <row r="58" spans="1:14" s="137" customFormat="1" x14ac:dyDescent="0.2">
      <c r="A58" s="142"/>
      <c r="B58" s="141"/>
      <c r="F58" s="139"/>
      <c r="I58" s="138"/>
      <c r="J58" s="138"/>
      <c r="K58" s="138"/>
      <c r="L58" s="138"/>
      <c r="M58" s="138"/>
    </row>
    <row r="59" spans="1:14" s="137" customFormat="1" x14ac:dyDescent="0.2">
      <c r="A59" s="142"/>
      <c r="B59" s="141"/>
      <c r="F59" s="139"/>
      <c r="I59" s="138"/>
      <c r="J59" s="138"/>
      <c r="K59" s="138"/>
      <c r="L59" s="138"/>
      <c r="M59" s="138"/>
    </row>
    <row r="60" spans="1:14" s="137" customFormat="1" x14ac:dyDescent="0.2">
      <c r="A60" s="142"/>
      <c r="B60" s="141"/>
      <c r="F60" s="139"/>
      <c r="I60" s="138"/>
      <c r="J60" s="138"/>
      <c r="K60" s="138"/>
      <c r="L60" s="138"/>
      <c r="M60" s="138"/>
    </row>
    <row r="61" spans="1:14" s="137" customFormat="1" x14ac:dyDescent="0.2">
      <c r="A61" s="142"/>
      <c r="B61" s="141"/>
      <c r="F61" s="139"/>
      <c r="I61" s="138"/>
      <c r="J61" s="138"/>
      <c r="K61" s="138"/>
      <c r="L61" s="138"/>
      <c r="M61" s="138"/>
    </row>
    <row r="62" spans="1:14" s="137" customFormat="1" x14ac:dyDescent="0.2">
      <c r="A62" s="142"/>
      <c r="B62" s="141"/>
      <c r="F62" s="139"/>
      <c r="I62" s="138"/>
      <c r="J62" s="138"/>
      <c r="K62" s="138"/>
      <c r="L62" s="138"/>
      <c r="M62" s="138"/>
    </row>
    <row r="63" spans="1:14" s="137" customFormat="1" x14ac:dyDescent="0.2">
      <c r="A63" s="142"/>
      <c r="B63" s="141"/>
      <c r="F63" s="139"/>
      <c r="I63" s="138"/>
      <c r="J63" s="138"/>
      <c r="K63" s="138"/>
      <c r="L63" s="138"/>
      <c r="M63" s="138"/>
    </row>
    <row r="64" spans="1:14" s="137" customFormat="1" x14ac:dyDescent="0.2">
      <c r="A64" s="142"/>
      <c r="B64" s="141"/>
      <c r="F64" s="139"/>
      <c r="I64" s="138"/>
      <c r="J64" s="138"/>
      <c r="K64" s="138"/>
      <c r="L64" s="138"/>
      <c r="M64" s="138"/>
    </row>
    <row r="65" spans="1:14" s="137" customFormat="1" x14ac:dyDescent="0.2">
      <c r="A65" s="142"/>
      <c r="B65" s="141"/>
      <c r="F65" s="139"/>
      <c r="I65" s="138"/>
      <c r="J65" s="138"/>
      <c r="K65" s="138"/>
      <c r="L65" s="138"/>
      <c r="M65" s="138"/>
    </row>
    <row r="66" spans="1:14" s="140" customFormat="1" x14ac:dyDescent="0.2">
      <c r="A66" s="142"/>
      <c r="B66" s="141"/>
      <c r="C66" s="137"/>
      <c r="D66" s="137"/>
      <c r="E66" s="137"/>
      <c r="F66" s="139"/>
      <c r="G66" s="137"/>
      <c r="H66" s="137"/>
      <c r="I66" s="138"/>
      <c r="J66" s="138"/>
      <c r="K66" s="138"/>
      <c r="L66" s="138"/>
      <c r="M66" s="138"/>
      <c r="N66" s="137"/>
    </row>
    <row r="67" spans="1:14" s="140" customFormat="1" x14ac:dyDescent="0.2">
      <c r="A67" s="142"/>
      <c r="B67" s="141"/>
      <c r="C67" s="137"/>
      <c r="D67" s="137"/>
      <c r="E67" s="137"/>
      <c r="F67" s="139"/>
      <c r="G67" s="137"/>
      <c r="H67" s="137"/>
      <c r="I67" s="138"/>
      <c r="J67" s="138"/>
      <c r="K67" s="138"/>
      <c r="L67" s="138"/>
      <c r="M67" s="138"/>
      <c r="N67" s="137"/>
    </row>
    <row r="68" spans="1:14" s="140" customFormat="1" x14ac:dyDescent="0.2">
      <c r="A68" s="142"/>
      <c r="B68" s="141"/>
      <c r="C68" s="137"/>
      <c r="D68" s="137"/>
      <c r="E68" s="137"/>
      <c r="F68" s="139"/>
      <c r="G68" s="137"/>
      <c r="H68" s="137"/>
      <c r="I68" s="138"/>
      <c r="J68" s="138"/>
      <c r="K68" s="138"/>
      <c r="L68" s="138"/>
      <c r="M68" s="138"/>
      <c r="N68" s="137"/>
    </row>
    <row r="69" spans="1:14" s="140" customFormat="1" x14ac:dyDescent="0.2">
      <c r="A69" s="142"/>
      <c r="B69" s="141"/>
      <c r="C69" s="137"/>
      <c r="D69" s="137"/>
      <c r="E69" s="137"/>
      <c r="F69" s="139"/>
      <c r="G69" s="137"/>
      <c r="H69" s="137"/>
      <c r="I69" s="138"/>
      <c r="J69" s="138"/>
      <c r="K69" s="138"/>
      <c r="L69" s="138"/>
      <c r="M69" s="138"/>
      <c r="N69" s="137"/>
    </row>
    <row r="70" spans="1:14" s="140" customFormat="1" x14ac:dyDescent="0.2">
      <c r="A70" s="142"/>
      <c r="B70" s="141"/>
      <c r="C70" s="137"/>
      <c r="D70" s="137"/>
      <c r="E70" s="137"/>
      <c r="F70" s="139"/>
      <c r="G70" s="137"/>
      <c r="H70" s="137"/>
      <c r="I70" s="138"/>
      <c r="J70" s="138"/>
      <c r="K70" s="138"/>
      <c r="L70" s="138"/>
      <c r="M70" s="138"/>
      <c r="N70" s="137"/>
    </row>
    <row r="71" spans="1:14" s="140" customFormat="1" x14ac:dyDescent="0.2">
      <c r="A71" s="142"/>
      <c r="B71" s="141"/>
      <c r="C71" s="137"/>
      <c r="D71" s="137"/>
      <c r="E71" s="137"/>
      <c r="F71" s="139"/>
      <c r="G71" s="137"/>
      <c r="H71" s="137"/>
      <c r="I71" s="138"/>
      <c r="J71" s="138"/>
      <c r="K71" s="138"/>
      <c r="L71" s="138"/>
      <c r="M71" s="138"/>
      <c r="N71" s="137"/>
    </row>
    <row r="72" spans="1:14" s="140" customFormat="1" x14ac:dyDescent="0.2">
      <c r="A72" s="142"/>
      <c r="B72" s="141"/>
      <c r="C72" s="137"/>
      <c r="D72" s="137"/>
      <c r="E72" s="137"/>
      <c r="F72" s="139"/>
      <c r="G72" s="137"/>
      <c r="H72" s="137"/>
      <c r="I72" s="138"/>
      <c r="J72" s="138"/>
      <c r="K72" s="138"/>
      <c r="L72" s="138"/>
      <c r="M72" s="138"/>
      <c r="N72" s="137"/>
    </row>
    <row r="73" spans="1:14" s="140" customFormat="1" x14ac:dyDescent="0.2">
      <c r="A73" s="142"/>
      <c r="B73" s="141"/>
      <c r="C73" s="137"/>
      <c r="D73" s="137"/>
      <c r="E73" s="137"/>
      <c r="F73" s="139"/>
      <c r="G73" s="137"/>
      <c r="H73" s="137"/>
      <c r="I73" s="138"/>
      <c r="J73" s="138"/>
      <c r="K73" s="138"/>
      <c r="L73" s="138"/>
      <c r="M73" s="138"/>
      <c r="N73" s="137"/>
    </row>
    <row r="74" spans="1:14" s="140" customFormat="1" x14ac:dyDescent="0.2">
      <c r="A74" s="142"/>
      <c r="B74" s="141"/>
      <c r="C74" s="137"/>
      <c r="D74" s="137"/>
      <c r="E74" s="137"/>
      <c r="F74" s="139"/>
      <c r="G74" s="137"/>
      <c r="H74" s="137"/>
      <c r="I74" s="138"/>
      <c r="J74" s="138"/>
      <c r="K74" s="138"/>
      <c r="L74" s="138"/>
      <c r="M74" s="138"/>
      <c r="N74" s="137"/>
    </row>
    <row r="75" spans="1:14" s="140" customFormat="1" x14ac:dyDescent="0.2">
      <c r="A75" s="142"/>
      <c r="B75" s="141"/>
      <c r="C75" s="137"/>
      <c r="D75" s="137"/>
      <c r="E75" s="137"/>
      <c r="F75" s="139"/>
      <c r="G75" s="137"/>
      <c r="H75" s="137"/>
      <c r="I75" s="138"/>
      <c r="J75" s="138"/>
      <c r="K75" s="138"/>
      <c r="L75" s="138"/>
      <c r="M75" s="138"/>
      <c r="N75" s="137"/>
    </row>
    <row r="76" spans="1:14" s="140" customFormat="1" x14ac:dyDescent="0.2">
      <c r="A76" s="142"/>
      <c r="B76" s="141"/>
      <c r="C76" s="137"/>
      <c r="D76" s="137"/>
      <c r="E76" s="137"/>
      <c r="F76" s="139"/>
      <c r="G76" s="137"/>
      <c r="H76" s="137"/>
      <c r="I76" s="138"/>
      <c r="J76" s="138"/>
      <c r="K76" s="138"/>
      <c r="L76" s="138"/>
      <c r="M76" s="138"/>
      <c r="N76" s="137"/>
    </row>
    <row r="77" spans="1:14" s="140" customFormat="1" x14ac:dyDescent="0.2">
      <c r="A77" s="142"/>
      <c r="B77" s="141"/>
      <c r="C77" s="137"/>
      <c r="D77" s="137"/>
      <c r="E77" s="137"/>
      <c r="F77" s="139"/>
      <c r="G77" s="137"/>
      <c r="H77" s="137"/>
      <c r="I77" s="138"/>
      <c r="J77" s="138"/>
      <c r="K77" s="138"/>
      <c r="L77" s="138"/>
      <c r="M77" s="138"/>
      <c r="N77" s="137"/>
    </row>
    <row r="78" spans="1:14" s="140" customFormat="1" x14ac:dyDescent="0.2">
      <c r="A78" s="142"/>
      <c r="B78" s="141"/>
      <c r="C78" s="137"/>
      <c r="D78" s="137"/>
      <c r="E78" s="137"/>
      <c r="F78" s="139"/>
      <c r="G78" s="137"/>
      <c r="H78" s="137"/>
      <c r="I78" s="138"/>
      <c r="J78" s="138"/>
      <c r="K78" s="138"/>
      <c r="L78" s="138"/>
      <c r="M78" s="138"/>
      <c r="N78" s="137"/>
    </row>
    <row r="79" spans="1:14" s="140" customFormat="1" x14ac:dyDescent="0.2">
      <c r="A79" s="142"/>
      <c r="B79" s="141"/>
      <c r="C79" s="137"/>
      <c r="D79" s="137"/>
      <c r="E79" s="137"/>
      <c r="F79" s="139"/>
      <c r="G79" s="137"/>
      <c r="H79" s="137"/>
      <c r="I79" s="138"/>
      <c r="J79" s="138"/>
      <c r="K79" s="138"/>
      <c r="L79" s="138"/>
      <c r="M79" s="138"/>
      <c r="N79" s="137"/>
    </row>
    <row r="80" spans="1:14" s="140" customFormat="1" x14ac:dyDescent="0.2">
      <c r="A80" s="142"/>
      <c r="B80" s="141"/>
      <c r="C80" s="137"/>
      <c r="D80" s="137"/>
      <c r="E80" s="137"/>
      <c r="F80" s="139"/>
      <c r="G80" s="137"/>
      <c r="H80" s="137"/>
      <c r="I80" s="138"/>
      <c r="J80" s="138"/>
      <c r="K80" s="138"/>
      <c r="L80" s="138"/>
      <c r="M80" s="138"/>
      <c r="N80" s="137"/>
    </row>
    <row r="81" spans="1:14" s="140" customFormat="1" x14ac:dyDescent="0.2">
      <c r="A81" s="142"/>
      <c r="B81" s="141"/>
      <c r="C81" s="137"/>
      <c r="D81" s="137"/>
      <c r="E81" s="137"/>
      <c r="F81" s="139"/>
      <c r="G81" s="137"/>
      <c r="H81" s="137"/>
      <c r="I81" s="138"/>
      <c r="J81" s="138"/>
      <c r="K81" s="138"/>
      <c r="L81" s="138"/>
      <c r="M81" s="138"/>
      <c r="N81" s="137"/>
    </row>
    <row r="82" spans="1:14" s="140" customFormat="1" x14ac:dyDescent="0.2">
      <c r="A82" s="142"/>
      <c r="B82" s="141"/>
      <c r="C82" s="137"/>
      <c r="D82" s="137"/>
      <c r="E82" s="137"/>
      <c r="F82" s="139"/>
      <c r="G82" s="137"/>
      <c r="H82" s="137"/>
      <c r="I82" s="138"/>
      <c r="J82" s="138"/>
      <c r="K82" s="138"/>
      <c r="L82" s="138"/>
      <c r="M82" s="138"/>
      <c r="N82" s="137"/>
    </row>
    <row r="83" spans="1:14" s="140" customFormat="1" x14ac:dyDescent="0.2">
      <c r="A83" s="142"/>
      <c r="B83" s="141"/>
      <c r="C83" s="137"/>
      <c r="D83" s="137"/>
      <c r="E83" s="137"/>
      <c r="F83" s="139"/>
      <c r="G83" s="137"/>
      <c r="H83" s="137"/>
      <c r="I83" s="138"/>
      <c r="J83" s="138"/>
      <c r="K83" s="138"/>
      <c r="L83" s="138"/>
      <c r="M83" s="138"/>
      <c r="N83" s="137"/>
    </row>
    <row r="84" spans="1:14" s="140" customFormat="1" x14ac:dyDescent="0.2">
      <c r="A84" s="142"/>
      <c r="B84" s="141"/>
      <c r="C84" s="137"/>
      <c r="D84" s="137"/>
      <c r="E84" s="137"/>
      <c r="F84" s="139"/>
      <c r="G84" s="137"/>
      <c r="H84" s="137"/>
      <c r="I84" s="138"/>
      <c r="J84" s="138"/>
      <c r="K84" s="138"/>
      <c r="L84" s="138"/>
      <c r="M84" s="138"/>
      <c r="N84" s="137"/>
    </row>
    <row r="85" spans="1:14" s="140" customFormat="1" x14ac:dyDescent="0.2">
      <c r="A85" s="142"/>
      <c r="B85" s="141"/>
      <c r="C85" s="137"/>
      <c r="D85" s="137"/>
      <c r="E85" s="137"/>
      <c r="F85" s="139"/>
      <c r="G85" s="137"/>
      <c r="H85" s="137"/>
      <c r="I85" s="138"/>
      <c r="J85" s="138"/>
      <c r="K85" s="138"/>
      <c r="L85" s="138"/>
      <c r="M85" s="138"/>
      <c r="N85" s="137"/>
    </row>
    <row r="86" spans="1:14" s="140" customFormat="1" x14ac:dyDescent="0.2">
      <c r="A86" s="142"/>
      <c r="B86" s="141"/>
      <c r="C86" s="137"/>
      <c r="D86" s="137"/>
      <c r="E86" s="137"/>
      <c r="F86" s="139"/>
      <c r="G86" s="137"/>
      <c r="H86" s="137"/>
      <c r="I86" s="138"/>
      <c r="J86" s="138"/>
      <c r="K86" s="138"/>
      <c r="L86" s="138"/>
      <c r="M86" s="138"/>
      <c r="N86" s="137"/>
    </row>
    <row r="87" spans="1:14" s="140" customFormat="1" x14ac:dyDescent="0.2">
      <c r="A87" s="142"/>
      <c r="B87" s="141"/>
      <c r="C87" s="137"/>
      <c r="D87" s="137"/>
      <c r="E87" s="137"/>
      <c r="F87" s="139"/>
      <c r="G87" s="137"/>
      <c r="H87" s="137"/>
      <c r="I87" s="138"/>
      <c r="J87" s="138"/>
      <c r="K87" s="138"/>
      <c r="L87" s="138"/>
      <c r="M87" s="138"/>
      <c r="N87" s="137"/>
    </row>
    <row r="88" spans="1:14" s="140" customFormat="1" x14ac:dyDescent="0.2">
      <c r="A88" s="142"/>
      <c r="B88" s="141"/>
      <c r="C88" s="137"/>
      <c r="D88" s="137"/>
      <c r="E88" s="137"/>
      <c r="F88" s="139"/>
      <c r="G88" s="137"/>
      <c r="H88" s="137"/>
      <c r="I88" s="138"/>
      <c r="J88" s="138"/>
      <c r="K88" s="138"/>
      <c r="L88" s="138"/>
      <c r="M88" s="138"/>
      <c r="N88" s="137"/>
    </row>
    <row r="89" spans="1:14" s="140" customFormat="1" x14ac:dyDescent="0.2">
      <c r="A89" s="142"/>
      <c r="B89" s="141"/>
      <c r="C89" s="137"/>
      <c r="D89" s="137"/>
      <c r="E89" s="137"/>
      <c r="F89" s="139"/>
      <c r="G89" s="137"/>
      <c r="H89" s="137"/>
      <c r="I89" s="138"/>
      <c r="J89" s="138"/>
      <c r="K89" s="138"/>
      <c r="L89" s="138"/>
      <c r="M89" s="138"/>
      <c r="N89" s="137"/>
    </row>
    <row r="90" spans="1:14" s="140" customFormat="1" x14ac:dyDescent="0.2">
      <c r="A90" s="142"/>
      <c r="B90" s="141"/>
      <c r="C90" s="137"/>
      <c r="D90" s="137"/>
      <c r="E90" s="137"/>
      <c r="F90" s="139"/>
      <c r="G90" s="137"/>
      <c r="H90" s="137"/>
      <c r="I90" s="138"/>
      <c r="J90" s="138"/>
      <c r="K90" s="138"/>
      <c r="L90" s="138"/>
      <c r="M90" s="138"/>
      <c r="N90" s="137"/>
    </row>
    <row r="91" spans="1:14" s="140" customFormat="1" x14ac:dyDescent="0.2">
      <c r="A91" s="142"/>
      <c r="B91" s="141"/>
      <c r="C91" s="137"/>
      <c r="D91" s="137"/>
      <c r="E91" s="137"/>
      <c r="F91" s="139"/>
      <c r="G91" s="137"/>
      <c r="H91" s="137"/>
      <c r="I91" s="138"/>
      <c r="J91" s="138"/>
      <c r="K91" s="138"/>
      <c r="L91" s="138"/>
      <c r="M91" s="138"/>
      <c r="N91" s="137"/>
    </row>
    <row r="92" spans="1:14" s="140" customFormat="1" x14ac:dyDescent="0.2">
      <c r="A92" s="142"/>
      <c r="B92" s="141"/>
      <c r="C92" s="137"/>
      <c r="D92" s="137"/>
      <c r="E92" s="137"/>
      <c r="F92" s="139"/>
      <c r="G92" s="137"/>
      <c r="H92" s="137"/>
      <c r="I92" s="138"/>
      <c r="J92" s="138"/>
      <c r="K92" s="138"/>
      <c r="L92" s="138"/>
      <c r="M92" s="138"/>
      <c r="N92" s="137"/>
    </row>
    <row r="93" spans="1:14" s="140" customFormat="1" x14ac:dyDescent="0.2">
      <c r="A93" s="142"/>
      <c r="B93" s="141"/>
      <c r="C93" s="137"/>
      <c r="D93" s="137"/>
      <c r="E93" s="137"/>
      <c r="F93" s="139"/>
      <c r="G93" s="137"/>
      <c r="H93" s="137"/>
      <c r="I93" s="138"/>
      <c r="J93" s="138"/>
      <c r="K93" s="138"/>
      <c r="L93" s="138"/>
      <c r="M93" s="138"/>
      <c r="N93" s="137"/>
    </row>
    <row r="94" spans="1:14" s="140" customFormat="1" x14ac:dyDescent="0.2">
      <c r="A94" s="142"/>
      <c r="B94" s="141"/>
      <c r="C94" s="137"/>
      <c r="D94" s="137"/>
      <c r="E94" s="137"/>
      <c r="F94" s="139"/>
      <c r="G94" s="137"/>
      <c r="H94" s="137"/>
      <c r="I94" s="138"/>
      <c r="J94" s="138"/>
      <c r="K94" s="138"/>
      <c r="L94" s="138"/>
      <c r="M94" s="138"/>
      <c r="N94" s="137"/>
    </row>
    <row r="95" spans="1:14" s="140" customFormat="1" x14ac:dyDescent="0.2">
      <c r="A95" s="142"/>
      <c r="B95" s="141"/>
      <c r="C95" s="137"/>
      <c r="D95" s="137"/>
      <c r="E95" s="137"/>
      <c r="F95" s="139"/>
      <c r="G95" s="137"/>
      <c r="H95" s="137"/>
      <c r="I95" s="138"/>
      <c r="J95" s="138"/>
      <c r="K95" s="138"/>
      <c r="L95" s="138"/>
      <c r="M95" s="138"/>
      <c r="N95" s="137"/>
    </row>
    <row r="96" spans="1:14" s="140" customFormat="1" x14ac:dyDescent="0.2">
      <c r="A96" s="142"/>
      <c r="B96" s="141"/>
      <c r="C96" s="137"/>
      <c r="D96" s="137"/>
      <c r="E96" s="137"/>
      <c r="F96" s="139"/>
      <c r="G96" s="137"/>
      <c r="H96" s="137"/>
      <c r="I96" s="138"/>
      <c r="J96" s="138"/>
      <c r="K96" s="138"/>
      <c r="L96" s="138"/>
      <c r="M96" s="138"/>
      <c r="N96" s="137"/>
    </row>
    <row r="97" spans="1:14" s="140" customFormat="1" x14ac:dyDescent="0.2">
      <c r="A97" s="142"/>
      <c r="B97" s="141"/>
      <c r="C97" s="137"/>
      <c r="D97" s="137"/>
      <c r="E97" s="137"/>
      <c r="F97" s="139"/>
      <c r="G97" s="137"/>
      <c r="H97" s="137"/>
      <c r="I97" s="138"/>
      <c r="J97" s="138"/>
      <c r="K97" s="138"/>
      <c r="L97" s="138"/>
      <c r="M97" s="138"/>
      <c r="N97" s="137"/>
    </row>
    <row r="98" spans="1:14" s="140" customFormat="1" x14ac:dyDescent="0.2">
      <c r="A98" s="142"/>
      <c r="B98" s="141"/>
      <c r="C98" s="137"/>
      <c r="D98" s="137"/>
      <c r="E98" s="137"/>
      <c r="F98" s="139"/>
      <c r="G98" s="137"/>
      <c r="H98" s="137"/>
      <c r="I98" s="138"/>
      <c r="J98" s="138"/>
      <c r="K98" s="138"/>
      <c r="L98" s="138"/>
      <c r="M98" s="138"/>
      <c r="N98" s="137"/>
    </row>
    <row r="99" spans="1:14" s="140" customFormat="1" x14ac:dyDescent="0.2">
      <c r="A99" s="142"/>
      <c r="B99" s="141"/>
      <c r="C99" s="137"/>
      <c r="D99" s="137"/>
      <c r="E99" s="137"/>
      <c r="F99" s="139"/>
      <c r="G99" s="137"/>
      <c r="H99" s="137"/>
      <c r="I99" s="138"/>
      <c r="J99" s="138"/>
      <c r="K99" s="138"/>
      <c r="L99" s="138"/>
      <c r="M99" s="138"/>
      <c r="N99" s="137"/>
    </row>
    <row r="100" spans="1:14" s="140" customFormat="1" x14ac:dyDescent="0.2">
      <c r="A100" s="142"/>
      <c r="B100" s="141"/>
      <c r="C100" s="137"/>
      <c r="D100" s="137"/>
      <c r="E100" s="137"/>
      <c r="F100" s="139"/>
      <c r="G100" s="137"/>
      <c r="H100" s="137"/>
      <c r="I100" s="138"/>
      <c r="J100" s="138"/>
      <c r="K100" s="138"/>
      <c r="L100" s="138"/>
      <c r="M100" s="138"/>
      <c r="N100" s="137"/>
    </row>
    <row r="101" spans="1:14" s="140" customFormat="1" x14ac:dyDescent="0.2">
      <c r="A101" s="142"/>
      <c r="B101" s="141"/>
      <c r="C101" s="137"/>
      <c r="D101" s="137"/>
      <c r="E101" s="137"/>
      <c r="F101" s="139"/>
      <c r="G101" s="137"/>
      <c r="H101" s="137"/>
      <c r="I101" s="138"/>
      <c r="J101" s="138"/>
      <c r="K101" s="138"/>
      <c r="L101" s="138"/>
      <c r="M101" s="138"/>
      <c r="N101" s="137"/>
    </row>
    <row r="102" spans="1:14" s="140" customFormat="1" x14ac:dyDescent="0.2">
      <c r="A102" s="142"/>
      <c r="B102" s="141"/>
      <c r="C102" s="137"/>
      <c r="D102" s="137"/>
      <c r="E102" s="137"/>
      <c r="F102" s="139"/>
      <c r="G102" s="137"/>
      <c r="H102" s="137"/>
      <c r="I102" s="138"/>
      <c r="J102" s="138"/>
      <c r="K102" s="138"/>
      <c r="L102" s="138"/>
      <c r="M102" s="138"/>
      <c r="N102" s="137"/>
    </row>
    <row r="103" spans="1:14" s="140" customFormat="1" x14ac:dyDescent="0.2">
      <c r="A103" s="142"/>
      <c r="B103" s="141"/>
      <c r="C103" s="137"/>
      <c r="D103" s="137"/>
      <c r="E103" s="137"/>
      <c r="F103" s="139"/>
      <c r="G103" s="137"/>
      <c r="H103" s="137"/>
      <c r="I103" s="138"/>
      <c r="J103" s="138"/>
      <c r="K103" s="138"/>
      <c r="L103" s="138"/>
      <c r="M103" s="138"/>
      <c r="N103" s="137"/>
    </row>
    <row r="104" spans="1:14" s="140" customFormat="1" x14ac:dyDescent="0.2">
      <c r="A104" s="142"/>
      <c r="B104" s="141"/>
      <c r="C104" s="137"/>
      <c r="D104" s="137"/>
      <c r="E104" s="137"/>
      <c r="F104" s="139"/>
      <c r="G104" s="137"/>
      <c r="H104" s="137"/>
      <c r="I104" s="138"/>
      <c r="J104" s="138"/>
      <c r="K104" s="138"/>
      <c r="L104" s="138"/>
      <c r="M104" s="138"/>
      <c r="N104" s="137"/>
    </row>
    <row r="105" spans="1:14" s="140" customFormat="1" x14ac:dyDescent="0.2">
      <c r="A105" s="142"/>
      <c r="B105" s="141"/>
      <c r="C105" s="137"/>
      <c r="D105" s="137"/>
      <c r="E105" s="137"/>
      <c r="F105" s="139"/>
      <c r="G105" s="137"/>
      <c r="H105" s="137"/>
      <c r="I105" s="138"/>
      <c r="J105" s="138"/>
      <c r="K105" s="138"/>
      <c r="L105" s="138"/>
      <c r="M105" s="138"/>
      <c r="N105" s="137"/>
    </row>
    <row r="106" spans="1:14" s="140" customFormat="1" x14ac:dyDescent="0.2">
      <c r="A106" s="142"/>
      <c r="B106" s="141"/>
      <c r="C106" s="137"/>
      <c r="D106" s="137"/>
      <c r="E106" s="137"/>
      <c r="F106" s="139"/>
      <c r="G106" s="137"/>
      <c r="H106" s="137"/>
      <c r="I106" s="138"/>
      <c r="J106" s="138"/>
      <c r="K106" s="138"/>
      <c r="L106" s="138"/>
      <c r="M106" s="138"/>
      <c r="N106" s="137"/>
    </row>
    <row r="107" spans="1:14" s="140" customFormat="1" x14ac:dyDescent="0.2">
      <c r="A107" s="142"/>
      <c r="B107" s="141"/>
      <c r="C107" s="137"/>
      <c r="D107" s="137"/>
      <c r="E107" s="137"/>
      <c r="F107" s="139"/>
      <c r="G107" s="137"/>
      <c r="H107" s="137"/>
      <c r="I107" s="138"/>
      <c r="J107" s="138"/>
      <c r="K107" s="138"/>
      <c r="L107" s="138"/>
      <c r="M107" s="138"/>
      <c r="N107" s="137"/>
    </row>
    <row r="108" spans="1:14" s="140" customFormat="1" x14ac:dyDescent="0.2">
      <c r="A108" s="142"/>
      <c r="B108" s="141"/>
      <c r="C108" s="137"/>
      <c r="D108" s="137"/>
      <c r="E108" s="137"/>
      <c r="F108" s="139"/>
      <c r="G108" s="137"/>
      <c r="H108" s="137"/>
      <c r="I108" s="138"/>
      <c r="J108" s="138"/>
      <c r="K108" s="138"/>
      <c r="L108" s="138"/>
      <c r="M108" s="138"/>
      <c r="N108" s="137"/>
    </row>
    <row r="109" spans="1:14" s="140" customFormat="1" x14ac:dyDescent="0.2">
      <c r="A109" s="142"/>
      <c r="B109" s="141"/>
      <c r="C109" s="137"/>
      <c r="D109" s="137"/>
      <c r="E109" s="137"/>
      <c r="F109" s="139"/>
      <c r="G109" s="137"/>
      <c r="H109" s="137"/>
      <c r="I109" s="138"/>
      <c r="J109" s="138"/>
      <c r="K109" s="138"/>
      <c r="L109" s="138"/>
      <c r="M109" s="138"/>
      <c r="N109" s="137"/>
    </row>
    <row r="110" spans="1:14" s="140" customFormat="1" x14ac:dyDescent="0.2">
      <c r="A110" s="142"/>
      <c r="B110" s="141"/>
      <c r="C110" s="137"/>
      <c r="D110" s="137"/>
      <c r="E110" s="137"/>
      <c r="F110" s="139"/>
      <c r="G110" s="137"/>
      <c r="H110" s="137"/>
      <c r="I110" s="138"/>
      <c r="J110" s="138"/>
      <c r="K110" s="138"/>
      <c r="L110" s="138"/>
      <c r="M110" s="138"/>
      <c r="N110" s="137"/>
    </row>
    <row r="111" spans="1:14" s="140" customFormat="1" x14ac:dyDescent="0.2">
      <c r="A111" s="142"/>
      <c r="B111" s="141"/>
      <c r="C111" s="137"/>
      <c r="D111" s="137"/>
      <c r="E111" s="137"/>
      <c r="F111" s="139"/>
      <c r="G111" s="137"/>
      <c r="H111" s="137"/>
      <c r="I111" s="138"/>
      <c r="J111" s="138"/>
      <c r="K111" s="138"/>
      <c r="L111" s="138"/>
      <c r="M111" s="138"/>
      <c r="N111" s="137"/>
    </row>
    <row r="112" spans="1:14" s="140" customFormat="1" x14ac:dyDescent="0.2">
      <c r="A112" s="142"/>
      <c r="B112" s="141"/>
      <c r="C112" s="137"/>
      <c r="D112" s="137"/>
      <c r="E112" s="137"/>
      <c r="F112" s="139"/>
      <c r="G112" s="137"/>
      <c r="H112" s="137"/>
      <c r="I112" s="138"/>
      <c r="J112" s="138"/>
      <c r="K112" s="138"/>
      <c r="L112" s="138"/>
      <c r="M112" s="138"/>
      <c r="N112" s="137"/>
    </row>
    <row r="113" spans="1:14" s="140" customFormat="1" x14ac:dyDescent="0.2">
      <c r="A113" s="142"/>
      <c r="B113" s="141"/>
      <c r="C113" s="137"/>
      <c r="D113" s="137"/>
      <c r="E113" s="137"/>
      <c r="F113" s="139"/>
      <c r="G113" s="137"/>
      <c r="H113" s="137"/>
      <c r="I113" s="138"/>
      <c r="J113" s="138"/>
      <c r="K113" s="138"/>
      <c r="L113" s="138"/>
      <c r="M113" s="138"/>
      <c r="N113" s="137"/>
    </row>
    <row r="114" spans="1:14" s="140" customFormat="1" x14ac:dyDescent="0.2">
      <c r="A114" s="142"/>
      <c r="B114" s="141"/>
      <c r="C114" s="137"/>
      <c r="D114" s="137"/>
      <c r="E114" s="137"/>
      <c r="F114" s="139"/>
      <c r="G114" s="137"/>
      <c r="H114" s="137"/>
      <c r="I114" s="138"/>
      <c r="J114" s="138"/>
      <c r="K114" s="138"/>
      <c r="L114" s="138"/>
      <c r="M114" s="138"/>
      <c r="N114" s="137"/>
    </row>
    <row r="115" spans="1:14" s="140" customFormat="1" x14ac:dyDescent="0.2">
      <c r="A115" s="142"/>
      <c r="B115" s="141"/>
      <c r="C115" s="137"/>
      <c r="D115" s="137"/>
      <c r="E115" s="137"/>
      <c r="F115" s="139"/>
      <c r="G115" s="137"/>
      <c r="H115" s="137"/>
      <c r="I115" s="138"/>
      <c r="J115" s="138"/>
      <c r="K115" s="138"/>
      <c r="L115" s="138"/>
      <c r="M115" s="138"/>
      <c r="N115" s="137"/>
    </row>
    <row r="116" spans="1:14" s="140" customFormat="1" x14ac:dyDescent="0.2">
      <c r="A116" s="142"/>
      <c r="B116" s="141"/>
      <c r="C116" s="137"/>
      <c r="D116" s="137"/>
      <c r="E116" s="137"/>
      <c r="F116" s="139"/>
      <c r="G116" s="137"/>
      <c r="H116" s="137"/>
      <c r="I116" s="138"/>
      <c r="J116" s="138"/>
      <c r="K116" s="138"/>
      <c r="L116" s="138"/>
      <c r="M116" s="138"/>
      <c r="N116" s="137"/>
    </row>
    <row r="117" spans="1:14" s="140" customFormat="1" x14ac:dyDescent="0.2">
      <c r="A117" s="142"/>
      <c r="B117" s="141"/>
      <c r="C117" s="137"/>
      <c r="D117" s="137"/>
      <c r="E117" s="137"/>
      <c r="F117" s="139"/>
      <c r="G117" s="137"/>
      <c r="H117" s="137"/>
      <c r="I117" s="138"/>
      <c r="J117" s="138"/>
      <c r="K117" s="138"/>
      <c r="L117" s="138"/>
      <c r="M117" s="138"/>
      <c r="N117" s="137"/>
    </row>
    <row r="118" spans="1:14" s="140" customFormat="1" x14ac:dyDescent="0.2">
      <c r="A118" s="142"/>
      <c r="B118" s="141"/>
      <c r="C118" s="137"/>
      <c r="D118" s="137"/>
      <c r="E118" s="137"/>
      <c r="F118" s="139"/>
      <c r="G118" s="137"/>
      <c r="H118" s="137"/>
      <c r="I118" s="138"/>
      <c r="J118" s="138"/>
      <c r="K118" s="138"/>
      <c r="L118" s="138"/>
      <c r="M118" s="138"/>
      <c r="N118" s="137"/>
    </row>
    <row r="119" spans="1:14" s="140" customFormat="1" x14ac:dyDescent="0.2">
      <c r="A119" s="142"/>
      <c r="B119" s="141"/>
      <c r="C119" s="137"/>
      <c r="D119" s="137"/>
      <c r="E119" s="137"/>
      <c r="F119" s="139"/>
      <c r="G119" s="137"/>
      <c r="H119" s="137"/>
      <c r="I119" s="138"/>
      <c r="J119" s="138"/>
      <c r="K119" s="138"/>
      <c r="L119" s="138"/>
      <c r="M119" s="138"/>
      <c r="N119" s="137"/>
    </row>
    <row r="120" spans="1:14" s="140" customFormat="1" x14ac:dyDescent="0.2">
      <c r="A120" s="142"/>
      <c r="B120" s="141"/>
      <c r="C120" s="137"/>
      <c r="D120" s="137"/>
      <c r="E120" s="137"/>
      <c r="F120" s="139"/>
      <c r="G120" s="137"/>
      <c r="H120" s="137"/>
      <c r="I120" s="138"/>
      <c r="J120" s="138"/>
      <c r="K120" s="138"/>
      <c r="L120" s="138"/>
      <c r="M120" s="138"/>
      <c r="N120" s="137"/>
    </row>
    <row r="121" spans="1:14" s="140" customFormat="1" x14ac:dyDescent="0.2">
      <c r="A121" s="142"/>
      <c r="B121" s="141"/>
      <c r="C121" s="137"/>
      <c r="D121" s="137"/>
      <c r="E121" s="137"/>
      <c r="F121" s="139"/>
      <c r="G121" s="137"/>
      <c r="H121" s="137"/>
      <c r="I121" s="138"/>
      <c r="J121" s="138"/>
      <c r="K121" s="138"/>
      <c r="L121" s="138"/>
      <c r="M121" s="138"/>
      <c r="N121" s="137"/>
    </row>
    <row r="122" spans="1:14" s="140" customFormat="1" x14ac:dyDescent="0.2">
      <c r="A122" s="142"/>
      <c r="B122" s="141"/>
      <c r="C122" s="137"/>
      <c r="D122" s="137"/>
      <c r="E122" s="137"/>
      <c r="F122" s="139"/>
      <c r="G122" s="137"/>
      <c r="H122" s="137"/>
      <c r="I122" s="138"/>
      <c r="J122" s="138"/>
      <c r="K122" s="138"/>
      <c r="L122" s="138"/>
      <c r="M122" s="138"/>
      <c r="N122" s="137"/>
    </row>
    <row r="123" spans="1:14" s="140" customFormat="1" x14ac:dyDescent="0.2">
      <c r="A123" s="142"/>
      <c r="B123" s="141"/>
      <c r="C123" s="137"/>
      <c r="D123" s="137"/>
      <c r="E123" s="137"/>
      <c r="F123" s="139"/>
      <c r="G123" s="137"/>
      <c r="H123" s="137"/>
      <c r="I123" s="138"/>
      <c r="J123" s="138"/>
      <c r="K123" s="138"/>
      <c r="L123" s="138"/>
      <c r="M123" s="138"/>
      <c r="N123" s="137"/>
    </row>
    <row r="124" spans="1:14" s="140" customFormat="1" x14ac:dyDescent="0.2">
      <c r="A124" s="142"/>
      <c r="B124" s="141"/>
      <c r="C124" s="137"/>
      <c r="D124" s="137"/>
      <c r="E124" s="137"/>
      <c r="F124" s="139"/>
      <c r="G124" s="137"/>
      <c r="H124" s="137"/>
      <c r="I124" s="138"/>
      <c r="J124" s="138"/>
      <c r="K124" s="138"/>
      <c r="L124" s="138"/>
      <c r="M124" s="138"/>
      <c r="N124" s="137"/>
    </row>
    <row r="125" spans="1:14" s="140" customFormat="1" x14ac:dyDescent="0.2">
      <c r="A125" s="142"/>
      <c r="B125" s="141"/>
      <c r="C125" s="137"/>
      <c r="D125" s="137"/>
      <c r="E125" s="137"/>
      <c r="F125" s="139"/>
      <c r="G125" s="137"/>
      <c r="H125" s="137"/>
      <c r="I125" s="138"/>
      <c r="J125" s="138"/>
      <c r="K125" s="138"/>
      <c r="L125" s="138"/>
      <c r="M125" s="138"/>
      <c r="N125" s="137"/>
    </row>
    <row r="126" spans="1:14" s="140" customFormat="1" x14ac:dyDescent="0.2">
      <c r="A126" s="142"/>
      <c r="B126" s="141"/>
      <c r="C126" s="137"/>
      <c r="D126" s="137"/>
      <c r="E126" s="137"/>
      <c r="F126" s="139"/>
      <c r="G126" s="137"/>
      <c r="H126" s="137"/>
      <c r="I126" s="138"/>
      <c r="J126" s="138"/>
      <c r="K126" s="138"/>
      <c r="L126" s="138"/>
      <c r="M126" s="138"/>
      <c r="N126" s="137"/>
    </row>
    <row r="127" spans="1:14" s="140" customFormat="1" x14ac:dyDescent="0.2">
      <c r="A127" s="142"/>
      <c r="B127" s="141"/>
      <c r="C127" s="137"/>
      <c r="D127" s="137"/>
      <c r="E127" s="137"/>
      <c r="F127" s="139"/>
      <c r="G127" s="137"/>
      <c r="H127" s="137"/>
      <c r="I127" s="138"/>
      <c r="J127" s="138"/>
      <c r="K127" s="138"/>
      <c r="L127" s="138"/>
      <c r="M127" s="138"/>
      <c r="N127" s="137"/>
    </row>
    <row r="128" spans="1:14" s="140" customFormat="1" x14ac:dyDescent="0.2">
      <c r="A128" s="142"/>
      <c r="B128" s="141"/>
      <c r="C128" s="137"/>
      <c r="D128" s="137"/>
      <c r="E128" s="137"/>
      <c r="F128" s="139"/>
      <c r="G128" s="137"/>
      <c r="H128" s="137"/>
      <c r="I128" s="138"/>
      <c r="J128" s="138"/>
      <c r="K128" s="138"/>
      <c r="L128" s="138"/>
      <c r="M128" s="138"/>
      <c r="N128" s="137"/>
    </row>
    <row r="129" spans="1:14" s="140" customFormat="1" x14ac:dyDescent="0.2">
      <c r="A129" s="142"/>
      <c r="B129" s="141"/>
      <c r="C129" s="137"/>
      <c r="D129" s="137"/>
      <c r="E129" s="137"/>
      <c r="F129" s="139"/>
      <c r="G129" s="137"/>
      <c r="H129" s="137"/>
      <c r="I129" s="138"/>
      <c r="J129" s="138"/>
      <c r="K129" s="138"/>
      <c r="L129" s="138"/>
      <c r="M129" s="138"/>
      <c r="N129" s="137"/>
    </row>
    <row r="130" spans="1:14" s="140" customFormat="1" x14ac:dyDescent="0.2">
      <c r="A130" s="142"/>
      <c r="B130" s="141"/>
      <c r="C130" s="137"/>
      <c r="D130" s="137"/>
      <c r="E130" s="137"/>
      <c r="F130" s="139"/>
      <c r="G130" s="137"/>
      <c r="H130" s="137"/>
      <c r="I130" s="138"/>
      <c r="J130" s="138"/>
      <c r="K130" s="138"/>
      <c r="L130" s="138"/>
      <c r="M130" s="138"/>
      <c r="N130" s="137"/>
    </row>
    <row r="131" spans="1:14" s="140" customFormat="1" x14ac:dyDescent="0.2">
      <c r="A131" s="142"/>
      <c r="B131" s="141"/>
      <c r="C131" s="137"/>
      <c r="D131" s="137"/>
      <c r="E131" s="137"/>
      <c r="F131" s="139"/>
      <c r="G131" s="137"/>
      <c r="H131" s="137"/>
      <c r="I131" s="138"/>
      <c r="J131" s="138"/>
      <c r="K131" s="138"/>
      <c r="L131" s="138"/>
      <c r="M131" s="138"/>
      <c r="N131" s="137"/>
    </row>
    <row r="132" spans="1:14" s="140" customFormat="1" x14ac:dyDescent="0.2">
      <c r="A132" s="142"/>
      <c r="B132" s="141"/>
      <c r="C132" s="137"/>
      <c r="D132" s="137"/>
      <c r="E132" s="137"/>
      <c r="F132" s="139"/>
      <c r="G132" s="137"/>
      <c r="H132" s="137"/>
      <c r="I132" s="138"/>
      <c r="J132" s="138"/>
      <c r="K132" s="138"/>
      <c r="L132" s="138"/>
      <c r="M132" s="138"/>
      <c r="N132" s="137"/>
    </row>
    <row r="133" spans="1:14" s="140" customFormat="1" x14ac:dyDescent="0.2">
      <c r="A133" s="142"/>
      <c r="B133" s="141"/>
      <c r="C133" s="137"/>
      <c r="D133" s="137"/>
      <c r="E133" s="137"/>
      <c r="F133" s="139"/>
      <c r="G133" s="137"/>
      <c r="H133" s="137"/>
      <c r="I133" s="138"/>
      <c r="J133" s="138"/>
      <c r="K133" s="138"/>
      <c r="L133" s="138"/>
      <c r="M133" s="138"/>
      <c r="N133" s="137"/>
    </row>
    <row r="134" spans="1:14" s="140" customFormat="1" x14ac:dyDescent="0.2">
      <c r="A134" s="142"/>
      <c r="B134" s="141"/>
      <c r="C134" s="137"/>
      <c r="D134" s="137"/>
      <c r="E134" s="137"/>
      <c r="F134" s="139"/>
      <c r="G134" s="137"/>
      <c r="H134" s="137"/>
      <c r="I134" s="138"/>
      <c r="J134" s="138"/>
      <c r="K134" s="138"/>
      <c r="L134" s="138"/>
      <c r="M134" s="138"/>
      <c r="N134" s="137"/>
    </row>
    <row r="135" spans="1:14" s="140" customFormat="1" x14ac:dyDescent="0.2">
      <c r="A135" s="142"/>
      <c r="B135" s="141"/>
      <c r="C135" s="137"/>
      <c r="D135" s="137"/>
      <c r="E135" s="137"/>
      <c r="F135" s="139"/>
      <c r="G135" s="137"/>
      <c r="H135" s="137"/>
      <c r="I135" s="138"/>
      <c r="J135" s="138"/>
      <c r="K135" s="138"/>
      <c r="L135" s="138"/>
      <c r="M135" s="138"/>
      <c r="N135" s="137"/>
    </row>
    <row r="136" spans="1:14" s="140" customFormat="1" x14ac:dyDescent="0.2">
      <c r="A136" s="142"/>
      <c r="B136" s="141"/>
      <c r="C136" s="137"/>
      <c r="D136" s="137"/>
      <c r="E136" s="137"/>
      <c r="F136" s="139"/>
      <c r="G136" s="137"/>
      <c r="H136" s="137"/>
      <c r="I136" s="138"/>
      <c r="J136" s="138"/>
      <c r="K136" s="138"/>
      <c r="L136" s="138"/>
      <c r="M136" s="138"/>
      <c r="N136" s="137"/>
    </row>
    <row r="137" spans="1:14" s="140" customFormat="1" x14ac:dyDescent="0.2">
      <c r="A137" s="142"/>
      <c r="B137" s="141"/>
      <c r="C137" s="137"/>
      <c r="D137" s="137"/>
      <c r="E137" s="137"/>
      <c r="F137" s="139"/>
      <c r="G137" s="137"/>
      <c r="H137" s="137"/>
      <c r="I137" s="138"/>
      <c r="J137" s="138"/>
      <c r="K137" s="138"/>
      <c r="L137" s="138"/>
      <c r="M137" s="138"/>
      <c r="N137" s="137"/>
    </row>
    <row r="138" spans="1:14" s="140" customFormat="1" x14ac:dyDescent="0.2">
      <c r="A138" s="142"/>
      <c r="B138" s="141"/>
      <c r="C138" s="137"/>
      <c r="D138" s="137"/>
      <c r="E138" s="137"/>
      <c r="F138" s="139"/>
      <c r="G138" s="137"/>
      <c r="H138" s="137"/>
      <c r="I138" s="138"/>
      <c r="J138" s="138"/>
      <c r="K138" s="138"/>
      <c r="L138" s="138"/>
      <c r="M138" s="138"/>
      <c r="N138" s="137"/>
    </row>
    <row r="139" spans="1:14" s="140" customFormat="1" x14ac:dyDescent="0.2">
      <c r="A139" s="142"/>
      <c r="B139" s="141"/>
      <c r="C139" s="137"/>
      <c r="D139" s="137"/>
      <c r="E139" s="137"/>
      <c r="F139" s="139"/>
      <c r="G139" s="137"/>
      <c r="H139" s="137"/>
      <c r="I139" s="138"/>
      <c r="J139" s="138"/>
      <c r="K139" s="138"/>
      <c r="L139" s="138"/>
      <c r="M139" s="138"/>
      <c r="N139" s="137"/>
    </row>
    <row r="140" spans="1:14" s="140" customFormat="1" x14ac:dyDescent="0.2">
      <c r="A140" s="142"/>
      <c r="B140" s="141"/>
      <c r="C140" s="137"/>
      <c r="D140" s="137"/>
      <c r="E140" s="137"/>
      <c r="F140" s="139"/>
      <c r="G140" s="137"/>
      <c r="H140" s="137"/>
      <c r="I140" s="138"/>
      <c r="J140" s="138"/>
      <c r="K140" s="138"/>
      <c r="L140" s="138"/>
      <c r="M140" s="138"/>
      <c r="N140" s="137"/>
    </row>
    <row r="141" spans="1:14" s="140" customFormat="1" x14ac:dyDescent="0.2">
      <c r="A141" s="142"/>
      <c r="B141" s="141"/>
      <c r="C141" s="137"/>
      <c r="D141" s="137"/>
      <c r="E141" s="137"/>
      <c r="F141" s="139"/>
      <c r="G141" s="137"/>
      <c r="H141" s="137"/>
      <c r="I141" s="138"/>
      <c r="J141" s="138"/>
      <c r="K141" s="138"/>
      <c r="L141" s="138"/>
      <c r="M141" s="138"/>
      <c r="N141" s="137"/>
    </row>
    <row r="142" spans="1:14" s="140" customFormat="1" x14ac:dyDescent="0.2">
      <c r="A142" s="142"/>
      <c r="B142" s="141"/>
      <c r="C142" s="137"/>
      <c r="D142" s="137"/>
      <c r="E142" s="137"/>
      <c r="F142" s="139"/>
      <c r="G142" s="137"/>
      <c r="H142" s="137"/>
      <c r="I142" s="138"/>
      <c r="J142" s="138"/>
      <c r="K142" s="138"/>
      <c r="L142" s="138"/>
      <c r="M142" s="138"/>
      <c r="N142" s="137"/>
    </row>
    <row r="143" spans="1:14" s="140" customFormat="1" x14ac:dyDescent="0.2">
      <c r="A143" s="142"/>
      <c r="B143" s="141"/>
      <c r="C143" s="137"/>
      <c r="D143" s="137"/>
      <c r="E143" s="137"/>
      <c r="F143" s="139"/>
      <c r="G143" s="137"/>
      <c r="H143" s="137"/>
      <c r="I143" s="138"/>
      <c r="J143" s="138"/>
      <c r="K143" s="138"/>
      <c r="L143" s="138"/>
      <c r="M143" s="138"/>
      <c r="N143" s="137"/>
    </row>
    <row r="144" spans="1:14" s="140" customFormat="1" x14ac:dyDescent="0.2">
      <c r="A144" s="142"/>
      <c r="B144" s="141"/>
      <c r="C144" s="137"/>
      <c r="D144" s="137"/>
      <c r="E144" s="137"/>
      <c r="F144" s="139"/>
      <c r="G144" s="137"/>
      <c r="H144" s="137"/>
      <c r="I144" s="138"/>
      <c r="J144" s="138"/>
      <c r="K144" s="138"/>
      <c r="L144" s="138"/>
      <c r="M144" s="138"/>
      <c r="N144" s="137"/>
    </row>
    <row r="145" spans="1:14" s="140" customFormat="1" x14ac:dyDescent="0.2">
      <c r="A145" s="142"/>
      <c r="B145" s="141"/>
      <c r="C145" s="137"/>
      <c r="D145" s="137"/>
      <c r="E145" s="137"/>
      <c r="F145" s="139"/>
      <c r="G145" s="137"/>
      <c r="H145" s="137"/>
      <c r="I145" s="138"/>
      <c r="J145" s="138"/>
      <c r="K145" s="138"/>
      <c r="L145" s="138"/>
      <c r="M145" s="138"/>
      <c r="N145" s="137"/>
    </row>
    <row r="146" spans="1:14" s="140" customFormat="1" x14ac:dyDescent="0.2">
      <c r="A146" s="142"/>
      <c r="B146" s="141"/>
      <c r="C146" s="137"/>
      <c r="D146" s="137"/>
      <c r="E146" s="137"/>
      <c r="F146" s="139"/>
      <c r="G146" s="137"/>
      <c r="H146" s="137"/>
      <c r="I146" s="138"/>
      <c r="J146" s="138"/>
      <c r="K146" s="138"/>
      <c r="L146" s="138"/>
      <c r="M146" s="138"/>
      <c r="N146" s="137"/>
    </row>
    <row r="147" spans="1:14" s="140" customFormat="1" x14ac:dyDescent="0.2">
      <c r="A147" s="142"/>
      <c r="B147" s="141"/>
      <c r="C147" s="137"/>
      <c r="D147" s="137"/>
      <c r="E147" s="137"/>
      <c r="F147" s="139"/>
      <c r="G147" s="137"/>
      <c r="H147" s="137"/>
      <c r="I147" s="138"/>
      <c r="J147" s="138"/>
      <c r="K147" s="138"/>
      <c r="L147" s="138"/>
      <c r="M147" s="138"/>
      <c r="N147" s="137"/>
    </row>
    <row r="148" spans="1:14" s="140" customFormat="1" x14ac:dyDescent="0.2">
      <c r="A148" s="142"/>
      <c r="B148" s="141"/>
      <c r="C148" s="137"/>
      <c r="D148" s="137"/>
      <c r="E148" s="137"/>
      <c r="F148" s="139"/>
      <c r="G148" s="137"/>
      <c r="H148" s="137"/>
      <c r="I148" s="138"/>
      <c r="J148" s="138"/>
      <c r="K148" s="138"/>
      <c r="L148" s="138"/>
      <c r="M148" s="138"/>
      <c r="N148" s="137"/>
    </row>
    <row r="149" spans="1:14" s="140" customFormat="1" x14ac:dyDescent="0.2">
      <c r="A149" s="142"/>
      <c r="B149" s="141"/>
      <c r="C149" s="137"/>
      <c r="D149" s="137"/>
      <c r="E149" s="137"/>
      <c r="F149" s="139"/>
      <c r="G149" s="137"/>
      <c r="H149" s="137"/>
      <c r="I149" s="138"/>
      <c r="J149" s="138"/>
      <c r="K149" s="138"/>
      <c r="L149" s="138"/>
      <c r="M149" s="138"/>
      <c r="N149" s="137"/>
    </row>
    <row r="150" spans="1:14" s="140" customFormat="1" x14ac:dyDescent="0.2">
      <c r="A150" s="142"/>
      <c r="B150" s="141"/>
      <c r="C150" s="137"/>
      <c r="D150" s="137"/>
      <c r="E150" s="137"/>
      <c r="F150" s="139"/>
      <c r="G150" s="137"/>
      <c r="H150" s="137"/>
      <c r="I150" s="138"/>
      <c r="J150" s="138"/>
      <c r="K150" s="138"/>
      <c r="L150" s="138"/>
      <c r="M150" s="138"/>
      <c r="N150" s="137"/>
    </row>
    <row r="151" spans="1:14" s="140" customFormat="1" x14ac:dyDescent="0.2">
      <c r="A151" s="142"/>
      <c r="B151" s="141"/>
      <c r="C151" s="137"/>
      <c r="D151" s="137"/>
      <c r="E151" s="137"/>
      <c r="F151" s="139"/>
      <c r="G151" s="137"/>
      <c r="H151" s="137"/>
      <c r="I151" s="138"/>
      <c r="J151" s="138"/>
      <c r="K151" s="138"/>
      <c r="L151" s="138"/>
      <c r="M151" s="138"/>
      <c r="N151" s="137"/>
    </row>
    <row r="152" spans="1:14" s="140" customFormat="1" x14ac:dyDescent="0.2">
      <c r="A152" s="142"/>
      <c r="B152" s="141"/>
      <c r="C152" s="137"/>
      <c r="D152" s="137"/>
      <c r="E152" s="137"/>
      <c r="F152" s="139"/>
      <c r="G152" s="137"/>
      <c r="H152" s="137"/>
      <c r="I152" s="138"/>
      <c r="J152" s="138"/>
      <c r="K152" s="138"/>
      <c r="L152" s="138"/>
      <c r="M152" s="138"/>
      <c r="N152" s="137"/>
    </row>
    <row r="153" spans="1:14" s="140" customFormat="1" x14ac:dyDescent="0.2">
      <c r="A153" s="142"/>
      <c r="B153" s="141"/>
      <c r="C153" s="137"/>
      <c r="D153" s="137"/>
      <c r="E153" s="137"/>
      <c r="F153" s="139"/>
      <c r="G153" s="137"/>
      <c r="H153" s="137"/>
      <c r="I153" s="138"/>
      <c r="J153" s="138"/>
      <c r="K153" s="138"/>
      <c r="L153" s="138"/>
      <c r="M153" s="138"/>
      <c r="N153" s="137"/>
    </row>
    <row r="154" spans="1:14" s="140" customFormat="1" x14ac:dyDescent="0.2">
      <c r="A154" s="142"/>
      <c r="B154" s="141"/>
      <c r="C154" s="137"/>
      <c r="D154" s="137"/>
      <c r="E154" s="137"/>
      <c r="F154" s="139"/>
      <c r="G154" s="137"/>
      <c r="H154" s="137"/>
      <c r="I154" s="138"/>
      <c r="J154" s="138"/>
      <c r="K154" s="138"/>
      <c r="L154" s="138"/>
      <c r="M154" s="138"/>
      <c r="N154" s="137"/>
    </row>
    <row r="155" spans="1:14" s="140" customFormat="1" x14ac:dyDescent="0.2">
      <c r="A155" s="142"/>
      <c r="B155" s="141"/>
      <c r="C155" s="137"/>
      <c r="D155" s="137"/>
      <c r="E155" s="137"/>
      <c r="F155" s="139"/>
      <c r="G155" s="137"/>
      <c r="H155" s="137"/>
      <c r="I155" s="138"/>
      <c r="J155" s="138"/>
      <c r="K155" s="138"/>
      <c r="L155" s="138"/>
      <c r="M155" s="138"/>
      <c r="N155" s="137"/>
    </row>
    <row r="156" spans="1:14" s="140" customFormat="1" x14ac:dyDescent="0.2">
      <c r="A156" s="142"/>
      <c r="B156" s="141"/>
      <c r="C156" s="137"/>
      <c r="D156" s="137"/>
      <c r="E156" s="137"/>
      <c r="F156" s="139"/>
      <c r="G156" s="137"/>
      <c r="H156" s="137"/>
      <c r="I156" s="138"/>
      <c r="J156" s="138"/>
      <c r="K156" s="138"/>
      <c r="L156" s="138"/>
      <c r="M156" s="138"/>
      <c r="N156" s="137"/>
    </row>
    <row r="157" spans="1:14" s="140" customFormat="1" x14ac:dyDescent="0.2">
      <c r="A157" s="142"/>
      <c r="B157" s="141"/>
      <c r="C157" s="137"/>
      <c r="D157" s="137"/>
      <c r="E157" s="137"/>
      <c r="F157" s="139"/>
      <c r="G157" s="137"/>
      <c r="H157" s="137"/>
      <c r="I157" s="138"/>
      <c r="J157" s="138"/>
      <c r="K157" s="138"/>
      <c r="L157" s="138"/>
      <c r="M157" s="138"/>
      <c r="N157" s="137"/>
    </row>
    <row r="158" spans="1:14" s="140" customFormat="1" x14ac:dyDescent="0.2">
      <c r="A158" s="142"/>
      <c r="B158" s="141"/>
      <c r="C158" s="137"/>
      <c r="D158" s="137"/>
      <c r="E158" s="137"/>
      <c r="F158" s="139"/>
      <c r="G158" s="137"/>
      <c r="H158" s="137"/>
      <c r="I158" s="138"/>
      <c r="J158" s="138"/>
      <c r="K158" s="138"/>
      <c r="L158" s="138"/>
      <c r="M158" s="138"/>
      <c r="N158" s="137"/>
    </row>
    <row r="159" spans="1:14" s="140" customFormat="1" x14ac:dyDescent="0.2">
      <c r="A159" s="142"/>
      <c r="B159" s="141"/>
      <c r="C159" s="137"/>
      <c r="D159" s="137"/>
      <c r="E159" s="137"/>
      <c r="F159" s="139"/>
      <c r="G159" s="137"/>
      <c r="H159" s="137"/>
      <c r="I159" s="138"/>
      <c r="J159" s="138"/>
      <c r="K159" s="138"/>
      <c r="L159" s="138"/>
      <c r="M159" s="138"/>
      <c r="N159" s="137"/>
    </row>
    <row r="160" spans="1:14" s="140" customFormat="1" x14ac:dyDescent="0.2">
      <c r="A160" s="142"/>
      <c r="B160" s="141"/>
      <c r="C160" s="137"/>
      <c r="D160" s="137"/>
      <c r="E160" s="137"/>
      <c r="F160" s="139"/>
      <c r="G160" s="137"/>
      <c r="H160" s="137"/>
      <c r="I160" s="138"/>
      <c r="J160" s="138"/>
      <c r="K160" s="138"/>
      <c r="L160" s="138"/>
      <c r="M160" s="138"/>
      <c r="N160" s="137"/>
    </row>
    <row r="161" spans="1:14" s="140" customFormat="1" x14ac:dyDescent="0.2">
      <c r="A161" s="142"/>
      <c r="B161" s="141"/>
      <c r="C161" s="137"/>
      <c r="D161" s="137"/>
      <c r="E161" s="137"/>
      <c r="F161" s="139"/>
      <c r="G161" s="137"/>
      <c r="H161" s="137"/>
      <c r="I161" s="138"/>
      <c r="J161" s="138"/>
      <c r="K161" s="138"/>
      <c r="L161" s="138"/>
      <c r="M161" s="138"/>
      <c r="N161" s="137"/>
    </row>
    <row r="162" spans="1:14" s="140" customFormat="1" x14ac:dyDescent="0.2">
      <c r="A162" s="142"/>
      <c r="B162" s="141"/>
      <c r="C162" s="137"/>
      <c r="D162" s="137"/>
      <c r="E162" s="137"/>
      <c r="F162" s="139"/>
      <c r="G162" s="137"/>
      <c r="H162" s="137"/>
      <c r="I162" s="138"/>
      <c r="J162" s="138"/>
      <c r="K162" s="138"/>
      <c r="L162" s="138"/>
      <c r="M162" s="138"/>
      <c r="N162" s="137"/>
    </row>
    <row r="163" spans="1:14" s="140" customFormat="1" x14ac:dyDescent="0.2">
      <c r="A163" s="142"/>
      <c r="B163" s="141"/>
      <c r="C163" s="137"/>
      <c r="D163" s="137"/>
      <c r="E163" s="137"/>
      <c r="F163" s="139"/>
      <c r="G163" s="137"/>
      <c r="H163" s="137"/>
      <c r="I163" s="138"/>
      <c r="J163" s="138"/>
      <c r="K163" s="138"/>
      <c r="L163" s="138"/>
      <c r="M163" s="138"/>
      <c r="N163" s="137"/>
    </row>
    <row r="164" spans="1:14" s="140" customFormat="1" x14ac:dyDescent="0.2">
      <c r="A164" s="142"/>
      <c r="B164" s="141"/>
      <c r="C164" s="137"/>
      <c r="D164" s="137"/>
      <c r="E164" s="137"/>
      <c r="F164" s="139"/>
      <c r="G164" s="137"/>
      <c r="H164" s="137"/>
      <c r="I164" s="138"/>
      <c r="J164" s="138"/>
      <c r="K164" s="138"/>
      <c r="L164" s="138"/>
      <c r="M164" s="138"/>
      <c r="N164" s="137"/>
    </row>
    <row r="165" spans="1:14" s="140" customFormat="1" x14ac:dyDescent="0.2">
      <c r="A165" s="142"/>
      <c r="B165" s="141"/>
      <c r="C165" s="137"/>
      <c r="D165" s="137"/>
      <c r="E165" s="137"/>
      <c r="F165" s="139"/>
      <c r="G165" s="137"/>
      <c r="H165" s="137"/>
      <c r="I165" s="138"/>
      <c r="J165" s="138"/>
      <c r="K165" s="138"/>
      <c r="L165" s="138"/>
      <c r="M165" s="138"/>
      <c r="N165" s="137"/>
    </row>
    <row r="166" spans="1:14" s="140" customFormat="1" x14ac:dyDescent="0.2">
      <c r="A166" s="142"/>
      <c r="B166" s="141"/>
      <c r="C166" s="137"/>
      <c r="D166" s="137"/>
      <c r="E166" s="137"/>
      <c r="F166" s="139"/>
      <c r="G166" s="137"/>
      <c r="H166" s="137"/>
      <c r="I166" s="138"/>
      <c r="J166" s="138"/>
      <c r="K166" s="138"/>
      <c r="L166" s="138"/>
      <c r="M166" s="138"/>
      <c r="N166" s="137"/>
    </row>
    <row r="167" spans="1:14" s="140" customFormat="1" x14ac:dyDescent="0.2">
      <c r="A167" s="142"/>
      <c r="B167" s="141"/>
      <c r="C167" s="137"/>
      <c r="D167" s="137"/>
      <c r="E167" s="137"/>
      <c r="F167" s="139"/>
      <c r="G167" s="137"/>
      <c r="H167" s="137"/>
      <c r="I167" s="138"/>
      <c r="J167" s="138"/>
      <c r="K167" s="138"/>
      <c r="L167" s="138"/>
      <c r="M167" s="138"/>
      <c r="N167" s="137"/>
    </row>
    <row r="168" spans="1:14" s="140" customFormat="1" x14ac:dyDescent="0.2">
      <c r="A168" s="142"/>
      <c r="B168" s="141"/>
      <c r="C168" s="137"/>
      <c r="D168" s="137"/>
      <c r="E168" s="137"/>
      <c r="F168" s="139"/>
      <c r="G168" s="137"/>
      <c r="H168" s="137"/>
      <c r="I168" s="138"/>
      <c r="J168" s="138"/>
      <c r="K168" s="138"/>
      <c r="L168" s="138"/>
      <c r="M168" s="138"/>
      <c r="N168" s="137"/>
    </row>
    <row r="169" spans="1:14" s="140" customFormat="1" x14ac:dyDescent="0.2">
      <c r="A169" s="142"/>
      <c r="B169" s="141"/>
      <c r="C169" s="137"/>
      <c r="D169" s="137"/>
      <c r="E169" s="137"/>
      <c r="F169" s="139"/>
      <c r="G169" s="137"/>
      <c r="H169" s="137"/>
      <c r="I169" s="138"/>
      <c r="J169" s="138"/>
      <c r="K169" s="138"/>
      <c r="L169" s="138"/>
      <c r="M169" s="138"/>
      <c r="N169" s="137"/>
    </row>
    <row r="170" spans="1:14" s="140" customFormat="1" x14ac:dyDescent="0.2">
      <c r="A170" s="142"/>
      <c r="B170" s="141"/>
      <c r="C170" s="137"/>
      <c r="D170" s="137"/>
      <c r="E170" s="137"/>
      <c r="F170" s="139"/>
      <c r="G170" s="137"/>
      <c r="H170" s="137"/>
      <c r="I170" s="138"/>
      <c r="J170" s="138"/>
      <c r="K170" s="138"/>
      <c r="L170" s="138"/>
      <c r="M170" s="138"/>
      <c r="N170" s="137"/>
    </row>
    <row r="171" spans="1:14" s="140" customFormat="1" x14ac:dyDescent="0.2">
      <c r="A171" s="142"/>
      <c r="B171" s="141"/>
      <c r="C171" s="137"/>
      <c r="D171" s="137"/>
      <c r="E171" s="137"/>
      <c r="F171" s="139"/>
      <c r="G171" s="137"/>
      <c r="H171" s="137"/>
      <c r="I171" s="138"/>
      <c r="J171" s="138"/>
      <c r="K171" s="138"/>
      <c r="L171" s="138"/>
      <c r="M171" s="138"/>
      <c r="N171" s="137"/>
    </row>
  </sheetData>
  <hyperlinks>
    <hyperlink ref="F7" location="MS_A0100" display="MS_A0100" xr:uid="{00000000-0004-0000-0000-000000000000}"/>
    <hyperlink ref="F8" location="MS_0100_001" display="MS_0100_001" xr:uid="{00000000-0004-0000-0000-000001000000}"/>
    <hyperlink ref="F9" location="MS_0100_002" display="MS_0100_002" xr:uid="{00000000-0004-0000-0000-000002000000}"/>
    <hyperlink ref="F10" location="MS_0100_003" display="MS_0100_003" xr:uid="{00000000-0004-0000-0000-000003000000}"/>
    <hyperlink ref="F11" location="MS_0100_004" display="MS_0100_004" xr:uid="{00000000-0004-0000-0000-000004000000}"/>
    <hyperlink ref="F12" location="MS_0100_005" display="MS_0100_005" xr:uid="{00000000-0004-0000-0000-000005000000}"/>
    <hyperlink ref="F13" location="MS_0100_006" display="MS_0100_006" xr:uid="{00000000-0004-0000-0000-000006000000}"/>
    <hyperlink ref="F14" location="MS_0100_007" display="MS_0100_007" xr:uid="{00000000-0004-0000-0000-000007000000}"/>
    <hyperlink ref="F15" location="MS_0100_008" display="MS_0100_008" xr:uid="{00000000-0004-0000-0000-000008000000}"/>
    <hyperlink ref="F16" location="MS_A0200" display="MS_A0200" xr:uid="{00000000-0004-0000-0000-000009000000}"/>
    <hyperlink ref="F17" location="MS_02001" display="MS_02001" xr:uid="{00000000-0004-0000-0000-00000A000000}"/>
    <hyperlink ref="F19" location="MS_A0400" display="MS_A0400" xr:uid="{00000000-0004-0000-0000-00000B000000}"/>
    <hyperlink ref="F20" location="MS_04001" display="MS_04001" xr:uid="{00000000-0004-0000-0000-00000C000000}"/>
    <hyperlink ref="F21" location="MS_04002" display="MS_04002" xr:uid="{00000000-0004-0000-0000-00000D000000}"/>
    <hyperlink ref="F18" location="MS_A0300" display="MS_A0300" xr:uid="{00000000-0004-0000-0000-00000E000000}"/>
    <hyperlink ref="F22" location="MS_04003" display="MS_04003" xr:uid="{00000000-0004-0000-0000-00000F000000}"/>
    <hyperlink ref="F23" location="MS_A0500" display="MS_A0500" xr:uid="{00000000-0004-0000-0000-000010000000}"/>
    <hyperlink ref="F24" location="MS_05001" display="MS_05001" xr:uid="{00000000-0004-0000-0000-000011000000}"/>
  </hyperlinks>
  <pageMargins left="0.41" right="0.22" top="0.72" bottom="0.57999999999999996" header="0.5" footer="0.26"/>
  <pageSetup scale="56" fitToHeight="99" orientation="landscape" r:id="rId1"/>
  <headerFooter alignWithMargins="0"/>
  <rowBreaks count="1" manualBreakCount="1">
    <brk id="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B1"/>
  <sheetViews>
    <sheetView workbookViewId="0"/>
  </sheetViews>
  <sheetFormatPr baseColWidth="10" defaultRowHeight="15" x14ac:dyDescent="0.25"/>
  <cols>
    <col min="1" max="16384" width="11.42578125" style="1"/>
  </cols>
  <sheetData>
    <row r="1" spans="1:2" x14ac:dyDescent="0.25">
      <c r="A1" s="1" t="s">
        <v>105</v>
      </c>
      <c r="B1" s="73" t="str">
        <f>MS_0100_004</f>
        <v>MS 01004</v>
      </c>
    </row>
  </sheetData>
  <hyperlinks>
    <hyperlink ref="B1" location="MS_0100_004" display="MS_0100_004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O18"/>
  <sheetViews>
    <sheetView workbookViewId="0">
      <selection activeCell="E3" sqref="E3"/>
    </sheetView>
  </sheetViews>
  <sheetFormatPr baseColWidth="10" defaultColWidth="9.140625" defaultRowHeight="15" x14ac:dyDescent="0.25"/>
  <cols>
    <col min="1" max="1" width="10.28515625" style="1" bestFit="1" customWidth="1"/>
    <col min="2" max="2" width="31.28515625" style="1" bestFit="1" customWidth="1"/>
    <col min="3" max="3" width="4.42578125" style="1" bestFit="1" customWidth="1"/>
    <col min="4" max="4" width="8.85546875" style="1" bestFit="1" customWidth="1"/>
    <col min="5" max="5" width="8.28515625" style="1" bestFit="1" customWidth="1"/>
    <col min="6" max="6" width="8.7109375" style="1" bestFit="1" customWidth="1"/>
    <col min="7" max="7" width="31" style="1" bestFit="1" customWidth="1"/>
    <col min="8" max="8" width="9.7109375" style="1" bestFit="1" customWidth="1"/>
    <col min="9" max="9" width="11.5703125" style="1" bestFit="1" customWidth="1"/>
    <col min="10" max="10" width="8.85546875" style="1" bestFit="1" customWidth="1"/>
    <col min="11" max="11" width="7" style="1" bestFit="1" customWidth="1"/>
    <col min="12" max="12" width="7.7109375" style="1" bestFit="1" customWidth="1"/>
    <col min="13" max="13" width="13.7109375" style="1" bestFit="1" customWidth="1"/>
    <col min="14" max="14" width="9.140625" style="1"/>
    <col min="15" max="15" width="3.140625" style="1" customWidth="1"/>
    <col min="16" max="16384" width="9.140625" style="1"/>
  </cols>
  <sheetData>
    <row r="1" spans="1:15" x14ac:dyDescent="0.25">
      <c r="A1" s="46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</row>
    <row r="2" spans="1:15" x14ac:dyDescent="0.25">
      <c r="A2" s="69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MS_0100_005_m+MS_0100_005_p</f>
        <v>2.1490635408992</v>
      </c>
      <c r="O2" s="6"/>
    </row>
    <row r="3" spans="1:15" x14ac:dyDescent="0.25">
      <c r="A3" s="69" t="s">
        <v>84</v>
      </c>
      <c r="B3" s="38" t="str">
        <f>'MS A0100'!B3</f>
        <v>Miscellaneous, Finish &amp; Assembly</v>
      </c>
      <c r="C3" s="2"/>
      <c r="D3" s="69" t="s">
        <v>80</v>
      </c>
      <c r="E3" s="73" t="s">
        <v>100</v>
      </c>
      <c r="F3" s="2"/>
      <c r="G3" s="2"/>
      <c r="H3" s="2"/>
      <c r="I3" s="2"/>
      <c r="J3" s="2"/>
      <c r="K3" s="2"/>
      <c r="L3" s="2"/>
      <c r="M3" s="69" t="s">
        <v>83</v>
      </c>
      <c r="N3" s="41">
        <v>2</v>
      </c>
      <c r="O3" s="6"/>
    </row>
    <row r="4" spans="1:15" x14ac:dyDescent="0.25">
      <c r="A4" s="69" t="s">
        <v>82</v>
      </c>
      <c r="B4" s="72" t="str">
        <f>'MS A0100'!B4</f>
        <v>Firewall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6"/>
    </row>
    <row r="5" spans="1:15" x14ac:dyDescent="0.25">
      <c r="A5" s="69" t="s">
        <v>71</v>
      </c>
      <c r="B5" s="40" t="s">
        <v>65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4.2981270817984001</v>
      </c>
      <c r="O5" s="6"/>
    </row>
    <row r="6" spans="1:15" x14ac:dyDescent="0.25">
      <c r="A6" s="69" t="s">
        <v>79</v>
      </c>
      <c r="B6" s="71" t="s">
        <v>239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6"/>
    </row>
    <row r="7" spans="1:15" x14ac:dyDescent="0.25">
      <c r="A7" s="69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69" t="s">
        <v>73</v>
      </c>
      <c r="B8" s="38" t="s">
        <v>108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68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66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6"/>
    </row>
    <row r="11" spans="1:15" s="58" customFormat="1" x14ac:dyDescent="0.25">
      <c r="A11" s="90">
        <v>10</v>
      </c>
      <c r="B11" s="89" t="s">
        <v>98</v>
      </c>
      <c r="C11" s="88"/>
      <c r="D11" s="81">
        <v>4.2</v>
      </c>
      <c r="E11" s="292">
        <f>J11*K11*L11</f>
        <v>0.121705604976</v>
      </c>
      <c r="F11" s="88" t="s">
        <v>97</v>
      </c>
      <c r="G11" s="88"/>
      <c r="H11" s="87"/>
      <c r="I11" s="86" t="s">
        <v>96</v>
      </c>
      <c r="J11" s="289">
        <v>2.2438349E-2</v>
      </c>
      <c r="K11" s="84">
        <v>2E-3</v>
      </c>
      <c r="L11" s="385">
        <v>2712</v>
      </c>
      <c r="M11" s="383">
        <v>1</v>
      </c>
      <c r="N11" s="81">
        <f>IF(J11="",D11*M11,D11*J11*K11*L11*M11)</f>
        <v>0.51116354089920002</v>
      </c>
      <c r="O11" s="59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0" t="s">
        <v>0</v>
      </c>
      <c r="N12" s="47">
        <f>SUM(N11:N11)</f>
        <v>0.51116354089920002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79" t="s">
        <v>11</v>
      </c>
      <c r="B14" s="78" t="s">
        <v>55</v>
      </c>
      <c r="C14" s="78" t="s">
        <v>9</v>
      </c>
      <c r="D14" s="78" t="s">
        <v>8</v>
      </c>
      <c r="E14" s="78" t="s">
        <v>7</v>
      </c>
      <c r="F14" s="78" t="s">
        <v>6</v>
      </c>
      <c r="G14" s="78" t="s">
        <v>54</v>
      </c>
      <c r="H14" s="78" t="s">
        <v>53</v>
      </c>
      <c r="I14" s="78" t="s">
        <v>0</v>
      </c>
      <c r="J14" s="7"/>
      <c r="K14" s="7"/>
      <c r="L14" s="7"/>
      <c r="M14" s="7"/>
      <c r="N14" s="7"/>
      <c r="O14" s="6"/>
    </row>
    <row r="15" spans="1:15" s="30" customFormat="1" ht="30" x14ac:dyDescent="0.25">
      <c r="A15" s="77">
        <v>10</v>
      </c>
      <c r="B15" s="76" t="s">
        <v>95</v>
      </c>
      <c r="C15" s="75"/>
      <c r="D15" s="98">
        <v>1.3</v>
      </c>
      <c r="E15" s="92" t="s">
        <v>94</v>
      </c>
      <c r="F15" s="211">
        <v>1</v>
      </c>
      <c r="G15" s="99" t="s">
        <v>106</v>
      </c>
      <c r="H15" s="99">
        <v>0.5</v>
      </c>
      <c r="I15" s="98">
        <f>IF(H15="",D15*F15,D15*F15*H15)</f>
        <v>0.65</v>
      </c>
      <c r="J15" s="52"/>
      <c r="K15" s="52"/>
      <c r="L15" s="52"/>
      <c r="M15" s="52"/>
      <c r="N15" s="52"/>
      <c r="O15" s="31"/>
    </row>
    <row r="16" spans="1:15" x14ac:dyDescent="0.25">
      <c r="A16" s="94">
        <v>20</v>
      </c>
      <c r="B16" s="95" t="s">
        <v>93</v>
      </c>
      <c r="C16" s="94"/>
      <c r="D16" s="81">
        <v>0.01</v>
      </c>
      <c r="E16" s="94" t="s">
        <v>49</v>
      </c>
      <c r="F16" s="102">
        <v>98.79</v>
      </c>
      <c r="G16" s="92" t="s">
        <v>92</v>
      </c>
      <c r="H16" s="91">
        <v>1</v>
      </c>
      <c r="I16" s="81">
        <f>IF(H16="",D16*F16,D16*F16*H16)</f>
        <v>0.98790000000000011</v>
      </c>
      <c r="J16" s="2"/>
      <c r="K16" s="2"/>
      <c r="L16" s="2"/>
      <c r="M16" s="2"/>
      <c r="N16" s="2"/>
      <c r="O16" s="6"/>
    </row>
    <row r="17" spans="1:15" x14ac:dyDescent="0.25">
      <c r="A17" s="10"/>
      <c r="B17" s="7"/>
      <c r="C17" s="7"/>
      <c r="D17" s="7"/>
      <c r="E17" s="7"/>
      <c r="F17" s="7"/>
      <c r="G17" s="7"/>
      <c r="H17" s="48" t="s">
        <v>0</v>
      </c>
      <c r="I17" s="47">
        <f>SUM(I15:I16)</f>
        <v>1.6379000000000001</v>
      </c>
      <c r="J17" s="7"/>
      <c r="K17" s="7"/>
      <c r="L17" s="7"/>
      <c r="M17" s="7"/>
      <c r="N17" s="7"/>
      <c r="O17" s="6"/>
    </row>
    <row r="18" spans="1:15" ht="15.75" thickBot="1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"/>
    </row>
  </sheetData>
  <hyperlinks>
    <hyperlink ref="B4" location="MS_A0100" display="MS_A0100" xr:uid="{00000000-0004-0000-0A00-000000000000}"/>
    <hyperlink ref="E3" location="'dMS 01005'!A1" display="Drawing" xr:uid="{00000000-0004-0000-0A00-000001000000}"/>
    <hyperlink ref="G2" location="MS_0100_005_BOM" display="Back to BOM" xr:uid="{00000000-0004-0000-0A00-000002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B1"/>
  <sheetViews>
    <sheetView workbookViewId="0"/>
  </sheetViews>
  <sheetFormatPr baseColWidth="10" defaultRowHeight="15" x14ac:dyDescent="0.25"/>
  <cols>
    <col min="1" max="16384" width="11.42578125" style="1"/>
  </cols>
  <sheetData>
    <row r="1" spans="1:2" x14ac:dyDescent="0.25">
      <c r="A1" s="1" t="s">
        <v>105</v>
      </c>
      <c r="B1" s="73" t="str">
        <f>MS_0100_005</f>
        <v>MS 01005</v>
      </c>
    </row>
  </sheetData>
  <hyperlinks>
    <hyperlink ref="B1" location="MS_0100_005" display="MS_0100_005" xr:uid="{00000000-0004-0000-0B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O18"/>
  <sheetViews>
    <sheetView workbookViewId="0">
      <selection activeCell="G2" sqref="G2"/>
    </sheetView>
  </sheetViews>
  <sheetFormatPr baseColWidth="10" defaultColWidth="9.140625" defaultRowHeight="15" x14ac:dyDescent="0.25"/>
  <cols>
    <col min="1" max="1" width="10.28515625" style="1" bestFit="1" customWidth="1"/>
    <col min="2" max="2" width="31.28515625" style="1" bestFit="1" customWidth="1"/>
    <col min="3" max="3" width="4.42578125" style="1" bestFit="1" customWidth="1"/>
    <col min="4" max="4" width="8.85546875" style="1" bestFit="1" customWidth="1"/>
    <col min="5" max="5" width="8.28515625" style="1" bestFit="1" customWidth="1"/>
    <col min="6" max="6" width="8.7109375" style="1" bestFit="1" customWidth="1"/>
    <col min="7" max="7" width="31" style="1" bestFit="1" customWidth="1"/>
    <col min="8" max="8" width="9.7109375" style="1" bestFit="1" customWidth="1"/>
    <col min="9" max="9" width="11.28515625" style="1" bestFit="1" customWidth="1"/>
    <col min="10" max="10" width="8.85546875" style="1" bestFit="1" customWidth="1"/>
    <col min="11" max="11" width="7" style="1" bestFit="1" customWidth="1"/>
    <col min="12" max="12" width="7.7109375" style="1" bestFit="1" customWidth="1"/>
    <col min="13" max="13" width="13.7109375" style="1" bestFit="1" customWidth="1"/>
    <col min="14" max="14" width="9.140625" style="1"/>
    <col min="15" max="15" width="3.140625" style="1" customWidth="1"/>
    <col min="16" max="16384" width="9.140625" style="1"/>
  </cols>
  <sheetData>
    <row r="1" spans="1:15" x14ac:dyDescent="0.25">
      <c r="A1" s="46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</row>
    <row r="2" spans="1:15" x14ac:dyDescent="0.25">
      <c r="A2" s="69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MS_0100_006_m+MS_0100_006_p</f>
        <v>4.0756338985599996</v>
      </c>
      <c r="O2" s="6"/>
    </row>
    <row r="3" spans="1:15" x14ac:dyDescent="0.25">
      <c r="A3" s="69" t="s">
        <v>84</v>
      </c>
      <c r="B3" s="38" t="str">
        <f>'MS A0100'!B3</f>
        <v>Miscellaneous, Finish &amp; Assembly</v>
      </c>
      <c r="C3" s="2"/>
      <c r="D3" s="69" t="s">
        <v>80</v>
      </c>
      <c r="E3" s="73" t="s">
        <v>100</v>
      </c>
      <c r="F3" s="2"/>
      <c r="G3" s="2"/>
      <c r="H3" s="2"/>
      <c r="I3" s="2"/>
      <c r="J3" s="2"/>
      <c r="K3" s="2"/>
      <c r="L3" s="2"/>
      <c r="M3" s="69" t="s">
        <v>83</v>
      </c>
      <c r="N3" s="41">
        <v>2</v>
      </c>
      <c r="O3" s="6"/>
    </row>
    <row r="4" spans="1:15" x14ac:dyDescent="0.25">
      <c r="A4" s="69" t="s">
        <v>82</v>
      </c>
      <c r="B4" s="72" t="str">
        <f>'MS A0100'!B4</f>
        <v>Firewall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6"/>
    </row>
    <row r="5" spans="1:15" x14ac:dyDescent="0.25">
      <c r="A5" s="69" t="s">
        <v>71</v>
      </c>
      <c r="B5" s="40" t="s">
        <v>64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8.1512677971199992</v>
      </c>
      <c r="O5" s="6"/>
    </row>
    <row r="6" spans="1:15" x14ac:dyDescent="0.25">
      <c r="A6" s="69" t="s">
        <v>79</v>
      </c>
      <c r="B6" s="71" t="s">
        <v>240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6"/>
    </row>
    <row r="7" spans="1:15" x14ac:dyDescent="0.25">
      <c r="A7" s="69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69" t="s">
        <v>73</v>
      </c>
      <c r="B8" s="38" t="s">
        <v>110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68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66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6"/>
    </row>
    <row r="11" spans="1:15" s="58" customFormat="1" x14ac:dyDescent="0.25">
      <c r="A11" s="90">
        <v>10</v>
      </c>
      <c r="B11" s="89" t="s">
        <v>98</v>
      </c>
      <c r="C11" s="88"/>
      <c r="D11" s="81">
        <v>4.2</v>
      </c>
      <c r="E11" s="292">
        <f>J11*K11*L11</f>
        <v>0.47292235679999994</v>
      </c>
      <c r="F11" s="88" t="s">
        <v>97</v>
      </c>
      <c r="G11" s="88"/>
      <c r="H11" s="87"/>
      <c r="I11" s="86" t="s">
        <v>109</v>
      </c>
      <c r="J11" s="289">
        <v>8.7190699999999996E-2</v>
      </c>
      <c r="K11" s="84">
        <v>2E-3</v>
      </c>
      <c r="L11" s="385">
        <v>2712</v>
      </c>
      <c r="M11" s="383">
        <v>1</v>
      </c>
      <c r="N11" s="81">
        <f>IF(J11="",D11*M11,D11*J11*K11*L11*M11)</f>
        <v>1.9862738985599999</v>
      </c>
      <c r="O11" s="59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0" t="s">
        <v>0</v>
      </c>
      <c r="N12" s="47">
        <f>SUM(N11:N11)</f>
        <v>1.9862738985599999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79" t="s">
        <v>11</v>
      </c>
      <c r="B14" s="78" t="s">
        <v>55</v>
      </c>
      <c r="C14" s="78" t="s">
        <v>9</v>
      </c>
      <c r="D14" s="78" t="s">
        <v>8</v>
      </c>
      <c r="E14" s="78" t="s">
        <v>7</v>
      </c>
      <c r="F14" s="78" t="s">
        <v>6</v>
      </c>
      <c r="G14" s="78" t="s">
        <v>54</v>
      </c>
      <c r="H14" s="78" t="s">
        <v>53</v>
      </c>
      <c r="I14" s="78" t="s">
        <v>0</v>
      </c>
      <c r="J14" s="7"/>
      <c r="K14" s="7"/>
      <c r="L14" s="7"/>
      <c r="M14" s="7"/>
      <c r="N14" s="7"/>
      <c r="O14" s="6"/>
    </row>
    <row r="15" spans="1:15" s="30" customFormat="1" ht="30" x14ac:dyDescent="0.25">
      <c r="A15" s="99">
        <v>10</v>
      </c>
      <c r="B15" s="95" t="s">
        <v>95</v>
      </c>
      <c r="C15" s="99"/>
      <c r="D15" s="98">
        <v>1.3</v>
      </c>
      <c r="E15" s="92" t="s">
        <v>94</v>
      </c>
      <c r="F15" s="211">
        <v>1</v>
      </c>
      <c r="G15" s="99" t="s">
        <v>106</v>
      </c>
      <c r="H15" s="99">
        <v>0.5</v>
      </c>
      <c r="I15" s="98">
        <f>IF(H15="",D15*F15,D15*F15*H15)</f>
        <v>0.65</v>
      </c>
      <c r="J15" s="52"/>
      <c r="K15" s="52"/>
      <c r="L15" s="52"/>
      <c r="M15" s="52"/>
      <c r="N15" s="52"/>
      <c r="O15" s="31"/>
    </row>
    <row r="16" spans="1:15" x14ac:dyDescent="0.25">
      <c r="A16" s="94">
        <v>20</v>
      </c>
      <c r="B16" s="95" t="s">
        <v>93</v>
      </c>
      <c r="C16" s="94"/>
      <c r="D16" s="81">
        <v>0.01</v>
      </c>
      <c r="E16" s="94" t="s">
        <v>49</v>
      </c>
      <c r="F16" s="102">
        <v>143.93600000000001</v>
      </c>
      <c r="G16" s="92" t="s">
        <v>92</v>
      </c>
      <c r="H16" s="91">
        <v>1</v>
      </c>
      <c r="I16" s="81">
        <f>IF(H16="",D16*F16,D16*F16*H16)</f>
        <v>1.4393600000000002</v>
      </c>
      <c r="J16" s="2"/>
      <c r="K16" s="2"/>
      <c r="L16" s="2"/>
      <c r="M16" s="2"/>
      <c r="N16" s="2"/>
      <c r="O16" s="6"/>
    </row>
    <row r="17" spans="1:15" x14ac:dyDescent="0.25">
      <c r="A17" s="10"/>
      <c r="B17" s="7"/>
      <c r="C17" s="7"/>
      <c r="D17" s="7"/>
      <c r="E17" s="7"/>
      <c r="F17" s="7"/>
      <c r="G17" s="7"/>
      <c r="H17" s="48" t="s">
        <v>0</v>
      </c>
      <c r="I17" s="47">
        <f>SUM(I15:I16)</f>
        <v>2.0893600000000001</v>
      </c>
      <c r="J17" s="7"/>
      <c r="K17" s="7"/>
      <c r="L17" s="7"/>
      <c r="M17" s="7"/>
      <c r="N17" s="7"/>
      <c r="O17" s="6"/>
    </row>
    <row r="18" spans="1:15" ht="15.75" thickBot="1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"/>
    </row>
  </sheetData>
  <hyperlinks>
    <hyperlink ref="B4" location="MS_A0100" display="MS_A0100" xr:uid="{00000000-0004-0000-0C00-000000000000}"/>
    <hyperlink ref="E3" location="'dMS 01006'!A1" display="Drawing" xr:uid="{00000000-0004-0000-0C00-000001000000}"/>
    <hyperlink ref="G2" location="MS_0100_006_BOM" display="Back to BOM" xr:uid="{00000000-0004-0000-0C00-000002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B1"/>
  <sheetViews>
    <sheetView workbookViewId="0"/>
  </sheetViews>
  <sheetFormatPr baseColWidth="10" defaultRowHeight="15" x14ac:dyDescent="0.25"/>
  <cols>
    <col min="1" max="16384" width="11.42578125" style="1"/>
  </cols>
  <sheetData>
    <row r="1" spans="1:2" x14ac:dyDescent="0.25">
      <c r="A1" s="1" t="s">
        <v>105</v>
      </c>
      <c r="B1" s="73" t="str">
        <f>MS_0100_006</f>
        <v>MS 01006</v>
      </c>
    </row>
  </sheetData>
  <hyperlinks>
    <hyperlink ref="B1" location="MS_0100_006" display="MS_0100_006" xr:uid="{00000000-0004-0000-0D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O18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10.28515625" style="1" bestFit="1" customWidth="1"/>
    <col min="2" max="2" width="31.28515625" style="1" bestFit="1" customWidth="1"/>
    <col min="3" max="3" width="4.42578125" style="1" bestFit="1" customWidth="1"/>
    <col min="4" max="4" width="8.85546875" style="1" bestFit="1" customWidth="1"/>
    <col min="5" max="5" width="8.28515625" style="1" bestFit="1" customWidth="1"/>
    <col min="6" max="6" width="8.7109375" style="1" bestFit="1" customWidth="1"/>
    <col min="7" max="7" width="31" style="1" bestFit="1" customWidth="1"/>
    <col min="8" max="8" width="9.7109375" style="1" bestFit="1" customWidth="1"/>
    <col min="9" max="9" width="11.5703125" style="1" bestFit="1" customWidth="1"/>
    <col min="10" max="10" width="8.85546875" style="1" bestFit="1" customWidth="1"/>
    <col min="11" max="11" width="8" style="1" bestFit="1" customWidth="1"/>
    <col min="12" max="12" width="7.7109375" style="1" bestFit="1" customWidth="1"/>
    <col min="13" max="13" width="13.7109375" style="1" bestFit="1" customWidth="1"/>
    <col min="14" max="14" width="9.140625" style="1" bestFit="1" customWidth="1"/>
    <col min="15" max="15" width="3.140625" style="1" customWidth="1"/>
    <col min="16" max="16384" width="9.140625" style="1"/>
  </cols>
  <sheetData>
    <row r="1" spans="1:15" x14ac:dyDescent="0.25">
      <c r="A1" s="46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</row>
    <row r="2" spans="1:15" x14ac:dyDescent="0.25">
      <c r="A2" s="69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MS_0100_007_m+MS_0100_007_p</f>
        <v>0.61744426503954442</v>
      </c>
      <c r="O2" s="6"/>
    </row>
    <row r="3" spans="1:15" x14ac:dyDescent="0.25">
      <c r="A3" s="69" t="s">
        <v>84</v>
      </c>
      <c r="B3" s="38" t="str">
        <f>'MS A0100'!B3</f>
        <v>Miscellaneous, Finish &amp; Assembly</v>
      </c>
      <c r="C3" s="2"/>
      <c r="D3" s="69" t="s">
        <v>80</v>
      </c>
      <c r="E3" s="73" t="s">
        <v>100</v>
      </c>
      <c r="F3" s="2"/>
      <c r="G3" s="2"/>
      <c r="H3" s="2"/>
      <c r="I3" s="2"/>
      <c r="J3" s="2"/>
      <c r="K3" s="2"/>
      <c r="L3" s="2"/>
      <c r="M3" s="69" t="s">
        <v>83</v>
      </c>
      <c r="N3" s="41">
        <v>4</v>
      </c>
      <c r="O3" s="6"/>
    </row>
    <row r="4" spans="1:15" x14ac:dyDescent="0.25">
      <c r="A4" s="69" t="s">
        <v>82</v>
      </c>
      <c r="B4" s="72" t="str">
        <f>'MS A0100'!B4</f>
        <v>Firewall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6"/>
    </row>
    <row r="5" spans="1:15" x14ac:dyDescent="0.25">
      <c r="A5" s="69" t="s">
        <v>71</v>
      </c>
      <c r="B5" s="40" t="s">
        <v>63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2.4697770601581777</v>
      </c>
      <c r="O5" s="6"/>
    </row>
    <row r="6" spans="1:15" x14ac:dyDescent="0.25">
      <c r="A6" s="69" t="s">
        <v>79</v>
      </c>
      <c r="B6" s="71" t="s">
        <v>241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6"/>
    </row>
    <row r="7" spans="1:15" x14ac:dyDescent="0.25">
      <c r="A7" s="69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69" t="s">
        <v>73</v>
      </c>
      <c r="B8" s="38" t="s">
        <v>114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68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66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6"/>
    </row>
    <row r="11" spans="1:15" s="58" customFormat="1" x14ac:dyDescent="0.25">
      <c r="A11" s="90">
        <v>10</v>
      </c>
      <c r="B11" s="89" t="s">
        <v>113</v>
      </c>
      <c r="C11" s="88"/>
      <c r="D11" s="81">
        <v>2.25</v>
      </c>
      <c r="E11" s="86">
        <f>J11*K11*L11</f>
        <v>4.375228906464179E-3</v>
      </c>
      <c r="F11" s="88" t="s">
        <v>97</v>
      </c>
      <c r="G11" s="88"/>
      <c r="H11" s="87"/>
      <c r="I11" s="86" t="s">
        <v>96</v>
      </c>
      <c r="J11" s="289">
        <f>0.000343295+PI()*0.003*0.003</f>
        <v>3.7156933388230817E-4</v>
      </c>
      <c r="K11" s="105">
        <v>1.5E-3</v>
      </c>
      <c r="L11" s="385">
        <v>7850</v>
      </c>
      <c r="M11" s="383">
        <v>1</v>
      </c>
      <c r="N11" s="81">
        <f>IF(J11="",D11*M11,D11*J11*K11*L11*M11)</f>
        <v>9.8442650395444021E-3</v>
      </c>
      <c r="O11" s="59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0" t="s">
        <v>0</v>
      </c>
      <c r="N12" s="47">
        <f>SUM(N11:N11)</f>
        <v>9.8442650395444021E-3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79" t="s">
        <v>11</v>
      </c>
      <c r="B14" s="78" t="s">
        <v>55</v>
      </c>
      <c r="C14" s="78" t="s">
        <v>9</v>
      </c>
      <c r="D14" s="78" t="s">
        <v>8</v>
      </c>
      <c r="E14" s="78" t="s">
        <v>7</v>
      </c>
      <c r="F14" s="78" t="s">
        <v>6</v>
      </c>
      <c r="G14" s="78" t="s">
        <v>54</v>
      </c>
      <c r="H14" s="78" t="s">
        <v>53</v>
      </c>
      <c r="I14" s="78" t="s">
        <v>0</v>
      </c>
      <c r="J14" s="7"/>
      <c r="K14" s="7"/>
      <c r="L14" s="7"/>
      <c r="M14" s="7"/>
      <c r="N14" s="7"/>
      <c r="O14" s="6"/>
    </row>
    <row r="15" spans="1:15" s="30" customFormat="1" ht="30" x14ac:dyDescent="0.25">
      <c r="A15" s="77">
        <v>10</v>
      </c>
      <c r="B15" s="76" t="s">
        <v>95</v>
      </c>
      <c r="C15" s="75"/>
      <c r="D15" s="98">
        <v>1.3</v>
      </c>
      <c r="E15" s="92" t="s">
        <v>94</v>
      </c>
      <c r="F15" s="211">
        <v>1</v>
      </c>
      <c r="G15" s="99" t="s">
        <v>112</v>
      </c>
      <c r="H15" s="99">
        <v>0.25</v>
      </c>
      <c r="I15" s="98">
        <f>IF(H15="",D15*F15,D15*F15*H15)</f>
        <v>0.32500000000000001</v>
      </c>
      <c r="J15" s="52"/>
      <c r="K15" s="52"/>
      <c r="L15" s="52"/>
      <c r="M15" s="52"/>
      <c r="N15" s="52"/>
      <c r="O15" s="31"/>
    </row>
    <row r="16" spans="1:15" x14ac:dyDescent="0.25">
      <c r="A16" s="104">
        <v>20</v>
      </c>
      <c r="B16" s="95" t="s">
        <v>93</v>
      </c>
      <c r="C16" s="104"/>
      <c r="D16" s="81">
        <v>0.01</v>
      </c>
      <c r="E16" s="94" t="s">
        <v>49</v>
      </c>
      <c r="F16" s="102">
        <v>9.42</v>
      </c>
      <c r="G16" s="92" t="s">
        <v>111</v>
      </c>
      <c r="H16" s="91">
        <v>3</v>
      </c>
      <c r="I16" s="81">
        <f>IF(H16="",D16*F16,D16*F16*H16)</f>
        <v>0.28260000000000002</v>
      </c>
      <c r="J16" s="2"/>
      <c r="K16" s="2"/>
      <c r="L16" s="2"/>
      <c r="M16" s="2"/>
      <c r="N16" s="2"/>
      <c r="O16" s="6"/>
    </row>
    <row r="17" spans="1:15" x14ac:dyDescent="0.25">
      <c r="A17" s="10"/>
      <c r="B17" s="7"/>
      <c r="C17" s="7"/>
      <c r="D17" s="7"/>
      <c r="E17" s="7"/>
      <c r="F17" s="7"/>
      <c r="G17" s="7"/>
      <c r="H17" s="48" t="s">
        <v>0</v>
      </c>
      <c r="I17" s="47">
        <f>SUM(I15:I16)</f>
        <v>0.60760000000000003</v>
      </c>
      <c r="J17" s="7"/>
      <c r="K17" s="7"/>
      <c r="L17" s="7"/>
      <c r="M17" s="7"/>
      <c r="N17" s="7"/>
      <c r="O17" s="6"/>
    </row>
    <row r="18" spans="1:15" ht="15.75" thickBot="1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"/>
    </row>
  </sheetData>
  <hyperlinks>
    <hyperlink ref="B4" location="MS_A0100" display="MS_A0100" xr:uid="{00000000-0004-0000-0E00-000000000000}"/>
    <hyperlink ref="E3" location="'dMS 01007'!A1" display="Drawing" xr:uid="{00000000-0004-0000-0E00-000001000000}"/>
    <hyperlink ref="G2" location="MS_0100_007_BOM" display="Back to BOM" xr:uid="{00000000-0004-0000-0E00-000002000000}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B1"/>
  <sheetViews>
    <sheetView workbookViewId="0"/>
  </sheetViews>
  <sheetFormatPr baseColWidth="10" defaultRowHeight="15" x14ac:dyDescent="0.25"/>
  <cols>
    <col min="1" max="16384" width="11.42578125" style="1"/>
  </cols>
  <sheetData>
    <row r="1" spans="1:2" x14ac:dyDescent="0.25">
      <c r="A1" s="1" t="s">
        <v>105</v>
      </c>
      <c r="B1" s="73" t="str">
        <f>MS_0100_007</f>
        <v>MS 01007</v>
      </c>
    </row>
  </sheetData>
  <hyperlinks>
    <hyperlink ref="B1" location="MS_0100_007" display="MS_0100_007" xr:uid="{00000000-0004-0000-0F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 tint="0.59999389629810485"/>
  </sheetPr>
  <dimension ref="A1:O18"/>
  <sheetViews>
    <sheetView workbookViewId="0">
      <selection activeCell="C8" sqref="C8"/>
    </sheetView>
  </sheetViews>
  <sheetFormatPr baseColWidth="10" defaultColWidth="9.140625" defaultRowHeight="15" x14ac:dyDescent="0.25"/>
  <cols>
    <col min="1" max="1" width="9.140625" style="1"/>
    <col min="2" max="2" width="33.5703125" style="1" customWidth="1"/>
    <col min="3" max="4" width="9.140625" style="1"/>
    <col min="5" max="5" width="9.140625" style="1" customWidth="1"/>
    <col min="6" max="6" width="9.140625" style="1"/>
    <col min="7" max="7" width="31.85546875" style="1" customWidth="1"/>
    <col min="8" max="8" width="11.42578125" style="1" bestFit="1" customWidth="1"/>
    <col min="9" max="9" width="10.7109375" style="1" bestFit="1" customWidth="1"/>
    <col min="10" max="14" width="9.140625" style="1"/>
    <col min="15" max="15" width="3.140625" style="1" customWidth="1"/>
    <col min="16" max="16384" width="9.140625" style="1"/>
  </cols>
  <sheetData>
    <row r="1" spans="1:15" x14ac:dyDescent="0.25">
      <c r="A1" s="46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</row>
    <row r="2" spans="1:15" x14ac:dyDescent="0.25">
      <c r="A2" s="69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MS_0100_008_m+MS_0100_008_p</f>
        <v>0.37898755354996111</v>
      </c>
      <c r="O2" s="6"/>
    </row>
    <row r="3" spans="1:15" x14ac:dyDescent="0.25">
      <c r="A3" s="69" t="s">
        <v>84</v>
      </c>
      <c r="B3" s="38" t="str">
        <f>'MS A0100'!B3</f>
        <v>Miscellaneous, Finish &amp; Assembly</v>
      </c>
      <c r="C3" s="2"/>
      <c r="D3" s="69" t="s">
        <v>80</v>
      </c>
      <c r="E3" s="73" t="s">
        <v>100</v>
      </c>
      <c r="F3" s="2"/>
      <c r="G3" s="2"/>
      <c r="H3" s="2"/>
      <c r="I3" s="2"/>
      <c r="J3" s="2"/>
      <c r="K3" s="2"/>
      <c r="L3" s="2"/>
      <c r="M3" s="69" t="s">
        <v>83</v>
      </c>
      <c r="N3" s="41">
        <v>24</v>
      </c>
      <c r="O3" s="6"/>
    </row>
    <row r="4" spans="1:15" x14ac:dyDescent="0.25">
      <c r="A4" s="69" t="s">
        <v>82</v>
      </c>
      <c r="B4" s="72" t="str">
        <f>'MS A0100'!B4</f>
        <v>Firewall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6"/>
    </row>
    <row r="5" spans="1:15" x14ac:dyDescent="0.25">
      <c r="A5" s="69" t="s">
        <v>71</v>
      </c>
      <c r="B5" s="40" t="s">
        <v>62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9.0957012851990662</v>
      </c>
      <c r="O5" s="6"/>
    </row>
    <row r="6" spans="1:15" x14ac:dyDescent="0.25">
      <c r="A6" s="69" t="s">
        <v>79</v>
      </c>
      <c r="B6" s="71" t="s">
        <v>242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6"/>
    </row>
    <row r="7" spans="1:15" x14ac:dyDescent="0.25">
      <c r="A7" s="69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69" t="s">
        <v>73</v>
      </c>
      <c r="B8" s="38" t="s">
        <v>116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68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66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6"/>
    </row>
    <row r="11" spans="1:15" s="58" customFormat="1" x14ac:dyDescent="0.25">
      <c r="A11" s="90">
        <v>10</v>
      </c>
      <c r="B11" s="89" t="s">
        <v>113</v>
      </c>
      <c r="C11" s="88"/>
      <c r="D11" s="81">
        <v>2.25</v>
      </c>
      <c r="E11" s="86">
        <f>J11*K11*L11</f>
        <v>5.4315052814641789E-3</v>
      </c>
      <c r="F11" s="88" t="s">
        <v>97</v>
      </c>
      <c r="G11" s="88"/>
      <c r="H11" s="87"/>
      <c r="I11" s="86" t="s">
        <v>96</v>
      </c>
      <c r="J11" s="289">
        <f>0.000433+PI()*0.003*0.003</f>
        <v>4.6127433388230816E-4</v>
      </c>
      <c r="K11" s="105">
        <v>1.5E-3</v>
      </c>
      <c r="L11" s="385">
        <v>7850</v>
      </c>
      <c r="M11" s="383">
        <v>1</v>
      </c>
      <c r="N11" s="81">
        <f>IF(J11="",D11*M11,D11*J11*K11*L11*M11)</f>
        <v>1.22208868832944E-2</v>
      </c>
      <c r="O11" s="59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0" t="s">
        <v>0</v>
      </c>
      <c r="N12" s="47">
        <f>SUM(N11:N11)</f>
        <v>1.22208868832944E-2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79" t="s">
        <v>11</v>
      </c>
      <c r="B14" s="78" t="s">
        <v>55</v>
      </c>
      <c r="C14" s="78" t="s">
        <v>9</v>
      </c>
      <c r="D14" s="78" t="s">
        <v>8</v>
      </c>
      <c r="E14" s="78" t="s">
        <v>7</v>
      </c>
      <c r="F14" s="78" t="s">
        <v>6</v>
      </c>
      <c r="G14" s="78" t="s">
        <v>54</v>
      </c>
      <c r="H14" s="78" t="s">
        <v>53</v>
      </c>
      <c r="I14" s="78" t="s">
        <v>0</v>
      </c>
      <c r="J14" s="7"/>
      <c r="K14" s="7"/>
      <c r="L14" s="7"/>
      <c r="M14" s="7"/>
      <c r="N14" s="7"/>
      <c r="O14" s="6"/>
    </row>
    <row r="15" spans="1:15" s="30" customFormat="1" ht="30" x14ac:dyDescent="0.25">
      <c r="A15" s="77">
        <v>10</v>
      </c>
      <c r="B15" s="76" t="s">
        <v>95</v>
      </c>
      <c r="C15" s="75"/>
      <c r="D15" s="98">
        <v>1.3</v>
      </c>
      <c r="E15" s="92" t="s">
        <v>94</v>
      </c>
      <c r="F15" s="211">
        <v>1</v>
      </c>
      <c r="G15" s="99" t="s">
        <v>115</v>
      </c>
      <c r="H15" s="100">
        <f>1/24</f>
        <v>4.1666666666666664E-2</v>
      </c>
      <c r="I15" s="98">
        <f>IF(H15="",D15*F15,D15*F15*H15)</f>
        <v>5.4166666666666669E-2</v>
      </c>
      <c r="J15" s="52"/>
      <c r="K15" s="52"/>
      <c r="L15" s="52"/>
      <c r="M15" s="52"/>
      <c r="N15" s="52"/>
      <c r="O15" s="31"/>
    </row>
    <row r="16" spans="1:15" x14ac:dyDescent="0.25">
      <c r="A16" s="94">
        <v>20</v>
      </c>
      <c r="B16" s="95" t="s">
        <v>93</v>
      </c>
      <c r="C16" s="94"/>
      <c r="D16" s="81">
        <v>0.01</v>
      </c>
      <c r="E16" s="94" t="s">
        <v>49</v>
      </c>
      <c r="F16" s="102">
        <v>10.42</v>
      </c>
      <c r="G16" s="92" t="s">
        <v>111</v>
      </c>
      <c r="H16" s="91">
        <v>3</v>
      </c>
      <c r="I16" s="81">
        <f>IF(H16="",D16*F16,D16*F16*H16)</f>
        <v>0.31259999999999999</v>
      </c>
      <c r="J16" s="2"/>
      <c r="K16" s="2"/>
      <c r="L16" s="2"/>
      <c r="M16" s="2"/>
      <c r="N16" s="2"/>
      <c r="O16" s="6"/>
    </row>
    <row r="17" spans="1:15" x14ac:dyDescent="0.25">
      <c r="A17" s="10"/>
      <c r="B17" s="7"/>
      <c r="C17" s="7"/>
      <c r="D17" s="7"/>
      <c r="E17" s="7"/>
      <c r="F17" s="7"/>
      <c r="G17" s="7"/>
      <c r="H17" s="48" t="s">
        <v>0</v>
      </c>
      <c r="I17" s="47">
        <f>SUM(I15:I16)</f>
        <v>0.36676666666666669</v>
      </c>
      <c r="J17" s="7"/>
      <c r="K17" s="7"/>
      <c r="L17" s="7"/>
      <c r="M17" s="7"/>
      <c r="N17" s="7"/>
      <c r="O17" s="6"/>
    </row>
    <row r="18" spans="1:15" ht="15.75" thickBot="1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"/>
    </row>
  </sheetData>
  <hyperlinks>
    <hyperlink ref="B4" location="MS_A0100" display="MS_A0100" xr:uid="{00000000-0004-0000-1000-000000000000}"/>
    <hyperlink ref="E3" location="'dMS 01008'!A1" display="Drawing" xr:uid="{00000000-0004-0000-1000-000001000000}"/>
    <hyperlink ref="G2" location="MS_0100_008_BOM" display="Back to BOM" xr:uid="{00000000-0004-0000-1000-000002000000}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7" tint="0.59999389629810485"/>
  </sheetPr>
  <dimension ref="A1:B1"/>
  <sheetViews>
    <sheetView tabSelected="1" workbookViewId="0">
      <selection activeCell="L11" sqref="L11"/>
    </sheetView>
  </sheetViews>
  <sheetFormatPr baseColWidth="10" defaultRowHeight="15" x14ac:dyDescent="0.25"/>
  <cols>
    <col min="1" max="1" width="13.42578125" style="1" customWidth="1"/>
    <col min="2" max="16384" width="11.42578125" style="1"/>
  </cols>
  <sheetData>
    <row r="1" spans="1:2" x14ac:dyDescent="0.25">
      <c r="A1" s="73" t="s">
        <v>105</v>
      </c>
      <c r="B1" s="73" t="str">
        <f>MS_0100_008</f>
        <v>MS 01008</v>
      </c>
    </row>
  </sheetData>
  <hyperlinks>
    <hyperlink ref="B1" location="MS_0100_008!A1" display="FR_0300_007" xr:uid="{00000000-0004-0000-1100-000000000000}"/>
    <hyperlink ref="A1:B1" location="MS_0100_008" display="Drawing Part : " xr:uid="{1D4D1A21-ED37-49AB-A21E-C09D38409FBF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B1A0C7"/>
    <pageSetUpPr fitToPage="1"/>
  </sheetPr>
  <dimension ref="A1:O25"/>
  <sheetViews>
    <sheetView zoomScaleNormal="100" zoomScaleSheetLayoutView="80" workbookViewId="0">
      <selection activeCell="E2" sqref="E2"/>
    </sheetView>
  </sheetViews>
  <sheetFormatPr baseColWidth="10" defaultColWidth="9.140625" defaultRowHeight="15" x14ac:dyDescent="0.25"/>
  <cols>
    <col min="1" max="1" width="10.28515625" style="1" bestFit="1" customWidth="1"/>
    <col min="2" max="2" width="35" style="1" bestFit="1" customWidth="1"/>
    <col min="3" max="3" width="30" style="1" bestFit="1" customWidth="1"/>
    <col min="4" max="4" width="9.140625" style="1"/>
    <col min="5" max="5" width="12" style="1" bestFit="1" customWidth="1"/>
    <col min="6" max="6" width="8.7109375" style="1" bestFit="1" customWidth="1"/>
    <col min="7" max="7" width="10" style="1" bestFit="1" customWidth="1"/>
    <col min="8" max="8" width="9.7109375" style="1" bestFit="1" customWidth="1"/>
    <col min="9" max="10" width="9.140625" style="1"/>
    <col min="11" max="11" width="3" style="1" bestFit="1" customWidth="1"/>
    <col min="12" max="12" width="9.140625" style="1"/>
    <col min="13" max="13" width="13.7109375" style="1" bestFit="1" customWidth="1"/>
    <col min="14" max="14" width="7" style="1" bestFit="1" customWidth="1"/>
    <col min="15" max="15" width="5.28515625" style="1" customWidth="1"/>
    <col min="16" max="16384" width="9.140625" style="1"/>
  </cols>
  <sheetData>
    <row r="1" spans="1:15" x14ac:dyDescent="0.25">
      <c r="A1" s="135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3"/>
    </row>
    <row r="2" spans="1:15" x14ac:dyDescent="0.25">
      <c r="A2" s="214" t="s">
        <v>89</v>
      </c>
      <c r="B2" s="38" t="s">
        <v>88</v>
      </c>
      <c r="C2" s="2"/>
      <c r="D2" s="2"/>
      <c r="E2" s="72" t="s">
        <v>87</v>
      </c>
      <c r="F2" s="2"/>
      <c r="G2" s="2"/>
      <c r="H2" s="2"/>
      <c r="I2" s="2"/>
      <c r="J2" s="13" t="s">
        <v>86</v>
      </c>
      <c r="K2" s="43">
        <v>81</v>
      </c>
      <c r="L2" s="2"/>
      <c r="M2" s="13" t="s">
        <v>85</v>
      </c>
      <c r="N2" s="42">
        <f>MS_A0200_f+MS_A0200_p+MS_A0200_pa</f>
        <v>8.6199999999999992</v>
      </c>
      <c r="O2" s="118"/>
    </row>
    <row r="3" spans="1:15" x14ac:dyDescent="0.25">
      <c r="A3" s="214" t="s">
        <v>84</v>
      </c>
      <c r="B3" s="114" t="s">
        <v>225</v>
      </c>
      <c r="C3" s="2"/>
      <c r="D3" s="2"/>
      <c r="E3" s="2"/>
      <c r="F3" s="2"/>
      <c r="G3" s="2"/>
      <c r="H3" s="2"/>
      <c r="I3" s="2"/>
      <c r="J3" s="2"/>
      <c r="K3" s="2"/>
      <c r="L3" s="2"/>
      <c r="M3" s="13" t="s">
        <v>83</v>
      </c>
      <c r="N3" s="41">
        <v>1</v>
      </c>
      <c r="O3" s="118"/>
    </row>
    <row r="4" spans="1:15" x14ac:dyDescent="0.25">
      <c r="A4" s="214" t="s">
        <v>82</v>
      </c>
      <c r="B4" s="33" t="s">
        <v>125</v>
      </c>
      <c r="C4" s="2"/>
      <c r="D4" s="2"/>
      <c r="E4" s="2"/>
      <c r="F4" s="2"/>
      <c r="G4" s="2"/>
      <c r="H4" s="2"/>
      <c r="I4" s="2"/>
      <c r="J4" s="39" t="s">
        <v>80</v>
      </c>
      <c r="K4" s="2"/>
      <c r="L4" s="2"/>
      <c r="M4" s="2"/>
      <c r="N4" s="2"/>
      <c r="O4" s="118"/>
    </row>
    <row r="5" spans="1:15" x14ac:dyDescent="0.25">
      <c r="A5" s="214" t="s">
        <v>79</v>
      </c>
      <c r="B5" s="40" t="s">
        <v>124</v>
      </c>
      <c r="C5" s="2"/>
      <c r="D5" s="2"/>
      <c r="E5" s="2"/>
      <c r="F5" s="2"/>
      <c r="G5" s="2"/>
      <c r="H5" s="2"/>
      <c r="I5" s="2"/>
      <c r="J5" s="39" t="s">
        <v>78</v>
      </c>
      <c r="K5" s="2"/>
      <c r="L5" s="2"/>
      <c r="M5" s="13" t="s">
        <v>77</v>
      </c>
      <c r="N5" s="11">
        <f>N2*N3</f>
        <v>8.6199999999999992</v>
      </c>
      <c r="O5" s="118"/>
    </row>
    <row r="6" spans="1:15" x14ac:dyDescent="0.25">
      <c r="A6" s="214" t="s">
        <v>76</v>
      </c>
      <c r="B6" s="38" t="s">
        <v>75</v>
      </c>
      <c r="C6" s="2"/>
      <c r="D6" s="2"/>
      <c r="E6" s="2"/>
      <c r="F6" s="2"/>
      <c r="G6" s="2"/>
      <c r="H6" s="2"/>
      <c r="I6" s="2"/>
      <c r="J6" s="39" t="s">
        <v>74</v>
      </c>
      <c r="K6" s="2"/>
      <c r="L6" s="2"/>
      <c r="M6" s="2"/>
      <c r="N6" s="2"/>
      <c r="O6" s="118"/>
    </row>
    <row r="7" spans="1:15" x14ac:dyDescent="0.25">
      <c r="A7" s="214" t="s">
        <v>73</v>
      </c>
      <c r="B7" s="38" t="s">
        <v>123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18"/>
    </row>
    <row r="8" spans="1:15" x14ac:dyDescent="0.25">
      <c r="A8" s="11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18"/>
    </row>
    <row r="9" spans="1:15" x14ac:dyDescent="0.25">
      <c r="A9" s="11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18"/>
    </row>
    <row r="10" spans="1:15" x14ac:dyDescent="0.25">
      <c r="A10" s="215" t="s">
        <v>11</v>
      </c>
      <c r="B10" s="37" t="s">
        <v>71</v>
      </c>
      <c r="C10" s="37" t="s">
        <v>70</v>
      </c>
      <c r="D10" s="37" t="s">
        <v>6</v>
      </c>
      <c r="E10" s="37" t="s">
        <v>0</v>
      </c>
      <c r="F10" s="2"/>
      <c r="G10" s="2"/>
      <c r="H10" s="2"/>
      <c r="I10" s="2"/>
      <c r="J10" s="2"/>
      <c r="K10" s="2"/>
      <c r="L10" s="2"/>
      <c r="M10" s="2"/>
      <c r="N10" s="2"/>
      <c r="O10" s="118"/>
    </row>
    <row r="11" spans="1:15" x14ac:dyDescent="0.25">
      <c r="A11" s="216">
        <v>10</v>
      </c>
      <c r="B11" s="112" t="s">
        <v>122</v>
      </c>
      <c r="C11" s="111">
        <f>'MS 02001'!N2</f>
        <v>3.92</v>
      </c>
      <c r="D11" s="387">
        <f>'MS 02001'!N3</f>
        <v>2</v>
      </c>
      <c r="E11" s="111">
        <f>C11*D11</f>
        <v>7.84</v>
      </c>
      <c r="F11" s="2"/>
      <c r="G11" s="2"/>
      <c r="H11" s="2"/>
      <c r="I11" s="2"/>
      <c r="J11" s="2"/>
      <c r="K11" s="2"/>
      <c r="L11" s="2"/>
      <c r="M11" s="2"/>
      <c r="N11" s="2"/>
      <c r="O11" s="118"/>
    </row>
    <row r="12" spans="1:15" x14ac:dyDescent="0.25">
      <c r="A12" s="119"/>
      <c r="B12" s="2"/>
      <c r="C12" s="2"/>
      <c r="D12" s="9" t="s">
        <v>0</v>
      </c>
      <c r="E12" s="8">
        <f>SUM(E11:E11)</f>
        <v>7.84</v>
      </c>
      <c r="F12" s="2"/>
      <c r="G12" s="2"/>
      <c r="H12" s="2"/>
      <c r="I12" s="2"/>
      <c r="J12" s="2"/>
      <c r="K12" s="2"/>
      <c r="L12" s="2"/>
      <c r="M12" s="2"/>
      <c r="N12" s="2"/>
      <c r="O12" s="118"/>
    </row>
    <row r="13" spans="1:15" x14ac:dyDescent="0.25">
      <c r="A13" s="119"/>
      <c r="B13" s="2"/>
      <c r="C13" s="19"/>
      <c r="D13" s="19"/>
      <c r="E13" s="108"/>
      <c r="F13" s="2"/>
      <c r="G13" s="2"/>
      <c r="H13" s="2"/>
      <c r="I13" s="2"/>
      <c r="J13" s="2"/>
      <c r="K13" s="2"/>
      <c r="L13" s="2"/>
      <c r="M13" s="2"/>
      <c r="N13" s="2"/>
      <c r="O13" s="118"/>
    </row>
    <row r="14" spans="1:15" x14ac:dyDescent="0.25">
      <c r="A14" s="11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18"/>
    </row>
    <row r="15" spans="1:15" s="30" customFormat="1" x14ac:dyDescent="0.25">
      <c r="A15" s="214" t="s">
        <v>11</v>
      </c>
      <c r="B15" s="13" t="s">
        <v>55</v>
      </c>
      <c r="C15" s="13" t="s">
        <v>9</v>
      </c>
      <c r="D15" s="13" t="s">
        <v>8</v>
      </c>
      <c r="E15" s="13" t="s">
        <v>7</v>
      </c>
      <c r="F15" s="13" t="s">
        <v>6</v>
      </c>
      <c r="G15" s="13" t="s">
        <v>54</v>
      </c>
      <c r="H15" s="13" t="s">
        <v>53</v>
      </c>
      <c r="I15" s="13" t="s">
        <v>0</v>
      </c>
      <c r="J15" s="7"/>
      <c r="K15" s="7"/>
      <c r="L15" s="7"/>
      <c r="M15" s="7"/>
      <c r="N15" s="7"/>
      <c r="O15" s="120"/>
    </row>
    <row r="16" spans="1:15" x14ac:dyDescent="0.25">
      <c r="A16" s="217">
        <v>10</v>
      </c>
      <c r="B16" s="12" t="s">
        <v>121</v>
      </c>
      <c r="C16" s="12" t="s">
        <v>120</v>
      </c>
      <c r="D16" s="11">
        <v>0.13</v>
      </c>
      <c r="E16" s="12" t="s">
        <v>94</v>
      </c>
      <c r="F16" s="29">
        <v>2</v>
      </c>
      <c r="G16" s="29"/>
      <c r="H16" s="29"/>
      <c r="I16" s="11">
        <f>IF(H16="",D16*F16,D16*F16*H16)</f>
        <v>0.26</v>
      </c>
      <c r="J16" s="2"/>
      <c r="K16" s="2"/>
      <c r="L16" s="2"/>
      <c r="M16" s="2"/>
      <c r="N16" s="2"/>
      <c r="O16" s="118"/>
    </row>
    <row r="17" spans="1:15" x14ac:dyDescent="0.25">
      <c r="A17" s="217">
        <v>20</v>
      </c>
      <c r="B17" s="12" t="s">
        <v>119</v>
      </c>
      <c r="C17" s="12" t="s">
        <v>117</v>
      </c>
      <c r="D17" s="11">
        <v>0.09</v>
      </c>
      <c r="E17" s="26" t="s">
        <v>94</v>
      </c>
      <c r="F17" s="29">
        <v>4</v>
      </c>
      <c r="G17" s="12"/>
      <c r="H17" s="12"/>
      <c r="I17" s="11">
        <f>IF(H17="",D17*F17,D17*F17*H17)</f>
        <v>0.36</v>
      </c>
      <c r="J17" s="2"/>
      <c r="K17" s="2"/>
      <c r="L17" s="2"/>
      <c r="M17" s="2"/>
      <c r="N17" s="2"/>
      <c r="O17" s="118"/>
    </row>
    <row r="18" spans="1:15" x14ac:dyDescent="0.25">
      <c r="A18" s="123"/>
      <c r="B18" s="7"/>
      <c r="C18" s="7"/>
      <c r="D18" s="7"/>
      <c r="E18" s="7"/>
      <c r="F18" s="7"/>
      <c r="G18" s="7"/>
      <c r="H18" s="16" t="s">
        <v>0</v>
      </c>
      <c r="I18" s="15">
        <f>SUM(I16:I17)</f>
        <v>0.62</v>
      </c>
      <c r="J18" s="2"/>
      <c r="K18" s="2"/>
      <c r="L18" s="2"/>
      <c r="M18" s="2"/>
      <c r="N18" s="2"/>
      <c r="O18" s="118"/>
    </row>
    <row r="19" spans="1:15" x14ac:dyDescent="0.25">
      <c r="A19" s="123"/>
      <c r="B19" s="7"/>
      <c r="C19" s="7"/>
      <c r="D19" s="7"/>
      <c r="E19" s="7"/>
      <c r="F19" s="7"/>
      <c r="G19" s="110"/>
      <c r="H19" s="109"/>
      <c r="I19" s="108"/>
      <c r="J19" s="19"/>
      <c r="K19" s="2"/>
      <c r="L19" s="2"/>
      <c r="M19" s="2"/>
      <c r="N19" s="2"/>
      <c r="O19" s="118"/>
    </row>
    <row r="20" spans="1:15" x14ac:dyDescent="0.25">
      <c r="A20" s="123"/>
      <c r="B20" s="7"/>
      <c r="C20" s="7"/>
      <c r="D20" s="7"/>
      <c r="E20" s="7"/>
      <c r="F20" s="7"/>
      <c r="G20" s="110"/>
      <c r="H20" s="109"/>
      <c r="I20" s="108"/>
      <c r="J20" s="19"/>
      <c r="K20" s="2"/>
      <c r="L20" s="2"/>
      <c r="M20" s="2"/>
      <c r="N20" s="2"/>
      <c r="O20" s="118"/>
    </row>
    <row r="21" spans="1:15" x14ac:dyDescent="0.25">
      <c r="A21" s="214" t="s">
        <v>11</v>
      </c>
      <c r="B21" s="13" t="s">
        <v>21</v>
      </c>
      <c r="C21" s="13" t="s">
        <v>9</v>
      </c>
      <c r="D21" s="13" t="s">
        <v>8</v>
      </c>
      <c r="E21" s="13" t="s">
        <v>20</v>
      </c>
      <c r="F21" s="13" t="s">
        <v>19</v>
      </c>
      <c r="G21" s="13" t="s">
        <v>18</v>
      </c>
      <c r="H21" s="13" t="s">
        <v>17</v>
      </c>
      <c r="I21" s="13" t="s">
        <v>6</v>
      </c>
      <c r="J21" s="13" t="s">
        <v>0</v>
      </c>
      <c r="K21" s="2"/>
      <c r="L21" s="2"/>
      <c r="M21" s="2"/>
      <c r="N21" s="2"/>
      <c r="O21" s="118"/>
    </row>
    <row r="22" spans="1:15" x14ac:dyDescent="0.25">
      <c r="A22" s="217">
        <v>10</v>
      </c>
      <c r="B22" s="12" t="s">
        <v>118</v>
      </c>
      <c r="C22" s="12" t="s">
        <v>117</v>
      </c>
      <c r="D22" s="107">
        <v>0.04</v>
      </c>
      <c r="E22" s="106"/>
      <c r="F22" s="106" t="s">
        <v>94</v>
      </c>
      <c r="G22" s="106"/>
      <c r="H22" s="106"/>
      <c r="I22" s="41">
        <v>4</v>
      </c>
      <c r="J22" s="11">
        <f>IF(I22="",D22*I22,D22*I22)</f>
        <v>0.16</v>
      </c>
      <c r="K22" s="2"/>
      <c r="L22" s="2"/>
      <c r="M22" s="2"/>
      <c r="N22" s="2"/>
      <c r="O22" s="118"/>
    </row>
    <row r="23" spans="1:15" x14ac:dyDescent="0.25">
      <c r="A23" s="123"/>
      <c r="B23" s="7"/>
      <c r="C23" s="7"/>
      <c r="D23" s="7"/>
      <c r="E23" s="7"/>
      <c r="F23" s="7"/>
      <c r="G23" s="7"/>
      <c r="H23" s="7"/>
      <c r="I23" s="16" t="s">
        <v>0</v>
      </c>
      <c r="J23" s="290">
        <f>SUM(J22:J22)</f>
        <v>0.16</v>
      </c>
      <c r="K23" s="2"/>
      <c r="L23" s="2"/>
      <c r="M23" s="2"/>
      <c r="N23" s="2"/>
      <c r="O23" s="118"/>
    </row>
    <row r="24" spans="1:15" ht="15.75" thickBot="1" x14ac:dyDescent="0.3">
      <c r="A24" s="117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5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</sheetData>
  <hyperlinks>
    <hyperlink ref="B11" location="MS_02001" display="Rollbar padding" xr:uid="{00000000-0004-0000-1200-000000000000}"/>
    <hyperlink ref="E2" location="MS_A0200_BOM" display="Back to BOM" xr:uid="{00000000-0004-0000-1200-000001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2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1A0C7"/>
    <pageSetUpPr fitToPage="1"/>
  </sheetPr>
  <dimension ref="A1:O71"/>
  <sheetViews>
    <sheetView topLeftCell="A16" zoomScale="75" zoomScaleNormal="75" zoomScaleSheetLayoutView="80" workbookViewId="0">
      <selection activeCell="H28" sqref="H28"/>
    </sheetView>
  </sheetViews>
  <sheetFormatPr baseColWidth="10" defaultColWidth="9.140625" defaultRowHeight="15" x14ac:dyDescent="0.25"/>
  <cols>
    <col min="1" max="1" width="10.5703125" style="296" bestFit="1" customWidth="1"/>
    <col min="2" max="2" width="39.7109375" style="296" bestFit="1" customWidth="1"/>
    <col min="3" max="3" width="66" style="296" bestFit="1" customWidth="1"/>
    <col min="4" max="4" width="9.85546875" style="296" bestFit="1" customWidth="1"/>
    <col min="5" max="5" width="12.28515625" style="296" bestFit="1" customWidth="1"/>
    <col min="6" max="6" width="9.140625" style="296"/>
    <col min="7" max="7" width="10.42578125" style="296" bestFit="1" customWidth="1"/>
    <col min="8" max="8" width="16.28515625" style="296" bestFit="1" customWidth="1"/>
    <col min="9" max="9" width="11" style="296" bestFit="1" customWidth="1"/>
    <col min="10" max="10" width="9.28515625" style="296" bestFit="1" customWidth="1"/>
    <col min="11" max="11" width="7.42578125" style="296" bestFit="1" customWidth="1"/>
    <col min="12" max="12" width="8" style="296" bestFit="1" customWidth="1"/>
    <col min="13" max="13" width="13.85546875" style="296" bestFit="1" customWidth="1"/>
    <col min="14" max="14" width="9.85546875" style="296" bestFit="1" customWidth="1"/>
    <col min="15" max="15" width="5.28515625" style="296" customWidth="1"/>
    <col min="16" max="16384" width="9.140625" style="296"/>
  </cols>
  <sheetData>
    <row r="1" spans="1:15" x14ac:dyDescent="0.25">
      <c r="A1" s="293"/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5"/>
    </row>
    <row r="2" spans="1:15" x14ac:dyDescent="0.25">
      <c r="A2" s="297" t="s">
        <v>89</v>
      </c>
      <c r="B2" s="298" t="s">
        <v>88</v>
      </c>
      <c r="C2" s="299"/>
      <c r="D2" s="299"/>
      <c r="E2" s="300" t="s">
        <v>87</v>
      </c>
      <c r="F2" s="299"/>
      <c r="G2" s="299"/>
      <c r="H2" s="299"/>
      <c r="I2" s="299"/>
      <c r="J2" s="297" t="s">
        <v>86</v>
      </c>
      <c r="K2" s="301">
        <v>81</v>
      </c>
      <c r="L2" s="299"/>
      <c r="M2" s="297" t="s">
        <v>85</v>
      </c>
      <c r="N2" s="302">
        <f>MS_A0100_pa+MS_A0100_m+MS_A0100_p+MS_A0100_f+MS_A0100_t</f>
        <v>113.7703216610691</v>
      </c>
      <c r="O2" s="303"/>
    </row>
    <row r="3" spans="1:15" x14ac:dyDescent="0.25">
      <c r="A3" s="297" t="s">
        <v>84</v>
      </c>
      <c r="B3" s="304" t="s">
        <v>225</v>
      </c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7" t="s">
        <v>83</v>
      </c>
      <c r="N3" s="305">
        <v>1</v>
      </c>
      <c r="O3" s="303"/>
    </row>
    <row r="4" spans="1:15" x14ac:dyDescent="0.25">
      <c r="A4" s="380" t="s">
        <v>82</v>
      </c>
      <c r="B4" s="299" t="s">
        <v>81</v>
      </c>
      <c r="C4" s="299"/>
      <c r="D4" s="299"/>
      <c r="E4" s="299"/>
      <c r="F4" s="299"/>
      <c r="G4" s="299"/>
      <c r="H4" s="299"/>
      <c r="I4" s="299"/>
      <c r="J4" s="306" t="s">
        <v>80</v>
      </c>
      <c r="K4" s="299"/>
      <c r="L4" s="299"/>
      <c r="M4" s="299"/>
      <c r="N4" s="299"/>
      <c r="O4" s="303"/>
    </row>
    <row r="5" spans="1:15" x14ac:dyDescent="0.25">
      <c r="A5" s="297" t="s">
        <v>79</v>
      </c>
      <c r="B5" s="307" t="s">
        <v>235</v>
      </c>
      <c r="C5" s="299"/>
      <c r="D5" s="299"/>
      <c r="E5" s="299"/>
      <c r="F5" s="299"/>
      <c r="G5" s="299"/>
      <c r="H5" s="299"/>
      <c r="I5" s="299"/>
      <c r="J5" s="306" t="s">
        <v>78</v>
      </c>
      <c r="K5" s="299"/>
      <c r="L5" s="299"/>
      <c r="M5" s="297" t="s">
        <v>77</v>
      </c>
      <c r="N5" s="308">
        <f>N2*N3</f>
        <v>113.7703216610691</v>
      </c>
      <c r="O5" s="303"/>
    </row>
    <row r="6" spans="1:15" x14ac:dyDescent="0.25">
      <c r="A6" s="297" t="s">
        <v>76</v>
      </c>
      <c r="B6" s="298" t="s">
        <v>75</v>
      </c>
      <c r="C6" s="299"/>
      <c r="D6" s="299"/>
      <c r="E6" s="299"/>
      <c r="F6" s="299"/>
      <c r="G6" s="299"/>
      <c r="H6" s="299"/>
      <c r="I6" s="299"/>
      <c r="J6" s="306" t="s">
        <v>74</v>
      </c>
      <c r="K6" s="299"/>
      <c r="L6" s="299"/>
      <c r="M6" s="299"/>
      <c r="N6" s="299"/>
      <c r="O6" s="303"/>
    </row>
    <row r="7" spans="1:15" x14ac:dyDescent="0.25">
      <c r="A7" s="297" t="s">
        <v>73</v>
      </c>
      <c r="B7" s="298" t="s">
        <v>72</v>
      </c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303"/>
    </row>
    <row r="8" spans="1:15" x14ac:dyDescent="0.25">
      <c r="A8" s="309"/>
      <c r="B8" s="299"/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303"/>
    </row>
    <row r="9" spans="1:15" x14ac:dyDescent="0.25">
      <c r="A9" s="310" t="s">
        <v>11</v>
      </c>
      <c r="B9" s="310" t="s">
        <v>71</v>
      </c>
      <c r="C9" s="297" t="s">
        <v>70</v>
      </c>
      <c r="D9" s="297" t="s">
        <v>6</v>
      </c>
      <c r="E9" s="297" t="s">
        <v>0</v>
      </c>
      <c r="F9" s="299"/>
      <c r="G9" s="299"/>
      <c r="H9" s="299"/>
      <c r="I9" s="299"/>
      <c r="J9" s="299"/>
      <c r="K9" s="299"/>
      <c r="L9" s="299"/>
      <c r="M9" s="299"/>
      <c r="N9" s="299"/>
      <c r="O9" s="303"/>
    </row>
    <row r="10" spans="1:15" x14ac:dyDescent="0.25">
      <c r="A10" s="311">
        <v>10</v>
      </c>
      <c r="B10" s="312" t="s">
        <v>69</v>
      </c>
      <c r="C10" s="313">
        <f>'MS 01001'!N2</f>
        <v>9.2651947324861545</v>
      </c>
      <c r="D10" s="314">
        <f>MS_0100_001_q</f>
        <v>1</v>
      </c>
      <c r="E10" s="308">
        <f t="shared" ref="E10:E17" si="0">C10*D10</f>
        <v>9.2651947324861545</v>
      </c>
      <c r="F10" s="299"/>
      <c r="G10" s="299"/>
      <c r="H10" s="299"/>
      <c r="I10" s="299"/>
      <c r="J10" s="299"/>
      <c r="K10" s="299"/>
      <c r="L10" s="299"/>
      <c r="M10" s="299"/>
      <c r="N10" s="299"/>
      <c r="O10" s="303"/>
    </row>
    <row r="11" spans="1:15" x14ac:dyDescent="0.25">
      <c r="A11" s="311">
        <v>20</v>
      </c>
      <c r="B11" s="315" t="s">
        <v>68</v>
      </c>
      <c r="C11" s="313">
        <f>'MS 01002'!N2</f>
        <v>7.5426952828861555</v>
      </c>
      <c r="D11" s="316">
        <f>MS_0100_002_q</f>
        <v>1</v>
      </c>
      <c r="E11" s="308">
        <f t="shared" si="0"/>
        <v>7.5426952828861555</v>
      </c>
      <c r="F11" s="299"/>
      <c r="G11" s="299"/>
      <c r="H11" s="299"/>
      <c r="I11" s="299"/>
      <c r="J11" s="299"/>
      <c r="K11" s="299"/>
      <c r="L11" s="299"/>
      <c r="M11" s="299"/>
      <c r="N11" s="299"/>
      <c r="O11" s="303"/>
    </row>
    <row r="12" spans="1:15" x14ac:dyDescent="0.25">
      <c r="A12" s="311">
        <v>30</v>
      </c>
      <c r="B12" s="315" t="s">
        <v>67</v>
      </c>
      <c r="C12" s="313">
        <f>'MS 01003'!N2</f>
        <v>11.141555750086155</v>
      </c>
      <c r="D12" s="316">
        <f>MS_0100_003_q</f>
        <v>1</v>
      </c>
      <c r="E12" s="308">
        <f t="shared" si="0"/>
        <v>11.141555750086155</v>
      </c>
      <c r="F12" s="299"/>
      <c r="G12" s="299"/>
      <c r="H12" s="299"/>
      <c r="I12" s="299"/>
      <c r="J12" s="299"/>
      <c r="K12" s="299"/>
      <c r="L12" s="299"/>
      <c r="M12" s="299"/>
      <c r="N12" s="299"/>
      <c r="O12" s="317"/>
    </row>
    <row r="13" spans="1:15" x14ac:dyDescent="0.25">
      <c r="A13" s="311">
        <v>40</v>
      </c>
      <c r="B13" s="318" t="s">
        <v>66</v>
      </c>
      <c r="C13" s="313">
        <f>'MS 01004'!N2</f>
        <v>3.1699841066880001</v>
      </c>
      <c r="D13" s="316">
        <f>MS_0100_004_q</f>
        <v>2</v>
      </c>
      <c r="E13" s="308">
        <f t="shared" si="0"/>
        <v>6.3399682133760003</v>
      </c>
      <c r="F13" s="299"/>
      <c r="G13" s="299"/>
      <c r="H13" s="299"/>
      <c r="I13" s="299"/>
      <c r="J13" s="299"/>
      <c r="K13" s="299"/>
      <c r="L13" s="299"/>
      <c r="M13" s="299"/>
      <c r="N13" s="299"/>
      <c r="O13" s="317"/>
    </row>
    <row r="14" spans="1:15" x14ac:dyDescent="0.25">
      <c r="A14" s="311">
        <v>50</v>
      </c>
      <c r="B14" s="318" t="s">
        <v>65</v>
      </c>
      <c r="C14" s="319">
        <f>'MS 01005'!N2</f>
        <v>2.1490635408992</v>
      </c>
      <c r="D14" s="316">
        <f>MS_0100_005_q</f>
        <v>2</v>
      </c>
      <c r="E14" s="308">
        <f t="shared" si="0"/>
        <v>4.2981270817984001</v>
      </c>
      <c r="F14" s="299"/>
      <c r="G14" s="299"/>
      <c r="H14" s="299"/>
      <c r="I14" s="299"/>
      <c r="J14" s="299"/>
      <c r="K14" s="299"/>
      <c r="L14" s="299"/>
      <c r="M14" s="299"/>
      <c r="N14" s="299"/>
      <c r="O14" s="317"/>
    </row>
    <row r="15" spans="1:15" x14ac:dyDescent="0.25">
      <c r="A15" s="311">
        <v>60</v>
      </c>
      <c r="B15" s="320" t="s">
        <v>64</v>
      </c>
      <c r="C15" s="321">
        <f>'MS 01006'!N2</f>
        <v>4.0756338985599996</v>
      </c>
      <c r="D15" s="322">
        <f>MS_0100_006_q</f>
        <v>2</v>
      </c>
      <c r="E15" s="308">
        <f t="shared" si="0"/>
        <v>8.1512677971199992</v>
      </c>
      <c r="F15" s="299"/>
      <c r="G15" s="299"/>
      <c r="H15" s="299"/>
      <c r="I15" s="299"/>
      <c r="J15" s="299"/>
      <c r="K15" s="299"/>
      <c r="L15" s="299"/>
      <c r="M15" s="299"/>
      <c r="N15" s="299"/>
      <c r="O15" s="317"/>
    </row>
    <row r="16" spans="1:15" x14ac:dyDescent="0.25">
      <c r="A16" s="311">
        <v>70</v>
      </c>
      <c r="B16" s="318" t="s">
        <v>63</v>
      </c>
      <c r="C16" s="323">
        <f>'MS 01007'!N2</f>
        <v>0.61744426503954442</v>
      </c>
      <c r="D16" s="316">
        <f>MS_0100_007_q</f>
        <v>4</v>
      </c>
      <c r="E16" s="308">
        <f t="shared" si="0"/>
        <v>2.4697770601581777</v>
      </c>
      <c r="F16" s="299"/>
      <c r="G16" s="299"/>
      <c r="H16" s="299"/>
      <c r="I16" s="299"/>
      <c r="J16" s="299"/>
      <c r="K16" s="299"/>
      <c r="L16" s="299"/>
      <c r="M16" s="299"/>
      <c r="N16" s="299"/>
      <c r="O16" s="317"/>
    </row>
    <row r="17" spans="1:15" x14ac:dyDescent="0.25">
      <c r="A17" s="311">
        <v>80</v>
      </c>
      <c r="B17" s="318" t="s">
        <v>62</v>
      </c>
      <c r="C17" s="313">
        <f>'MS 01008'!N2</f>
        <v>0.37898755354996111</v>
      </c>
      <c r="D17" s="316">
        <f>MS_0100_008_q</f>
        <v>24</v>
      </c>
      <c r="E17" s="308">
        <f t="shared" si="0"/>
        <v>9.0957012851990662</v>
      </c>
      <c r="F17" s="299"/>
      <c r="G17" s="299"/>
      <c r="H17" s="299"/>
      <c r="I17" s="299"/>
      <c r="J17" s="299"/>
      <c r="K17" s="299"/>
      <c r="L17" s="299"/>
      <c r="M17" s="299"/>
      <c r="N17" s="299"/>
      <c r="O17" s="317"/>
    </row>
    <row r="18" spans="1:15" ht="15.75" thickBot="1" x14ac:dyDescent="0.3">
      <c r="A18" s="309"/>
      <c r="B18" s="373"/>
      <c r="C18" s="299"/>
      <c r="D18" s="324" t="s">
        <v>0</v>
      </c>
      <c r="E18" s="325">
        <f>SUM(E10:E17)</f>
        <v>58.304287203110107</v>
      </c>
      <c r="F18" s="299"/>
      <c r="G18" s="299"/>
      <c r="H18" s="299"/>
      <c r="I18" s="299"/>
      <c r="J18" s="299"/>
      <c r="K18" s="299"/>
      <c r="L18" s="299"/>
      <c r="M18" s="299"/>
      <c r="N18" s="299"/>
      <c r="O18" s="303"/>
    </row>
    <row r="19" spans="1:15" x14ac:dyDescent="0.25">
      <c r="A19" s="309"/>
      <c r="B19" s="374"/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303"/>
    </row>
    <row r="20" spans="1:15" x14ac:dyDescent="0.25">
      <c r="A20" s="326" t="s">
        <v>11</v>
      </c>
      <c r="B20" s="326" t="s">
        <v>61</v>
      </c>
      <c r="C20" s="326" t="s">
        <v>9</v>
      </c>
      <c r="D20" s="327" t="s">
        <v>8</v>
      </c>
      <c r="E20" s="297" t="s">
        <v>20</v>
      </c>
      <c r="F20" s="297" t="s">
        <v>19</v>
      </c>
      <c r="G20" s="297" t="s">
        <v>18</v>
      </c>
      <c r="H20" s="297" t="s">
        <v>17</v>
      </c>
      <c r="I20" s="297" t="s">
        <v>60</v>
      </c>
      <c r="J20" s="297" t="s">
        <v>59</v>
      </c>
      <c r="K20" s="297" t="s">
        <v>58</v>
      </c>
      <c r="L20" s="297" t="s">
        <v>57</v>
      </c>
      <c r="M20" s="297" t="s">
        <v>6</v>
      </c>
      <c r="N20" s="297" t="s">
        <v>0</v>
      </c>
      <c r="O20" s="303"/>
    </row>
    <row r="21" spans="1:15" x14ac:dyDescent="0.25">
      <c r="A21" s="328">
        <v>10</v>
      </c>
      <c r="B21" s="375" t="s">
        <v>56</v>
      </c>
      <c r="C21" s="329" t="s">
        <v>48</v>
      </c>
      <c r="D21" s="330">
        <v>10</v>
      </c>
      <c r="E21" s="331">
        <f>4*0.001022</f>
        <v>4.0879999999999996E-3</v>
      </c>
      <c r="F21" s="328" t="s">
        <v>45</v>
      </c>
      <c r="G21" s="328"/>
      <c r="H21" s="332"/>
      <c r="I21" s="333"/>
      <c r="J21" s="334"/>
      <c r="K21" s="332"/>
      <c r="L21" s="335"/>
      <c r="M21" s="335">
        <f>E21</f>
        <v>4.0879999999999996E-3</v>
      </c>
      <c r="N21" s="336">
        <f>M21*D21</f>
        <v>4.088E-2</v>
      </c>
      <c r="O21" s="303"/>
    </row>
    <row r="22" spans="1:15" x14ac:dyDescent="0.25">
      <c r="A22" s="328">
        <v>20</v>
      </c>
      <c r="B22" s="375" t="s">
        <v>56</v>
      </c>
      <c r="C22" s="328" t="s">
        <v>46</v>
      </c>
      <c r="D22" s="330">
        <v>10</v>
      </c>
      <c r="E22" s="337">
        <f>24*0.001022</f>
        <v>2.4527999999999998E-2</v>
      </c>
      <c r="F22" s="328" t="s">
        <v>45</v>
      </c>
      <c r="G22" s="328"/>
      <c r="H22" s="332"/>
      <c r="I22" s="333"/>
      <c r="J22" s="334"/>
      <c r="K22" s="332"/>
      <c r="L22" s="335"/>
      <c r="M22" s="338">
        <f>E22</f>
        <v>2.4527999999999998E-2</v>
      </c>
      <c r="N22" s="336">
        <f>M22*D22</f>
        <v>0.24527999999999997</v>
      </c>
      <c r="O22" s="303"/>
    </row>
    <row r="23" spans="1:15" x14ac:dyDescent="0.25">
      <c r="A23" s="311">
        <v>30</v>
      </c>
      <c r="B23" s="376" t="s">
        <v>24</v>
      </c>
      <c r="C23" s="311" t="s">
        <v>226</v>
      </c>
      <c r="D23" s="339">
        <v>0</v>
      </c>
      <c r="E23" s="340">
        <v>5</v>
      </c>
      <c r="F23" s="311" t="s">
        <v>22</v>
      </c>
      <c r="G23" s="311"/>
      <c r="H23" s="341"/>
      <c r="I23" s="342"/>
      <c r="J23" s="343"/>
      <c r="K23" s="341"/>
      <c r="L23" s="344"/>
      <c r="M23" s="342">
        <v>5</v>
      </c>
      <c r="N23" s="339">
        <f>M23*D23</f>
        <v>0</v>
      </c>
      <c r="O23" s="303"/>
    </row>
    <row r="24" spans="1:15" x14ac:dyDescent="0.25">
      <c r="A24" s="345"/>
      <c r="B24" s="381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7" t="s">
        <v>0</v>
      </c>
      <c r="N24" s="348">
        <f>SUM(N21:N23)</f>
        <v>0.28615999999999997</v>
      </c>
      <c r="O24" s="303"/>
    </row>
    <row r="25" spans="1:15" x14ac:dyDescent="0.25">
      <c r="A25" s="309"/>
      <c r="B25" s="366"/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303"/>
    </row>
    <row r="26" spans="1:15" s="350" customFormat="1" x14ac:dyDescent="0.25">
      <c r="A26" s="297" t="s">
        <v>11</v>
      </c>
      <c r="B26" s="380" t="s">
        <v>55</v>
      </c>
      <c r="C26" s="297" t="s">
        <v>9</v>
      </c>
      <c r="D26" s="297" t="s">
        <v>8</v>
      </c>
      <c r="E26" s="297" t="s">
        <v>7</v>
      </c>
      <c r="F26" s="297" t="s">
        <v>6</v>
      </c>
      <c r="G26" s="297" t="s">
        <v>54</v>
      </c>
      <c r="H26" s="297" t="s">
        <v>53</v>
      </c>
      <c r="I26" s="297" t="s">
        <v>0</v>
      </c>
      <c r="J26" s="346"/>
      <c r="K26" s="346"/>
      <c r="L26" s="346"/>
      <c r="M26" s="346"/>
      <c r="N26" s="346"/>
      <c r="O26" s="349"/>
    </row>
    <row r="27" spans="1:15" x14ac:dyDescent="0.25">
      <c r="A27" s="316">
        <v>10</v>
      </c>
      <c r="B27" s="316" t="s">
        <v>51</v>
      </c>
      <c r="C27" s="316" t="s">
        <v>52</v>
      </c>
      <c r="D27" s="308">
        <v>0.15</v>
      </c>
      <c r="E27" s="316" t="s">
        <v>49</v>
      </c>
      <c r="F27" s="351">
        <f>2*2*4</f>
        <v>16</v>
      </c>
      <c r="G27" s="351"/>
      <c r="H27" s="351"/>
      <c r="I27" s="308">
        <f t="shared" ref="I27:I58" si="1">IF(H27="",D27*F27,D27*F27*H27)</f>
        <v>2.4</v>
      </c>
      <c r="J27" s="299"/>
      <c r="K27" s="299"/>
      <c r="L27" s="299"/>
      <c r="M27" s="299"/>
      <c r="N27" s="299"/>
      <c r="O27" s="303"/>
    </row>
    <row r="28" spans="1:15" x14ac:dyDescent="0.25">
      <c r="A28" s="316">
        <v>20</v>
      </c>
      <c r="B28" s="316" t="s">
        <v>51</v>
      </c>
      <c r="C28" s="316" t="s">
        <v>50</v>
      </c>
      <c r="D28" s="308">
        <v>0.15</v>
      </c>
      <c r="E28" s="316" t="s">
        <v>49</v>
      </c>
      <c r="F28" s="351">
        <f>2*2*24</f>
        <v>96</v>
      </c>
      <c r="G28" s="351"/>
      <c r="H28" s="351"/>
      <c r="I28" s="308">
        <f t="shared" si="1"/>
        <v>14.399999999999999</v>
      </c>
      <c r="J28" s="299"/>
      <c r="K28" s="299"/>
      <c r="L28" s="299"/>
      <c r="M28" s="299"/>
      <c r="N28" s="299"/>
      <c r="O28" s="303"/>
    </row>
    <row r="29" spans="1:15" x14ac:dyDescent="0.25">
      <c r="A29" s="316">
        <v>30</v>
      </c>
      <c r="B29" s="352" t="s">
        <v>47</v>
      </c>
      <c r="C29" s="316" t="s">
        <v>48</v>
      </c>
      <c r="D29" s="308">
        <v>5.25</v>
      </c>
      <c r="E29" s="316" t="s">
        <v>45</v>
      </c>
      <c r="F29" s="353">
        <f>4*0.001022</f>
        <v>4.0879999999999996E-3</v>
      </c>
      <c r="G29" s="351"/>
      <c r="H29" s="351"/>
      <c r="I29" s="308">
        <f t="shared" si="1"/>
        <v>2.1461999999999998E-2</v>
      </c>
      <c r="J29" s="299"/>
      <c r="K29" s="299"/>
      <c r="L29" s="299"/>
      <c r="M29" s="299"/>
      <c r="N29" s="299"/>
      <c r="O29" s="303"/>
    </row>
    <row r="30" spans="1:15" x14ac:dyDescent="0.25">
      <c r="A30" s="316">
        <v>40</v>
      </c>
      <c r="B30" s="352" t="s">
        <v>47</v>
      </c>
      <c r="C30" s="316" t="s">
        <v>46</v>
      </c>
      <c r="D30" s="308">
        <v>5.25</v>
      </c>
      <c r="E30" s="354" t="s">
        <v>45</v>
      </c>
      <c r="F30" s="355">
        <f>24*0.001022</f>
        <v>2.4527999999999998E-2</v>
      </c>
      <c r="G30" s="316"/>
      <c r="H30" s="316"/>
      <c r="I30" s="308">
        <f t="shared" si="1"/>
        <v>0.128772</v>
      </c>
      <c r="J30" s="299"/>
      <c r="K30" s="299"/>
      <c r="L30" s="299"/>
      <c r="M30" s="299"/>
      <c r="N30" s="299"/>
      <c r="O30" s="303"/>
    </row>
    <row r="31" spans="1:15" x14ac:dyDescent="0.25">
      <c r="A31" s="316">
        <v>50</v>
      </c>
      <c r="B31" s="354" t="s">
        <v>28</v>
      </c>
      <c r="C31" s="316" t="s">
        <v>44</v>
      </c>
      <c r="D31" s="308">
        <v>0.06</v>
      </c>
      <c r="E31" s="316" t="s">
        <v>94</v>
      </c>
      <c r="F31" s="351">
        <v>1</v>
      </c>
      <c r="G31" s="316"/>
      <c r="H31" s="316"/>
      <c r="I31" s="308">
        <f t="shared" si="1"/>
        <v>0.06</v>
      </c>
      <c r="J31" s="299"/>
      <c r="K31" s="299"/>
      <c r="L31" s="299"/>
      <c r="M31" s="299"/>
      <c r="N31" s="299"/>
      <c r="O31" s="303"/>
    </row>
    <row r="32" spans="1:15" x14ac:dyDescent="0.25">
      <c r="A32" s="316">
        <v>60</v>
      </c>
      <c r="B32" s="356" t="s">
        <v>228</v>
      </c>
      <c r="C32" s="329" t="s">
        <v>43</v>
      </c>
      <c r="D32" s="336">
        <v>0.5</v>
      </c>
      <c r="E32" s="316" t="s">
        <v>94</v>
      </c>
      <c r="F32" s="357">
        <v>4</v>
      </c>
      <c r="G32" s="329"/>
      <c r="H32" s="329"/>
      <c r="I32" s="336">
        <f t="shared" si="1"/>
        <v>2</v>
      </c>
      <c r="J32" s="299"/>
      <c r="K32" s="299"/>
      <c r="L32" s="299"/>
      <c r="M32" s="299"/>
      <c r="N32" s="299"/>
      <c r="O32" s="303"/>
    </row>
    <row r="33" spans="1:15" x14ac:dyDescent="0.25">
      <c r="A33" s="316">
        <v>70</v>
      </c>
      <c r="B33" s="358" t="s">
        <v>26</v>
      </c>
      <c r="C33" s="311" t="s">
        <v>43</v>
      </c>
      <c r="D33" s="339">
        <v>0.25</v>
      </c>
      <c r="E33" s="316" t="s">
        <v>94</v>
      </c>
      <c r="F33" s="359">
        <v>4</v>
      </c>
      <c r="G33" s="311"/>
      <c r="H33" s="311"/>
      <c r="I33" s="339">
        <f t="shared" si="1"/>
        <v>1</v>
      </c>
      <c r="J33" s="299"/>
      <c r="K33" s="299"/>
      <c r="L33" s="299"/>
      <c r="M33" s="299"/>
      <c r="N33" s="299"/>
      <c r="O33" s="303"/>
    </row>
    <row r="34" spans="1:15" x14ac:dyDescent="0.25">
      <c r="A34" s="316">
        <v>80</v>
      </c>
      <c r="B34" s="354" t="s">
        <v>28</v>
      </c>
      <c r="C34" s="316" t="s">
        <v>42</v>
      </c>
      <c r="D34" s="308">
        <v>0.06</v>
      </c>
      <c r="E34" s="316" t="s">
        <v>94</v>
      </c>
      <c r="F34" s="359">
        <v>1</v>
      </c>
      <c r="G34" s="311"/>
      <c r="H34" s="311"/>
      <c r="I34" s="339">
        <f t="shared" si="1"/>
        <v>0.06</v>
      </c>
      <c r="J34" s="299"/>
      <c r="K34" s="299"/>
      <c r="L34" s="299"/>
      <c r="M34" s="299"/>
      <c r="N34" s="299"/>
      <c r="O34" s="303"/>
    </row>
    <row r="35" spans="1:15" x14ac:dyDescent="0.25">
      <c r="A35" s="316">
        <v>90</v>
      </c>
      <c r="B35" s="356" t="s">
        <v>228</v>
      </c>
      <c r="C35" s="329" t="s">
        <v>41</v>
      </c>
      <c r="D35" s="336">
        <v>0.5</v>
      </c>
      <c r="E35" s="316" t="s">
        <v>94</v>
      </c>
      <c r="F35" s="359">
        <v>4</v>
      </c>
      <c r="G35" s="311"/>
      <c r="H35" s="311"/>
      <c r="I35" s="339">
        <f t="shared" si="1"/>
        <v>2</v>
      </c>
      <c r="J35" s="299"/>
      <c r="K35" s="299"/>
      <c r="L35" s="299"/>
      <c r="M35" s="299"/>
      <c r="N35" s="299"/>
      <c r="O35" s="303"/>
    </row>
    <row r="36" spans="1:15" x14ac:dyDescent="0.25">
      <c r="A36" s="316">
        <v>100</v>
      </c>
      <c r="B36" s="358" t="s">
        <v>26</v>
      </c>
      <c r="C36" s="311" t="s">
        <v>41</v>
      </c>
      <c r="D36" s="339">
        <v>0.25</v>
      </c>
      <c r="E36" s="316" t="s">
        <v>94</v>
      </c>
      <c r="F36" s="359">
        <v>4</v>
      </c>
      <c r="G36" s="311"/>
      <c r="H36" s="311"/>
      <c r="I36" s="339">
        <f t="shared" si="1"/>
        <v>1</v>
      </c>
      <c r="J36" s="299"/>
      <c r="K36" s="299"/>
      <c r="L36" s="299"/>
      <c r="M36" s="299"/>
      <c r="N36" s="299"/>
      <c r="O36" s="303"/>
    </row>
    <row r="37" spans="1:15" x14ac:dyDescent="0.25">
      <c r="A37" s="316">
        <v>110</v>
      </c>
      <c r="B37" s="354" t="s">
        <v>227</v>
      </c>
      <c r="C37" s="316" t="s">
        <v>40</v>
      </c>
      <c r="D37" s="308">
        <v>0.19</v>
      </c>
      <c r="E37" s="316" t="s">
        <v>94</v>
      </c>
      <c r="F37" s="359">
        <v>1</v>
      </c>
      <c r="G37" s="311"/>
      <c r="H37" s="311"/>
      <c r="I37" s="339">
        <f t="shared" si="1"/>
        <v>0.19</v>
      </c>
      <c r="J37" s="299"/>
      <c r="K37" s="299"/>
      <c r="L37" s="299"/>
      <c r="M37" s="299"/>
      <c r="N37" s="299"/>
      <c r="O37" s="303"/>
    </row>
    <row r="38" spans="1:15" x14ac:dyDescent="0.25">
      <c r="A38" s="316">
        <v>120</v>
      </c>
      <c r="B38" s="356" t="s">
        <v>228</v>
      </c>
      <c r="C38" s="329" t="s">
        <v>39</v>
      </c>
      <c r="D38" s="336">
        <v>0.5</v>
      </c>
      <c r="E38" s="316" t="s">
        <v>94</v>
      </c>
      <c r="F38" s="359">
        <v>4</v>
      </c>
      <c r="G38" s="311"/>
      <c r="H38" s="311"/>
      <c r="I38" s="339">
        <f t="shared" si="1"/>
        <v>2</v>
      </c>
      <c r="J38" s="299"/>
      <c r="K38" s="299"/>
      <c r="L38" s="299"/>
      <c r="M38" s="299"/>
      <c r="N38" s="299"/>
      <c r="O38" s="303"/>
    </row>
    <row r="39" spans="1:15" x14ac:dyDescent="0.25">
      <c r="A39" s="316">
        <v>130</v>
      </c>
      <c r="B39" s="358" t="s">
        <v>26</v>
      </c>
      <c r="C39" s="311" t="s">
        <v>39</v>
      </c>
      <c r="D39" s="339">
        <v>0.25</v>
      </c>
      <c r="E39" s="316" t="s">
        <v>94</v>
      </c>
      <c r="F39" s="359">
        <v>4</v>
      </c>
      <c r="G39" s="311"/>
      <c r="H39" s="311"/>
      <c r="I39" s="339">
        <f t="shared" si="1"/>
        <v>1</v>
      </c>
      <c r="J39" s="299"/>
      <c r="K39" s="299"/>
      <c r="L39" s="299"/>
      <c r="M39" s="299"/>
      <c r="N39" s="299"/>
      <c r="O39" s="303"/>
    </row>
    <row r="40" spans="1:15" x14ac:dyDescent="0.25">
      <c r="A40" s="316">
        <v>140</v>
      </c>
      <c r="B40" s="354" t="s">
        <v>28</v>
      </c>
      <c r="C40" s="316" t="s">
        <v>38</v>
      </c>
      <c r="D40" s="308">
        <v>0.06</v>
      </c>
      <c r="E40" s="316" t="s">
        <v>94</v>
      </c>
      <c r="F40" s="359">
        <v>1</v>
      </c>
      <c r="G40" s="311"/>
      <c r="H40" s="311"/>
      <c r="I40" s="339">
        <f t="shared" si="1"/>
        <v>0.06</v>
      </c>
      <c r="J40" s="299"/>
      <c r="K40" s="299"/>
      <c r="L40" s="299"/>
      <c r="M40" s="299"/>
      <c r="N40" s="299"/>
      <c r="O40" s="303"/>
    </row>
    <row r="41" spans="1:15" x14ac:dyDescent="0.25">
      <c r="A41" s="316">
        <v>150</v>
      </c>
      <c r="B41" s="356" t="s">
        <v>228</v>
      </c>
      <c r="C41" s="329" t="s">
        <v>37</v>
      </c>
      <c r="D41" s="336">
        <v>0.5</v>
      </c>
      <c r="E41" s="316" t="s">
        <v>94</v>
      </c>
      <c r="F41" s="359">
        <v>3</v>
      </c>
      <c r="G41" s="311"/>
      <c r="H41" s="311"/>
      <c r="I41" s="339">
        <f t="shared" si="1"/>
        <v>1.5</v>
      </c>
      <c r="J41" s="299"/>
      <c r="K41" s="299"/>
      <c r="L41" s="299"/>
      <c r="M41" s="299"/>
      <c r="N41" s="299"/>
      <c r="O41" s="303"/>
    </row>
    <row r="42" spans="1:15" x14ac:dyDescent="0.25">
      <c r="A42" s="316">
        <v>160</v>
      </c>
      <c r="B42" s="358" t="s">
        <v>26</v>
      </c>
      <c r="C42" s="311" t="s">
        <v>37</v>
      </c>
      <c r="D42" s="339">
        <v>0.25</v>
      </c>
      <c r="E42" s="316" t="s">
        <v>94</v>
      </c>
      <c r="F42" s="359">
        <v>3</v>
      </c>
      <c r="G42" s="311"/>
      <c r="H42" s="311"/>
      <c r="I42" s="339">
        <f t="shared" si="1"/>
        <v>0.75</v>
      </c>
      <c r="J42" s="299"/>
      <c r="K42" s="299"/>
      <c r="L42" s="299"/>
      <c r="M42" s="299"/>
      <c r="N42" s="299"/>
      <c r="O42" s="303"/>
    </row>
    <row r="43" spans="1:15" x14ac:dyDescent="0.25">
      <c r="A43" s="316">
        <v>170</v>
      </c>
      <c r="B43" s="354" t="s">
        <v>28</v>
      </c>
      <c r="C43" s="316" t="s">
        <v>36</v>
      </c>
      <c r="D43" s="308">
        <v>0.06</v>
      </c>
      <c r="E43" s="316" t="s">
        <v>94</v>
      </c>
      <c r="F43" s="359">
        <v>1</v>
      </c>
      <c r="G43" s="311"/>
      <c r="H43" s="311"/>
      <c r="I43" s="339">
        <f t="shared" si="1"/>
        <v>0.06</v>
      </c>
      <c r="J43" s="299"/>
      <c r="K43" s="299"/>
      <c r="L43" s="299"/>
      <c r="M43" s="299"/>
      <c r="N43" s="299"/>
      <c r="O43" s="303"/>
    </row>
    <row r="44" spans="1:15" x14ac:dyDescent="0.25">
      <c r="A44" s="316">
        <v>180</v>
      </c>
      <c r="B44" s="356" t="s">
        <v>228</v>
      </c>
      <c r="C44" s="329" t="s">
        <v>35</v>
      </c>
      <c r="D44" s="336">
        <v>0.5</v>
      </c>
      <c r="E44" s="316" t="s">
        <v>94</v>
      </c>
      <c r="F44" s="359">
        <v>2</v>
      </c>
      <c r="G44" s="311"/>
      <c r="H44" s="311"/>
      <c r="I44" s="339">
        <f t="shared" si="1"/>
        <v>1</v>
      </c>
      <c r="J44" s="299"/>
      <c r="K44" s="299"/>
      <c r="L44" s="299"/>
      <c r="M44" s="299"/>
      <c r="N44" s="299"/>
      <c r="O44" s="303"/>
    </row>
    <row r="45" spans="1:15" x14ac:dyDescent="0.25">
      <c r="A45" s="316">
        <v>190</v>
      </c>
      <c r="B45" s="358" t="s">
        <v>26</v>
      </c>
      <c r="C45" s="311" t="s">
        <v>35</v>
      </c>
      <c r="D45" s="339">
        <v>0.25</v>
      </c>
      <c r="E45" s="316" t="s">
        <v>94</v>
      </c>
      <c r="F45" s="359">
        <v>2</v>
      </c>
      <c r="G45" s="311"/>
      <c r="H45" s="311"/>
      <c r="I45" s="339">
        <f t="shared" si="1"/>
        <v>0.5</v>
      </c>
      <c r="J45" s="299"/>
      <c r="K45" s="299"/>
      <c r="L45" s="299"/>
      <c r="M45" s="299"/>
      <c r="N45" s="299"/>
      <c r="O45" s="303"/>
    </row>
    <row r="46" spans="1:15" x14ac:dyDescent="0.25">
      <c r="A46" s="316">
        <v>200</v>
      </c>
      <c r="B46" s="354" t="s">
        <v>28</v>
      </c>
      <c r="C46" s="316" t="s">
        <v>34</v>
      </c>
      <c r="D46" s="308">
        <v>0.06</v>
      </c>
      <c r="E46" s="316" t="s">
        <v>94</v>
      </c>
      <c r="F46" s="359">
        <v>1</v>
      </c>
      <c r="G46" s="311"/>
      <c r="H46" s="311"/>
      <c r="I46" s="339">
        <f t="shared" si="1"/>
        <v>0.06</v>
      </c>
      <c r="J46" s="299"/>
      <c r="K46" s="299"/>
      <c r="L46" s="299"/>
      <c r="M46" s="299"/>
      <c r="N46" s="299"/>
      <c r="O46" s="303"/>
    </row>
    <row r="47" spans="1:15" x14ac:dyDescent="0.25">
      <c r="A47" s="316">
        <v>210</v>
      </c>
      <c r="B47" s="356" t="s">
        <v>228</v>
      </c>
      <c r="C47" s="329" t="s">
        <v>33</v>
      </c>
      <c r="D47" s="336">
        <v>0.5</v>
      </c>
      <c r="E47" s="316" t="s">
        <v>94</v>
      </c>
      <c r="F47" s="359">
        <v>3</v>
      </c>
      <c r="G47" s="311"/>
      <c r="H47" s="311"/>
      <c r="I47" s="339">
        <f t="shared" si="1"/>
        <v>1.5</v>
      </c>
      <c r="J47" s="299"/>
      <c r="K47" s="299"/>
      <c r="L47" s="299"/>
      <c r="M47" s="299"/>
      <c r="N47" s="299"/>
      <c r="O47" s="303"/>
    </row>
    <row r="48" spans="1:15" x14ac:dyDescent="0.25">
      <c r="A48" s="316">
        <v>220</v>
      </c>
      <c r="B48" s="360" t="s">
        <v>26</v>
      </c>
      <c r="C48" s="328" t="s">
        <v>33</v>
      </c>
      <c r="D48" s="330">
        <v>0.25</v>
      </c>
      <c r="E48" s="316" t="s">
        <v>94</v>
      </c>
      <c r="F48" s="361">
        <v>3</v>
      </c>
      <c r="G48" s="328"/>
      <c r="H48" s="328"/>
      <c r="I48" s="330">
        <f t="shared" si="1"/>
        <v>0.75</v>
      </c>
      <c r="J48" s="299"/>
      <c r="K48" s="299"/>
      <c r="L48" s="299"/>
      <c r="M48" s="299"/>
      <c r="N48" s="299"/>
      <c r="O48" s="303"/>
    </row>
    <row r="49" spans="1:15" x14ac:dyDescent="0.25">
      <c r="A49" s="316">
        <v>230</v>
      </c>
      <c r="B49" s="354" t="s">
        <v>28</v>
      </c>
      <c r="C49" s="311" t="s">
        <v>32</v>
      </c>
      <c r="D49" s="339">
        <v>0.06</v>
      </c>
      <c r="E49" s="316" t="s">
        <v>94</v>
      </c>
      <c r="F49" s="359">
        <v>1</v>
      </c>
      <c r="G49" s="311"/>
      <c r="H49" s="311"/>
      <c r="I49" s="330">
        <f t="shared" si="1"/>
        <v>0.06</v>
      </c>
      <c r="J49" s="299"/>
      <c r="K49" s="299"/>
      <c r="L49" s="299"/>
      <c r="M49" s="299"/>
      <c r="N49" s="299"/>
      <c r="O49" s="303"/>
    </row>
    <row r="50" spans="1:15" x14ac:dyDescent="0.25">
      <c r="A50" s="316">
        <v>240</v>
      </c>
      <c r="B50" s="356" t="s">
        <v>228</v>
      </c>
      <c r="C50" s="311" t="s">
        <v>31</v>
      </c>
      <c r="D50" s="336">
        <v>0.5</v>
      </c>
      <c r="E50" s="316" t="s">
        <v>94</v>
      </c>
      <c r="F50" s="359">
        <v>3</v>
      </c>
      <c r="G50" s="311"/>
      <c r="H50" s="311"/>
      <c r="I50" s="330">
        <f t="shared" si="1"/>
        <v>1.5</v>
      </c>
      <c r="J50" s="299"/>
      <c r="K50" s="299"/>
      <c r="L50" s="299"/>
      <c r="M50" s="299"/>
      <c r="N50" s="299"/>
      <c r="O50" s="303"/>
    </row>
    <row r="51" spans="1:15" x14ac:dyDescent="0.25">
      <c r="A51" s="316">
        <v>250</v>
      </c>
      <c r="B51" s="358" t="s">
        <v>26</v>
      </c>
      <c r="C51" s="311" t="s">
        <v>31</v>
      </c>
      <c r="D51" s="339">
        <v>0.25</v>
      </c>
      <c r="E51" s="316" t="s">
        <v>94</v>
      </c>
      <c r="F51" s="359">
        <v>3</v>
      </c>
      <c r="G51" s="311"/>
      <c r="H51" s="311"/>
      <c r="I51" s="330">
        <f t="shared" si="1"/>
        <v>0.75</v>
      </c>
      <c r="J51" s="299"/>
      <c r="K51" s="299"/>
      <c r="L51" s="299"/>
      <c r="M51" s="299"/>
      <c r="N51" s="299"/>
      <c r="O51" s="303"/>
    </row>
    <row r="52" spans="1:15" x14ac:dyDescent="0.25">
      <c r="A52" s="316">
        <v>260</v>
      </c>
      <c r="B52" s="354" t="s">
        <v>28</v>
      </c>
      <c r="C52" s="311" t="s">
        <v>30</v>
      </c>
      <c r="D52" s="339">
        <v>0.06</v>
      </c>
      <c r="E52" s="316" t="s">
        <v>94</v>
      </c>
      <c r="F52" s="359">
        <v>1</v>
      </c>
      <c r="G52" s="311"/>
      <c r="H52" s="311"/>
      <c r="I52" s="330">
        <f t="shared" si="1"/>
        <v>0.06</v>
      </c>
      <c r="J52" s="299"/>
      <c r="K52" s="299"/>
      <c r="L52" s="299"/>
      <c r="M52" s="299"/>
      <c r="N52" s="299"/>
      <c r="O52" s="303"/>
    </row>
    <row r="53" spans="1:15" x14ac:dyDescent="0.25">
      <c r="A53" s="316">
        <v>270</v>
      </c>
      <c r="B53" s="356" t="s">
        <v>228</v>
      </c>
      <c r="C53" s="311" t="s">
        <v>29</v>
      </c>
      <c r="D53" s="336">
        <v>0.5</v>
      </c>
      <c r="E53" s="316" t="s">
        <v>94</v>
      </c>
      <c r="F53" s="359">
        <v>2</v>
      </c>
      <c r="G53" s="311"/>
      <c r="H53" s="311"/>
      <c r="I53" s="330">
        <f t="shared" si="1"/>
        <v>1</v>
      </c>
      <c r="J53" s="299"/>
      <c r="K53" s="299"/>
      <c r="L53" s="299"/>
      <c r="M53" s="299"/>
      <c r="N53" s="299"/>
      <c r="O53" s="303"/>
    </row>
    <row r="54" spans="1:15" x14ac:dyDescent="0.25">
      <c r="A54" s="316">
        <v>280</v>
      </c>
      <c r="B54" s="358" t="s">
        <v>26</v>
      </c>
      <c r="C54" s="311" t="s">
        <v>29</v>
      </c>
      <c r="D54" s="339">
        <v>0.25</v>
      </c>
      <c r="E54" s="316" t="s">
        <v>94</v>
      </c>
      <c r="F54" s="359">
        <v>2</v>
      </c>
      <c r="G54" s="311"/>
      <c r="H54" s="311"/>
      <c r="I54" s="330">
        <f t="shared" si="1"/>
        <v>0.5</v>
      </c>
      <c r="J54" s="299"/>
      <c r="K54" s="299"/>
      <c r="L54" s="299"/>
      <c r="M54" s="299"/>
      <c r="N54" s="299"/>
      <c r="O54" s="303"/>
    </row>
    <row r="55" spans="1:15" x14ac:dyDescent="0.25">
      <c r="A55" s="316">
        <v>290</v>
      </c>
      <c r="B55" s="354" t="s">
        <v>28</v>
      </c>
      <c r="C55" s="311" t="s">
        <v>27</v>
      </c>
      <c r="D55" s="339">
        <v>0.06</v>
      </c>
      <c r="E55" s="316" t="s">
        <v>94</v>
      </c>
      <c r="F55" s="359">
        <v>1</v>
      </c>
      <c r="G55" s="311"/>
      <c r="H55" s="311"/>
      <c r="I55" s="330">
        <f t="shared" si="1"/>
        <v>0.06</v>
      </c>
      <c r="J55" s="299"/>
      <c r="K55" s="299"/>
      <c r="L55" s="299"/>
      <c r="M55" s="299"/>
      <c r="N55" s="299"/>
      <c r="O55" s="303"/>
    </row>
    <row r="56" spans="1:15" x14ac:dyDescent="0.25">
      <c r="A56" s="329">
        <v>300</v>
      </c>
      <c r="B56" s="356" t="s">
        <v>228</v>
      </c>
      <c r="C56" s="328" t="s">
        <v>25</v>
      </c>
      <c r="D56" s="336">
        <v>0.5</v>
      </c>
      <c r="E56" s="316" t="s">
        <v>94</v>
      </c>
      <c r="F56" s="359">
        <v>3</v>
      </c>
      <c r="G56" s="311"/>
      <c r="H56" s="311"/>
      <c r="I56" s="330">
        <f t="shared" si="1"/>
        <v>1.5</v>
      </c>
      <c r="J56" s="299"/>
      <c r="K56" s="299"/>
      <c r="L56" s="299"/>
      <c r="M56" s="299"/>
      <c r="N56" s="299"/>
      <c r="O56" s="303"/>
    </row>
    <row r="57" spans="1:15" x14ac:dyDescent="0.25">
      <c r="A57" s="311">
        <v>310</v>
      </c>
      <c r="B57" s="358" t="s">
        <v>26</v>
      </c>
      <c r="C57" s="311" t="s">
        <v>25</v>
      </c>
      <c r="D57" s="339">
        <v>0.25</v>
      </c>
      <c r="E57" s="316" t="s">
        <v>94</v>
      </c>
      <c r="F57" s="359">
        <v>3</v>
      </c>
      <c r="G57" s="311"/>
      <c r="H57" s="328"/>
      <c r="I57" s="330">
        <f t="shared" si="1"/>
        <v>0.75</v>
      </c>
      <c r="J57" s="299"/>
      <c r="K57" s="299"/>
      <c r="L57" s="299"/>
      <c r="M57" s="299"/>
      <c r="N57" s="299"/>
      <c r="O57" s="303"/>
    </row>
    <row r="58" spans="1:15" x14ac:dyDescent="0.25">
      <c r="A58" s="311">
        <v>320</v>
      </c>
      <c r="B58" s="358" t="s">
        <v>24</v>
      </c>
      <c r="C58" s="311" t="s">
        <v>23</v>
      </c>
      <c r="D58" s="339">
        <v>0.8</v>
      </c>
      <c r="E58" s="311" t="s">
        <v>22</v>
      </c>
      <c r="F58" s="359">
        <v>5</v>
      </c>
      <c r="G58" s="311"/>
      <c r="H58" s="311"/>
      <c r="I58" s="339">
        <f t="shared" si="1"/>
        <v>4</v>
      </c>
      <c r="J58" s="299"/>
      <c r="K58" s="299"/>
      <c r="L58" s="299"/>
      <c r="M58" s="299"/>
      <c r="N58" s="299"/>
      <c r="O58" s="303"/>
    </row>
    <row r="59" spans="1:15" x14ac:dyDescent="0.25">
      <c r="A59" s="345"/>
      <c r="B59" s="346"/>
      <c r="C59" s="346"/>
      <c r="D59" s="346"/>
      <c r="E59" s="346"/>
      <c r="F59" s="346"/>
      <c r="G59" s="346"/>
      <c r="H59" s="362" t="s">
        <v>0</v>
      </c>
      <c r="I59" s="363">
        <f>SUM(I27:I58)</f>
        <v>42.620233999999996</v>
      </c>
      <c r="J59" s="299"/>
      <c r="K59" s="299"/>
      <c r="L59" s="299"/>
      <c r="M59" s="299"/>
      <c r="N59" s="299"/>
      <c r="O59" s="303"/>
    </row>
    <row r="60" spans="1:15" x14ac:dyDescent="0.25">
      <c r="A60" s="309"/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303"/>
    </row>
    <row r="61" spans="1:15" x14ac:dyDescent="0.25">
      <c r="A61" s="297" t="s">
        <v>11</v>
      </c>
      <c r="B61" s="297" t="s">
        <v>21</v>
      </c>
      <c r="C61" s="297" t="s">
        <v>9</v>
      </c>
      <c r="D61" s="297" t="s">
        <v>8</v>
      </c>
      <c r="E61" s="297" t="s">
        <v>20</v>
      </c>
      <c r="F61" s="297" t="s">
        <v>19</v>
      </c>
      <c r="G61" s="297" t="s">
        <v>18</v>
      </c>
      <c r="H61" s="297" t="s">
        <v>17</v>
      </c>
      <c r="I61" s="297" t="s">
        <v>6</v>
      </c>
      <c r="J61" s="297" t="s">
        <v>0</v>
      </c>
      <c r="K61" s="299"/>
      <c r="L61" s="299"/>
      <c r="M61" s="299"/>
      <c r="N61" s="299"/>
      <c r="O61" s="303"/>
    </row>
    <row r="62" spans="1:15" s="368" customFormat="1" x14ac:dyDescent="0.25">
      <c r="A62" s="364">
        <v>10</v>
      </c>
      <c r="B62" s="364" t="s">
        <v>16</v>
      </c>
      <c r="C62" s="364" t="s">
        <v>13</v>
      </c>
      <c r="D62" s="308">
        <f>0.8/105154*E62^2*G62*SQRT(G62)+(0.003*EXP(0.319*E62))</f>
        <v>6.5344202146287819E-2</v>
      </c>
      <c r="E62" s="364">
        <v>6</v>
      </c>
      <c r="F62" s="364" t="s">
        <v>12</v>
      </c>
      <c r="G62" s="364">
        <v>30</v>
      </c>
      <c r="H62" s="364" t="s">
        <v>12</v>
      </c>
      <c r="I62" s="364">
        <v>28</v>
      </c>
      <c r="J62" s="365">
        <f>I62*D62</f>
        <v>1.8296376600960589</v>
      </c>
      <c r="K62" s="366"/>
      <c r="L62" s="366"/>
      <c r="M62" s="366"/>
      <c r="N62" s="366"/>
      <c r="O62" s="367"/>
    </row>
    <row r="63" spans="1:15" s="368" customFormat="1" x14ac:dyDescent="0.25">
      <c r="A63" s="364">
        <v>20</v>
      </c>
      <c r="B63" s="364" t="s">
        <v>15</v>
      </c>
      <c r="C63" s="364" t="s">
        <v>13</v>
      </c>
      <c r="D63" s="308">
        <v>0.01</v>
      </c>
      <c r="E63" s="364"/>
      <c r="F63" s="364"/>
      <c r="G63" s="364"/>
      <c r="H63" s="364"/>
      <c r="I63" s="364">
        <v>56</v>
      </c>
      <c r="J63" s="365">
        <f>I63*D63</f>
        <v>0.56000000000000005</v>
      </c>
      <c r="K63" s="366"/>
      <c r="L63" s="366"/>
      <c r="M63" s="366"/>
      <c r="N63" s="366"/>
      <c r="O63" s="367"/>
    </row>
    <row r="64" spans="1:15" s="368" customFormat="1" x14ac:dyDescent="0.25">
      <c r="A64" s="364">
        <v>30</v>
      </c>
      <c r="B64" s="364" t="s">
        <v>14</v>
      </c>
      <c r="C64" s="364" t="s">
        <v>13</v>
      </c>
      <c r="D64" s="308">
        <f>(0.009*EXP(0.2*E64))</f>
        <v>2.9881052304628931E-2</v>
      </c>
      <c r="E64" s="364">
        <v>6</v>
      </c>
      <c r="F64" s="364" t="s">
        <v>12</v>
      </c>
      <c r="G64" s="364"/>
      <c r="H64" s="364"/>
      <c r="I64" s="364">
        <v>28</v>
      </c>
      <c r="J64" s="365">
        <f>I64*D64</f>
        <v>0.83666946452961011</v>
      </c>
      <c r="K64" s="366"/>
      <c r="L64" s="366"/>
      <c r="M64" s="366"/>
      <c r="N64" s="366"/>
      <c r="O64" s="367"/>
    </row>
    <row r="65" spans="1:15" x14ac:dyDescent="0.25">
      <c r="A65" s="345"/>
      <c r="B65" s="346"/>
      <c r="C65" s="346"/>
      <c r="D65" s="346"/>
      <c r="E65" s="346"/>
      <c r="F65" s="346"/>
      <c r="G65" s="346"/>
      <c r="H65" s="346"/>
      <c r="I65" s="324" t="s">
        <v>0</v>
      </c>
      <c r="J65" s="325">
        <f>SUM(J62:J64)</f>
        <v>3.2263071246256692</v>
      </c>
      <c r="K65" s="299"/>
      <c r="L65" s="299"/>
      <c r="M65" s="299"/>
      <c r="N65" s="299"/>
      <c r="O65" s="303"/>
    </row>
    <row r="66" spans="1:15" x14ac:dyDescent="0.25">
      <c r="A66" s="309"/>
      <c r="B66" s="299"/>
      <c r="C66" s="299"/>
      <c r="D66" s="299"/>
      <c r="E66" s="299"/>
      <c r="F66" s="299"/>
      <c r="G66" s="299"/>
      <c r="H66" s="299"/>
      <c r="I66" s="299"/>
      <c r="J66" s="299"/>
      <c r="K66" s="299"/>
      <c r="L66" s="299"/>
      <c r="M66" s="299"/>
      <c r="N66" s="299"/>
      <c r="O66" s="303"/>
    </row>
    <row r="67" spans="1:15" x14ac:dyDescent="0.25">
      <c r="A67" s="297" t="s">
        <v>11</v>
      </c>
      <c r="B67" s="297" t="s">
        <v>10</v>
      </c>
      <c r="C67" s="297" t="s">
        <v>9</v>
      </c>
      <c r="D67" s="297" t="s">
        <v>8</v>
      </c>
      <c r="E67" s="297" t="s">
        <v>7</v>
      </c>
      <c r="F67" s="297" t="s">
        <v>6</v>
      </c>
      <c r="G67" s="297" t="s">
        <v>5</v>
      </c>
      <c r="H67" s="297" t="s">
        <v>4</v>
      </c>
      <c r="I67" s="297" t="s">
        <v>0</v>
      </c>
      <c r="J67" s="346"/>
      <c r="K67" s="299"/>
      <c r="L67" s="299"/>
      <c r="M67" s="299"/>
      <c r="N67" s="299"/>
      <c r="O67" s="303"/>
    </row>
    <row r="68" spans="1:15" x14ac:dyDescent="0.25">
      <c r="A68" s="316">
        <v>10</v>
      </c>
      <c r="B68" s="316" t="s">
        <v>3</v>
      </c>
      <c r="C68" s="316" t="s">
        <v>2</v>
      </c>
      <c r="D68" s="308">
        <v>500</v>
      </c>
      <c r="E68" s="316" t="s">
        <v>1</v>
      </c>
      <c r="F68" s="316">
        <f>28*2</f>
        <v>56</v>
      </c>
      <c r="G68" s="316">
        <v>3000</v>
      </c>
      <c r="H68" s="316">
        <v>1</v>
      </c>
      <c r="I68" s="308">
        <f>D68*F68/G68*H68</f>
        <v>9.3333333333333339</v>
      </c>
      <c r="J68" s="346"/>
      <c r="K68" s="299"/>
      <c r="L68" s="299"/>
      <c r="M68" s="299"/>
      <c r="N68" s="299"/>
      <c r="O68" s="303"/>
    </row>
    <row r="69" spans="1:15" x14ac:dyDescent="0.25">
      <c r="A69" s="345"/>
      <c r="B69" s="346"/>
      <c r="C69" s="346"/>
      <c r="D69" s="346"/>
      <c r="E69" s="346"/>
      <c r="F69" s="346"/>
      <c r="G69" s="346"/>
      <c r="H69" s="369" t="s">
        <v>0</v>
      </c>
      <c r="I69" s="348">
        <f>SUM(I68:I68)</f>
        <v>9.3333333333333339</v>
      </c>
      <c r="J69" s="346"/>
      <c r="K69" s="299"/>
      <c r="L69" s="299"/>
      <c r="M69" s="299"/>
      <c r="N69" s="299"/>
      <c r="O69" s="303"/>
    </row>
    <row r="70" spans="1:15" ht="15.75" thickBot="1" x14ac:dyDescent="0.3">
      <c r="A70" s="370"/>
      <c r="B70" s="371"/>
      <c r="C70" s="371"/>
      <c r="D70" s="371"/>
      <c r="E70" s="371"/>
      <c r="F70" s="371"/>
      <c r="G70" s="371"/>
      <c r="H70" s="371"/>
      <c r="I70" s="371"/>
      <c r="J70" s="371"/>
      <c r="K70" s="371"/>
      <c r="L70" s="371"/>
      <c r="M70" s="371"/>
      <c r="N70" s="371"/>
      <c r="O70" s="372"/>
    </row>
    <row r="71" spans="1:15" x14ac:dyDescent="0.25">
      <c r="A71" s="299"/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</row>
  </sheetData>
  <hyperlinks>
    <hyperlink ref="B10" location="MS_0100_001" display="Firewall up" xr:uid="{00000000-0004-0000-0100-000000000000}"/>
    <hyperlink ref="B11" location="MS_0100_002" display="Firewall Middle" xr:uid="{00000000-0004-0000-0100-000001000000}"/>
    <hyperlink ref="B12" location="MS_0100_003" display="Firewall Bottom" xr:uid="{00000000-0004-0000-0100-000002000000}"/>
    <hyperlink ref="B13" location="MS_0100_004" display="Firewall Upper Side" xr:uid="{00000000-0004-0000-0100-000003000000}"/>
    <hyperlink ref="B14" location="MS_0100_005" display="Firewall Middle Side" xr:uid="{00000000-0004-0000-0100-000004000000}"/>
    <hyperlink ref="B15" location="MS_0100_006" display="Firewall Lower Side" xr:uid="{00000000-0004-0000-0100-000005000000}"/>
    <hyperlink ref="B16" location="MS_0100_007" display="Firewall Up Bracket" xr:uid="{00000000-0004-0000-0100-000006000000}"/>
    <hyperlink ref="B17" location="MS_0100_008" display="Firewall Middle, Bottom and Sides Bracket" xr:uid="{00000000-0004-0000-0100-000007000000}"/>
    <hyperlink ref="E2" location="MS_A0100_BOM" display="Back to BOM" xr:uid="{00000000-0004-0000-0100-000008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7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7" tint="0.59999389629810485"/>
  </sheetPr>
  <dimension ref="A1:O19"/>
  <sheetViews>
    <sheetView zoomScale="85" zoomScaleNormal="85" workbookViewId="0">
      <selection activeCell="G2" sqref="G2"/>
    </sheetView>
  </sheetViews>
  <sheetFormatPr baseColWidth="10" defaultColWidth="9.140625" defaultRowHeight="15" x14ac:dyDescent="0.25"/>
  <cols>
    <col min="1" max="1" width="9.140625" style="1"/>
    <col min="2" max="2" width="26.28515625" style="1" customWidth="1"/>
    <col min="3" max="3" width="24.28515625" style="1" customWidth="1"/>
    <col min="4" max="4" width="12.140625" style="1" bestFit="1" customWidth="1"/>
    <col min="5" max="5" width="5.7109375" style="1" customWidth="1"/>
    <col min="6" max="6" width="8.140625" style="1" customWidth="1"/>
    <col min="7" max="7" width="9.28515625" style="1" customWidth="1"/>
    <col min="8" max="10" width="9.140625" style="1"/>
    <col min="11" max="11" width="6.5703125" style="1" customWidth="1"/>
    <col min="12" max="14" width="9.140625" style="1"/>
    <col min="15" max="15" width="3.140625" style="1" customWidth="1"/>
    <col min="16" max="16384" width="9.140625" style="1"/>
  </cols>
  <sheetData>
    <row r="1" spans="1:15" x14ac:dyDescent="0.25">
      <c r="A1" s="135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3"/>
    </row>
    <row r="2" spans="1:15" x14ac:dyDescent="0.25">
      <c r="A2" s="132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MS_02001_m+MS_02001_p</f>
        <v>3.92</v>
      </c>
      <c r="O2" s="118"/>
    </row>
    <row r="3" spans="1:15" x14ac:dyDescent="0.25">
      <c r="A3" s="132" t="s">
        <v>84</v>
      </c>
      <c r="B3" s="38" t="str">
        <f>'MS A0200'!B3</f>
        <v>Miscellaneous, Finish &amp; Assembly</v>
      </c>
      <c r="C3" s="2"/>
      <c r="D3" s="69" t="s">
        <v>80</v>
      </c>
      <c r="E3" s="72"/>
      <c r="F3" s="2"/>
      <c r="G3" s="2"/>
      <c r="H3" s="2"/>
      <c r="I3" s="2"/>
      <c r="J3" s="2"/>
      <c r="K3" s="2"/>
      <c r="L3" s="2"/>
      <c r="M3" s="69" t="s">
        <v>83</v>
      </c>
      <c r="N3" s="41">
        <v>2</v>
      </c>
      <c r="O3" s="118"/>
    </row>
    <row r="4" spans="1:15" x14ac:dyDescent="0.25">
      <c r="A4" s="132" t="s">
        <v>82</v>
      </c>
      <c r="B4" s="72" t="str">
        <f>'MS A0200'!B4</f>
        <v>Driver's Safety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118"/>
    </row>
    <row r="5" spans="1:15" x14ac:dyDescent="0.25">
      <c r="A5" s="132" t="s">
        <v>71</v>
      </c>
      <c r="B5" s="40" t="s">
        <v>122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7.84</v>
      </c>
      <c r="O5" s="118"/>
    </row>
    <row r="6" spans="1:15" x14ac:dyDescent="0.25">
      <c r="A6" s="132" t="s">
        <v>79</v>
      </c>
      <c r="B6" s="71" t="s">
        <v>131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118"/>
    </row>
    <row r="7" spans="1:15" x14ac:dyDescent="0.25">
      <c r="A7" s="132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18"/>
    </row>
    <row r="8" spans="1:15" x14ac:dyDescent="0.25">
      <c r="A8" s="132" t="s">
        <v>73</v>
      </c>
      <c r="B8" s="3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18"/>
    </row>
    <row r="9" spans="1:15" x14ac:dyDescent="0.25">
      <c r="A9" s="131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118"/>
    </row>
    <row r="10" spans="1:15" x14ac:dyDescent="0.25">
      <c r="A10" s="130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118"/>
    </row>
    <row r="11" spans="1:15" s="126" customFormat="1" x14ac:dyDescent="0.25">
      <c r="A11" s="129">
        <v>10</v>
      </c>
      <c r="B11" s="128" t="s">
        <v>130</v>
      </c>
      <c r="C11" s="128"/>
      <c r="D11" s="291">
        <v>0</v>
      </c>
      <c r="E11" s="128"/>
      <c r="F11" s="113" t="s">
        <v>94</v>
      </c>
      <c r="G11" s="113"/>
      <c r="H11" s="113"/>
      <c r="I11" s="113"/>
      <c r="J11" s="113"/>
      <c r="K11" s="113"/>
      <c r="L11" s="113"/>
      <c r="M11" s="113"/>
      <c r="N11" s="388">
        <v>0</v>
      </c>
      <c r="O11" s="127"/>
    </row>
    <row r="12" spans="1:15" s="58" customFormat="1" x14ac:dyDescent="0.25">
      <c r="A12" s="125">
        <v>20</v>
      </c>
      <c r="B12" s="89" t="s">
        <v>129</v>
      </c>
      <c r="C12" s="88"/>
      <c r="D12" s="81">
        <v>0.05</v>
      </c>
      <c r="E12" s="88">
        <v>22</v>
      </c>
      <c r="F12" s="88" t="s">
        <v>49</v>
      </c>
      <c r="G12" s="88"/>
      <c r="H12" s="87"/>
      <c r="I12" s="86"/>
      <c r="J12" s="103"/>
      <c r="K12" s="84"/>
      <c r="L12" s="83"/>
      <c r="M12" s="383">
        <v>1</v>
      </c>
      <c r="N12" s="81">
        <f>IF(J12="",D12*M12*E12,D12*J12*K12*L12*M12)</f>
        <v>1.1000000000000001</v>
      </c>
      <c r="O12" s="124"/>
    </row>
    <row r="13" spans="1:15" x14ac:dyDescent="0.25">
      <c r="A13" s="11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80" t="s">
        <v>0</v>
      </c>
      <c r="N13" s="47">
        <f>SUM(N12:N12)</f>
        <v>1.1000000000000001</v>
      </c>
      <c r="O13" s="118"/>
    </row>
    <row r="14" spans="1:15" x14ac:dyDescent="0.25">
      <c r="A14" s="123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2"/>
      <c r="N14" s="2"/>
      <c r="O14" s="118"/>
    </row>
    <row r="15" spans="1:15" x14ac:dyDescent="0.25">
      <c r="A15" s="11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18"/>
    </row>
    <row r="16" spans="1:15" x14ac:dyDescent="0.25">
      <c r="A16" s="122" t="s">
        <v>11</v>
      </c>
      <c r="B16" s="78" t="s">
        <v>55</v>
      </c>
      <c r="C16" s="78" t="s">
        <v>9</v>
      </c>
      <c r="D16" s="78" t="s">
        <v>8</v>
      </c>
      <c r="E16" s="78" t="s">
        <v>7</v>
      </c>
      <c r="F16" s="78" t="s">
        <v>6</v>
      </c>
      <c r="G16" s="78" t="s">
        <v>54</v>
      </c>
      <c r="H16" s="78" t="s">
        <v>53</v>
      </c>
      <c r="I16" s="78" t="s">
        <v>0</v>
      </c>
      <c r="J16" s="7"/>
      <c r="K16" s="7"/>
      <c r="L16" s="7"/>
      <c r="M16" s="7"/>
      <c r="N16" s="7"/>
      <c r="O16" s="118"/>
    </row>
    <row r="17" spans="1:15" s="30" customFormat="1" ht="15" customHeight="1" x14ac:dyDescent="0.25">
      <c r="A17" s="121">
        <v>10</v>
      </c>
      <c r="B17" s="92" t="s">
        <v>128</v>
      </c>
      <c r="C17" s="99" t="s">
        <v>127</v>
      </c>
      <c r="D17" s="98">
        <v>0.02</v>
      </c>
      <c r="E17" s="92" t="s">
        <v>126</v>
      </c>
      <c r="F17" s="99">
        <v>141</v>
      </c>
      <c r="G17" s="99"/>
      <c r="H17" s="99"/>
      <c r="I17" s="98">
        <f>IF(H17="",D17*F17,D17*F17*H17)</f>
        <v>2.82</v>
      </c>
      <c r="J17" s="52"/>
      <c r="K17" s="52"/>
      <c r="L17" s="52"/>
      <c r="M17" s="52"/>
      <c r="N17" s="52"/>
      <c r="O17" s="120"/>
    </row>
    <row r="18" spans="1:15" x14ac:dyDescent="0.25">
      <c r="A18" s="119"/>
      <c r="B18" s="2"/>
      <c r="C18" s="2"/>
      <c r="D18" s="2"/>
      <c r="E18" s="2"/>
      <c r="F18" s="2"/>
      <c r="G18" s="2"/>
      <c r="H18" s="80" t="s">
        <v>0</v>
      </c>
      <c r="I18" s="47">
        <f>SUM(I17:I17)</f>
        <v>2.82</v>
      </c>
      <c r="J18" s="2"/>
      <c r="K18" s="2"/>
      <c r="L18" s="2"/>
      <c r="M18" s="2"/>
      <c r="N18" s="2"/>
      <c r="O18" s="118"/>
    </row>
    <row r="19" spans="1:15" ht="15.75" thickBot="1" x14ac:dyDescent="0.3">
      <c r="A19" s="117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5"/>
    </row>
  </sheetData>
  <hyperlinks>
    <hyperlink ref="B4" location="MS_A0200" display="MS_A0200" xr:uid="{00000000-0004-0000-1300-000000000000}"/>
    <hyperlink ref="G2" location="MS_02001_BOM" display="Back to BOM" xr:uid="{00000000-0004-0000-1300-000001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1A0C7"/>
    <pageSetUpPr fitToPage="1"/>
  </sheetPr>
  <dimension ref="A1:O25"/>
  <sheetViews>
    <sheetView topLeftCell="C1" zoomScale="85" zoomScaleNormal="85" zoomScaleSheetLayoutView="80" workbookViewId="0">
      <selection activeCell="E11" sqref="E11"/>
    </sheetView>
  </sheetViews>
  <sheetFormatPr baseColWidth="10" defaultColWidth="9.140625" defaultRowHeight="15" x14ac:dyDescent="0.25"/>
  <cols>
    <col min="1" max="1" width="10.28515625" style="1" bestFit="1" customWidth="1"/>
    <col min="2" max="2" width="33.42578125" style="1" bestFit="1" customWidth="1"/>
    <col min="3" max="3" width="34.5703125" style="1" bestFit="1" customWidth="1"/>
    <col min="4" max="4" width="8.7109375" style="1" bestFit="1" customWidth="1"/>
    <col min="5" max="5" width="12.42578125" style="1" bestFit="1" customWidth="1"/>
    <col min="6" max="6" width="8.7109375" style="1" bestFit="1" customWidth="1"/>
    <col min="7" max="7" width="10" style="1" bestFit="1" customWidth="1"/>
    <col min="8" max="8" width="9.7109375" style="1" bestFit="1" customWidth="1"/>
    <col min="9" max="9" width="10.85546875" style="1" bestFit="1" customWidth="1"/>
    <col min="10" max="10" width="8.85546875" style="1" bestFit="1" customWidth="1"/>
    <col min="11" max="11" width="7" style="1" bestFit="1" customWidth="1"/>
    <col min="12" max="12" width="7.7109375" style="1" bestFit="1" customWidth="1"/>
    <col min="13" max="13" width="13.7109375" style="1" bestFit="1" customWidth="1"/>
    <col min="14" max="14" width="9.140625" style="1"/>
    <col min="15" max="15" width="5.28515625" style="1" customWidth="1"/>
    <col min="16" max="16384" width="9.140625" style="1"/>
  </cols>
  <sheetData>
    <row r="1" spans="1:15" x14ac:dyDescent="0.25">
      <c r="A1" s="46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</row>
    <row r="2" spans="1:15" x14ac:dyDescent="0.25">
      <c r="A2" s="13" t="s">
        <v>89</v>
      </c>
      <c r="B2" s="38" t="s">
        <v>88</v>
      </c>
      <c r="C2" s="2"/>
      <c r="D2" s="2"/>
      <c r="E2" s="72" t="s">
        <v>87</v>
      </c>
      <c r="F2" s="2"/>
      <c r="G2" s="2"/>
      <c r="H2" s="2"/>
      <c r="I2" s="2"/>
      <c r="J2" s="13" t="s">
        <v>86</v>
      </c>
      <c r="K2" s="43">
        <v>81</v>
      </c>
      <c r="L2" s="2"/>
      <c r="M2" s="13" t="s">
        <v>85</v>
      </c>
      <c r="N2" s="42">
        <f>MS_A0300_m+MS_A0300_p</f>
        <v>31.541499999999999</v>
      </c>
      <c r="O2" s="6"/>
    </row>
    <row r="3" spans="1:15" x14ac:dyDescent="0.25">
      <c r="A3" s="13" t="s">
        <v>84</v>
      </c>
      <c r="B3" s="114" t="s">
        <v>225</v>
      </c>
      <c r="C3" s="2"/>
      <c r="D3" s="2"/>
      <c r="E3" s="2"/>
      <c r="F3" s="2"/>
      <c r="G3" s="2"/>
      <c r="H3" s="2"/>
      <c r="I3" s="2"/>
      <c r="J3" s="2"/>
      <c r="K3" s="2"/>
      <c r="L3" s="2"/>
      <c r="M3" s="13" t="s">
        <v>83</v>
      </c>
      <c r="N3" s="41">
        <v>1</v>
      </c>
      <c r="O3" s="6"/>
    </row>
    <row r="4" spans="1:15" x14ac:dyDescent="0.25">
      <c r="A4" s="13" t="s">
        <v>82</v>
      </c>
      <c r="B4" s="33" t="s">
        <v>165</v>
      </c>
      <c r="C4" s="2"/>
      <c r="D4" s="2"/>
      <c r="E4" s="2"/>
      <c r="F4" s="2"/>
      <c r="G4" s="2"/>
      <c r="H4" s="2"/>
      <c r="I4" s="2"/>
      <c r="J4" s="39" t="s">
        <v>80</v>
      </c>
      <c r="K4" s="2"/>
      <c r="L4" s="2"/>
      <c r="M4" s="2"/>
      <c r="N4" s="2"/>
      <c r="O4" s="6"/>
    </row>
    <row r="5" spans="1:15" x14ac:dyDescent="0.25">
      <c r="A5" s="13" t="s">
        <v>79</v>
      </c>
      <c r="B5" s="40" t="s">
        <v>164</v>
      </c>
      <c r="C5" s="2"/>
      <c r="D5" s="2"/>
      <c r="E5" s="2"/>
      <c r="F5" s="2"/>
      <c r="G5" s="2"/>
      <c r="H5" s="2"/>
      <c r="I5" s="2"/>
      <c r="J5" s="39" t="s">
        <v>78</v>
      </c>
      <c r="K5" s="2"/>
      <c r="L5" s="2"/>
      <c r="M5" s="13" t="s">
        <v>77</v>
      </c>
      <c r="N5" s="11">
        <f>N2*N3</f>
        <v>31.541499999999999</v>
      </c>
      <c r="O5" s="6"/>
    </row>
    <row r="6" spans="1:15" x14ac:dyDescent="0.25">
      <c r="A6" s="13" t="s">
        <v>76</v>
      </c>
      <c r="B6" s="38" t="s">
        <v>75</v>
      </c>
      <c r="C6" s="2"/>
      <c r="D6" s="2"/>
      <c r="E6" s="2"/>
      <c r="F6" s="2"/>
      <c r="G6" s="2"/>
      <c r="H6" s="2"/>
      <c r="I6" s="2"/>
      <c r="J6" s="39" t="s">
        <v>74</v>
      </c>
      <c r="K6" s="2"/>
      <c r="L6" s="2"/>
      <c r="M6" s="2"/>
      <c r="N6" s="2"/>
      <c r="O6" s="6"/>
    </row>
    <row r="7" spans="1:15" x14ac:dyDescent="0.25">
      <c r="A7" s="13" t="s">
        <v>73</v>
      </c>
      <c r="B7" s="38" t="s">
        <v>163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13" t="s">
        <v>11</v>
      </c>
      <c r="B10" s="13" t="s">
        <v>61</v>
      </c>
      <c r="C10" s="13" t="s">
        <v>9</v>
      </c>
      <c r="D10" s="13" t="s">
        <v>8</v>
      </c>
      <c r="E10" s="13" t="s">
        <v>20</v>
      </c>
      <c r="F10" s="13" t="s">
        <v>19</v>
      </c>
      <c r="G10" s="13" t="s">
        <v>18</v>
      </c>
      <c r="H10" s="13" t="s">
        <v>17</v>
      </c>
      <c r="I10" s="13" t="s">
        <v>60</v>
      </c>
      <c r="J10" s="13" t="s">
        <v>59</v>
      </c>
      <c r="K10" s="13" t="s">
        <v>58</v>
      </c>
      <c r="L10" s="13" t="s">
        <v>57</v>
      </c>
      <c r="M10" s="13" t="s">
        <v>6</v>
      </c>
      <c r="N10" s="13" t="s">
        <v>0</v>
      </c>
      <c r="O10" s="6"/>
    </row>
    <row r="11" spans="1:15" x14ac:dyDescent="0.25">
      <c r="A11" s="12">
        <v>10</v>
      </c>
      <c r="B11" s="12" t="s">
        <v>162</v>
      </c>
      <c r="C11" s="12"/>
      <c r="D11" s="390">
        <v>5.0000000000000001E-3</v>
      </c>
      <c r="E11" s="12">
        <f>554*4</f>
        <v>2216</v>
      </c>
      <c r="F11" s="12" t="s">
        <v>189</v>
      </c>
      <c r="G11" s="12"/>
      <c r="H11" s="199"/>
      <c r="I11" s="204"/>
      <c r="J11" s="203"/>
      <c r="K11" s="199"/>
      <c r="L11" s="199"/>
      <c r="M11" s="389">
        <v>1</v>
      </c>
      <c r="N11" s="11">
        <f>E11*D11*M11</f>
        <v>11.08</v>
      </c>
      <c r="O11" s="6"/>
    </row>
    <row r="12" spans="1:15" s="58" customFormat="1" x14ac:dyDescent="0.25">
      <c r="A12" s="268">
        <v>20</v>
      </c>
      <c r="B12" s="268" t="s">
        <v>130</v>
      </c>
      <c r="C12" s="268" t="s">
        <v>161</v>
      </c>
      <c r="D12" s="11">
        <v>0</v>
      </c>
      <c r="E12" s="200"/>
      <c r="F12" s="200" t="s">
        <v>94</v>
      </c>
      <c r="G12" s="200"/>
      <c r="H12" s="199"/>
      <c r="I12" s="198"/>
      <c r="J12" s="203"/>
      <c r="K12" s="199"/>
      <c r="L12" s="199"/>
      <c r="M12" s="389"/>
      <c r="N12" s="11">
        <f>M12*D12*E12*G12</f>
        <v>0</v>
      </c>
      <c r="O12" s="59"/>
    </row>
    <row r="13" spans="1:15" s="58" customFormat="1" x14ac:dyDescent="0.25">
      <c r="A13" s="202">
        <v>30</v>
      </c>
      <c r="B13" s="202" t="s">
        <v>160</v>
      </c>
      <c r="C13" s="202" t="s">
        <v>159</v>
      </c>
      <c r="D13" s="34">
        <v>2.5</v>
      </c>
      <c r="E13" s="201">
        <v>5.5399999999999998E-2</v>
      </c>
      <c r="F13" s="200" t="s">
        <v>45</v>
      </c>
      <c r="G13" s="200"/>
      <c r="H13" s="199"/>
      <c r="I13" s="198"/>
      <c r="J13" s="197"/>
      <c r="K13" s="196"/>
      <c r="L13" s="195"/>
      <c r="M13" s="389">
        <v>1</v>
      </c>
      <c r="N13" s="11">
        <f>M13*D13*E13</f>
        <v>0.13849999999999998</v>
      </c>
      <c r="O13" s="59"/>
    </row>
    <row r="14" spans="1:15" x14ac:dyDescent="0.25">
      <c r="A14" s="10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13" t="s">
        <v>0</v>
      </c>
      <c r="N14" s="15">
        <f>SUM(N11:N13)</f>
        <v>11.218500000000001</v>
      </c>
      <c r="O14" s="6"/>
    </row>
    <row r="15" spans="1:15" x14ac:dyDescent="0.25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6"/>
    </row>
    <row r="16" spans="1:15" s="30" customFormat="1" x14ac:dyDescent="0.25">
      <c r="A16" s="13" t="s">
        <v>11</v>
      </c>
      <c r="B16" s="13" t="s">
        <v>55</v>
      </c>
      <c r="C16" s="13" t="s">
        <v>9</v>
      </c>
      <c r="D16" s="13" t="s">
        <v>8</v>
      </c>
      <c r="E16" s="13" t="s">
        <v>7</v>
      </c>
      <c r="F16" s="13" t="s">
        <v>6</v>
      </c>
      <c r="G16" s="13" t="s">
        <v>54</v>
      </c>
      <c r="H16" s="13" t="s">
        <v>53</v>
      </c>
      <c r="I16" s="13" t="s">
        <v>0</v>
      </c>
      <c r="J16" s="7"/>
      <c r="K16" s="7"/>
      <c r="L16" s="7"/>
      <c r="M16" s="7"/>
      <c r="N16" s="7"/>
      <c r="O16" s="31"/>
    </row>
    <row r="17" spans="1:15" x14ac:dyDescent="0.25">
      <c r="A17" s="12">
        <v>10</v>
      </c>
      <c r="B17" s="12" t="s">
        <v>157</v>
      </c>
      <c r="C17" s="12" t="s">
        <v>158</v>
      </c>
      <c r="D17" s="11">
        <v>0.06</v>
      </c>
      <c r="E17" s="12" t="s">
        <v>49</v>
      </c>
      <c r="F17" s="29">
        <v>85.4</v>
      </c>
      <c r="G17" s="29"/>
      <c r="H17" s="29"/>
      <c r="I17" s="11">
        <f t="shared" ref="I17:I22" si="0">IF(H17="",D17*F17,D17*F17*H17)</f>
        <v>5.1240000000000006</v>
      </c>
      <c r="J17" s="2"/>
      <c r="K17" s="2"/>
      <c r="L17" s="2"/>
      <c r="M17" s="2"/>
      <c r="N17" s="2"/>
      <c r="O17" s="6"/>
    </row>
    <row r="18" spans="1:15" x14ac:dyDescent="0.25">
      <c r="A18" s="12">
        <v>20</v>
      </c>
      <c r="B18" s="12" t="s">
        <v>157</v>
      </c>
      <c r="C18" s="12" t="s">
        <v>156</v>
      </c>
      <c r="D18" s="11">
        <v>0.06</v>
      </c>
      <c r="E18" s="26" t="s">
        <v>49</v>
      </c>
      <c r="F18" s="29">
        <v>85.4</v>
      </c>
      <c r="G18" s="12"/>
      <c r="H18" s="12"/>
      <c r="I18" s="11">
        <f t="shared" si="0"/>
        <v>5.1240000000000006</v>
      </c>
      <c r="J18" s="2"/>
      <c r="K18" s="2"/>
      <c r="L18" s="2"/>
      <c r="M18" s="2"/>
      <c r="N18" s="2"/>
      <c r="O18" s="6"/>
    </row>
    <row r="19" spans="1:15" x14ac:dyDescent="0.25">
      <c r="A19" s="12">
        <v>30</v>
      </c>
      <c r="B19" s="26" t="s">
        <v>128</v>
      </c>
      <c r="C19" s="12" t="s">
        <v>127</v>
      </c>
      <c r="D19" s="11">
        <v>0.02</v>
      </c>
      <c r="E19" s="12" t="s">
        <v>126</v>
      </c>
      <c r="F19" s="29">
        <v>250</v>
      </c>
      <c r="G19" s="12"/>
      <c r="H19" s="12"/>
      <c r="I19" s="11">
        <f t="shared" si="0"/>
        <v>5</v>
      </c>
      <c r="J19" s="2"/>
      <c r="K19" s="2"/>
      <c r="L19" s="2"/>
      <c r="M19" s="2"/>
      <c r="N19" s="2"/>
      <c r="O19" s="6"/>
    </row>
    <row r="20" spans="1:15" s="191" customFormat="1" x14ac:dyDescent="0.25">
      <c r="A20" s="12">
        <v>40</v>
      </c>
      <c r="B20" s="26" t="s">
        <v>121</v>
      </c>
      <c r="C20" s="12" t="s">
        <v>155</v>
      </c>
      <c r="D20" s="11">
        <v>1.2500000000000001E-2</v>
      </c>
      <c r="E20" s="12" t="s">
        <v>94</v>
      </c>
      <c r="F20" s="29">
        <v>1</v>
      </c>
      <c r="G20" s="12"/>
      <c r="H20" s="12"/>
      <c r="I20" s="11">
        <f t="shared" si="0"/>
        <v>1.2500000000000001E-2</v>
      </c>
      <c r="J20" s="33"/>
      <c r="K20" s="33"/>
      <c r="L20" s="33"/>
      <c r="M20" s="33"/>
      <c r="N20" s="33"/>
      <c r="O20" s="192"/>
    </row>
    <row r="21" spans="1:15" s="30" customFormat="1" x14ac:dyDescent="0.25">
      <c r="A21" s="12">
        <v>50</v>
      </c>
      <c r="B21" s="26" t="s">
        <v>128</v>
      </c>
      <c r="C21" s="12" t="s">
        <v>154</v>
      </c>
      <c r="D21" s="11">
        <v>0.02</v>
      </c>
      <c r="E21" s="12" t="s">
        <v>126</v>
      </c>
      <c r="F21" s="29">
        <v>250</v>
      </c>
      <c r="G21" s="29"/>
      <c r="H21" s="29"/>
      <c r="I21" s="11">
        <f t="shared" si="0"/>
        <v>5</v>
      </c>
      <c r="J21" s="33"/>
      <c r="K21" s="33"/>
      <c r="L21" s="33"/>
      <c r="M21" s="33"/>
      <c r="N21" s="33"/>
      <c r="O21" s="31"/>
    </row>
    <row r="22" spans="1:15" s="191" customFormat="1" x14ac:dyDescent="0.25">
      <c r="A22" s="12">
        <v>60</v>
      </c>
      <c r="B22" s="26" t="s">
        <v>153</v>
      </c>
      <c r="C22" s="193" t="s">
        <v>152</v>
      </c>
      <c r="D22" s="11">
        <v>6.25E-2</v>
      </c>
      <c r="E22" s="26" t="s">
        <v>94</v>
      </c>
      <c r="F22" s="29">
        <v>1</v>
      </c>
      <c r="G22" s="12"/>
      <c r="H22" s="12"/>
      <c r="I22" s="11">
        <f t="shared" si="0"/>
        <v>6.25E-2</v>
      </c>
      <c r="J22" s="33"/>
      <c r="K22" s="33"/>
      <c r="L22" s="33"/>
      <c r="M22" s="33"/>
      <c r="N22" s="33"/>
      <c r="O22" s="192"/>
    </row>
    <row r="23" spans="1:15" x14ac:dyDescent="0.25">
      <c r="A23" s="10"/>
      <c r="B23" s="7"/>
      <c r="C23" s="7"/>
      <c r="D23" s="7"/>
      <c r="E23" s="7"/>
      <c r="F23" s="7"/>
      <c r="G23" s="7"/>
      <c r="H23" s="16" t="s">
        <v>0</v>
      </c>
      <c r="I23" s="15">
        <f>SUM(I17:I22)</f>
        <v>20.323</v>
      </c>
      <c r="J23" s="2"/>
      <c r="K23" s="2"/>
      <c r="L23" s="2"/>
      <c r="M23" s="2"/>
      <c r="N23" s="2"/>
      <c r="O23" s="6"/>
    </row>
    <row r="24" spans="1:15" ht="15.75" thickBot="1" x14ac:dyDescent="0.3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3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</sheetData>
  <hyperlinks>
    <hyperlink ref="B11" location="BR_01001" display="BR_01001" xr:uid="{00000000-0004-0000-1400-000000000000}"/>
    <hyperlink ref="E2" location="MS_A0300_BOM" display="Back to BOM" xr:uid="{00000000-0004-0000-1400-000001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24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B1A0C7"/>
    <pageSetUpPr fitToPage="1"/>
  </sheetPr>
  <dimension ref="A1:O37"/>
  <sheetViews>
    <sheetView topLeftCell="C13" zoomScale="85" zoomScaleNormal="85" zoomScaleSheetLayoutView="80" workbookViewId="0">
      <selection activeCell="C36" sqref="C36"/>
    </sheetView>
  </sheetViews>
  <sheetFormatPr baseColWidth="10" defaultColWidth="9.140625" defaultRowHeight="15" x14ac:dyDescent="0.25"/>
  <cols>
    <col min="1" max="1" width="10.28515625" style="1" bestFit="1" customWidth="1"/>
    <col min="2" max="2" width="33.42578125" style="1" bestFit="1" customWidth="1"/>
    <col min="3" max="3" width="26.140625" style="1" bestFit="1" customWidth="1"/>
    <col min="4" max="4" width="9.140625" style="1"/>
    <col min="5" max="5" width="12.42578125" style="1" bestFit="1" customWidth="1"/>
    <col min="6" max="6" width="8.7109375" style="1" bestFit="1" customWidth="1"/>
    <col min="7" max="7" width="10" style="1" bestFit="1" customWidth="1"/>
    <col min="8" max="8" width="15.85546875" style="1" bestFit="1" customWidth="1"/>
    <col min="9" max="9" width="10.85546875" style="1" bestFit="1" customWidth="1"/>
    <col min="10" max="10" width="9.140625" style="1"/>
    <col min="11" max="11" width="7" style="1" bestFit="1" customWidth="1"/>
    <col min="12" max="12" width="7.7109375" style="1" bestFit="1" customWidth="1"/>
    <col min="13" max="13" width="13.7109375" style="1" bestFit="1" customWidth="1"/>
    <col min="14" max="14" width="9.140625" style="1"/>
    <col min="15" max="15" width="5.28515625" style="1" customWidth="1"/>
    <col min="16" max="16384" width="9.140625" style="1"/>
  </cols>
  <sheetData>
    <row r="1" spans="1:15" x14ac:dyDescent="0.25">
      <c r="A1" s="46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</row>
    <row r="2" spans="1:15" x14ac:dyDescent="0.25">
      <c r="A2" s="13" t="s">
        <v>89</v>
      </c>
      <c r="B2" s="38" t="s">
        <v>88</v>
      </c>
      <c r="C2" s="2"/>
      <c r="D2" s="2"/>
      <c r="E2" s="72" t="s">
        <v>87</v>
      </c>
      <c r="F2" s="2"/>
      <c r="G2" s="2"/>
      <c r="H2" s="2"/>
      <c r="I2" s="2"/>
      <c r="J2" s="13" t="s">
        <v>86</v>
      </c>
      <c r="K2" s="43">
        <v>81</v>
      </c>
      <c r="L2" s="2"/>
      <c r="M2" s="13" t="s">
        <v>85</v>
      </c>
      <c r="N2" s="42">
        <f>MS_A0400_pa+MS_A0400_m+MS_A0400_p+MS_A0400_f+MS_A0400_t</f>
        <v>84.360573333333349</v>
      </c>
      <c r="O2" s="6"/>
    </row>
    <row r="3" spans="1:15" x14ac:dyDescent="0.25">
      <c r="A3" s="13" t="s">
        <v>84</v>
      </c>
      <c r="B3" s="114" t="s">
        <v>225</v>
      </c>
      <c r="C3" s="2"/>
      <c r="D3" s="2"/>
      <c r="E3" s="2"/>
      <c r="F3" s="2"/>
      <c r="G3" s="2"/>
      <c r="H3" s="2"/>
      <c r="I3" s="2"/>
      <c r="J3" s="2"/>
      <c r="K3" s="2"/>
      <c r="L3" s="2"/>
      <c r="M3" s="13" t="s">
        <v>83</v>
      </c>
      <c r="N3" s="41">
        <v>1</v>
      </c>
      <c r="O3" s="6"/>
    </row>
    <row r="4" spans="1:15" x14ac:dyDescent="0.25">
      <c r="A4" s="13" t="s">
        <v>82</v>
      </c>
      <c r="B4" s="33" t="s">
        <v>183</v>
      </c>
      <c r="C4" s="2"/>
      <c r="D4" s="2"/>
      <c r="E4" s="2"/>
      <c r="F4" s="2"/>
      <c r="G4" s="2"/>
      <c r="H4" s="2"/>
      <c r="I4" s="2"/>
      <c r="J4" s="39" t="s">
        <v>80</v>
      </c>
      <c r="K4" s="2"/>
      <c r="L4" s="2"/>
      <c r="M4" s="2"/>
      <c r="N4" s="2"/>
      <c r="O4" s="6"/>
    </row>
    <row r="5" spans="1:15" x14ac:dyDescent="0.25">
      <c r="A5" s="13" t="s">
        <v>79</v>
      </c>
      <c r="B5" s="40" t="s">
        <v>182</v>
      </c>
      <c r="C5" s="2"/>
      <c r="D5" s="2"/>
      <c r="E5" s="2"/>
      <c r="F5" s="2"/>
      <c r="G5" s="2"/>
      <c r="H5" s="2"/>
      <c r="I5" s="2"/>
      <c r="J5" s="39" t="s">
        <v>78</v>
      </c>
      <c r="K5" s="2"/>
      <c r="L5" s="2"/>
      <c r="M5" s="13" t="s">
        <v>77</v>
      </c>
      <c r="N5" s="11">
        <f>N2*N3</f>
        <v>84.360573333333349</v>
      </c>
      <c r="O5" s="6"/>
    </row>
    <row r="6" spans="1:15" x14ac:dyDescent="0.25">
      <c r="A6" s="13" t="s">
        <v>76</v>
      </c>
      <c r="B6" s="38" t="s">
        <v>75</v>
      </c>
      <c r="C6" s="2"/>
      <c r="D6" s="2"/>
      <c r="E6" s="2"/>
      <c r="F6" s="2"/>
      <c r="G6" s="2"/>
      <c r="H6" s="2"/>
      <c r="I6" s="2"/>
      <c r="J6" s="39" t="s">
        <v>74</v>
      </c>
      <c r="K6" s="2"/>
      <c r="L6" s="2"/>
      <c r="M6" s="2"/>
      <c r="N6" s="2"/>
      <c r="O6" s="6"/>
    </row>
    <row r="7" spans="1:15" x14ac:dyDescent="0.25">
      <c r="A7" s="13" t="s">
        <v>73</v>
      </c>
      <c r="B7" s="38" t="s">
        <v>181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37" t="s">
        <v>11</v>
      </c>
      <c r="B9" s="37" t="s">
        <v>71</v>
      </c>
      <c r="C9" s="37" t="s">
        <v>70</v>
      </c>
      <c r="D9" s="37" t="s">
        <v>6</v>
      </c>
      <c r="E9" s="37" t="s">
        <v>0</v>
      </c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s="17" customFormat="1" x14ac:dyDescent="0.25">
      <c r="A10" s="113">
        <v>10</v>
      </c>
      <c r="B10" s="112" t="s">
        <v>180</v>
      </c>
      <c r="C10" s="111">
        <f>'MS 04001'!N2</f>
        <v>74.600000000000009</v>
      </c>
      <c r="D10" s="208">
        <f>'MS 04001'!N$3</f>
        <v>1</v>
      </c>
      <c r="E10" s="111">
        <f>C10*D10</f>
        <v>74.600000000000009</v>
      </c>
      <c r="F10" s="19"/>
      <c r="G10" s="19"/>
      <c r="H10" s="19"/>
      <c r="I10" s="19"/>
      <c r="J10" s="19"/>
      <c r="K10" s="19"/>
      <c r="L10" s="19"/>
      <c r="M10" s="19"/>
      <c r="N10" s="19"/>
      <c r="O10" s="18"/>
    </row>
    <row r="11" spans="1:15" s="17" customFormat="1" x14ac:dyDescent="0.25">
      <c r="A11" s="113">
        <v>20</v>
      </c>
      <c r="B11" s="210" t="s">
        <v>179</v>
      </c>
      <c r="C11" s="111">
        <f>'MS 04002'!N$2</f>
        <v>1.3249249999999999</v>
      </c>
      <c r="D11" s="208">
        <f>'MS 04002'!N$3</f>
        <v>2</v>
      </c>
      <c r="E11" s="111">
        <f>C11*D11</f>
        <v>2.6498499999999998</v>
      </c>
      <c r="F11" s="19"/>
      <c r="G11" s="19"/>
      <c r="H11" s="19"/>
      <c r="I11" s="19"/>
      <c r="J11" s="19"/>
      <c r="K11" s="19"/>
      <c r="L11" s="19"/>
      <c r="M11" s="19"/>
      <c r="N11" s="19"/>
      <c r="O11" s="18"/>
    </row>
    <row r="12" spans="1:15" x14ac:dyDescent="0.25">
      <c r="A12" s="104">
        <v>30</v>
      </c>
      <c r="B12" s="209" t="s">
        <v>178</v>
      </c>
      <c r="C12" s="111">
        <f>'MS 04003'!N$2</f>
        <v>1.1864450000000002</v>
      </c>
      <c r="D12" s="208">
        <f>'MS 04003'!N$3</f>
        <v>2</v>
      </c>
      <c r="E12" s="111">
        <f>C12*D12</f>
        <v>2.3728900000000004</v>
      </c>
      <c r="F12" s="2"/>
      <c r="G12" s="2"/>
      <c r="H12" s="2"/>
      <c r="I12" s="2"/>
      <c r="J12" s="2"/>
      <c r="K12" s="2"/>
      <c r="L12" s="2"/>
      <c r="M12" s="2"/>
      <c r="N12" s="2"/>
      <c r="O12" s="6"/>
    </row>
    <row r="13" spans="1:15" x14ac:dyDescent="0.25">
      <c r="A13" s="14"/>
      <c r="B13" s="2"/>
      <c r="C13" s="2"/>
      <c r="D13" s="9" t="s">
        <v>0</v>
      </c>
      <c r="E13" s="8">
        <f>SUM(E10:E12)</f>
        <v>79.622740000000007</v>
      </c>
      <c r="F13" s="33"/>
      <c r="G13" s="33"/>
      <c r="H13" s="33"/>
      <c r="I13" s="33"/>
      <c r="J13" s="33"/>
      <c r="K13" s="33"/>
      <c r="L13" s="33"/>
      <c r="M13" s="33"/>
      <c r="N13" s="33"/>
      <c r="O13" s="6"/>
    </row>
    <row r="14" spans="1:15" x14ac:dyDescent="0.25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6"/>
    </row>
    <row r="15" spans="1:15" x14ac:dyDescent="0.25">
      <c r="A15" s="13" t="s">
        <v>11</v>
      </c>
      <c r="B15" s="13" t="s">
        <v>61</v>
      </c>
      <c r="C15" s="13" t="s">
        <v>9</v>
      </c>
      <c r="D15" s="13" t="s">
        <v>8</v>
      </c>
      <c r="E15" s="13" t="s">
        <v>20</v>
      </c>
      <c r="F15" s="13" t="s">
        <v>19</v>
      </c>
      <c r="G15" s="13" t="s">
        <v>18</v>
      </c>
      <c r="H15" s="13" t="s">
        <v>17</v>
      </c>
      <c r="I15" s="13" t="s">
        <v>60</v>
      </c>
      <c r="J15" s="13" t="s">
        <v>59</v>
      </c>
      <c r="K15" s="13" t="s">
        <v>58</v>
      </c>
      <c r="L15" s="13" t="s">
        <v>57</v>
      </c>
      <c r="M15" s="13" t="s">
        <v>6</v>
      </c>
      <c r="N15" s="13" t="s">
        <v>0</v>
      </c>
      <c r="O15" s="6"/>
    </row>
    <row r="16" spans="1:15" s="30" customFormat="1" x14ac:dyDescent="0.25">
      <c r="A16" s="207">
        <v>10</v>
      </c>
      <c r="B16" s="207" t="s">
        <v>56</v>
      </c>
      <c r="C16" s="207" t="s">
        <v>177</v>
      </c>
      <c r="D16" s="223">
        <v>10</v>
      </c>
      <c r="E16" s="206">
        <v>4.0000000000000001E-3</v>
      </c>
      <c r="F16" s="207" t="s">
        <v>45</v>
      </c>
      <c r="G16" s="207"/>
      <c r="H16" s="224"/>
      <c r="I16" s="225"/>
      <c r="J16" s="226"/>
      <c r="K16" s="227"/>
      <c r="L16" s="228"/>
      <c r="M16" s="391">
        <v>1</v>
      </c>
      <c r="N16" s="223">
        <f>M16*D16*E16</f>
        <v>0.04</v>
      </c>
      <c r="O16" s="31"/>
    </row>
    <row r="17" spans="1:15" x14ac:dyDescent="0.25">
      <c r="A17" s="10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13" t="s">
        <v>0</v>
      </c>
      <c r="N17" s="15">
        <f>SUM(N16:N16)</f>
        <v>0.04</v>
      </c>
      <c r="O17" s="6"/>
    </row>
    <row r="18" spans="1:15" x14ac:dyDescent="0.25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6"/>
    </row>
    <row r="19" spans="1:15" s="30" customFormat="1" x14ac:dyDescent="0.25">
      <c r="A19" s="13" t="s">
        <v>11</v>
      </c>
      <c r="B19" s="13" t="s">
        <v>55</v>
      </c>
      <c r="C19" s="13" t="s">
        <v>9</v>
      </c>
      <c r="D19" s="13" t="s">
        <v>8</v>
      </c>
      <c r="E19" s="13" t="s">
        <v>7</v>
      </c>
      <c r="F19" s="13" t="s">
        <v>6</v>
      </c>
      <c r="G19" s="13" t="s">
        <v>54</v>
      </c>
      <c r="H19" s="13" t="s">
        <v>53</v>
      </c>
      <c r="I19" s="13" t="s">
        <v>0</v>
      </c>
      <c r="J19" s="7"/>
      <c r="K19" s="7"/>
      <c r="L19" s="7"/>
      <c r="M19" s="7"/>
      <c r="N19" s="7"/>
      <c r="O19" s="31"/>
    </row>
    <row r="20" spans="1:15" x14ac:dyDescent="0.25">
      <c r="A20" s="12">
        <v>10</v>
      </c>
      <c r="B20" s="12" t="s">
        <v>51</v>
      </c>
      <c r="C20" s="12" t="s">
        <v>176</v>
      </c>
      <c r="D20" s="11">
        <v>0.15</v>
      </c>
      <c r="E20" s="12" t="s">
        <v>49</v>
      </c>
      <c r="F20" s="29">
        <v>8</v>
      </c>
      <c r="G20" s="29"/>
      <c r="H20" s="29"/>
      <c r="I20" s="11">
        <f>IF(H20="",D20*F20,D20*F20*H20)</f>
        <v>1.2</v>
      </c>
      <c r="J20" s="2"/>
      <c r="K20" s="2"/>
      <c r="L20" s="2"/>
      <c r="M20" s="2"/>
      <c r="N20" s="2"/>
      <c r="O20" s="6"/>
    </row>
    <row r="21" spans="1:15" x14ac:dyDescent="0.25">
      <c r="A21" s="12">
        <v>20</v>
      </c>
      <c r="B21" s="26" t="s">
        <v>47</v>
      </c>
      <c r="C21" s="12" t="s">
        <v>175</v>
      </c>
      <c r="D21" s="11">
        <v>5.25</v>
      </c>
      <c r="E21" s="26" t="s">
        <v>45</v>
      </c>
      <c r="F21" s="206">
        <v>4.0000000000000001E-3</v>
      </c>
      <c r="G21" s="12"/>
      <c r="H21" s="12">
        <v>2</v>
      </c>
      <c r="I21" s="11">
        <f>IF(H21="",D21*F21,D21*F21*H21)</f>
        <v>4.2000000000000003E-2</v>
      </c>
      <c r="J21" s="2"/>
      <c r="K21" s="2"/>
      <c r="L21" s="2"/>
      <c r="M21" s="2"/>
      <c r="N21" s="2"/>
      <c r="O21" s="6"/>
    </row>
    <row r="22" spans="1:15" x14ac:dyDescent="0.25">
      <c r="A22" s="12">
        <v>30</v>
      </c>
      <c r="B22" s="26" t="s">
        <v>153</v>
      </c>
      <c r="C22" s="12" t="s">
        <v>173</v>
      </c>
      <c r="D22" s="11">
        <v>6.25E-2</v>
      </c>
      <c r="E22" s="12" t="s">
        <v>94</v>
      </c>
      <c r="F22" s="29">
        <v>1</v>
      </c>
      <c r="G22" s="12"/>
      <c r="H22" s="12"/>
      <c r="I22" s="11">
        <f>IF(H22="",D22*F22,D22*F22*H22)</f>
        <v>6.25E-2</v>
      </c>
      <c r="J22" s="2"/>
      <c r="K22" s="2"/>
      <c r="L22" s="2"/>
      <c r="M22" s="2"/>
      <c r="N22" s="2"/>
      <c r="O22" s="6"/>
    </row>
    <row r="23" spans="1:15" s="191" customFormat="1" x14ac:dyDescent="0.25">
      <c r="A23" s="12">
        <v>40</v>
      </c>
      <c r="B23" s="26" t="s">
        <v>228</v>
      </c>
      <c r="C23" s="12" t="s">
        <v>171</v>
      </c>
      <c r="D23" s="11">
        <v>0.5</v>
      </c>
      <c r="E23" s="12" t="s">
        <v>94</v>
      </c>
      <c r="F23" s="29">
        <v>2</v>
      </c>
      <c r="G23" s="12"/>
      <c r="H23" s="12"/>
      <c r="I23" s="11">
        <f>IF(H23="",D23*F23,D23*F23*H23)</f>
        <v>1</v>
      </c>
      <c r="J23" s="33"/>
      <c r="K23" s="33"/>
      <c r="L23" s="33"/>
      <c r="M23" s="33"/>
      <c r="N23" s="33"/>
      <c r="O23" s="192"/>
    </row>
    <row r="24" spans="1:15" s="30" customFormat="1" x14ac:dyDescent="0.25">
      <c r="A24" s="12">
        <v>50</v>
      </c>
      <c r="B24" s="12" t="s">
        <v>233</v>
      </c>
      <c r="C24" s="12" t="s">
        <v>171</v>
      </c>
      <c r="D24" s="11">
        <v>0.25</v>
      </c>
      <c r="E24" s="12" t="s">
        <v>94</v>
      </c>
      <c r="F24" s="29">
        <v>2</v>
      </c>
      <c r="G24" s="29"/>
      <c r="H24" s="29"/>
      <c r="I24" s="11">
        <f>IF(H24="",D24*F24,D24*F24*H24)</f>
        <v>0.5</v>
      </c>
      <c r="J24" s="33"/>
      <c r="K24" s="33"/>
      <c r="L24" s="33"/>
      <c r="M24" s="33"/>
      <c r="N24" s="33"/>
      <c r="O24" s="31"/>
    </row>
    <row r="25" spans="1:15" x14ac:dyDescent="0.25">
      <c r="A25" s="10"/>
      <c r="B25" s="7"/>
      <c r="C25" s="7"/>
      <c r="D25" s="7"/>
      <c r="E25" s="7"/>
      <c r="F25" s="7"/>
      <c r="G25" s="7"/>
      <c r="H25" s="16" t="s">
        <v>0</v>
      </c>
      <c r="I25" s="15">
        <f>SUM(I20:I24)</f>
        <v>2.8045</v>
      </c>
      <c r="J25" s="2"/>
      <c r="K25" s="2"/>
      <c r="L25" s="2"/>
      <c r="M25" s="2"/>
      <c r="N25" s="2"/>
      <c r="O25" s="6"/>
    </row>
    <row r="26" spans="1:15" x14ac:dyDescent="0.25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6"/>
    </row>
    <row r="27" spans="1:15" x14ac:dyDescent="0.25">
      <c r="A27" s="13" t="s">
        <v>11</v>
      </c>
      <c r="B27" s="13" t="s">
        <v>21</v>
      </c>
      <c r="C27" s="13" t="s">
        <v>9</v>
      </c>
      <c r="D27" s="13" t="s">
        <v>8</v>
      </c>
      <c r="E27" s="13" t="s">
        <v>20</v>
      </c>
      <c r="F27" s="13" t="s">
        <v>19</v>
      </c>
      <c r="G27" s="13" t="s">
        <v>18</v>
      </c>
      <c r="H27" s="13" t="s">
        <v>17</v>
      </c>
      <c r="I27" s="13" t="s">
        <v>6</v>
      </c>
      <c r="J27" s="13" t="s">
        <v>0</v>
      </c>
      <c r="K27" s="2"/>
      <c r="L27" s="2"/>
      <c r="M27" s="2"/>
      <c r="N27" s="2"/>
      <c r="O27" s="6"/>
    </row>
    <row r="28" spans="1:15" x14ac:dyDescent="0.25">
      <c r="A28" s="12">
        <v>10</v>
      </c>
      <c r="B28" s="12" t="s">
        <v>170</v>
      </c>
      <c r="C28" s="12" t="s">
        <v>167</v>
      </c>
      <c r="D28" s="107">
        <v>0.1</v>
      </c>
      <c r="E28" s="106">
        <v>6</v>
      </c>
      <c r="F28" s="106" t="s">
        <v>12</v>
      </c>
      <c r="G28" s="106">
        <v>45</v>
      </c>
      <c r="H28" s="106" t="s">
        <v>12</v>
      </c>
      <c r="I28" s="41">
        <v>4</v>
      </c>
      <c r="J28" s="11">
        <f>I28*D28</f>
        <v>0.4</v>
      </c>
      <c r="K28" s="2"/>
      <c r="L28" s="2"/>
      <c r="M28" s="2"/>
      <c r="N28" s="2"/>
      <c r="O28" s="6"/>
    </row>
    <row r="29" spans="1:15" x14ac:dyDescent="0.25">
      <c r="A29" s="12">
        <v>20</v>
      </c>
      <c r="B29" s="12" t="s">
        <v>169</v>
      </c>
      <c r="C29" s="12" t="s">
        <v>167</v>
      </c>
      <c r="D29" s="107">
        <v>0.03</v>
      </c>
      <c r="E29" s="106">
        <v>6</v>
      </c>
      <c r="F29" s="106" t="s">
        <v>12</v>
      </c>
      <c r="G29" s="106"/>
      <c r="H29" s="106"/>
      <c r="I29" s="41">
        <v>4</v>
      </c>
      <c r="J29" s="11">
        <f>I29*D29</f>
        <v>0.12</v>
      </c>
      <c r="K29" s="2"/>
      <c r="L29" s="2"/>
      <c r="M29" s="2"/>
      <c r="N29" s="2"/>
      <c r="O29" s="6"/>
    </row>
    <row r="30" spans="1:15" x14ac:dyDescent="0.25">
      <c r="A30" s="12">
        <v>20</v>
      </c>
      <c r="B30" s="12" t="s">
        <v>168</v>
      </c>
      <c r="C30" s="12" t="s">
        <v>167</v>
      </c>
      <c r="D30" s="107">
        <v>0.01</v>
      </c>
      <c r="E30" s="12">
        <v>1</v>
      </c>
      <c r="F30" s="205" t="s">
        <v>94</v>
      </c>
      <c r="G30" s="12"/>
      <c r="H30" s="12"/>
      <c r="I30" s="41">
        <v>4</v>
      </c>
      <c r="J30" s="11">
        <f>I30*D30</f>
        <v>0.04</v>
      </c>
      <c r="K30" s="2"/>
      <c r="L30" s="2"/>
      <c r="M30" s="2"/>
      <c r="N30" s="2"/>
      <c r="O30" s="6"/>
    </row>
    <row r="31" spans="1:15" x14ac:dyDescent="0.25">
      <c r="A31" s="10"/>
      <c r="B31" s="7"/>
      <c r="C31" s="7"/>
      <c r="D31" s="7"/>
      <c r="E31" s="7"/>
      <c r="F31" s="7"/>
      <c r="G31" s="7"/>
      <c r="H31" s="7"/>
      <c r="I31" s="16" t="s">
        <v>0</v>
      </c>
      <c r="J31" s="15">
        <f>SUM(J28:J30)</f>
        <v>0.56000000000000005</v>
      </c>
      <c r="K31" s="2"/>
      <c r="L31" s="2"/>
      <c r="M31" s="2"/>
      <c r="N31" s="2"/>
      <c r="O31" s="6"/>
    </row>
    <row r="32" spans="1:15" x14ac:dyDescent="0.25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6"/>
    </row>
    <row r="33" spans="1:15" x14ac:dyDescent="0.25">
      <c r="A33" s="13" t="s">
        <v>11</v>
      </c>
      <c r="B33" s="13" t="s">
        <v>10</v>
      </c>
      <c r="C33" s="13" t="s">
        <v>9</v>
      </c>
      <c r="D33" s="13" t="s">
        <v>8</v>
      </c>
      <c r="E33" s="13" t="s">
        <v>7</v>
      </c>
      <c r="F33" s="13" t="s">
        <v>6</v>
      </c>
      <c r="G33" s="13" t="s">
        <v>5</v>
      </c>
      <c r="H33" s="13" t="s">
        <v>4</v>
      </c>
      <c r="I33" s="13" t="s">
        <v>0</v>
      </c>
      <c r="J33" s="7"/>
      <c r="K33" s="2"/>
      <c r="L33" s="2"/>
      <c r="M33" s="2"/>
      <c r="N33" s="2"/>
      <c r="O33" s="6"/>
    </row>
    <row r="34" spans="1:15" x14ac:dyDescent="0.25">
      <c r="A34" s="12">
        <v>10</v>
      </c>
      <c r="B34" s="12" t="s">
        <v>3</v>
      </c>
      <c r="C34" s="12" t="s">
        <v>166</v>
      </c>
      <c r="D34" s="11">
        <v>500</v>
      </c>
      <c r="E34" s="12" t="s">
        <v>1</v>
      </c>
      <c r="F34" s="12">
        <v>8</v>
      </c>
      <c r="G34" s="12">
        <v>3000</v>
      </c>
      <c r="H34" s="12">
        <v>1</v>
      </c>
      <c r="I34" s="11">
        <f>D34*F34/G34*H34</f>
        <v>1.3333333333333333</v>
      </c>
      <c r="J34" s="7"/>
      <c r="K34" s="2"/>
      <c r="L34" s="2"/>
      <c r="M34" s="2"/>
      <c r="N34" s="2"/>
      <c r="O34" s="6"/>
    </row>
    <row r="35" spans="1:15" x14ac:dyDescent="0.25">
      <c r="A35" s="10"/>
      <c r="B35" s="7"/>
      <c r="C35" s="7"/>
      <c r="D35" s="7"/>
      <c r="E35" s="7"/>
      <c r="F35" s="7"/>
      <c r="G35" s="7"/>
      <c r="H35" s="9" t="s">
        <v>0</v>
      </c>
      <c r="I35" s="8">
        <f>SUM(I34:I34)</f>
        <v>1.3333333333333333</v>
      </c>
      <c r="J35" s="7"/>
      <c r="K35" s="2"/>
      <c r="L35" s="2"/>
      <c r="M35" s="2"/>
      <c r="N35" s="2"/>
      <c r="O35" s="6"/>
    </row>
    <row r="36" spans="1:15" ht="15.75" thickBot="1" x14ac:dyDescent="0.3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3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</sheetData>
  <hyperlinks>
    <hyperlink ref="B10" location="MS_04001" display="Seat" xr:uid="{00000000-0004-0000-1500-000000000000}"/>
    <hyperlink ref="B11" location="MS_04002" display="Rear seat bracket" xr:uid="{00000000-0004-0000-1500-000001000000}"/>
    <hyperlink ref="B12" location="MS_04003" display="Front seat bracket" xr:uid="{00000000-0004-0000-1500-000002000000}"/>
    <hyperlink ref="E2" location="MS_A0400_BOM" display="Back to BOM" xr:uid="{00000000-0004-0000-1500-000003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6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7" tint="0.59999389629810485"/>
    <pageSetUpPr fitToPage="1"/>
  </sheetPr>
  <dimension ref="A1:O31"/>
  <sheetViews>
    <sheetView topLeftCell="B1" zoomScale="90" zoomScaleNormal="90" workbookViewId="0">
      <selection activeCell="G2" sqref="G2"/>
    </sheetView>
  </sheetViews>
  <sheetFormatPr baseColWidth="10" defaultColWidth="9.140625" defaultRowHeight="15" x14ac:dyDescent="0.25"/>
  <cols>
    <col min="1" max="1" width="9.140625" style="1"/>
    <col min="2" max="2" width="30.42578125" style="1" customWidth="1"/>
    <col min="3" max="3" width="19.5703125" style="1" customWidth="1"/>
    <col min="4" max="4" width="12.140625" style="1" bestFit="1" customWidth="1"/>
    <col min="5" max="5" width="6.85546875" style="1" customWidth="1"/>
    <col min="6" max="6" width="9.140625" style="1"/>
    <col min="7" max="7" width="14" style="1" customWidth="1"/>
    <col min="8" max="14" width="9.140625" style="1"/>
    <col min="15" max="15" width="3.140625" style="1" customWidth="1"/>
    <col min="16" max="16384" width="9.140625" style="1"/>
  </cols>
  <sheetData>
    <row r="1" spans="1:15" x14ac:dyDescent="0.25">
      <c r="A1" s="135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3"/>
    </row>
    <row r="2" spans="1:15" x14ac:dyDescent="0.25">
      <c r="A2" s="132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MS_04001_m+MS_04001_p+MS_04001_t</f>
        <v>74.600000000000009</v>
      </c>
      <c r="O2" s="118"/>
    </row>
    <row r="3" spans="1:15" x14ac:dyDescent="0.25">
      <c r="A3" s="132" t="s">
        <v>84</v>
      </c>
      <c r="B3" s="38" t="str">
        <f>'MS A0400'!B3</f>
        <v>Miscellaneous, Finish &amp; Assembly</v>
      </c>
      <c r="C3" s="2"/>
      <c r="D3" s="69" t="s">
        <v>80</v>
      </c>
      <c r="E3" s="72"/>
      <c r="F3" s="2"/>
      <c r="G3" s="2"/>
      <c r="H3" s="2"/>
      <c r="I3" s="2"/>
      <c r="J3" s="2"/>
      <c r="K3" s="2"/>
      <c r="L3" s="2"/>
      <c r="M3" s="69" t="s">
        <v>83</v>
      </c>
      <c r="N3" s="41">
        <v>1</v>
      </c>
      <c r="O3" s="118"/>
    </row>
    <row r="4" spans="1:15" x14ac:dyDescent="0.25">
      <c r="A4" s="132" t="s">
        <v>82</v>
      </c>
      <c r="B4" s="72" t="str">
        <f>'MS A0400'!B4</f>
        <v>Driver's seat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118"/>
    </row>
    <row r="5" spans="1:15" x14ac:dyDescent="0.25">
      <c r="A5" s="132" t="s">
        <v>71</v>
      </c>
      <c r="B5" s="40" t="s">
        <v>180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74.600000000000009</v>
      </c>
      <c r="O5" s="118"/>
    </row>
    <row r="6" spans="1:15" x14ac:dyDescent="0.25">
      <c r="A6" s="132" t="s">
        <v>79</v>
      </c>
      <c r="B6" s="71" t="s">
        <v>200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118"/>
    </row>
    <row r="7" spans="1:15" x14ac:dyDescent="0.25">
      <c r="A7" s="132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18"/>
    </row>
    <row r="8" spans="1:15" x14ac:dyDescent="0.25">
      <c r="A8" s="132" t="s">
        <v>73</v>
      </c>
      <c r="B8" s="3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18"/>
    </row>
    <row r="9" spans="1:15" x14ac:dyDescent="0.25">
      <c r="A9" s="131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118"/>
    </row>
    <row r="10" spans="1:15" x14ac:dyDescent="0.25">
      <c r="A10" s="130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118"/>
    </row>
    <row r="11" spans="1:15" s="58" customFormat="1" x14ac:dyDescent="0.25">
      <c r="A11" s="125">
        <v>10</v>
      </c>
      <c r="B11" s="89" t="s">
        <v>199</v>
      </c>
      <c r="C11" s="88" t="s">
        <v>198</v>
      </c>
      <c r="D11" s="81">
        <v>100</v>
      </c>
      <c r="E11" s="292">
        <v>0.09</v>
      </c>
      <c r="F11" s="88" t="s">
        <v>97</v>
      </c>
      <c r="G11" s="88"/>
      <c r="H11" s="87"/>
      <c r="I11" s="86"/>
      <c r="J11" s="103"/>
      <c r="K11" s="84"/>
      <c r="L11" s="83"/>
      <c r="M11" s="383">
        <v>2</v>
      </c>
      <c r="N11" s="81">
        <f>IF(J11="",D11*M11*E11,D11*J11*K11*L11*M11)</f>
        <v>18</v>
      </c>
      <c r="O11" s="124"/>
    </row>
    <row r="12" spans="1:15" s="58" customFormat="1" x14ac:dyDescent="0.25">
      <c r="A12" s="408">
        <v>20</v>
      </c>
      <c r="B12" s="398" t="s">
        <v>230</v>
      </c>
      <c r="C12" s="399" t="s">
        <v>231</v>
      </c>
      <c r="D12" s="400">
        <v>0.05</v>
      </c>
      <c r="E12" s="401"/>
      <c r="F12" s="401" t="s">
        <v>94</v>
      </c>
      <c r="G12" s="401"/>
      <c r="H12" s="402"/>
      <c r="I12" s="403"/>
      <c r="J12" s="404"/>
      <c r="K12" s="405"/>
      <c r="L12" s="406"/>
      <c r="M12" s="407">
        <v>16</v>
      </c>
      <c r="N12" s="400">
        <f>IF(J12="",D12*M12,D12*J12*K12*L12*M12)</f>
        <v>0.8</v>
      </c>
      <c r="O12" s="124"/>
    </row>
    <row r="13" spans="1:15" x14ac:dyDescent="0.25">
      <c r="A13" s="11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80" t="s">
        <v>0</v>
      </c>
      <c r="N13" s="47">
        <f>SUM(N11:N12)</f>
        <v>18.8</v>
      </c>
      <c r="O13" s="118"/>
    </row>
    <row r="14" spans="1:15" x14ac:dyDescent="0.25">
      <c r="A14" s="123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2"/>
      <c r="N14" s="2"/>
      <c r="O14" s="118"/>
    </row>
    <row r="15" spans="1:15" x14ac:dyDescent="0.25">
      <c r="A15" s="11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18"/>
    </row>
    <row r="16" spans="1:15" x14ac:dyDescent="0.25">
      <c r="A16" s="122" t="s">
        <v>11</v>
      </c>
      <c r="B16" s="78" t="s">
        <v>55</v>
      </c>
      <c r="C16" s="78" t="s">
        <v>9</v>
      </c>
      <c r="D16" s="78" t="s">
        <v>8</v>
      </c>
      <c r="E16" s="78" t="s">
        <v>7</v>
      </c>
      <c r="F16" s="78" t="s">
        <v>6</v>
      </c>
      <c r="G16" s="78" t="s">
        <v>54</v>
      </c>
      <c r="H16" s="78" t="s">
        <v>53</v>
      </c>
      <c r="I16" s="78" t="s">
        <v>0</v>
      </c>
      <c r="J16" s="7"/>
      <c r="K16" s="7"/>
      <c r="L16" s="7"/>
      <c r="M16" s="7"/>
      <c r="N16" s="7"/>
      <c r="O16" s="118"/>
    </row>
    <row r="17" spans="1:15" s="30" customFormat="1" ht="15" customHeight="1" x14ac:dyDescent="0.25">
      <c r="A17" s="121">
        <v>10</v>
      </c>
      <c r="B17" s="92" t="s">
        <v>157</v>
      </c>
      <c r="C17" s="99" t="s">
        <v>197</v>
      </c>
      <c r="D17" s="98">
        <v>0.06</v>
      </c>
      <c r="E17" s="92" t="s">
        <v>49</v>
      </c>
      <c r="F17" s="99">
        <v>190</v>
      </c>
      <c r="G17" s="99" t="s">
        <v>174</v>
      </c>
      <c r="H17" s="99">
        <v>2</v>
      </c>
      <c r="I17" s="98">
        <f t="shared" ref="I17:I23" si="0">IF(H17="",D17*F17,D17*F17*H17)</f>
        <v>22.8</v>
      </c>
      <c r="J17" s="52"/>
      <c r="K17" s="52"/>
      <c r="L17" s="52"/>
      <c r="M17" s="52"/>
      <c r="N17" s="52"/>
      <c r="O17" s="120"/>
    </row>
    <row r="18" spans="1:15" s="30" customFormat="1" ht="15" customHeight="1" x14ac:dyDescent="0.25">
      <c r="A18" s="121">
        <f>A17+10</f>
        <v>20</v>
      </c>
      <c r="B18" s="92" t="s">
        <v>196</v>
      </c>
      <c r="C18" s="99"/>
      <c r="D18" s="98">
        <v>35</v>
      </c>
      <c r="E18" s="92" t="s">
        <v>45</v>
      </c>
      <c r="F18" s="99">
        <v>0.36</v>
      </c>
      <c r="G18" s="99" t="s">
        <v>174</v>
      </c>
      <c r="H18" s="99">
        <v>2</v>
      </c>
      <c r="I18" s="98">
        <f t="shared" si="0"/>
        <v>25.2</v>
      </c>
      <c r="J18" s="52"/>
      <c r="K18" s="52"/>
      <c r="L18" s="52"/>
      <c r="M18" s="52"/>
      <c r="N18" s="52"/>
      <c r="O18" s="120"/>
    </row>
    <row r="19" spans="1:15" s="30" customFormat="1" ht="15" customHeight="1" x14ac:dyDescent="0.25">
      <c r="A19" s="121">
        <f>A18+10</f>
        <v>30</v>
      </c>
      <c r="B19" s="92" t="s">
        <v>195</v>
      </c>
      <c r="C19" s="99"/>
      <c r="D19" s="98">
        <v>5</v>
      </c>
      <c r="E19" s="92" t="s">
        <v>45</v>
      </c>
      <c r="F19" s="99">
        <v>0.36</v>
      </c>
      <c r="G19" s="99" t="s">
        <v>174</v>
      </c>
      <c r="H19" s="99">
        <v>2</v>
      </c>
      <c r="I19" s="98">
        <f t="shared" si="0"/>
        <v>3.5999999999999996</v>
      </c>
      <c r="J19" s="52"/>
      <c r="K19" s="52"/>
      <c r="L19" s="52"/>
      <c r="M19" s="52"/>
      <c r="N19" s="52"/>
      <c r="O19" s="120"/>
    </row>
    <row r="20" spans="1:15" s="30" customFormat="1" ht="15" customHeight="1" x14ac:dyDescent="0.25">
      <c r="A20" s="121">
        <f>A19+10</f>
        <v>40</v>
      </c>
      <c r="B20" s="92" t="s">
        <v>194</v>
      </c>
      <c r="C20" s="99" t="s">
        <v>193</v>
      </c>
      <c r="D20" s="98">
        <v>1.4</v>
      </c>
      <c r="E20" s="92" t="s">
        <v>192</v>
      </c>
      <c r="F20" s="99">
        <v>1</v>
      </c>
      <c r="G20" s="99"/>
      <c r="H20" s="99"/>
      <c r="I20" s="98">
        <f t="shared" si="0"/>
        <v>1.4</v>
      </c>
      <c r="J20" s="52"/>
      <c r="K20" s="52"/>
      <c r="L20" s="52"/>
      <c r="M20" s="52"/>
      <c r="N20" s="52"/>
      <c r="O20" s="120"/>
    </row>
    <row r="21" spans="1:15" s="30" customFormat="1" ht="15" customHeight="1" x14ac:dyDescent="0.25">
      <c r="A21" s="121">
        <f>A20+10</f>
        <v>50</v>
      </c>
      <c r="B21" s="92" t="s">
        <v>191</v>
      </c>
      <c r="C21" s="99" t="s">
        <v>190</v>
      </c>
      <c r="D21" s="98">
        <v>0.2</v>
      </c>
      <c r="E21" s="92" t="s">
        <v>189</v>
      </c>
      <c r="F21" s="99">
        <v>1</v>
      </c>
      <c r="G21" s="99"/>
      <c r="H21" s="99"/>
      <c r="I21" s="98">
        <f t="shared" si="0"/>
        <v>0.2</v>
      </c>
      <c r="J21" s="52"/>
      <c r="K21" s="52"/>
      <c r="L21" s="52"/>
      <c r="M21" s="52"/>
      <c r="N21" s="52"/>
      <c r="O21" s="120"/>
    </row>
    <row r="22" spans="1:15" s="30" customFormat="1" ht="15" customHeight="1" x14ac:dyDescent="0.25">
      <c r="A22" s="121">
        <f>A21+10</f>
        <v>60</v>
      </c>
      <c r="B22" s="92" t="s">
        <v>188</v>
      </c>
      <c r="C22" s="99" t="s">
        <v>187</v>
      </c>
      <c r="D22" s="98">
        <v>0.35</v>
      </c>
      <c r="E22" s="92" t="s">
        <v>186</v>
      </c>
      <c r="F22" s="99">
        <v>4</v>
      </c>
      <c r="G22" s="99"/>
      <c r="H22" s="99"/>
      <c r="I22" s="98">
        <f t="shared" si="0"/>
        <v>1.4</v>
      </c>
      <c r="J22" s="52"/>
      <c r="K22" s="52"/>
      <c r="L22" s="52"/>
      <c r="M22" s="52"/>
      <c r="N22" s="52"/>
      <c r="O22" s="120"/>
    </row>
    <row r="23" spans="1:15" s="30" customFormat="1" ht="15" customHeight="1" x14ac:dyDescent="0.25">
      <c r="A23" s="412">
        <v>70</v>
      </c>
      <c r="B23" s="409" t="s">
        <v>28</v>
      </c>
      <c r="C23" s="410" t="s">
        <v>232</v>
      </c>
      <c r="D23" s="411">
        <v>0.06</v>
      </c>
      <c r="E23" s="412" t="s">
        <v>7</v>
      </c>
      <c r="F23" s="413">
        <v>16</v>
      </c>
      <c r="G23" s="410"/>
      <c r="H23" s="410"/>
      <c r="I23" s="414">
        <f t="shared" si="0"/>
        <v>0.96</v>
      </c>
      <c r="J23" s="52"/>
      <c r="K23" s="52"/>
      <c r="L23" s="52"/>
      <c r="M23" s="52"/>
      <c r="N23" s="52"/>
      <c r="O23" s="120"/>
    </row>
    <row r="24" spans="1:15" x14ac:dyDescent="0.25">
      <c r="A24" s="119"/>
      <c r="B24" s="2"/>
      <c r="C24" s="2"/>
      <c r="D24" s="2"/>
      <c r="E24" s="2"/>
      <c r="F24" s="2"/>
      <c r="G24" s="2"/>
      <c r="H24" s="80" t="s">
        <v>0</v>
      </c>
      <c r="I24" s="47">
        <f>SUM(I17:I22)</f>
        <v>54.6</v>
      </c>
      <c r="J24" s="2"/>
      <c r="K24" s="2"/>
      <c r="L24" s="2"/>
      <c r="M24" s="2"/>
      <c r="N24" s="2"/>
      <c r="O24" s="118"/>
    </row>
    <row r="25" spans="1:15" x14ac:dyDescent="0.25">
      <c r="A25" s="119"/>
      <c r="B25" s="2"/>
      <c r="C25" s="2"/>
      <c r="D25" s="2"/>
      <c r="E25" s="2"/>
      <c r="F25" s="2"/>
      <c r="G25" s="2"/>
      <c r="H25" s="109"/>
      <c r="I25" s="108"/>
      <c r="J25" s="19"/>
      <c r="K25" s="2"/>
      <c r="L25" s="2"/>
      <c r="M25" s="2"/>
      <c r="N25" s="2"/>
      <c r="O25" s="118"/>
    </row>
    <row r="26" spans="1:15" x14ac:dyDescent="0.25">
      <c r="A26" s="119"/>
      <c r="B26" s="2"/>
      <c r="C26" s="2"/>
      <c r="D26" s="2"/>
      <c r="E26" s="2"/>
      <c r="F26" s="2"/>
      <c r="G26" s="2"/>
      <c r="H26" s="109"/>
      <c r="I26" s="108"/>
      <c r="J26" s="19"/>
      <c r="K26" s="2"/>
      <c r="L26" s="2"/>
      <c r="M26" s="2"/>
      <c r="N26" s="2"/>
      <c r="O26" s="118"/>
    </row>
    <row r="27" spans="1:15" x14ac:dyDescent="0.25">
      <c r="A27" s="393" t="s">
        <v>11</v>
      </c>
      <c r="B27" s="394" t="s">
        <v>10</v>
      </c>
      <c r="C27" s="394" t="s">
        <v>9</v>
      </c>
      <c r="D27" s="394" t="s">
        <v>8</v>
      </c>
      <c r="E27" s="394" t="s">
        <v>7</v>
      </c>
      <c r="F27" s="394" t="s">
        <v>6</v>
      </c>
      <c r="G27" s="394" t="s">
        <v>5</v>
      </c>
      <c r="H27" s="394" t="s">
        <v>4</v>
      </c>
      <c r="I27" s="394" t="s">
        <v>0</v>
      </c>
      <c r="J27" s="19"/>
      <c r="K27" s="2"/>
      <c r="L27" s="2"/>
      <c r="M27" s="2"/>
      <c r="N27" s="2"/>
      <c r="O27" s="118"/>
    </row>
    <row r="28" spans="1:15" x14ac:dyDescent="0.25">
      <c r="A28" s="217">
        <v>10</v>
      </c>
      <c r="B28" s="12" t="s">
        <v>185</v>
      </c>
      <c r="C28" s="12" t="s">
        <v>184</v>
      </c>
      <c r="D28" s="11">
        <v>10000</v>
      </c>
      <c r="E28" s="12" t="s">
        <v>45</v>
      </c>
      <c r="F28" s="12">
        <v>0.36</v>
      </c>
      <c r="G28" s="12">
        <v>3000</v>
      </c>
      <c r="H28" s="12">
        <v>1</v>
      </c>
      <c r="I28" s="11">
        <f>D28*F28/G28*H28</f>
        <v>1.2</v>
      </c>
      <c r="J28" s="19"/>
      <c r="K28" s="2"/>
      <c r="L28" s="2"/>
      <c r="M28" s="2"/>
      <c r="N28" s="2"/>
      <c r="O28" s="118"/>
    </row>
    <row r="29" spans="1:15" x14ac:dyDescent="0.25">
      <c r="A29" s="123"/>
      <c r="B29" s="7"/>
      <c r="C29" s="7"/>
      <c r="D29" s="7"/>
      <c r="E29" s="7"/>
      <c r="F29" s="7"/>
      <c r="G29" s="7"/>
      <c r="H29" s="395" t="s">
        <v>0</v>
      </c>
      <c r="I29" s="396">
        <f>SUM(I28:I28)</f>
        <v>1.2</v>
      </c>
      <c r="J29" s="19"/>
      <c r="K29" s="2"/>
      <c r="L29" s="2"/>
      <c r="M29" s="2"/>
      <c r="N29" s="2"/>
      <c r="O29" s="118"/>
    </row>
    <row r="30" spans="1:15" x14ac:dyDescent="0.25">
      <c r="A30" s="119"/>
      <c r="B30" s="2"/>
      <c r="C30" s="2"/>
      <c r="D30" s="2"/>
      <c r="E30" s="2"/>
      <c r="F30" s="2"/>
      <c r="G30" s="2"/>
      <c r="H30" s="109"/>
      <c r="I30" s="108"/>
      <c r="J30" s="19"/>
      <c r="K30" s="2"/>
      <c r="L30" s="2"/>
      <c r="M30" s="2"/>
      <c r="N30" s="2"/>
      <c r="O30" s="118"/>
    </row>
    <row r="31" spans="1:15" ht="15.75" thickBot="1" x14ac:dyDescent="0.3">
      <c r="A31" s="117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5"/>
    </row>
  </sheetData>
  <hyperlinks>
    <hyperlink ref="G2" location="MS_04001_BOM" display="Back to BOM" xr:uid="{00000000-0004-0000-1600-000000000000}"/>
    <hyperlink ref="B4" location="MS_A0400" display="MS_A0400" xr:uid="{00000000-0004-0000-16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1" manualBreakCount="1">
    <brk id="67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7" tint="0.59999389629810485"/>
  </sheetPr>
  <dimension ref="A1:O21"/>
  <sheetViews>
    <sheetView zoomScale="85" zoomScaleNormal="85" workbookViewId="0">
      <selection activeCell="B6" sqref="B6"/>
    </sheetView>
  </sheetViews>
  <sheetFormatPr baseColWidth="10" defaultColWidth="9.140625" defaultRowHeight="15" x14ac:dyDescent="0.25"/>
  <cols>
    <col min="1" max="1" width="10.28515625" style="1" bestFit="1" customWidth="1"/>
    <col min="2" max="2" width="35.42578125" style="1" bestFit="1" customWidth="1"/>
    <col min="3" max="3" width="21.85546875" style="1" bestFit="1" customWidth="1"/>
    <col min="4" max="4" width="8.85546875" style="1" bestFit="1" customWidth="1"/>
    <col min="5" max="5" width="8.42578125" style="1" bestFit="1" customWidth="1"/>
    <col min="6" max="6" width="8.7109375" style="1" bestFit="1" customWidth="1"/>
    <col min="7" max="7" width="30.5703125" style="1" bestFit="1" customWidth="1"/>
    <col min="8" max="8" width="9.7109375" style="1" bestFit="1" customWidth="1"/>
    <col min="9" max="9" width="10.85546875" style="1" bestFit="1" customWidth="1"/>
    <col min="10" max="10" width="8.85546875" style="1" bestFit="1" customWidth="1"/>
    <col min="11" max="11" width="7" style="1" bestFit="1" customWidth="1"/>
    <col min="12" max="12" width="7.7109375" style="1" bestFit="1" customWidth="1"/>
    <col min="13" max="13" width="13.7109375" style="1" bestFit="1" customWidth="1"/>
    <col min="14" max="14" width="9.140625" style="1"/>
    <col min="15" max="15" width="3.140625" style="1" customWidth="1"/>
    <col min="16" max="16384" width="9.140625" style="1"/>
  </cols>
  <sheetData>
    <row r="1" spans="1:15" x14ac:dyDescent="0.25">
      <c r="A1" s="135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3"/>
    </row>
    <row r="2" spans="1:15" x14ac:dyDescent="0.25">
      <c r="A2" s="132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MS_04002_m+MS_04002_p</f>
        <v>1.3249249999999999</v>
      </c>
      <c r="O2" s="118"/>
    </row>
    <row r="3" spans="1:15" x14ac:dyDescent="0.25">
      <c r="A3" s="132" t="s">
        <v>84</v>
      </c>
      <c r="B3" s="38" t="str">
        <f>'MS A0400'!B3</f>
        <v>Miscellaneous, Finish &amp; Assembly</v>
      </c>
      <c r="C3" s="2"/>
      <c r="D3" s="69" t="s">
        <v>80</v>
      </c>
      <c r="E3" s="72" t="s">
        <v>100</v>
      </c>
      <c r="F3" s="2"/>
      <c r="G3" s="2"/>
      <c r="H3" s="2"/>
      <c r="I3" s="2"/>
      <c r="J3" s="2"/>
      <c r="K3" s="2"/>
      <c r="L3" s="2"/>
      <c r="M3" s="69" t="s">
        <v>83</v>
      </c>
      <c r="N3" s="41">
        <v>2</v>
      </c>
      <c r="O3" s="118"/>
    </row>
    <row r="4" spans="1:15" x14ac:dyDescent="0.25">
      <c r="A4" s="132" t="s">
        <v>82</v>
      </c>
      <c r="B4" s="72" t="str">
        <f>'MS A0400'!B4</f>
        <v>Driver's seat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118"/>
    </row>
    <row r="5" spans="1:15" x14ac:dyDescent="0.25">
      <c r="A5" s="132" t="s">
        <v>71</v>
      </c>
      <c r="B5" s="40" t="s">
        <v>179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2.6498499999999998</v>
      </c>
      <c r="O5" s="118"/>
    </row>
    <row r="6" spans="1:15" x14ac:dyDescent="0.25">
      <c r="A6" s="132" t="s">
        <v>79</v>
      </c>
      <c r="B6" s="71" t="s">
        <v>206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118"/>
    </row>
    <row r="7" spans="1:15" x14ac:dyDescent="0.25">
      <c r="A7" s="132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18"/>
    </row>
    <row r="8" spans="1:15" x14ac:dyDescent="0.25">
      <c r="A8" s="132" t="s">
        <v>73</v>
      </c>
      <c r="B8" s="3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18"/>
    </row>
    <row r="9" spans="1:15" x14ac:dyDescent="0.25">
      <c r="A9" s="131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118"/>
    </row>
    <row r="10" spans="1:15" x14ac:dyDescent="0.25">
      <c r="A10" s="130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118"/>
    </row>
    <row r="11" spans="1:15" s="58" customFormat="1" x14ac:dyDescent="0.25">
      <c r="A11" s="125">
        <v>10</v>
      </c>
      <c r="B11" s="89" t="s">
        <v>205</v>
      </c>
      <c r="C11" s="88" t="s">
        <v>198</v>
      </c>
      <c r="D11" s="81">
        <v>2.25</v>
      </c>
      <c r="E11" s="86">
        <v>6.1000000000000004E-3</v>
      </c>
      <c r="F11" s="88" t="s">
        <v>97</v>
      </c>
      <c r="G11" s="88"/>
      <c r="H11" s="87"/>
      <c r="I11" s="86"/>
      <c r="J11" s="103"/>
      <c r="K11" s="84"/>
      <c r="L11" s="83"/>
      <c r="M11" s="383">
        <v>1</v>
      </c>
      <c r="N11" s="81">
        <f>IF(J11="",D11*M11*E11,D11*J11*K11*L11*M11)</f>
        <v>1.3725000000000001E-2</v>
      </c>
      <c r="O11" s="124"/>
    </row>
    <row r="12" spans="1:15" x14ac:dyDescent="0.25">
      <c r="A12" s="11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80" t="s">
        <v>0</v>
      </c>
      <c r="N12" s="47">
        <f>SUM(N11:N11)</f>
        <v>1.3725000000000001E-2</v>
      </c>
      <c r="O12" s="118"/>
    </row>
    <row r="13" spans="1:15" x14ac:dyDescent="0.25">
      <c r="A13" s="123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2"/>
      <c r="N13" s="2"/>
      <c r="O13" s="118"/>
    </row>
    <row r="14" spans="1:15" x14ac:dyDescent="0.25">
      <c r="A14" s="11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18"/>
    </row>
    <row r="15" spans="1:15" x14ac:dyDescent="0.25">
      <c r="A15" s="122" t="s">
        <v>11</v>
      </c>
      <c r="B15" s="78" t="s">
        <v>55</v>
      </c>
      <c r="C15" s="78" t="s">
        <v>9</v>
      </c>
      <c r="D15" s="78" t="s">
        <v>8</v>
      </c>
      <c r="E15" s="78" t="s">
        <v>7</v>
      </c>
      <c r="F15" s="78" t="s">
        <v>6</v>
      </c>
      <c r="G15" s="78" t="s">
        <v>54</v>
      </c>
      <c r="H15" s="78" t="s">
        <v>53</v>
      </c>
      <c r="I15" s="78" t="s">
        <v>0</v>
      </c>
      <c r="J15" s="7"/>
      <c r="K15" s="7"/>
      <c r="L15" s="7"/>
      <c r="M15" s="7"/>
      <c r="N15" s="7"/>
      <c r="O15" s="118"/>
    </row>
    <row r="16" spans="1:15" s="30" customFormat="1" ht="15" customHeight="1" x14ac:dyDescent="0.25">
      <c r="A16" s="121">
        <v>10</v>
      </c>
      <c r="B16" s="92" t="s">
        <v>95</v>
      </c>
      <c r="C16" s="99" t="s">
        <v>204</v>
      </c>
      <c r="D16" s="98">
        <v>1.3</v>
      </c>
      <c r="E16" s="92" t="s">
        <v>94</v>
      </c>
      <c r="F16" s="99">
        <v>1</v>
      </c>
      <c r="G16" s="99" t="s">
        <v>203</v>
      </c>
      <c r="H16" s="99">
        <v>0.5</v>
      </c>
      <c r="I16" s="98">
        <f>IF(H16="",D16*F16,D16*F16*H16)</f>
        <v>0.65</v>
      </c>
      <c r="J16" s="52"/>
      <c r="K16" s="52"/>
      <c r="L16" s="52"/>
      <c r="M16" s="52"/>
      <c r="N16" s="52"/>
      <c r="O16" s="120"/>
    </row>
    <row r="17" spans="1:15" s="30" customFormat="1" ht="15" customHeight="1" x14ac:dyDescent="0.25">
      <c r="A17" s="121">
        <f>A16+10</f>
        <v>20</v>
      </c>
      <c r="B17" s="92" t="s">
        <v>93</v>
      </c>
      <c r="C17" s="99" t="s">
        <v>202</v>
      </c>
      <c r="D17" s="98">
        <v>0.01</v>
      </c>
      <c r="E17" s="92" t="s">
        <v>49</v>
      </c>
      <c r="F17" s="211">
        <v>22.04</v>
      </c>
      <c r="G17" s="99" t="s">
        <v>201</v>
      </c>
      <c r="H17" s="99">
        <v>3</v>
      </c>
      <c r="I17" s="98">
        <f>IF(H17="",D17*F17,D17*F17*H17)</f>
        <v>0.66120000000000001</v>
      </c>
      <c r="J17" s="52"/>
      <c r="K17" s="52"/>
      <c r="L17" s="52"/>
      <c r="M17" s="52"/>
      <c r="N17" s="52"/>
      <c r="O17" s="120"/>
    </row>
    <row r="18" spans="1:15" x14ac:dyDescent="0.25">
      <c r="A18" s="119"/>
      <c r="B18" s="2"/>
      <c r="C18" s="2"/>
      <c r="D18" s="2"/>
      <c r="E18" s="2"/>
      <c r="F18" s="2"/>
      <c r="G18" s="2"/>
      <c r="H18" s="80" t="s">
        <v>0</v>
      </c>
      <c r="I18" s="47">
        <f>SUM(I16:I17)</f>
        <v>1.3111999999999999</v>
      </c>
      <c r="J18" s="2"/>
      <c r="K18" s="2"/>
      <c r="L18" s="2"/>
      <c r="M18" s="2"/>
      <c r="N18" s="2"/>
      <c r="O18" s="118"/>
    </row>
    <row r="19" spans="1:15" x14ac:dyDescent="0.25">
      <c r="A19" s="119"/>
      <c r="B19" s="2"/>
      <c r="C19" s="2"/>
      <c r="D19" s="2"/>
      <c r="E19" s="2"/>
      <c r="F19" s="2"/>
      <c r="G19" s="2"/>
      <c r="H19" s="109"/>
      <c r="I19" s="108"/>
      <c r="J19" s="19"/>
      <c r="K19" s="2"/>
      <c r="L19" s="2"/>
      <c r="M19" s="2"/>
      <c r="N19" s="2"/>
      <c r="O19" s="118"/>
    </row>
    <row r="20" spans="1:15" ht="14.25" customHeight="1" x14ac:dyDescent="0.25">
      <c r="A20" s="119"/>
      <c r="B20" s="2"/>
      <c r="C20" s="2"/>
      <c r="D20" s="2"/>
      <c r="E20" s="2"/>
      <c r="F20" s="2"/>
      <c r="G20" s="2"/>
      <c r="H20" s="109"/>
      <c r="I20" s="108"/>
      <c r="J20" s="19"/>
      <c r="K20" s="2"/>
      <c r="L20" s="2"/>
      <c r="M20" s="2"/>
      <c r="N20" s="2"/>
      <c r="O20" s="118"/>
    </row>
    <row r="21" spans="1:15" ht="15.75" thickBot="1" x14ac:dyDescent="0.3">
      <c r="A21" s="117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5"/>
    </row>
  </sheetData>
  <hyperlinks>
    <hyperlink ref="B4" location="MS_A0400" display="MS_A0400" xr:uid="{00000000-0004-0000-1700-000000000000}"/>
    <hyperlink ref="G2" location="MS_04002_BOM" display="Back to BOM" xr:uid="{00000000-0004-0000-1700-000001000000}"/>
    <hyperlink ref="E3" location="'dMS 04002'!A1" display="Drawing" xr:uid="{C25B0F58-D299-47A0-A407-B00935189300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A756-9729-4447-B3B6-03EE41C88F7D}">
  <sheetPr>
    <tabColor theme="7" tint="0.59999389629810485"/>
  </sheetPr>
  <dimension ref="A1:B1"/>
  <sheetViews>
    <sheetView topLeftCell="A4" workbookViewId="0">
      <selection activeCell="K9" sqref="K9"/>
    </sheetView>
  </sheetViews>
  <sheetFormatPr baseColWidth="10" defaultRowHeight="15" x14ac:dyDescent="0.25"/>
  <cols>
    <col min="1" max="1" width="13.42578125" customWidth="1"/>
  </cols>
  <sheetData>
    <row r="1" spans="1:2" x14ac:dyDescent="0.25">
      <c r="A1" t="s">
        <v>243</v>
      </c>
      <c r="B1" s="73" t="str">
        <f>MS_04002</f>
        <v>MS 04002</v>
      </c>
    </row>
  </sheetData>
  <hyperlinks>
    <hyperlink ref="B1" location="MS_04002" display="MS_04002" xr:uid="{91DEC0D6-A23E-461A-8F46-680CFF9C39A1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7" tint="0.59999389629810485"/>
  </sheetPr>
  <dimension ref="A1:O21"/>
  <sheetViews>
    <sheetView zoomScale="85" zoomScaleNormal="85" workbookViewId="0">
      <selection activeCell="B6" sqref="B6"/>
    </sheetView>
  </sheetViews>
  <sheetFormatPr baseColWidth="10" defaultColWidth="9.140625" defaultRowHeight="15" x14ac:dyDescent="0.25"/>
  <cols>
    <col min="1" max="1" width="10.28515625" style="1" bestFit="1" customWidth="1"/>
    <col min="2" max="2" width="35.42578125" style="1" bestFit="1" customWidth="1"/>
    <col min="3" max="3" width="21.85546875" style="1" bestFit="1" customWidth="1"/>
    <col min="4" max="4" width="8.85546875" style="1" bestFit="1" customWidth="1"/>
    <col min="5" max="5" width="8.42578125" style="1" bestFit="1" customWidth="1"/>
    <col min="6" max="6" width="8.7109375" style="1" bestFit="1" customWidth="1"/>
    <col min="7" max="7" width="30.5703125" style="1" bestFit="1" customWidth="1"/>
    <col min="8" max="8" width="9.7109375" style="1" bestFit="1" customWidth="1"/>
    <col min="9" max="9" width="10.85546875" style="1" bestFit="1" customWidth="1"/>
    <col min="10" max="10" width="8.85546875" style="1" bestFit="1" customWidth="1"/>
    <col min="11" max="11" width="7" style="1" bestFit="1" customWidth="1"/>
    <col min="12" max="12" width="7.7109375" style="1" bestFit="1" customWidth="1"/>
    <col min="13" max="13" width="13.7109375" style="1" bestFit="1" customWidth="1"/>
    <col min="14" max="14" width="9.140625" style="1"/>
    <col min="15" max="15" width="3.140625" style="1" customWidth="1"/>
    <col min="16" max="16384" width="9.140625" style="1"/>
  </cols>
  <sheetData>
    <row r="1" spans="1:15" x14ac:dyDescent="0.25">
      <c r="A1" s="135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3"/>
    </row>
    <row r="2" spans="1:15" x14ac:dyDescent="0.25">
      <c r="A2" s="132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MS_04003_m+MS_04003_p</f>
        <v>1.1864450000000002</v>
      </c>
      <c r="O2" s="118"/>
    </row>
    <row r="3" spans="1:15" x14ac:dyDescent="0.25">
      <c r="A3" s="132" t="s">
        <v>84</v>
      </c>
      <c r="B3" s="38" t="str">
        <f>'MS A0400'!B3</f>
        <v>Miscellaneous, Finish &amp; Assembly</v>
      </c>
      <c r="C3" s="2"/>
      <c r="D3" s="69" t="s">
        <v>80</v>
      </c>
      <c r="E3" s="72" t="s">
        <v>100</v>
      </c>
      <c r="F3" s="2"/>
      <c r="G3" s="2"/>
      <c r="H3" s="2"/>
      <c r="I3" s="2"/>
      <c r="J3" s="2"/>
      <c r="K3" s="2"/>
      <c r="L3" s="2"/>
      <c r="M3" s="69" t="s">
        <v>83</v>
      </c>
      <c r="N3" s="41">
        <v>2</v>
      </c>
      <c r="O3" s="118"/>
    </row>
    <row r="4" spans="1:15" x14ac:dyDescent="0.25">
      <c r="A4" s="132" t="s">
        <v>82</v>
      </c>
      <c r="B4" s="72" t="str">
        <f>'MS A0400'!B4</f>
        <v>Driver's seat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118"/>
    </row>
    <row r="5" spans="1:15" x14ac:dyDescent="0.25">
      <c r="A5" s="132" t="s">
        <v>71</v>
      </c>
      <c r="B5" s="40" t="s">
        <v>178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2.3728900000000004</v>
      </c>
      <c r="O5" s="118"/>
    </row>
    <row r="6" spans="1:15" x14ac:dyDescent="0.25">
      <c r="A6" s="132" t="s">
        <v>79</v>
      </c>
      <c r="B6" s="71" t="s">
        <v>207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118"/>
    </row>
    <row r="7" spans="1:15" x14ac:dyDescent="0.25">
      <c r="A7" s="132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18"/>
    </row>
    <row r="8" spans="1:15" x14ac:dyDescent="0.25">
      <c r="A8" s="132" t="s">
        <v>73</v>
      </c>
      <c r="B8" s="3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18"/>
    </row>
    <row r="9" spans="1:15" x14ac:dyDescent="0.25">
      <c r="A9" s="131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118"/>
    </row>
    <row r="10" spans="1:15" x14ac:dyDescent="0.25">
      <c r="A10" s="130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118"/>
    </row>
    <row r="11" spans="1:15" s="58" customFormat="1" x14ac:dyDescent="0.25">
      <c r="A11" s="125">
        <v>10</v>
      </c>
      <c r="B11" s="89" t="s">
        <v>205</v>
      </c>
      <c r="C11" s="88" t="s">
        <v>198</v>
      </c>
      <c r="D11" s="81">
        <v>2.25</v>
      </c>
      <c r="E11" s="86">
        <v>8.5000000000000006E-3</v>
      </c>
      <c r="F11" s="88" t="s">
        <v>97</v>
      </c>
      <c r="G11" s="88"/>
      <c r="H11" s="87"/>
      <c r="I11" s="86"/>
      <c r="J11" s="103"/>
      <c r="K11" s="84"/>
      <c r="L11" s="83"/>
      <c r="M11" s="383">
        <v>1</v>
      </c>
      <c r="N11" s="81">
        <f>IF(J11="",D11*M11*E11,D11*J11*K11*L11*M11)</f>
        <v>1.9125000000000003E-2</v>
      </c>
      <c r="O11" s="124"/>
    </row>
    <row r="12" spans="1:15" x14ac:dyDescent="0.25">
      <c r="A12" s="11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80" t="s">
        <v>0</v>
      </c>
      <c r="N12" s="47">
        <f>SUM(N11:N11)</f>
        <v>1.9125000000000003E-2</v>
      </c>
      <c r="O12" s="118"/>
    </row>
    <row r="13" spans="1:15" x14ac:dyDescent="0.25">
      <c r="A13" s="123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2"/>
      <c r="N13" s="2"/>
      <c r="O13" s="118"/>
    </row>
    <row r="14" spans="1:15" x14ac:dyDescent="0.25">
      <c r="A14" s="11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18"/>
    </row>
    <row r="15" spans="1:15" x14ac:dyDescent="0.25">
      <c r="A15" s="122" t="s">
        <v>11</v>
      </c>
      <c r="B15" s="78" t="s">
        <v>55</v>
      </c>
      <c r="C15" s="78" t="s">
        <v>9</v>
      </c>
      <c r="D15" s="78" t="s">
        <v>8</v>
      </c>
      <c r="E15" s="78" t="s">
        <v>7</v>
      </c>
      <c r="F15" s="78" t="s">
        <v>6</v>
      </c>
      <c r="G15" s="78" t="s">
        <v>54</v>
      </c>
      <c r="H15" s="78" t="s">
        <v>53</v>
      </c>
      <c r="I15" s="78" t="s">
        <v>0</v>
      </c>
      <c r="J15" s="7"/>
      <c r="K15" s="7"/>
      <c r="L15" s="7"/>
      <c r="M15" s="7"/>
      <c r="N15" s="7"/>
      <c r="O15" s="118"/>
    </row>
    <row r="16" spans="1:15" s="30" customFormat="1" ht="15" customHeight="1" x14ac:dyDescent="0.25">
      <c r="A16" s="121">
        <v>10</v>
      </c>
      <c r="B16" s="92" t="s">
        <v>95</v>
      </c>
      <c r="C16" s="99" t="s">
        <v>204</v>
      </c>
      <c r="D16" s="98">
        <v>1.3</v>
      </c>
      <c r="E16" s="92" t="s">
        <v>94</v>
      </c>
      <c r="F16" s="99">
        <v>1</v>
      </c>
      <c r="G16" s="99" t="s">
        <v>203</v>
      </c>
      <c r="H16" s="99">
        <v>0.5</v>
      </c>
      <c r="I16" s="98">
        <f>IF(H16="",D16*F16,D16*F16*H16)</f>
        <v>0.65</v>
      </c>
      <c r="J16" s="52"/>
      <c r="K16" s="52"/>
      <c r="L16" s="52"/>
      <c r="M16" s="52"/>
      <c r="N16" s="52"/>
      <c r="O16" s="120"/>
    </row>
    <row r="17" spans="1:15" s="30" customFormat="1" ht="15" customHeight="1" x14ac:dyDescent="0.25">
      <c r="A17" s="121">
        <f>A16+10</f>
        <v>20</v>
      </c>
      <c r="B17" s="92" t="s">
        <v>93</v>
      </c>
      <c r="C17" s="99" t="s">
        <v>202</v>
      </c>
      <c r="D17" s="98">
        <v>0.01</v>
      </c>
      <c r="E17" s="92" t="s">
        <v>49</v>
      </c>
      <c r="F17" s="211">
        <v>17.244</v>
      </c>
      <c r="G17" s="99" t="s">
        <v>201</v>
      </c>
      <c r="H17" s="99">
        <v>3</v>
      </c>
      <c r="I17" s="98">
        <f>IF(H17="",D17*F17,D17*F17*H17)</f>
        <v>0.51732</v>
      </c>
      <c r="J17" s="52"/>
      <c r="K17" s="52"/>
      <c r="L17" s="52"/>
      <c r="M17" s="52"/>
      <c r="N17" s="52"/>
      <c r="O17" s="120"/>
    </row>
    <row r="18" spans="1:15" x14ac:dyDescent="0.25">
      <c r="A18" s="119"/>
      <c r="B18" s="2"/>
      <c r="C18" s="2"/>
      <c r="D18" s="2"/>
      <c r="E18" s="2"/>
      <c r="F18" s="2"/>
      <c r="G18" s="2"/>
      <c r="H18" s="80" t="s">
        <v>0</v>
      </c>
      <c r="I18" s="47">
        <f>SUM(I16:I17)</f>
        <v>1.1673200000000001</v>
      </c>
      <c r="J18" s="2"/>
      <c r="K18" s="2"/>
      <c r="L18" s="2"/>
      <c r="M18" s="2"/>
      <c r="N18" s="2"/>
      <c r="O18" s="118"/>
    </row>
    <row r="19" spans="1:15" x14ac:dyDescent="0.25">
      <c r="A19" s="119"/>
      <c r="B19" s="2"/>
      <c r="C19" s="2"/>
      <c r="D19" s="2"/>
      <c r="E19" s="2"/>
      <c r="F19" s="2"/>
      <c r="G19" s="2"/>
      <c r="H19" s="109"/>
      <c r="I19" s="108"/>
      <c r="J19" s="19"/>
      <c r="K19" s="2"/>
      <c r="L19" s="2"/>
      <c r="M19" s="2"/>
      <c r="N19" s="2"/>
      <c r="O19" s="118"/>
    </row>
    <row r="20" spans="1:15" ht="14.25" customHeight="1" x14ac:dyDescent="0.25">
      <c r="A20" s="119"/>
      <c r="B20" s="2"/>
      <c r="C20" s="2"/>
      <c r="D20" s="2"/>
      <c r="E20" s="2"/>
      <c r="F20" s="2"/>
      <c r="G20" s="2"/>
      <c r="H20" s="109"/>
      <c r="I20" s="108"/>
      <c r="J20" s="19"/>
      <c r="K20" s="2"/>
      <c r="L20" s="2"/>
      <c r="M20" s="2"/>
      <c r="N20" s="2"/>
      <c r="O20" s="118"/>
    </row>
    <row r="21" spans="1:15" ht="15.75" thickBot="1" x14ac:dyDescent="0.3">
      <c r="A21" s="117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5"/>
    </row>
  </sheetData>
  <hyperlinks>
    <hyperlink ref="G2" location="MS_04003_BOM" display="Back to BOM" xr:uid="{00000000-0004-0000-1800-000000000000}"/>
    <hyperlink ref="B4" location="MS_A0400" display="MS_A0400" xr:uid="{00000000-0004-0000-1800-000001000000}"/>
    <hyperlink ref="E3" location="'dMS 04003'!A1" display="Drawing" xr:uid="{DEE732F9-8C44-4885-A777-42B3DD9C5CEC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FAF3-BFE9-4105-BE39-27772709F2F8}">
  <sheetPr>
    <tabColor theme="7" tint="0.59999389629810485"/>
  </sheetPr>
  <dimension ref="A1:B1"/>
  <sheetViews>
    <sheetView workbookViewId="0">
      <selection activeCell="K13" sqref="K13"/>
    </sheetView>
  </sheetViews>
  <sheetFormatPr baseColWidth="10" defaultRowHeight="15" x14ac:dyDescent="0.25"/>
  <cols>
    <col min="1" max="1" width="13.42578125" customWidth="1"/>
  </cols>
  <sheetData>
    <row r="1" spans="1:2" x14ac:dyDescent="0.25">
      <c r="A1" t="s">
        <v>243</v>
      </c>
      <c r="B1" s="73" t="str">
        <f>MS_04003</f>
        <v>MS 04003</v>
      </c>
    </row>
  </sheetData>
  <hyperlinks>
    <hyperlink ref="B1" location="MS_04003" display="MS_04003" xr:uid="{8EB4F3BA-21CE-485E-B3D0-1892EAB77753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B1A0C7"/>
    <pageSetUpPr fitToPage="1"/>
  </sheetPr>
  <dimension ref="A1:O36"/>
  <sheetViews>
    <sheetView zoomScale="75" zoomScaleNormal="75" zoomScaleSheetLayoutView="80" workbookViewId="0">
      <selection activeCell="B5" sqref="B5"/>
    </sheetView>
  </sheetViews>
  <sheetFormatPr baseColWidth="10" defaultColWidth="9.140625" defaultRowHeight="15" x14ac:dyDescent="0.25"/>
  <cols>
    <col min="1" max="1" width="10.5703125" style="58" bestFit="1" customWidth="1"/>
    <col min="2" max="2" width="33.140625" style="58" bestFit="1" customWidth="1"/>
    <col min="3" max="3" width="25.7109375" style="58" bestFit="1" customWidth="1"/>
    <col min="4" max="4" width="9.85546875" style="58" customWidth="1"/>
    <col min="5" max="5" width="12.28515625" style="58" bestFit="1" customWidth="1"/>
    <col min="6" max="6" width="9.140625" style="58"/>
    <col min="7" max="7" width="14.85546875" style="58" bestFit="1" customWidth="1"/>
    <col min="8" max="8" width="16.28515625" style="58" bestFit="1" customWidth="1"/>
    <col min="9" max="9" width="11" style="58" bestFit="1" customWidth="1"/>
    <col min="10" max="10" width="9.28515625" style="58" bestFit="1" customWidth="1"/>
    <col min="11" max="11" width="7.42578125" style="58" bestFit="1" customWidth="1"/>
    <col min="12" max="12" width="8" style="58" bestFit="1" customWidth="1"/>
    <col min="13" max="13" width="13.85546875" style="58" bestFit="1" customWidth="1"/>
    <col min="14" max="14" width="9.28515625" style="58" bestFit="1" customWidth="1"/>
    <col min="15" max="15" width="5.28515625" style="58" customWidth="1"/>
    <col min="16" max="16384" width="9.140625" style="58"/>
  </cols>
  <sheetData>
    <row r="1" spans="1:15" x14ac:dyDescent="0.25">
      <c r="A1" s="229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1"/>
    </row>
    <row r="2" spans="1:15" x14ac:dyDescent="0.25">
      <c r="A2" s="232" t="s">
        <v>89</v>
      </c>
      <c r="B2" s="233" t="s">
        <v>88</v>
      </c>
      <c r="C2" s="221"/>
      <c r="D2" s="221"/>
      <c r="E2" s="288" t="s">
        <v>87</v>
      </c>
      <c r="F2" s="221"/>
      <c r="G2" s="221"/>
      <c r="H2" s="221"/>
      <c r="I2" s="221"/>
      <c r="J2" s="232" t="s">
        <v>86</v>
      </c>
      <c r="K2" s="43">
        <v>81</v>
      </c>
      <c r="L2" s="221"/>
      <c r="M2" s="232" t="s">
        <v>85</v>
      </c>
      <c r="N2" s="42">
        <f>MS_A0500_pa+MS_A0500_m+MS_A0500_p+MS_A0500_f+MS_A0500_t</f>
        <v>56.149166666666666</v>
      </c>
      <c r="O2" s="59"/>
    </row>
    <row r="3" spans="1:15" x14ac:dyDescent="0.25">
      <c r="A3" s="232" t="s">
        <v>84</v>
      </c>
      <c r="B3" s="114" t="s">
        <v>225</v>
      </c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32" t="s">
        <v>83</v>
      </c>
      <c r="N3" s="41">
        <v>1</v>
      </c>
      <c r="O3" s="59"/>
    </row>
    <row r="4" spans="1:15" x14ac:dyDescent="0.25">
      <c r="A4" s="232" t="s">
        <v>82</v>
      </c>
      <c r="B4" s="234" t="s">
        <v>221</v>
      </c>
      <c r="C4" s="221"/>
      <c r="D4" s="221"/>
      <c r="E4" s="221"/>
      <c r="F4" s="221"/>
      <c r="G4" s="221"/>
      <c r="H4" s="221"/>
      <c r="I4" s="221"/>
      <c r="J4" s="235" t="s">
        <v>80</v>
      </c>
      <c r="K4" s="221"/>
      <c r="L4" s="221"/>
      <c r="M4" s="221"/>
      <c r="N4" s="221"/>
      <c r="O4" s="59"/>
    </row>
    <row r="5" spans="1:15" x14ac:dyDescent="0.25">
      <c r="A5" s="232" t="s">
        <v>79</v>
      </c>
      <c r="B5" s="40" t="s">
        <v>220</v>
      </c>
      <c r="C5" s="221"/>
      <c r="D5" s="221"/>
      <c r="E5" s="221"/>
      <c r="F5" s="221"/>
      <c r="G5" s="221"/>
      <c r="H5" s="221"/>
      <c r="I5" s="221"/>
      <c r="J5" s="235" t="s">
        <v>78</v>
      </c>
      <c r="K5" s="221"/>
      <c r="L5" s="221"/>
      <c r="M5" s="232" t="s">
        <v>77</v>
      </c>
      <c r="N5" s="11">
        <f>N2*N3</f>
        <v>56.149166666666666</v>
      </c>
      <c r="O5" s="59"/>
    </row>
    <row r="6" spans="1:15" x14ac:dyDescent="0.25">
      <c r="A6" s="232" t="s">
        <v>76</v>
      </c>
      <c r="B6" s="233" t="s">
        <v>75</v>
      </c>
      <c r="C6" s="221"/>
      <c r="D6" s="221"/>
      <c r="E6" s="221"/>
      <c r="F6" s="221"/>
      <c r="G6" s="221"/>
      <c r="H6" s="221"/>
      <c r="I6" s="221"/>
      <c r="J6" s="235" t="s">
        <v>74</v>
      </c>
      <c r="K6" s="221"/>
      <c r="L6" s="221"/>
      <c r="M6" s="221"/>
      <c r="N6" s="221"/>
      <c r="O6" s="59"/>
    </row>
    <row r="7" spans="1:15" x14ac:dyDescent="0.25">
      <c r="A7" s="232" t="s">
        <v>73</v>
      </c>
      <c r="B7" s="233" t="s">
        <v>181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59"/>
    </row>
    <row r="8" spans="1:15" x14ac:dyDescent="0.25">
      <c r="A8" s="236"/>
      <c r="B8" s="221"/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59"/>
    </row>
    <row r="9" spans="1:15" x14ac:dyDescent="0.25">
      <c r="A9" s="232" t="s">
        <v>11</v>
      </c>
      <c r="B9" s="232" t="s">
        <v>71</v>
      </c>
      <c r="C9" s="232" t="s">
        <v>70</v>
      </c>
      <c r="D9" s="232" t="s">
        <v>6</v>
      </c>
      <c r="E9" s="232" t="s">
        <v>0</v>
      </c>
      <c r="F9" s="221"/>
      <c r="G9" s="221"/>
      <c r="H9" s="221"/>
      <c r="I9" s="221"/>
      <c r="J9" s="221"/>
      <c r="K9" s="221"/>
      <c r="L9" s="221"/>
      <c r="M9" s="221"/>
      <c r="N9" s="221"/>
      <c r="O9" s="59"/>
    </row>
    <row r="10" spans="1:15" x14ac:dyDescent="0.25">
      <c r="A10" s="200">
        <v>10</v>
      </c>
      <c r="B10" s="212" t="s">
        <v>219</v>
      </c>
      <c r="C10" s="11">
        <f>'MS 05001'!N2</f>
        <v>1.24925</v>
      </c>
      <c r="D10" s="36">
        <f>'MS 05001'!N3</f>
        <v>2</v>
      </c>
      <c r="E10" s="11">
        <f>C10*D10</f>
        <v>2.4984999999999999</v>
      </c>
      <c r="F10" s="221"/>
      <c r="G10" s="221"/>
      <c r="H10" s="221"/>
      <c r="I10" s="221"/>
      <c r="J10" s="221"/>
      <c r="K10" s="221"/>
      <c r="L10" s="221"/>
      <c r="M10" s="221"/>
      <c r="N10" s="221"/>
      <c r="O10" s="59"/>
    </row>
    <row r="11" spans="1:15" x14ac:dyDescent="0.25">
      <c r="A11" s="236"/>
      <c r="B11" s="221"/>
      <c r="C11" s="221"/>
      <c r="D11" s="16" t="s">
        <v>0</v>
      </c>
      <c r="E11" s="237">
        <f>SUM(E10:E10)</f>
        <v>2.4984999999999999</v>
      </c>
      <c r="F11" s="234"/>
      <c r="G11" s="234"/>
      <c r="H11" s="234"/>
      <c r="I11" s="234"/>
      <c r="J11" s="234"/>
      <c r="K11" s="234"/>
      <c r="L11" s="234"/>
      <c r="M11" s="234"/>
      <c r="N11" s="234"/>
      <c r="O11" s="59"/>
    </row>
    <row r="12" spans="1:15" x14ac:dyDescent="0.25">
      <c r="A12" s="236"/>
      <c r="B12" s="221"/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59"/>
    </row>
    <row r="13" spans="1:15" x14ac:dyDescent="0.25">
      <c r="A13" s="232" t="s">
        <v>11</v>
      </c>
      <c r="B13" s="232" t="s">
        <v>61</v>
      </c>
      <c r="C13" s="232" t="s">
        <v>9</v>
      </c>
      <c r="D13" s="232" t="s">
        <v>8</v>
      </c>
      <c r="E13" s="232" t="s">
        <v>20</v>
      </c>
      <c r="F13" s="232" t="s">
        <v>19</v>
      </c>
      <c r="G13" s="232" t="s">
        <v>18</v>
      </c>
      <c r="H13" s="232" t="s">
        <v>17</v>
      </c>
      <c r="I13" s="232" t="s">
        <v>60</v>
      </c>
      <c r="J13" s="232" t="s">
        <v>59</v>
      </c>
      <c r="K13" s="232" t="s">
        <v>58</v>
      </c>
      <c r="L13" s="232" t="s">
        <v>57</v>
      </c>
      <c r="M13" s="232" t="s">
        <v>6</v>
      </c>
      <c r="N13" s="232" t="s">
        <v>0</v>
      </c>
      <c r="O13" s="59"/>
    </row>
    <row r="14" spans="1:15" x14ac:dyDescent="0.25">
      <c r="A14" s="200">
        <v>10</v>
      </c>
      <c r="B14" s="200" t="s">
        <v>218</v>
      </c>
      <c r="C14" s="200" t="s">
        <v>217</v>
      </c>
      <c r="D14" s="11">
        <v>45</v>
      </c>
      <c r="E14" s="200">
        <v>1</v>
      </c>
      <c r="F14" s="200" t="s">
        <v>94</v>
      </c>
      <c r="G14" s="200"/>
      <c r="H14" s="199"/>
      <c r="I14" s="198"/>
      <c r="J14" s="203"/>
      <c r="K14" s="199"/>
      <c r="L14" s="199"/>
      <c r="M14" s="392">
        <v>1</v>
      </c>
      <c r="N14" s="11">
        <f>M14*D14</f>
        <v>45</v>
      </c>
      <c r="O14" s="59"/>
    </row>
    <row r="15" spans="1:15" x14ac:dyDescent="0.25">
      <c r="A15" s="200">
        <v>20</v>
      </c>
      <c r="B15" s="200" t="s">
        <v>56</v>
      </c>
      <c r="C15" s="200" t="s">
        <v>216</v>
      </c>
      <c r="D15" s="11">
        <v>10</v>
      </c>
      <c r="E15" s="200">
        <v>6.0000000000000001E-3</v>
      </c>
      <c r="F15" s="200" t="s">
        <v>45</v>
      </c>
      <c r="G15" s="200"/>
      <c r="H15" s="199"/>
      <c r="I15" s="198"/>
      <c r="J15" s="197"/>
      <c r="K15" s="196"/>
      <c r="L15" s="195"/>
      <c r="M15" s="194">
        <v>6.0000000000000001E-3</v>
      </c>
      <c r="N15" s="11">
        <f>M15*D15</f>
        <v>0.06</v>
      </c>
      <c r="O15" s="59"/>
    </row>
    <row r="16" spans="1:15" x14ac:dyDescent="0.25">
      <c r="A16" s="238"/>
      <c r="B16" s="239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2" t="s">
        <v>0</v>
      </c>
      <c r="N16" s="237">
        <f>SUM(N14:N15)</f>
        <v>45.06</v>
      </c>
      <c r="O16" s="59"/>
    </row>
    <row r="17" spans="1:15" x14ac:dyDescent="0.25">
      <c r="A17" s="236"/>
      <c r="B17" s="221"/>
      <c r="C17" s="221"/>
      <c r="D17" s="221"/>
      <c r="E17" s="221"/>
      <c r="F17" s="221"/>
      <c r="G17" s="221"/>
      <c r="H17" s="221"/>
      <c r="I17" s="221"/>
      <c r="J17" s="221"/>
      <c r="K17" s="221"/>
      <c r="L17" s="221"/>
      <c r="M17" s="221"/>
      <c r="N17" s="221"/>
      <c r="O17" s="59"/>
    </row>
    <row r="18" spans="1:15" x14ac:dyDescent="0.25">
      <c r="A18" s="232" t="s">
        <v>11</v>
      </c>
      <c r="B18" s="232" t="s">
        <v>55</v>
      </c>
      <c r="C18" s="232" t="s">
        <v>9</v>
      </c>
      <c r="D18" s="232" t="s">
        <v>8</v>
      </c>
      <c r="E18" s="232" t="s">
        <v>7</v>
      </c>
      <c r="F18" s="232" t="s">
        <v>6</v>
      </c>
      <c r="G18" s="232" t="s">
        <v>54</v>
      </c>
      <c r="H18" s="232" t="s">
        <v>53</v>
      </c>
      <c r="I18" s="232" t="s">
        <v>0</v>
      </c>
      <c r="J18" s="239"/>
      <c r="K18" s="239"/>
      <c r="L18" s="239"/>
      <c r="M18" s="239"/>
      <c r="N18" s="239"/>
      <c r="O18" s="59"/>
    </row>
    <row r="19" spans="1:15" x14ac:dyDescent="0.25">
      <c r="A19" s="200">
        <v>10</v>
      </c>
      <c r="B19" s="200" t="s">
        <v>51</v>
      </c>
      <c r="C19" s="200" t="s">
        <v>208</v>
      </c>
      <c r="D19" s="11">
        <v>0.15</v>
      </c>
      <c r="E19" s="200" t="s">
        <v>49</v>
      </c>
      <c r="F19" s="195">
        <v>7.2</v>
      </c>
      <c r="G19" s="195"/>
      <c r="H19" s="195"/>
      <c r="I19" s="11">
        <f t="shared" ref="I19:I24" si="0">IF(H19="",D19*F19,D19*F19*H19)</f>
        <v>1.08</v>
      </c>
      <c r="J19" s="221"/>
      <c r="K19" s="221"/>
      <c r="L19" s="221"/>
      <c r="M19" s="221"/>
      <c r="N19" s="221"/>
      <c r="O19" s="59"/>
    </row>
    <row r="20" spans="1:15" x14ac:dyDescent="0.25">
      <c r="A20" s="200">
        <v>20</v>
      </c>
      <c r="B20" s="240" t="s">
        <v>47</v>
      </c>
      <c r="C20" s="200" t="s">
        <v>215</v>
      </c>
      <c r="D20" s="11">
        <v>5.25</v>
      </c>
      <c r="E20" s="240" t="s">
        <v>45</v>
      </c>
      <c r="F20" s="195">
        <v>6.0000000000000001E-3</v>
      </c>
      <c r="G20" s="200"/>
      <c r="H20" s="200"/>
      <c r="I20" s="11">
        <f t="shared" si="0"/>
        <v>3.15E-2</v>
      </c>
      <c r="J20" s="221"/>
      <c r="K20" s="221"/>
      <c r="L20" s="221"/>
      <c r="M20" s="221"/>
      <c r="N20" s="221"/>
      <c r="O20" s="59"/>
    </row>
    <row r="21" spans="1:15" x14ac:dyDescent="0.25">
      <c r="A21" s="200">
        <v>30</v>
      </c>
      <c r="B21" s="240" t="s">
        <v>153</v>
      </c>
      <c r="C21" s="200" t="s">
        <v>229</v>
      </c>
      <c r="D21" s="11">
        <v>6.25E-2</v>
      </c>
      <c r="E21" s="200" t="s">
        <v>94</v>
      </c>
      <c r="F21" s="195">
        <v>2</v>
      </c>
      <c r="G21" s="200"/>
      <c r="H21" s="200"/>
      <c r="I21" s="11">
        <f t="shared" si="0"/>
        <v>0.125</v>
      </c>
      <c r="J21" s="221"/>
      <c r="K21" s="221"/>
      <c r="L21" s="221"/>
      <c r="M21" s="221"/>
      <c r="N21" s="221"/>
      <c r="O21" s="59"/>
    </row>
    <row r="22" spans="1:15" s="242" customFormat="1" x14ac:dyDescent="0.25">
      <c r="A22" s="200">
        <v>40</v>
      </c>
      <c r="B22" s="240" t="s">
        <v>214</v>
      </c>
      <c r="C22" s="200" t="s">
        <v>213</v>
      </c>
      <c r="D22" s="11">
        <v>1.5</v>
      </c>
      <c r="E22" s="200" t="s">
        <v>94</v>
      </c>
      <c r="F22" s="195">
        <v>2</v>
      </c>
      <c r="G22" s="200"/>
      <c r="H22" s="200"/>
      <c r="I22" s="11">
        <f t="shared" si="0"/>
        <v>3</v>
      </c>
      <c r="J22" s="234"/>
      <c r="K22" s="234"/>
      <c r="L22" s="234"/>
      <c r="M22" s="234"/>
      <c r="N22" s="234"/>
      <c r="O22" s="241"/>
    </row>
    <row r="23" spans="1:15" x14ac:dyDescent="0.25">
      <c r="A23" s="200">
        <v>50</v>
      </c>
      <c r="B23" s="200" t="s">
        <v>172</v>
      </c>
      <c r="C23" s="200" t="s">
        <v>213</v>
      </c>
      <c r="D23" s="11">
        <v>0.25</v>
      </c>
      <c r="E23" s="200" t="s">
        <v>94</v>
      </c>
      <c r="F23" s="195">
        <v>2</v>
      </c>
      <c r="G23" s="195"/>
      <c r="H23" s="195"/>
      <c r="I23" s="11">
        <f t="shared" si="0"/>
        <v>0.5</v>
      </c>
      <c r="J23" s="234"/>
      <c r="K23" s="234"/>
      <c r="L23" s="234"/>
      <c r="M23" s="234"/>
      <c r="N23" s="234"/>
      <c r="O23" s="59"/>
    </row>
    <row r="24" spans="1:15" s="242" customFormat="1" x14ac:dyDescent="0.25">
      <c r="A24" s="200">
        <v>60</v>
      </c>
      <c r="B24" s="240" t="s">
        <v>212</v>
      </c>
      <c r="C24" s="243" t="s">
        <v>211</v>
      </c>
      <c r="D24" s="11">
        <v>0.1875</v>
      </c>
      <c r="E24" s="240" t="s">
        <v>94</v>
      </c>
      <c r="F24" s="195">
        <v>1</v>
      </c>
      <c r="G24" s="200"/>
      <c r="H24" s="200"/>
      <c r="I24" s="11">
        <f t="shared" si="0"/>
        <v>0.1875</v>
      </c>
      <c r="J24" s="234"/>
      <c r="K24" s="234"/>
      <c r="L24" s="234"/>
      <c r="M24" s="234"/>
      <c r="N24" s="234"/>
      <c r="O24" s="241"/>
    </row>
    <row r="25" spans="1:15" x14ac:dyDescent="0.25">
      <c r="A25" s="238"/>
      <c r="B25" s="239"/>
      <c r="C25" s="239"/>
      <c r="D25" s="239"/>
      <c r="E25" s="239"/>
      <c r="F25" s="239"/>
      <c r="G25" s="239"/>
      <c r="H25" s="16" t="s">
        <v>0</v>
      </c>
      <c r="I25" s="237">
        <f>SUM(I19:I24)</f>
        <v>4.9240000000000004</v>
      </c>
      <c r="J25" s="221"/>
      <c r="K25" s="221"/>
      <c r="L25" s="221"/>
      <c r="M25" s="221"/>
      <c r="N25" s="221"/>
      <c r="O25" s="59"/>
    </row>
    <row r="26" spans="1:15" x14ac:dyDescent="0.25">
      <c r="A26" s="236"/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59"/>
    </row>
    <row r="27" spans="1:15" x14ac:dyDescent="0.25">
      <c r="A27" s="232" t="s">
        <v>11</v>
      </c>
      <c r="B27" s="232" t="s">
        <v>21</v>
      </c>
      <c r="C27" s="232" t="s">
        <v>9</v>
      </c>
      <c r="D27" s="232" t="s">
        <v>8</v>
      </c>
      <c r="E27" s="232" t="s">
        <v>20</v>
      </c>
      <c r="F27" s="232" t="s">
        <v>19</v>
      </c>
      <c r="G27" s="232" t="s">
        <v>18</v>
      </c>
      <c r="H27" s="232" t="s">
        <v>17</v>
      </c>
      <c r="I27" s="232" t="s">
        <v>6</v>
      </c>
      <c r="J27" s="232" t="s">
        <v>0</v>
      </c>
      <c r="K27" s="221"/>
      <c r="L27" s="221"/>
      <c r="M27" s="221"/>
      <c r="N27" s="221"/>
      <c r="O27" s="59"/>
    </row>
    <row r="28" spans="1:15" x14ac:dyDescent="0.25">
      <c r="A28" s="200">
        <v>10</v>
      </c>
      <c r="B28" s="200" t="s">
        <v>210</v>
      </c>
      <c r="C28" s="200" t="s">
        <v>209</v>
      </c>
      <c r="D28" s="244">
        <v>1.43</v>
      </c>
      <c r="E28" s="245">
        <v>10</v>
      </c>
      <c r="F28" s="245" t="s">
        <v>12</v>
      </c>
      <c r="G28" s="245"/>
      <c r="H28" s="245"/>
      <c r="I28" s="41">
        <v>2</v>
      </c>
      <c r="J28" s="11">
        <f>I28*D28</f>
        <v>2.86</v>
      </c>
      <c r="K28" s="221"/>
      <c r="L28" s="221"/>
      <c r="M28" s="221"/>
      <c r="N28" s="221"/>
      <c r="O28" s="59"/>
    </row>
    <row r="29" spans="1:15" x14ac:dyDescent="0.25">
      <c r="A29" s="200">
        <v>20</v>
      </c>
      <c r="B29" s="200" t="s">
        <v>169</v>
      </c>
      <c r="C29" s="200" t="s">
        <v>209</v>
      </c>
      <c r="D29" s="244">
        <v>7.0000000000000007E-2</v>
      </c>
      <c r="E29" s="200">
        <v>10</v>
      </c>
      <c r="F29" s="205" t="s">
        <v>12</v>
      </c>
      <c r="G29" s="200"/>
      <c r="H29" s="200"/>
      <c r="I29" s="41">
        <v>2</v>
      </c>
      <c r="J29" s="11">
        <f>I29*D29</f>
        <v>0.14000000000000001</v>
      </c>
      <c r="K29" s="221"/>
      <c r="L29" s="221"/>
      <c r="M29" s="221"/>
      <c r="N29" s="221"/>
      <c r="O29" s="59"/>
    </row>
    <row r="30" spans="1:15" x14ac:dyDescent="0.25">
      <c r="A30" s="238"/>
      <c r="B30" s="239"/>
      <c r="C30" s="239"/>
      <c r="D30" s="239"/>
      <c r="E30" s="239"/>
      <c r="F30" s="239"/>
      <c r="G30" s="239"/>
      <c r="H30" s="239"/>
      <c r="I30" s="16" t="s">
        <v>0</v>
      </c>
      <c r="J30" s="237">
        <f>SUM(J28:J29)</f>
        <v>3</v>
      </c>
      <c r="K30" s="221"/>
      <c r="L30" s="221"/>
      <c r="M30" s="221"/>
      <c r="N30" s="221"/>
      <c r="O30" s="59"/>
    </row>
    <row r="31" spans="1:15" x14ac:dyDescent="0.25">
      <c r="A31" s="236"/>
      <c r="B31" s="221"/>
      <c r="C31" s="221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59"/>
    </row>
    <row r="32" spans="1:15" x14ac:dyDescent="0.25">
      <c r="A32" s="232" t="s">
        <v>11</v>
      </c>
      <c r="B32" s="232" t="s">
        <v>10</v>
      </c>
      <c r="C32" s="232" t="s">
        <v>9</v>
      </c>
      <c r="D32" s="232" t="s">
        <v>8</v>
      </c>
      <c r="E32" s="232" t="s">
        <v>7</v>
      </c>
      <c r="F32" s="232" t="s">
        <v>6</v>
      </c>
      <c r="G32" s="232" t="s">
        <v>5</v>
      </c>
      <c r="H32" s="232" t="s">
        <v>4</v>
      </c>
      <c r="I32" s="232" t="s">
        <v>0</v>
      </c>
      <c r="J32" s="239"/>
      <c r="K32" s="221"/>
      <c r="L32" s="221"/>
      <c r="M32" s="221"/>
      <c r="N32" s="221"/>
      <c r="O32" s="59"/>
    </row>
    <row r="33" spans="1:15" x14ac:dyDescent="0.25">
      <c r="A33" s="200">
        <v>10</v>
      </c>
      <c r="B33" s="200" t="s">
        <v>3</v>
      </c>
      <c r="C33" s="200" t="s">
        <v>208</v>
      </c>
      <c r="D33" s="11">
        <v>500</v>
      </c>
      <c r="E33" s="200" t="s">
        <v>1</v>
      </c>
      <c r="F33" s="200">
        <v>4</v>
      </c>
      <c r="G33" s="200">
        <v>3000</v>
      </c>
      <c r="H33" s="200">
        <v>1</v>
      </c>
      <c r="I33" s="11">
        <f>D33*F33/G33*H33</f>
        <v>0.66666666666666663</v>
      </c>
      <c r="J33" s="239"/>
      <c r="K33" s="221"/>
      <c r="L33" s="221"/>
      <c r="M33" s="221"/>
      <c r="N33" s="221"/>
      <c r="O33" s="59"/>
    </row>
    <row r="34" spans="1:15" x14ac:dyDescent="0.25">
      <c r="A34" s="238"/>
      <c r="B34" s="239"/>
      <c r="C34" s="239"/>
      <c r="D34" s="239"/>
      <c r="E34" s="239"/>
      <c r="F34" s="239"/>
      <c r="G34" s="239"/>
      <c r="H34" s="9" t="s">
        <v>0</v>
      </c>
      <c r="I34" s="246">
        <f>SUM(I33:I33)</f>
        <v>0.66666666666666663</v>
      </c>
      <c r="J34" s="239"/>
      <c r="K34" s="221"/>
      <c r="L34" s="221"/>
      <c r="M34" s="221"/>
      <c r="N34" s="221"/>
      <c r="O34" s="59"/>
    </row>
    <row r="35" spans="1:15" ht="15.75" thickBot="1" x14ac:dyDescent="0.3">
      <c r="A35" s="247"/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9"/>
    </row>
    <row r="36" spans="1:15" x14ac:dyDescent="0.25">
      <c r="A36" s="221"/>
      <c r="B36" s="221"/>
      <c r="C36" s="221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21"/>
    </row>
  </sheetData>
  <hyperlinks>
    <hyperlink ref="B10" location="MS_05001" display="Harness bracket" xr:uid="{00000000-0004-0000-1900-000000000000}"/>
    <hyperlink ref="E2" location="MS_A0500_BOM" display="Back to BOM" xr:uid="{00000000-0004-0000-1900-000001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5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 tint="0.59999389629810485"/>
    <pageSetUpPr fitToPage="1"/>
  </sheetPr>
  <dimension ref="A1:O18"/>
  <sheetViews>
    <sheetView zoomScale="85" zoomScaleNormal="85" workbookViewId="0">
      <selection activeCell="B6" sqref="B6"/>
    </sheetView>
  </sheetViews>
  <sheetFormatPr baseColWidth="10" defaultColWidth="9.140625" defaultRowHeight="15" x14ac:dyDescent="0.25"/>
  <cols>
    <col min="1" max="1" width="10.28515625" style="1" bestFit="1" customWidth="1"/>
    <col min="2" max="2" width="36" style="1" bestFit="1" customWidth="1"/>
    <col min="3" max="3" width="21.85546875" style="1" bestFit="1" customWidth="1"/>
    <col min="4" max="4" width="8.85546875" style="1" bestFit="1" customWidth="1"/>
    <col min="5" max="6" width="8.7109375" style="1" bestFit="1" customWidth="1"/>
    <col min="7" max="7" width="30.5703125" style="1" bestFit="1" customWidth="1"/>
    <col min="8" max="8" width="9.7109375" style="1" bestFit="1" customWidth="1"/>
    <col min="9" max="9" width="10.85546875" style="1" bestFit="1" customWidth="1"/>
    <col min="10" max="10" width="8.85546875" style="1" bestFit="1" customWidth="1"/>
    <col min="11" max="11" width="7" style="1" bestFit="1" customWidth="1"/>
    <col min="12" max="12" width="7.7109375" style="1" bestFit="1" customWidth="1"/>
    <col min="13" max="13" width="13.7109375" style="1" bestFit="1" customWidth="1"/>
    <col min="14" max="14" width="9.140625" style="1"/>
    <col min="15" max="15" width="3.140625" style="1" customWidth="1"/>
    <col min="16" max="16384" width="9.140625" style="1"/>
  </cols>
  <sheetData>
    <row r="1" spans="1:15" x14ac:dyDescent="0.25">
      <c r="A1" s="46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</row>
    <row r="2" spans="1:15" x14ac:dyDescent="0.25">
      <c r="A2" s="69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MS_05001_m+MS_05001_p</f>
        <v>1.24925</v>
      </c>
      <c r="O2" s="6"/>
    </row>
    <row r="3" spans="1:15" x14ac:dyDescent="0.25">
      <c r="A3" s="69" t="s">
        <v>84</v>
      </c>
      <c r="B3" s="38" t="str">
        <f>'MS A0500'!B3</f>
        <v>Miscellaneous, Finish &amp; Assembly</v>
      </c>
      <c r="C3" s="2"/>
      <c r="D3" s="69" t="s">
        <v>80</v>
      </c>
      <c r="E3" s="73" t="s">
        <v>100</v>
      </c>
      <c r="F3" s="2"/>
      <c r="G3" s="2"/>
      <c r="H3" s="2"/>
      <c r="I3" s="2"/>
      <c r="J3" s="2"/>
      <c r="K3" s="2"/>
      <c r="L3" s="2"/>
      <c r="M3" s="69" t="s">
        <v>83</v>
      </c>
      <c r="N3" s="41">
        <v>2</v>
      </c>
      <c r="O3" s="6"/>
    </row>
    <row r="4" spans="1:15" x14ac:dyDescent="0.25">
      <c r="A4" s="69" t="s">
        <v>82</v>
      </c>
      <c r="B4" s="72" t="str">
        <f>'MS A0500'!B4</f>
        <v>Harness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6"/>
    </row>
    <row r="5" spans="1:15" x14ac:dyDescent="0.25">
      <c r="A5" s="69" t="s">
        <v>71</v>
      </c>
      <c r="B5" s="40" t="s">
        <v>219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2.4984999999999999</v>
      </c>
      <c r="O5" s="6"/>
    </row>
    <row r="6" spans="1:15" x14ac:dyDescent="0.25">
      <c r="A6" s="69" t="s">
        <v>79</v>
      </c>
      <c r="B6" s="71" t="s">
        <v>222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6"/>
    </row>
    <row r="7" spans="1:15" x14ac:dyDescent="0.25">
      <c r="A7" s="69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69" t="s">
        <v>73</v>
      </c>
      <c r="B8" s="38" t="s">
        <v>224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68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66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6"/>
    </row>
    <row r="11" spans="1:15" s="58" customFormat="1" x14ac:dyDescent="0.25">
      <c r="A11" s="90">
        <v>10</v>
      </c>
      <c r="B11" s="89" t="s">
        <v>205</v>
      </c>
      <c r="C11" s="88" t="s">
        <v>198</v>
      </c>
      <c r="D11" s="81">
        <v>2.25</v>
      </c>
      <c r="E11" s="88">
        <v>4.1000000000000002E-2</v>
      </c>
      <c r="F11" s="88" t="s">
        <v>97</v>
      </c>
      <c r="G11" s="88"/>
      <c r="H11" s="87"/>
      <c r="I11" s="86"/>
      <c r="J11" s="103"/>
      <c r="K11" s="84"/>
      <c r="L11" s="83">
        <v>7850</v>
      </c>
      <c r="M11" s="82">
        <v>1</v>
      </c>
      <c r="N11" s="81">
        <f>IF(J11="",D11*M11*E11,D11*J11*K11*L11*M11)</f>
        <v>9.2249999999999999E-2</v>
      </c>
      <c r="O11" s="59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0" t="s">
        <v>0</v>
      </c>
      <c r="N12" s="47">
        <f>SUM(N11:N11)</f>
        <v>9.2249999999999999E-2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79" t="s">
        <v>11</v>
      </c>
      <c r="B14" s="78" t="s">
        <v>55</v>
      </c>
      <c r="C14" s="78" t="s">
        <v>9</v>
      </c>
      <c r="D14" s="78" t="s">
        <v>8</v>
      </c>
      <c r="E14" s="78" t="s">
        <v>7</v>
      </c>
      <c r="F14" s="78" t="s">
        <v>6</v>
      </c>
      <c r="G14" s="78" t="s">
        <v>54</v>
      </c>
      <c r="H14" s="78" t="s">
        <v>53</v>
      </c>
      <c r="I14" s="78" t="s">
        <v>0</v>
      </c>
      <c r="J14" s="7"/>
      <c r="K14" s="7"/>
      <c r="L14" s="7"/>
      <c r="M14" s="7"/>
      <c r="N14" s="7"/>
      <c r="O14" s="6"/>
    </row>
    <row r="15" spans="1:15" s="30" customFormat="1" ht="15" customHeight="1" x14ac:dyDescent="0.25">
      <c r="A15" s="101">
        <v>10</v>
      </c>
      <c r="B15" s="92" t="s">
        <v>223</v>
      </c>
      <c r="C15" s="99" t="s">
        <v>204</v>
      </c>
      <c r="D15" s="98">
        <v>1.3</v>
      </c>
      <c r="E15" s="92" t="s">
        <v>94</v>
      </c>
      <c r="F15" s="99">
        <v>1</v>
      </c>
      <c r="G15" s="99" t="s">
        <v>203</v>
      </c>
      <c r="H15" s="99">
        <v>0.5</v>
      </c>
      <c r="I15" s="98">
        <f>IF(H15="",D15*F15,D15*F15*H15)</f>
        <v>0.65</v>
      </c>
      <c r="J15" s="52"/>
      <c r="K15" s="52"/>
      <c r="L15" s="52"/>
      <c r="M15" s="52"/>
      <c r="N15" s="52"/>
      <c r="O15" s="31"/>
    </row>
    <row r="16" spans="1:15" ht="15" customHeight="1" x14ac:dyDescent="0.25">
      <c r="A16" s="213">
        <v>20</v>
      </c>
      <c r="B16" s="92" t="s">
        <v>93</v>
      </c>
      <c r="C16" s="94" t="s">
        <v>202</v>
      </c>
      <c r="D16" s="81">
        <v>0.01</v>
      </c>
      <c r="E16" s="94" t="s">
        <v>49</v>
      </c>
      <c r="F16" s="93">
        <v>16.899999999999999</v>
      </c>
      <c r="G16" s="92" t="s">
        <v>111</v>
      </c>
      <c r="H16" s="91">
        <v>3</v>
      </c>
      <c r="I16" s="81">
        <f>IF(H16="",D16*F16,D16*F16*H16)</f>
        <v>0.5069999999999999</v>
      </c>
      <c r="J16" s="2"/>
      <c r="K16" s="2"/>
      <c r="L16" s="2"/>
      <c r="M16" s="2"/>
      <c r="N16" s="2"/>
      <c r="O16" s="6"/>
    </row>
    <row r="17" spans="1:15" x14ac:dyDescent="0.25">
      <c r="A17" s="14"/>
      <c r="B17" s="2"/>
      <c r="C17" s="2"/>
      <c r="D17" s="2"/>
      <c r="E17" s="2"/>
      <c r="F17" s="2"/>
      <c r="G17" s="2"/>
      <c r="H17" s="80" t="s">
        <v>0</v>
      </c>
      <c r="I17" s="47">
        <f>SUM(I15:I16)</f>
        <v>1.157</v>
      </c>
      <c r="J17" s="2"/>
      <c r="K17" s="2"/>
      <c r="L17" s="2"/>
      <c r="M17" s="2"/>
      <c r="N17" s="2"/>
      <c r="O17" s="6"/>
    </row>
    <row r="18" spans="1:15" ht="15.75" thickBot="1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"/>
    </row>
  </sheetData>
  <hyperlinks>
    <hyperlink ref="B4" location="MS_A0500" display="MS_A0500" xr:uid="{00000000-0004-0000-1A00-000000000000}"/>
    <hyperlink ref="E3" location="'dMS 05001'!A1" display="Drawing" xr:uid="{00000000-0004-0000-1A00-000001000000}"/>
    <hyperlink ref="G2" location="MS_05001_BOM" display="Back to BOM" xr:uid="{00000000-0004-0000-1A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1" manualBreakCount="1">
    <brk id="5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  <pageSetUpPr fitToPage="1"/>
  </sheetPr>
  <dimension ref="A1:O19"/>
  <sheetViews>
    <sheetView zoomScale="75" zoomScaleNormal="75" workbookViewId="0">
      <selection activeCell="G23" sqref="G23"/>
    </sheetView>
  </sheetViews>
  <sheetFormatPr baseColWidth="10" defaultColWidth="9.140625" defaultRowHeight="15" x14ac:dyDescent="0.25"/>
  <cols>
    <col min="1" max="1" width="10.5703125" style="1" bestFit="1" customWidth="1"/>
    <col min="2" max="2" width="34.42578125" style="1" bestFit="1" customWidth="1"/>
    <col min="3" max="3" width="4.5703125" style="1" bestFit="1" customWidth="1"/>
    <col min="4" max="4" width="9.28515625" style="1" bestFit="1" customWidth="1"/>
    <col min="5" max="5" width="8.7109375" style="1" bestFit="1" customWidth="1"/>
    <col min="6" max="6" width="9.140625" style="1"/>
    <col min="7" max="7" width="19.7109375" style="1" bestFit="1" customWidth="1"/>
    <col min="8" max="8" width="10" style="1" bestFit="1" customWidth="1"/>
    <col min="9" max="9" width="12.28515625" style="1" customWidth="1"/>
    <col min="10" max="10" width="9.28515625" style="1" bestFit="1" customWidth="1"/>
    <col min="11" max="11" width="7.5703125" style="1" bestFit="1" customWidth="1"/>
    <col min="12" max="12" width="8" style="1" bestFit="1" customWidth="1"/>
    <col min="13" max="13" width="13.85546875" style="1" bestFit="1" customWidth="1"/>
    <col min="14" max="14" width="9.28515625" style="1" bestFit="1" customWidth="1"/>
    <col min="15" max="15" width="3.140625" style="1" customWidth="1"/>
    <col min="16" max="16384" width="9.140625" style="1"/>
  </cols>
  <sheetData>
    <row r="1" spans="1:15" x14ac:dyDescent="0.25">
      <c r="A1" s="46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</row>
    <row r="2" spans="1:15" x14ac:dyDescent="0.25">
      <c r="A2" s="69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MS_0100_001_m+MS_0100_001_p</f>
        <v>9.2651947324861545</v>
      </c>
      <c r="O2" s="6"/>
    </row>
    <row r="3" spans="1:15" x14ac:dyDescent="0.25">
      <c r="A3" s="69" t="s">
        <v>84</v>
      </c>
      <c r="B3" s="38" t="str">
        <f>'MS A0100'!B3</f>
        <v>Miscellaneous, Finish &amp; Assembly</v>
      </c>
      <c r="C3" s="2"/>
      <c r="D3" s="69" t="s">
        <v>80</v>
      </c>
      <c r="E3" s="73" t="s">
        <v>100</v>
      </c>
      <c r="F3" s="2"/>
      <c r="G3" s="2"/>
      <c r="H3" s="2"/>
      <c r="I3" s="2"/>
      <c r="J3" s="2"/>
      <c r="K3" s="2"/>
      <c r="L3" s="2"/>
      <c r="M3" s="69" t="s">
        <v>83</v>
      </c>
      <c r="N3" s="41">
        <v>1</v>
      </c>
      <c r="O3" s="6"/>
    </row>
    <row r="4" spans="1:15" x14ac:dyDescent="0.25">
      <c r="A4" s="69" t="s">
        <v>82</v>
      </c>
      <c r="B4" s="72" t="str">
        <f>'MS A0100'!B4</f>
        <v>Firewall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6"/>
    </row>
    <row r="5" spans="1:15" x14ac:dyDescent="0.25">
      <c r="A5" s="69" t="s">
        <v>71</v>
      </c>
      <c r="B5" s="40" t="s">
        <v>69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9.2651947324861545</v>
      </c>
      <c r="O5" s="6"/>
    </row>
    <row r="6" spans="1:15" x14ac:dyDescent="0.25">
      <c r="A6" s="69" t="s">
        <v>79</v>
      </c>
      <c r="B6" s="71" t="s">
        <v>234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6"/>
    </row>
    <row r="7" spans="1:15" x14ac:dyDescent="0.25">
      <c r="A7" s="69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69" t="s">
        <v>73</v>
      </c>
      <c r="B8" s="38" t="s">
        <v>99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68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66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55" t="s">
        <v>19</v>
      </c>
      <c r="G10" s="55" t="s">
        <v>18</v>
      </c>
      <c r="H10" s="55" t="s">
        <v>17</v>
      </c>
      <c r="I10" s="55" t="s">
        <v>60</v>
      </c>
      <c r="J10" s="55" t="s">
        <v>59</v>
      </c>
      <c r="K10" s="55" t="s">
        <v>58</v>
      </c>
      <c r="L10" s="55" t="s">
        <v>57</v>
      </c>
      <c r="M10" s="55" t="s">
        <v>6</v>
      </c>
      <c r="N10" s="55" t="s">
        <v>0</v>
      </c>
      <c r="O10" s="6"/>
    </row>
    <row r="11" spans="1:15" s="58" customFormat="1" x14ac:dyDescent="0.25">
      <c r="A11" s="64">
        <v>10</v>
      </c>
      <c r="B11" s="63" t="s">
        <v>98</v>
      </c>
      <c r="C11" s="62"/>
      <c r="D11" s="20">
        <v>4.2</v>
      </c>
      <c r="E11" s="379">
        <f>J11*K11*L11</f>
        <v>1.179237264</v>
      </c>
      <c r="F11" s="62" t="s">
        <v>97</v>
      </c>
      <c r="G11" s="62"/>
      <c r="H11" s="32"/>
      <c r="I11" s="61" t="s">
        <v>96</v>
      </c>
      <c r="J11" s="386">
        <v>0.21741099999999999</v>
      </c>
      <c r="K11" s="60">
        <v>2E-3</v>
      </c>
      <c r="L11" s="377">
        <v>2712</v>
      </c>
      <c r="M11" s="378">
        <v>1</v>
      </c>
      <c r="N11" s="20">
        <f>IF(J11="",D11*M11,D11*J11*K11*L11*M11)</f>
        <v>4.9527965088000006</v>
      </c>
      <c r="O11" s="59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57" t="s">
        <v>0</v>
      </c>
      <c r="N12" s="47">
        <f>SUM(N11:N11)</f>
        <v>4.9527965088000006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56" t="s">
        <v>11</v>
      </c>
      <c r="B14" s="55" t="s">
        <v>55</v>
      </c>
      <c r="C14" s="55" t="s">
        <v>9</v>
      </c>
      <c r="D14" s="55" t="s">
        <v>8</v>
      </c>
      <c r="E14" s="55" t="s">
        <v>7</v>
      </c>
      <c r="F14" s="55" t="s">
        <v>6</v>
      </c>
      <c r="G14" s="55" t="s">
        <v>54</v>
      </c>
      <c r="H14" s="55" t="s">
        <v>53</v>
      </c>
      <c r="I14" s="55" t="s">
        <v>0</v>
      </c>
      <c r="J14" s="7"/>
      <c r="K14" s="7"/>
      <c r="L14" s="7"/>
      <c r="M14" s="7"/>
      <c r="N14" s="7"/>
      <c r="O14" s="6"/>
    </row>
    <row r="15" spans="1:15" s="58" customFormat="1" x14ac:dyDescent="0.25">
      <c r="A15" s="218">
        <v>10</v>
      </c>
      <c r="B15" s="219" t="s">
        <v>95</v>
      </c>
      <c r="C15" s="218"/>
      <c r="D15" s="20">
        <v>1.3</v>
      </c>
      <c r="E15" s="220" t="s">
        <v>94</v>
      </c>
      <c r="F15" s="377">
        <v>1</v>
      </c>
      <c r="G15" s="218"/>
      <c r="H15" s="218"/>
      <c r="I15" s="20">
        <f>IF(H15="",D15*F15,D15*F15*H15)</f>
        <v>1.3</v>
      </c>
      <c r="J15" s="221"/>
      <c r="K15" s="221"/>
      <c r="L15" s="221"/>
      <c r="M15" s="221"/>
      <c r="N15" s="221"/>
      <c r="O15" s="59"/>
    </row>
    <row r="16" spans="1:15" x14ac:dyDescent="0.25">
      <c r="A16" s="21">
        <v>20</v>
      </c>
      <c r="B16" s="50" t="s">
        <v>93</v>
      </c>
      <c r="C16" s="21"/>
      <c r="D16" s="20">
        <v>0.01</v>
      </c>
      <c r="E16" s="21" t="s">
        <v>49</v>
      </c>
      <c r="F16" s="51">
        <f>193.7+4*2*PI()*0.3</f>
        <v>201.23982236861548</v>
      </c>
      <c r="G16" s="23" t="s">
        <v>92</v>
      </c>
      <c r="H16" s="27">
        <v>1</v>
      </c>
      <c r="I16" s="24">
        <f>IF(H16="",D16*F16,D16*F16*H16)</f>
        <v>2.0123982236861546</v>
      </c>
      <c r="J16" s="2"/>
      <c r="K16" s="2"/>
      <c r="L16" s="2"/>
      <c r="M16" s="2"/>
      <c r="N16" s="2"/>
      <c r="O16" s="6"/>
    </row>
    <row r="17" spans="1:15" x14ac:dyDescent="0.25">
      <c r="A17" s="21">
        <v>30</v>
      </c>
      <c r="B17" s="50" t="s">
        <v>91</v>
      </c>
      <c r="C17" s="21"/>
      <c r="D17" s="20">
        <v>0.25</v>
      </c>
      <c r="E17" s="21" t="s">
        <v>90</v>
      </c>
      <c r="F17" s="49">
        <v>4</v>
      </c>
      <c r="G17" s="23"/>
      <c r="H17" s="22"/>
      <c r="I17" s="20">
        <f>IF(H17="",D17*F17,D17*F17*H17)</f>
        <v>1</v>
      </c>
      <c r="J17" s="2"/>
      <c r="K17" s="2"/>
      <c r="L17" s="2"/>
      <c r="M17" s="2"/>
      <c r="N17" s="2"/>
      <c r="O17" s="6"/>
    </row>
    <row r="18" spans="1:15" x14ac:dyDescent="0.25">
      <c r="A18" s="10"/>
      <c r="B18" s="7"/>
      <c r="C18" s="7"/>
      <c r="D18" s="7"/>
      <c r="E18" s="7"/>
      <c r="F18" s="7"/>
      <c r="G18" s="7"/>
      <c r="H18" s="48" t="s">
        <v>0</v>
      </c>
      <c r="I18" s="47">
        <f>SUM(I15:I17)</f>
        <v>4.3123982236861549</v>
      </c>
      <c r="J18" s="7"/>
      <c r="K18" s="7"/>
      <c r="L18" s="7"/>
      <c r="M18" s="7"/>
      <c r="N18" s="7"/>
      <c r="O18" s="6"/>
    </row>
    <row r="19" spans="1:15" ht="15.75" thickBot="1" x14ac:dyDescent="0.3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3"/>
    </row>
  </sheetData>
  <hyperlinks>
    <hyperlink ref="B4" location="MS_A0100" display="MS_A0100" xr:uid="{00000000-0004-0000-0200-000000000000}"/>
    <hyperlink ref="E3" location="'dMS 01001'!A1" display="Drawing" xr:uid="{00000000-0004-0000-0200-000001000000}"/>
    <hyperlink ref="G2" location="MS_0100_001_BOM" display="Back to BOM" xr:uid="{00000000-0004-0000-02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0.59999389629810485"/>
    <pageSetUpPr fitToPage="1"/>
  </sheetPr>
  <dimension ref="A1:B1"/>
  <sheetViews>
    <sheetView zoomScale="85" zoomScaleNormal="85" workbookViewId="0">
      <selection activeCell="B1" sqref="B1"/>
    </sheetView>
  </sheetViews>
  <sheetFormatPr baseColWidth="10" defaultRowHeight="15" x14ac:dyDescent="0.25"/>
  <cols>
    <col min="1" max="1" width="14" style="1" customWidth="1"/>
    <col min="2" max="16384" width="11.42578125" style="1"/>
  </cols>
  <sheetData>
    <row r="1" spans="1:2" x14ac:dyDescent="0.25">
      <c r="A1" t="s">
        <v>101</v>
      </c>
      <c r="B1" s="73" t="str">
        <f>MS_05001</f>
        <v>MS 05001</v>
      </c>
    </row>
  </sheetData>
  <hyperlinks>
    <hyperlink ref="B1" location="MS_05001" display="MS_05001" xr:uid="{00000000-0004-0000-1B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  <pageSetUpPr fitToPage="1"/>
  </sheetPr>
  <dimension ref="A1:B1"/>
  <sheetViews>
    <sheetView workbookViewId="0"/>
  </sheetViews>
  <sheetFormatPr baseColWidth="10" defaultRowHeight="15" x14ac:dyDescent="0.25"/>
  <cols>
    <col min="1" max="1" width="12.42578125" style="1" bestFit="1" customWidth="1"/>
    <col min="2" max="2" width="12" style="1" bestFit="1" customWidth="1"/>
    <col min="3" max="16384" width="11.42578125" style="1"/>
  </cols>
  <sheetData>
    <row r="1" spans="1:2" x14ac:dyDescent="0.25">
      <c r="A1" s="17" t="s">
        <v>101</v>
      </c>
      <c r="B1" s="35" t="s">
        <v>234</v>
      </c>
    </row>
  </sheetData>
  <hyperlinks>
    <hyperlink ref="B1" location="MS_0100_001" display="MS 01001" xr:uid="{00000000-0004-0000-03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O18"/>
  <sheetViews>
    <sheetView zoomScale="85" zoomScaleNormal="85" workbookViewId="0">
      <selection activeCell="L15" sqref="L15"/>
    </sheetView>
  </sheetViews>
  <sheetFormatPr baseColWidth="10" defaultColWidth="9.140625" defaultRowHeight="15" x14ac:dyDescent="0.25"/>
  <cols>
    <col min="1" max="1" width="10.28515625" style="1" bestFit="1" customWidth="1"/>
    <col min="2" max="2" width="35.42578125" style="1" bestFit="1" customWidth="1"/>
    <col min="3" max="3" width="4.5703125" style="1" customWidth="1"/>
    <col min="4" max="4" width="8.85546875" style="1" bestFit="1" customWidth="1"/>
    <col min="5" max="6" width="8.7109375" style="1" bestFit="1" customWidth="1"/>
    <col min="7" max="7" width="20.28515625" style="1" bestFit="1" customWidth="1"/>
    <col min="8" max="8" width="9.7109375" style="1" bestFit="1" customWidth="1"/>
    <col min="9" max="9" width="12.42578125" style="1" customWidth="1"/>
    <col min="10" max="10" width="8.85546875" style="1" bestFit="1" customWidth="1"/>
    <col min="11" max="11" width="7" style="1" bestFit="1" customWidth="1"/>
    <col min="12" max="12" width="7.7109375" style="1" bestFit="1" customWidth="1"/>
    <col min="13" max="13" width="13.7109375" style="1" bestFit="1" customWidth="1"/>
    <col min="14" max="14" width="9.140625" style="1"/>
    <col min="15" max="15" width="3.140625" style="1" customWidth="1"/>
    <col min="16" max="16384" width="9.140625" style="1"/>
  </cols>
  <sheetData>
    <row r="1" spans="1:15" x14ac:dyDescent="0.25">
      <c r="A1" s="46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</row>
    <row r="2" spans="1:15" x14ac:dyDescent="0.25">
      <c r="A2" s="69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MS_0100_002_m+MS_0100_002_p</f>
        <v>7.5426952828861555</v>
      </c>
      <c r="O2" s="6"/>
    </row>
    <row r="3" spans="1:15" x14ac:dyDescent="0.25">
      <c r="A3" s="69" t="s">
        <v>84</v>
      </c>
      <c r="B3" s="38" t="str">
        <f>'MS A0100'!B3</f>
        <v>Miscellaneous, Finish &amp; Assembly</v>
      </c>
      <c r="C3" s="2"/>
      <c r="D3" s="69" t="s">
        <v>80</v>
      </c>
      <c r="E3" s="73" t="s">
        <v>100</v>
      </c>
      <c r="F3" s="2"/>
      <c r="G3" s="2"/>
      <c r="H3" s="2"/>
      <c r="I3" s="2"/>
      <c r="J3" s="2"/>
      <c r="K3" s="2"/>
      <c r="L3" s="2"/>
      <c r="M3" s="69" t="s">
        <v>83</v>
      </c>
      <c r="N3" s="41">
        <v>1</v>
      </c>
      <c r="O3" s="6"/>
    </row>
    <row r="4" spans="1:15" x14ac:dyDescent="0.25">
      <c r="A4" s="69" t="s">
        <v>82</v>
      </c>
      <c r="B4" s="72" t="str">
        <f>'MS A0100'!B4</f>
        <v>Firewall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6"/>
    </row>
    <row r="5" spans="1:15" x14ac:dyDescent="0.25">
      <c r="A5" s="69" t="s">
        <v>71</v>
      </c>
      <c r="B5" s="40" t="s">
        <v>68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7.5426952828861555</v>
      </c>
      <c r="O5" s="6"/>
    </row>
    <row r="6" spans="1:15" x14ac:dyDescent="0.25">
      <c r="A6" s="69" t="s">
        <v>79</v>
      </c>
      <c r="B6" s="71" t="s">
        <v>236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6"/>
    </row>
    <row r="7" spans="1:15" x14ac:dyDescent="0.25">
      <c r="A7" s="69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69" t="s">
        <v>73</v>
      </c>
      <c r="B8" s="38" t="s">
        <v>102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68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66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6"/>
    </row>
    <row r="11" spans="1:15" s="58" customFormat="1" x14ac:dyDescent="0.25">
      <c r="A11" s="90">
        <v>10</v>
      </c>
      <c r="B11" s="89" t="s">
        <v>98</v>
      </c>
      <c r="C11" s="88"/>
      <c r="D11" s="81">
        <v>4.2</v>
      </c>
      <c r="E11" s="292">
        <f>J11*K11*L11</f>
        <v>1.022689776</v>
      </c>
      <c r="F11" s="88" t="s">
        <v>97</v>
      </c>
      <c r="G11" s="88"/>
      <c r="H11" s="87"/>
      <c r="I11" s="86" t="s">
        <v>96</v>
      </c>
      <c r="J11" s="85">
        <v>0.18854899999999999</v>
      </c>
      <c r="K11" s="84">
        <v>2E-3</v>
      </c>
      <c r="L11" s="382">
        <v>2712</v>
      </c>
      <c r="M11" s="383">
        <v>1</v>
      </c>
      <c r="N11" s="81">
        <f>IF(J11="",D11*M11,D11*J11*K11*L11*M11)</f>
        <v>4.2952970592000002</v>
      </c>
      <c r="O11" s="59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0" t="s">
        <v>0</v>
      </c>
      <c r="N12" s="47">
        <f>SUM(N11:N11)</f>
        <v>4.2952970592000002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79" t="s">
        <v>11</v>
      </c>
      <c r="B14" s="78" t="s">
        <v>55</v>
      </c>
      <c r="C14" s="78" t="s">
        <v>9</v>
      </c>
      <c r="D14" s="78" t="s">
        <v>8</v>
      </c>
      <c r="E14" s="78" t="s">
        <v>7</v>
      </c>
      <c r="F14" s="78" t="s">
        <v>6</v>
      </c>
      <c r="G14" s="78" t="s">
        <v>54</v>
      </c>
      <c r="H14" s="78" t="s">
        <v>53</v>
      </c>
      <c r="I14" s="78" t="s">
        <v>0</v>
      </c>
      <c r="J14" s="7"/>
      <c r="K14" s="7"/>
      <c r="L14" s="7"/>
      <c r="M14" s="7"/>
      <c r="N14" s="7"/>
      <c r="O14" s="6"/>
    </row>
    <row r="15" spans="1:15" s="30" customFormat="1" x14ac:dyDescent="0.25">
      <c r="A15" s="77">
        <v>10</v>
      </c>
      <c r="B15" s="76" t="s">
        <v>95</v>
      </c>
      <c r="C15" s="75"/>
      <c r="D15" s="53">
        <v>1.3</v>
      </c>
      <c r="E15" s="23" t="s">
        <v>94</v>
      </c>
      <c r="F15" s="384">
        <v>1</v>
      </c>
      <c r="G15" s="54"/>
      <c r="H15" s="54"/>
      <c r="I15" s="20">
        <f>IF(H15="",D15*F15,D15*F15*H15)</f>
        <v>1.3</v>
      </c>
      <c r="J15" s="52"/>
      <c r="K15" s="52"/>
      <c r="L15" s="52"/>
      <c r="M15" s="52"/>
      <c r="N15" s="52"/>
      <c r="O15" s="31"/>
    </row>
    <row r="16" spans="1:15" x14ac:dyDescent="0.25">
      <c r="A16" s="21">
        <v>20</v>
      </c>
      <c r="B16" s="50" t="s">
        <v>93</v>
      </c>
      <c r="C16" s="21"/>
      <c r="D16" s="20">
        <v>0.01</v>
      </c>
      <c r="E16" s="21" t="s">
        <v>49</v>
      </c>
      <c r="F16" s="51">
        <f>187.2+4*2*PI()*0.3</f>
        <v>194.73982236861548</v>
      </c>
      <c r="G16" s="23" t="s">
        <v>92</v>
      </c>
      <c r="H16" s="22">
        <v>1</v>
      </c>
      <c r="I16" s="20">
        <f>IF(H16="",D16*F16,D16*F16*H16)</f>
        <v>1.9473982236861549</v>
      </c>
      <c r="J16" s="2"/>
      <c r="K16" s="2"/>
      <c r="L16" s="2"/>
      <c r="M16" s="2"/>
      <c r="N16" s="2"/>
      <c r="O16" s="6"/>
    </row>
    <row r="17" spans="1:15" x14ac:dyDescent="0.25">
      <c r="A17" s="10"/>
      <c r="B17" s="7"/>
      <c r="C17" s="7"/>
      <c r="D17" s="7"/>
      <c r="E17" s="7"/>
      <c r="F17" s="7"/>
      <c r="G17" s="7"/>
      <c r="H17" s="48" t="s">
        <v>0</v>
      </c>
      <c r="I17" s="47">
        <f>SUM(I15:I16)</f>
        <v>3.2473982236861549</v>
      </c>
      <c r="J17" s="7"/>
      <c r="K17" s="7"/>
      <c r="L17" s="7"/>
      <c r="M17" s="7"/>
      <c r="N17" s="7"/>
      <c r="O17" s="6"/>
    </row>
    <row r="18" spans="1:15" ht="15.75" thickBot="1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"/>
    </row>
  </sheetData>
  <hyperlinks>
    <hyperlink ref="B4" location="MS_A0100" display="MS_A0100" xr:uid="{00000000-0004-0000-0400-000000000000}"/>
    <hyperlink ref="E3" location="'dMS 01002'!A1" display="Drawing" xr:uid="{00000000-0004-0000-0400-000001000000}"/>
    <hyperlink ref="G2" location="MS_0100_002_BOM" display="Back to BOM" xr:uid="{00000000-0004-0000-0400-000002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B1"/>
  <sheetViews>
    <sheetView workbookViewId="0"/>
  </sheetViews>
  <sheetFormatPr baseColWidth="10" defaultRowHeight="15" x14ac:dyDescent="0.25"/>
  <cols>
    <col min="1" max="1" width="12.85546875" style="1" bestFit="1" customWidth="1"/>
    <col min="2" max="2" width="13.140625" style="1" bestFit="1" customWidth="1"/>
    <col min="3" max="16384" width="11.42578125" style="1"/>
  </cols>
  <sheetData>
    <row r="1" spans="1:2" x14ac:dyDescent="0.25">
      <c r="A1" s="17" t="s">
        <v>103</v>
      </c>
      <c r="B1" s="35" t="s">
        <v>236</v>
      </c>
    </row>
  </sheetData>
  <hyperlinks>
    <hyperlink ref="B1" location="MS_0100_002" display="MS 01002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O19"/>
  <sheetViews>
    <sheetView workbookViewId="0">
      <selection activeCell="N15" sqref="N15"/>
    </sheetView>
  </sheetViews>
  <sheetFormatPr baseColWidth="10" defaultColWidth="9.140625" defaultRowHeight="15" x14ac:dyDescent="0.25"/>
  <cols>
    <col min="1" max="1" width="10.28515625" style="1" bestFit="1" customWidth="1"/>
    <col min="2" max="2" width="31.28515625" style="1" bestFit="1" customWidth="1"/>
    <col min="3" max="3" width="4.42578125" style="1" bestFit="1" customWidth="1"/>
    <col min="4" max="4" width="8.85546875" style="1" bestFit="1" customWidth="1"/>
    <col min="5" max="5" width="8.42578125" style="1" bestFit="1" customWidth="1"/>
    <col min="6" max="6" width="8.7109375" style="1" bestFit="1" customWidth="1"/>
    <col min="7" max="7" width="19.42578125" style="1" bestFit="1" customWidth="1"/>
    <col min="8" max="8" width="9.7109375" style="1" bestFit="1" customWidth="1"/>
    <col min="9" max="9" width="11.5703125" style="1" bestFit="1" customWidth="1"/>
    <col min="10" max="10" width="8.85546875" style="1" bestFit="1" customWidth="1"/>
    <col min="11" max="11" width="7" style="1" bestFit="1" customWidth="1"/>
    <col min="12" max="12" width="7.7109375" style="1" bestFit="1" customWidth="1"/>
    <col min="13" max="13" width="13.7109375" style="1" bestFit="1" customWidth="1"/>
    <col min="14" max="14" width="9.140625" style="1"/>
    <col min="15" max="15" width="3.140625" style="1" customWidth="1"/>
    <col min="16" max="16384" width="9.140625" style="1"/>
  </cols>
  <sheetData>
    <row r="1" spans="1:15" x14ac:dyDescent="0.25">
      <c r="A1" s="46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</row>
    <row r="2" spans="1:15" x14ac:dyDescent="0.25">
      <c r="A2" s="69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MS_0100_003_m+MS_0100_003_p</f>
        <v>11.141555750086155</v>
      </c>
      <c r="O2" s="6"/>
    </row>
    <row r="3" spans="1:15" x14ac:dyDescent="0.25">
      <c r="A3" s="69" t="s">
        <v>84</v>
      </c>
      <c r="B3" s="38" t="str">
        <f>'MS A0100'!B3</f>
        <v>Miscellaneous, Finish &amp; Assembly</v>
      </c>
      <c r="C3" s="2"/>
      <c r="D3" s="69" t="s">
        <v>80</v>
      </c>
      <c r="E3" s="73" t="s">
        <v>100</v>
      </c>
      <c r="F3" s="2"/>
      <c r="G3" s="2"/>
      <c r="H3" s="2"/>
      <c r="I3" s="2"/>
      <c r="J3" s="2"/>
      <c r="K3" s="2"/>
      <c r="L3" s="2"/>
      <c r="M3" s="69" t="s">
        <v>83</v>
      </c>
      <c r="N3" s="41">
        <v>1</v>
      </c>
      <c r="O3" s="6"/>
    </row>
    <row r="4" spans="1:15" x14ac:dyDescent="0.25">
      <c r="A4" s="69" t="s">
        <v>82</v>
      </c>
      <c r="B4" s="72" t="str">
        <f>'MS A0100'!B4</f>
        <v>Firewall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6"/>
    </row>
    <row r="5" spans="1:15" x14ac:dyDescent="0.25">
      <c r="A5" s="69" t="s">
        <v>71</v>
      </c>
      <c r="B5" s="40" t="s">
        <v>67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11.141555750086155</v>
      </c>
      <c r="O5" s="6"/>
    </row>
    <row r="6" spans="1:15" x14ac:dyDescent="0.25">
      <c r="A6" s="69" t="s">
        <v>79</v>
      </c>
      <c r="B6" s="71" t="s">
        <v>237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6"/>
    </row>
    <row r="7" spans="1:15" x14ac:dyDescent="0.25">
      <c r="A7" s="69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69" t="s">
        <v>73</v>
      </c>
      <c r="B8" s="38" t="s">
        <v>104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68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66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6"/>
    </row>
    <row r="11" spans="1:15" s="58" customFormat="1" x14ac:dyDescent="0.25">
      <c r="A11" s="90">
        <v>10</v>
      </c>
      <c r="B11" s="89" t="s">
        <v>98</v>
      </c>
      <c r="C11" s="88"/>
      <c r="D11" s="81">
        <v>4.2</v>
      </c>
      <c r="E11" s="292">
        <f>J11*K11*L11</f>
        <v>1.6257517920000002</v>
      </c>
      <c r="F11" s="88" t="s">
        <v>97</v>
      </c>
      <c r="G11" s="88"/>
      <c r="H11" s="87"/>
      <c r="I11" s="86" t="s">
        <v>96</v>
      </c>
      <c r="J11" s="85">
        <v>0.29973300000000003</v>
      </c>
      <c r="K11" s="84">
        <v>2E-3</v>
      </c>
      <c r="L11" s="385">
        <v>2712</v>
      </c>
      <c r="M11" s="383">
        <v>1</v>
      </c>
      <c r="N11" s="81">
        <f>IF(J11="",D11*M11,D11*J11*K11*L11*M11)</f>
        <v>6.828157526400001</v>
      </c>
      <c r="O11" s="59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0" t="s">
        <v>0</v>
      </c>
      <c r="N12" s="47">
        <f>SUM(N11:N11)</f>
        <v>6.828157526400001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79" t="s">
        <v>11</v>
      </c>
      <c r="B14" s="78" t="s">
        <v>55</v>
      </c>
      <c r="C14" s="78" t="s">
        <v>9</v>
      </c>
      <c r="D14" s="78" t="s">
        <v>8</v>
      </c>
      <c r="E14" s="78" t="s">
        <v>7</v>
      </c>
      <c r="F14" s="78" t="s">
        <v>6</v>
      </c>
      <c r="G14" s="78" t="s">
        <v>54</v>
      </c>
      <c r="H14" s="78" t="s">
        <v>53</v>
      </c>
      <c r="I14" s="78" t="s">
        <v>0</v>
      </c>
      <c r="J14" s="7"/>
      <c r="K14" s="7"/>
      <c r="L14" s="7"/>
      <c r="M14" s="7"/>
      <c r="N14" s="7"/>
      <c r="O14" s="6"/>
    </row>
    <row r="15" spans="1:15" s="30" customFormat="1" ht="30" x14ac:dyDescent="0.25">
      <c r="A15" s="101">
        <v>10</v>
      </c>
      <c r="B15" s="76" t="s">
        <v>95</v>
      </c>
      <c r="C15" s="99"/>
      <c r="D15" s="98">
        <v>1.3</v>
      </c>
      <c r="E15" s="92" t="s">
        <v>94</v>
      </c>
      <c r="F15" s="211">
        <v>1</v>
      </c>
      <c r="G15" s="99"/>
      <c r="H15" s="99"/>
      <c r="I15" s="98">
        <f>IF(H15="",D15*F15,D15*F15*H15)</f>
        <v>1.3</v>
      </c>
      <c r="J15" s="52"/>
      <c r="K15" s="52"/>
      <c r="L15" s="52"/>
      <c r="M15" s="52"/>
      <c r="N15" s="52"/>
      <c r="O15" s="31"/>
    </row>
    <row r="16" spans="1:15" x14ac:dyDescent="0.25">
      <c r="A16" s="97">
        <v>20</v>
      </c>
      <c r="B16" s="222" t="s">
        <v>93</v>
      </c>
      <c r="C16" s="25"/>
      <c r="D16" s="24">
        <v>0.01</v>
      </c>
      <c r="E16" s="25" t="s">
        <v>49</v>
      </c>
      <c r="F16" s="96">
        <f>218.8+4*2*PI()*0.3</f>
        <v>226.3398223686155</v>
      </c>
      <c r="G16" s="28" t="s">
        <v>92</v>
      </c>
      <c r="H16" s="27">
        <v>1</v>
      </c>
      <c r="I16" s="24">
        <f>IF(H16="",D16*F16,D16*F16*H16)</f>
        <v>2.263398223686155</v>
      </c>
      <c r="J16" s="2"/>
      <c r="K16" s="2"/>
      <c r="L16" s="2"/>
      <c r="M16" s="2"/>
      <c r="N16" s="2"/>
      <c r="O16" s="6"/>
    </row>
    <row r="17" spans="1:15" x14ac:dyDescent="0.25">
      <c r="A17" s="94">
        <v>30</v>
      </c>
      <c r="B17" s="95" t="s">
        <v>91</v>
      </c>
      <c r="C17" s="94"/>
      <c r="D17" s="81">
        <v>0.25</v>
      </c>
      <c r="E17" s="94" t="s">
        <v>90</v>
      </c>
      <c r="F17" s="93">
        <v>3</v>
      </c>
      <c r="G17" s="92"/>
      <c r="H17" s="91"/>
      <c r="I17" s="81">
        <f>IF(H17="",D17*F17,D17*F17*H17)</f>
        <v>0.75</v>
      </c>
      <c r="J17" s="2"/>
      <c r="K17" s="2"/>
      <c r="L17" s="2"/>
      <c r="M17" s="2"/>
      <c r="N17" s="2"/>
      <c r="O17" s="6"/>
    </row>
    <row r="18" spans="1:15" x14ac:dyDescent="0.25">
      <c r="A18" s="10"/>
      <c r="B18" s="7"/>
      <c r="C18" s="7"/>
      <c r="D18" s="7"/>
      <c r="E18" s="7"/>
      <c r="F18" s="7"/>
      <c r="G18" s="7"/>
      <c r="H18" s="48" t="s">
        <v>0</v>
      </c>
      <c r="I18" s="47">
        <f>SUM(I15:I17)</f>
        <v>4.3133982236861552</v>
      </c>
      <c r="J18" s="7"/>
      <c r="K18" s="7"/>
      <c r="L18" s="7"/>
      <c r="M18" s="7"/>
      <c r="N18" s="7"/>
      <c r="O18" s="6"/>
    </row>
    <row r="19" spans="1:15" ht="15.75" thickBot="1" x14ac:dyDescent="0.3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3"/>
    </row>
  </sheetData>
  <hyperlinks>
    <hyperlink ref="B4" location="MS_A0100" display="MS_A0100" xr:uid="{00000000-0004-0000-0600-000000000000}"/>
    <hyperlink ref="E3" location="'dMS 01003'!A1" display="Drawing" xr:uid="{00000000-0004-0000-0600-000001000000}"/>
    <hyperlink ref="G2" location="MS_0100_003_BOM" display="Back to BOM" xr:uid="{00000000-0004-0000-0600-000002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"/>
  </cols>
  <sheetData>
    <row r="1" spans="1:2" x14ac:dyDescent="0.25">
      <c r="A1" s="1" t="s">
        <v>105</v>
      </c>
      <c r="B1" s="73" t="s">
        <v>237</v>
      </c>
    </row>
  </sheetData>
  <hyperlinks>
    <hyperlink ref="B1" location="MS_0100_003" display="MS 01003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O18"/>
  <sheetViews>
    <sheetView workbookViewId="0">
      <selection activeCell="E3" sqref="E3"/>
    </sheetView>
  </sheetViews>
  <sheetFormatPr baseColWidth="10" defaultColWidth="9.140625" defaultRowHeight="15" x14ac:dyDescent="0.25"/>
  <cols>
    <col min="1" max="1" width="10.28515625" style="1" bestFit="1" customWidth="1"/>
    <col min="2" max="2" width="31.28515625" style="1" bestFit="1" customWidth="1"/>
    <col min="3" max="3" width="4.42578125" style="1" bestFit="1" customWidth="1"/>
    <col min="4" max="4" width="8.85546875" style="1" bestFit="1" customWidth="1"/>
    <col min="5" max="5" width="8.28515625" style="1" bestFit="1" customWidth="1"/>
    <col min="6" max="6" width="8.7109375" style="1" bestFit="1" customWidth="1"/>
    <col min="7" max="7" width="31" style="1" bestFit="1" customWidth="1"/>
    <col min="8" max="8" width="9.7109375" style="1" bestFit="1" customWidth="1"/>
    <col min="9" max="9" width="11.5703125" style="1" bestFit="1" customWidth="1"/>
    <col min="10" max="10" width="8.85546875" style="1" bestFit="1" customWidth="1"/>
    <col min="11" max="11" width="7" style="1" customWidth="1"/>
    <col min="12" max="12" width="7.7109375" style="1" bestFit="1" customWidth="1"/>
    <col min="13" max="13" width="13.7109375" style="1" bestFit="1" customWidth="1"/>
    <col min="14" max="14" width="9.140625" style="1"/>
    <col min="15" max="15" width="3.140625" style="1" customWidth="1"/>
    <col min="16" max="16384" width="9.140625" style="1"/>
  </cols>
  <sheetData>
    <row r="1" spans="1:15" x14ac:dyDescent="0.25">
      <c r="A1" s="46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</row>
    <row r="2" spans="1:15" x14ac:dyDescent="0.25">
      <c r="A2" s="69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MS_0100_004_m+MS_0100_004_p</f>
        <v>3.1699841066880001</v>
      </c>
      <c r="O2" s="6"/>
    </row>
    <row r="3" spans="1:15" x14ac:dyDescent="0.25">
      <c r="A3" s="69" t="s">
        <v>84</v>
      </c>
      <c r="B3" s="38" t="str">
        <f>'MS A0100'!B3</f>
        <v>Miscellaneous, Finish &amp; Assembly</v>
      </c>
      <c r="C3" s="2"/>
      <c r="D3" s="69" t="s">
        <v>80</v>
      </c>
      <c r="E3" s="73" t="s">
        <v>100</v>
      </c>
      <c r="F3" s="2"/>
      <c r="G3" s="2"/>
      <c r="H3" s="2"/>
      <c r="I3" s="2"/>
      <c r="J3" s="2"/>
      <c r="K3" s="2"/>
      <c r="L3" s="2"/>
      <c r="M3" s="69" t="s">
        <v>83</v>
      </c>
      <c r="N3" s="41">
        <v>2</v>
      </c>
      <c r="O3" s="6"/>
    </row>
    <row r="4" spans="1:15" x14ac:dyDescent="0.25">
      <c r="A4" s="69" t="s">
        <v>82</v>
      </c>
      <c r="B4" s="72" t="str">
        <f>'MS A0100'!B4</f>
        <v>Firewall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6"/>
    </row>
    <row r="5" spans="1:15" x14ac:dyDescent="0.25">
      <c r="A5" s="69" t="s">
        <v>71</v>
      </c>
      <c r="B5" s="40" t="s">
        <v>66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6.3399682133760003</v>
      </c>
      <c r="O5" s="6"/>
    </row>
    <row r="6" spans="1:15" x14ac:dyDescent="0.25">
      <c r="A6" s="69" t="s">
        <v>79</v>
      </c>
      <c r="B6" s="71" t="s">
        <v>238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6"/>
    </row>
    <row r="7" spans="1:15" x14ac:dyDescent="0.25">
      <c r="A7" s="69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69" t="s">
        <v>73</v>
      </c>
      <c r="B8" s="38" t="s">
        <v>107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68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66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6"/>
    </row>
    <row r="11" spans="1:15" s="58" customFormat="1" x14ac:dyDescent="0.25">
      <c r="A11" s="90">
        <v>10</v>
      </c>
      <c r="B11" s="89" t="s">
        <v>98</v>
      </c>
      <c r="C11" s="88"/>
      <c r="D11" s="81">
        <v>4.2</v>
      </c>
      <c r="E11" s="292">
        <f>J11*K11*L11</f>
        <v>0.29625812064000001</v>
      </c>
      <c r="F11" s="88" t="s">
        <v>97</v>
      </c>
      <c r="G11" s="88"/>
      <c r="H11" s="87"/>
      <c r="I11" s="86" t="s">
        <v>96</v>
      </c>
      <c r="J11" s="85">
        <v>5.4619859999999999E-2</v>
      </c>
      <c r="K11" s="84">
        <v>2E-3</v>
      </c>
      <c r="L11" s="385">
        <v>2712</v>
      </c>
      <c r="M11" s="383">
        <v>1</v>
      </c>
      <c r="N11" s="81">
        <f>IF(J11="",D11*M11,D11*J11*K11*L11*M11)</f>
        <v>1.2442841066879999</v>
      </c>
      <c r="O11" s="59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0" t="s">
        <v>0</v>
      </c>
      <c r="N12" s="47">
        <f>SUM(N11:N11)</f>
        <v>1.2442841066879999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79" t="s">
        <v>11</v>
      </c>
      <c r="B14" s="78" t="s">
        <v>55</v>
      </c>
      <c r="C14" s="78" t="s">
        <v>9</v>
      </c>
      <c r="D14" s="78" t="s">
        <v>8</v>
      </c>
      <c r="E14" s="78" t="s">
        <v>7</v>
      </c>
      <c r="F14" s="78" t="s">
        <v>6</v>
      </c>
      <c r="G14" s="78" t="s">
        <v>54</v>
      </c>
      <c r="H14" s="78" t="s">
        <v>53</v>
      </c>
      <c r="I14" s="78" t="s">
        <v>0</v>
      </c>
      <c r="J14" s="7"/>
      <c r="K14" s="7"/>
      <c r="L14" s="7"/>
      <c r="M14" s="7"/>
      <c r="N14" s="7"/>
      <c r="O14" s="6"/>
    </row>
    <row r="15" spans="1:15" s="30" customFormat="1" ht="30" x14ac:dyDescent="0.25">
      <c r="A15" s="77">
        <v>10</v>
      </c>
      <c r="B15" s="76" t="s">
        <v>95</v>
      </c>
      <c r="C15" s="75"/>
      <c r="D15" s="98">
        <v>1.3</v>
      </c>
      <c r="E15" s="92" t="s">
        <v>94</v>
      </c>
      <c r="F15" s="211">
        <v>1</v>
      </c>
      <c r="G15" s="99" t="s">
        <v>106</v>
      </c>
      <c r="H15" s="99">
        <v>0.5</v>
      </c>
      <c r="I15" s="98">
        <f>IF(H15="",D15*F15,D15*F15*H15)</f>
        <v>0.65</v>
      </c>
      <c r="J15" s="52"/>
      <c r="K15" s="52"/>
      <c r="L15" s="52"/>
      <c r="M15" s="52"/>
      <c r="N15" s="52"/>
      <c r="O15" s="31"/>
    </row>
    <row r="16" spans="1:15" x14ac:dyDescent="0.25">
      <c r="A16" s="94">
        <v>20</v>
      </c>
      <c r="B16" s="95" t="s">
        <v>93</v>
      </c>
      <c r="C16" s="94"/>
      <c r="D16" s="81">
        <v>0.01</v>
      </c>
      <c r="E16" s="94" t="s">
        <v>49</v>
      </c>
      <c r="F16" s="102">
        <v>127.57</v>
      </c>
      <c r="G16" s="92" t="s">
        <v>92</v>
      </c>
      <c r="H16" s="91">
        <v>1</v>
      </c>
      <c r="I16" s="81">
        <f>IF(H16="",D16*F16,D16*F16*H16)</f>
        <v>1.2757000000000001</v>
      </c>
      <c r="J16" s="2"/>
      <c r="K16" s="2"/>
      <c r="L16" s="2"/>
      <c r="M16" s="2"/>
      <c r="N16" s="2"/>
      <c r="O16" s="6"/>
    </row>
    <row r="17" spans="1:15" x14ac:dyDescent="0.25">
      <c r="A17" s="10"/>
      <c r="B17" s="7"/>
      <c r="C17" s="7"/>
      <c r="D17" s="7"/>
      <c r="E17" s="7"/>
      <c r="F17" s="7"/>
      <c r="G17" s="7"/>
      <c r="H17" s="48" t="s">
        <v>0</v>
      </c>
      <c r="I17" s="47">
        <f>SUM(I15:I16)</f>
        <v>1.9257</v>
      </c>
      <c r="J17" s="7"/>
      <c r="K17" s="7"/>
      <c r="L17" s="7"/>
      <c r="M17" s="7"/>
      <c r="N17" s="7"/>
      <c r="O17" s="6"/>
    </row>
    <row r="18" spans="1:15" ht="15.75" thickBot="1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"/>
    </row>
  </sheetData>
  <hyperlinks>
    <hyperlink ref="B4" location="MS_A0100" display="MS_A0100" xr:uid="{00000000-0004-0000-0800-000000000000}"/>
    <hyperlink ref="E3" location="'dMS 01004'!A1" display="Drawing" xr:uid="{00000000-0004-0000-0800-000001000000}"/>
    <hyperlink ref="G2" location="MS_0100_004_BOM" display="Back to BOM" xr:uid="{00000000-0004-0000-0800-000002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30</vt:i4>
      </vt:variant>
      <vt:variant>
        <vt:lpstr>Plages nommées</vt:lpstr>
      </vt:variant>
      <vt:variant>
        <vt:i4>102</vt:i4>
      </vt:variant>
    </vt:vector>
  </HeadingPairs>
  <TitlesOfParts>
    <vt:vector size="132" baseType="lpstr">
      <vt:lpstr>BOM</vt:lpstr>
      <vt:lpstr>MS A0100</vt:lpstr>
      <vt:lpstr>MS 01001</vt:lpstr>
      <vt:lpstr>dMS 01001</vt:lpstr>
      <vt:lpstr>MS 01002</vt:lpstr>
      <vt:lpstr>dMS 01002</vt:lpstr>
      <vt:lpstr>MS 01003</vt:lpstr>
      <vt:lpstr>dMS 01003</vt:lpstr>
      <vt:lpstr>MS 01004</vt:lpstr>
      <vt:lpstr>dMS 01004</vt:lpstr>
      <vt:lpstr>MS 01005</vt:lpstr>
      <vt:lpstr>dMS 01005</vt:lpstr>
      <vt:lpstr>MS 01006</vt:lpstr>
      <vt:lpstr>dMS 01006</vt:lpstr>
      <vt:lpstr>MS 01007</vt:lpstr>
      <vt:lpstr>dMS 01007</vt:lpstr>
      <vt:lpstr>MS 01008</vt:lpstr>
      <vt:lpstr>dMS 01008</vt:lpstr>
      <vt:lpstr>MS A0200</vt:lpstr>
      <vt:lpstr>MS 02001</vt:lpstr>
      <vt:lpstr>MS A0300</vt:lpstr>
      <vt:lpstr>MS A0400</vt:lpstr>
      <vt:lpstr>MS 04001</vt:lpstr>
      <vt:lpstr>MS 04002</vt:lpstr>
      <vt:lpstr>dMS 04002</vt:lpstr>
      <vt:lpstr>MS 04003</vt:lpstr>
      <vt:lpstr>dMS 04003</vt:lpstr>
      <vt:lpstr>MS A0500</vt:lpstr>
      <vt:lpstr>MS 05001</vt:lpstr>
      <vt:lpstr>dMS 05001</vt:lpstr>
      <vt:lpstr>MS_0100_001</vt:lpstr>
      <vt:lpstr>MS_0100_001_BOM</vt:lpstr>
      <vt:lpstr>MS_0100_001_m</vt:lpstr>
      <vt:lpstr>MS_0100_001_p</vt:lpstr>
      <vt:lpstr>MS_0100_001_q</vt:lpstr>
      <vt:lpstr>MS_0100_002</vt:lpstr>
      <vt:lpstr>MS_0100_002_BOM</vt:lpstr>
      <vt:lpstr>MS_0100_002_m</vt:lpstr>
      <vt:lpstr>MS_0100_002_p</vt:lpstr>
      <vt:lpstr>MS_0100_002_q</vt:lpstr>
      <vt:lpstr>MS_0100_003</vt:lpstr>
      <vt:lpstr>MS_0100_003_BOM</vt:lpstr>
      <vt:lpstr>MS_0100_003_m</vt:lpstr>
      <vt:lpstr>MS_0100_003_p</vt:lpstr>
      <vt:lpstr>MS_0100_003_q</vt:lpstr>
      <vt:lpstr>MS_0100_004</vt:lpstr>
      <vt:lpstr>MS_0100_004_BOM</vt:lpstr>
      <vt:lpstr>MS_0100_004_m</vt:lpstr>
      <vt:lpstr>MS_0100_004_p</vt:lpstr>
      <vt:lpstr>MS_0100_004_q</vt:lpstr>
      <vt:lpstr>MS_0100_005</vt:lpstr>
      <vt:lpstr>MS_0100_005_BOM</vt:lpstr>
      <vt:lpstr>MS_0100_005_m</vt:lpstr>
      <vt:lpstr>MS_0100_005_p</vt:lpstr>
      <vt:lpstr>MS_0100_005_q</vt:lpstr>
      <vt:lpstr>MS_0100_006</vt:lpstr>
      <vt:lpstr>MS_0100_006_BOM</vt:lpstr>
      <vt:lpstr>MS_0100_006_m</vt:lpstr>
      <vt:lpstr>MS_0100_006_p</vt:lpstr>
      <vt:lpstr>MS_0100_006_q</vt:lpstr>
      <vt:lpstr>MS_0100_007</vt:lpstr>
      <vt:lpstr>MS_0100_007_BOM</vt:lpstr>
      <vt:lpstr>MS_0100_007_m</vt:lpstr>
      <vt:lpstr>MS_0100_007_p</vt:lpstr>
      <vt:lpstr>MS_0100_007_q</vt:lpstr>
      <vt:lpstr>MS_0100_008</vt:lpstr>
      <vt:lpstr>MS_0100_008_BOM</vt:lpstr>
      <vt:lpstr>MS_0100_008_m</vt:lpstr>
      <vt:lpstr>MS_0100_008_p</vt:lpstr>
      <vt:lpstr>MS_0100_008_q</vt:lpstr>
      <vt:lpstr>MS_02001</vt:lpstr>
      <vt:lpstr>MS_02001_a</vt:lpstr>
      <vt:lpstr>MS_02001_BOM</vt:lpstr>
      <vt:lpstr>MS_02001_m</vt:lpstr>
      <vt:lpstr>MS_02001_p</vt:lpstr>
      <vt:lpstr>MS_02001_q</vt:lpstr>
      <vt:lpstr>MS_04001</vt:lpstr>
      <vt:lpstr>MS_04001_BOM</vt:lpstr>
      <vt:lpstr>MS_04001_m</vt:lpstr>
      <vt:lpstr>MS_04001_p</vt:lpstr>
      <vt:lpstr>MS_04001_q</vt:lpstr>
      <vt:lpstr>MS_04001_t</vt:lpstr>
      <vt:lpstr>MS_04002</vt:lpstr>
      <vt:lpstr>MS_04002_BOM</vt:lpstr>
      <vt:lpstr>MS_04002_m</vt:lpstr>
      <vt:lpstr>MS_04002_p</vt:lpstr>
      <vt:lpstr>MS_04002_q</vt:lpstr>
      <vt:lpstr>MS_04003</vt:lpstr>
      <vt:lpstr>MS_04003_BOM</vt:lpstr>
      <vt:lpstr>MS_04003_m</vt:lpstr>
      <vt:lpstr>MS_04003_p</vt:lpstr>
      <vt:lpstr>MS_04003_q</vt:lpstr>
      <vt:lpstr>MS_05001</vt:lpstr>
      <vt:lpstr>MS_05001_BOM</vt:lpstr>
      <vt:lpstr>MS_05001_m</vt:lpstr>
      <vt:lpstr>MS_05001_p</vt:lpstr>
      <vt:lpstr>MS_05001_q</vt:lpstr>
      <vt:lpstr>MS_A0100</vt:lpstr>
      <vt:lpstr>MS_A0100_BOM</vt:lpstr>
      <vt:lpstr>MS_A0100_f</vt:lpstr>
      <vt:lpstr>MS_A0100_m</vt:lpstr>
      <vt:lpstr>MS_A0100_p</vt:lpstr>
      <vt:lpstr>MS_A0100_pa</vt:lpstr>
      <vt:lpstr>MS_A0100_q</vt:lpstr>
      <vt:lpstr>MS_A0100_t</vt:lpstr>
      <vt:lpstr>MS_A0200</vt:lpstr>
      <vt:lpstr>MS_A0200_BOM</vt:lpstr>
      <vt:lpstr>MS_A0200_f</vt:lpstr>
      <vt:lpstr>MS_A0200_p</vt:lpstr>
      <vt:lpstr>MS_A0200_pa</vt:lpstr>
      <vt:lpstr>MS_A0200_q</vt:lpstr>
      <vt:lpstr>MS_A0300</vt:lpstr>
      <vt:lpstr>MS_A0300_BOM</vt:lpstr>
      <vt:lpstr>MS_A0300_m</vt:lpstr>
      <vt:lpstr>MS_A0300_p</vt:lpstr>
      <vt:lpstr>MS_A0300_q</vt:lpstr>
      <vt:lpstr>MS_A0400</vt:lpstr>
      <vt:lpstr>MS_A0400_BOM</vt:lpstr>
      <vt:lpstr>MS_A0400_f</vt:lpstr>
      <vt:lpstr>MS_A0400_m</vt:lpstr>
      <vt:lpstr>MS_A0400_p</vt:lpstr>
      <vt:lpstr>MS_A0400_pa</vt:lpstr>
      <vt:lpstr>MS_A0400_q</vt:lpstr>
      <vt:lpstr>MS_A0400_t</vt:lpstr>
      <vt:lpstr>MS_A0500</vt:lpstr>
      <vt:lpstr>MS_A0500_BOM</vt:lpstr>
      <vt:lpstr>MS_A0500_f</vt:lpstr>
      <vt:lpstr>MS_A0500_m</vt:lpstr>
      <vt:lpstr>MS_A0500_p</vt:lpstr>
      <vt:lpstr>MS_A0500_pa</vt:lpstr>
      <vt:lpstr>MS_A0500_q</vt:lpstr>
      <vt:lpstr>MS_A0500_t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2018-05-02T22:39:40Z</dcterms:modified>
</cp:coreProperties>
</file>