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EN A0001" sheetId="13" r:id="rId3"/>
    <sheet name="EN 01001" sheetId="14" r:id="rId4"/>
    <sheet name="EN 01002" sheetId="15" r:id="rId5"/>
    <sheet name="EN 01002 Drawing" sheetId="16" r:id="rId6"/>
    <sheet name="EN 01003" sheetId="17" r:id="rId7"/>
    <sheet name="EN 01003 Drawing" sheetId="18" r:id="rId8"/>
  </sheets>
  <externalReferences>
    <externalReference r:id="rId9"/>
    <externalReference r:id="rId1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#REF!</definedName>
    <definedName name="BR_A0001_f">#REF!</definedName>
    <definedName name="BR_A0001_m">#REF!</definedName>
    <definedName name="BR_A0001_p">#REF!</definedName>
    <definedName name="BR_A0001_pa">#REF!</definedName>
    <definedName name="BR_A0001_q">#REF!</definedName>
    <definedName name="BR_A0001_t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#REF!</definedName>
    <definedName name="EL_A0001_f">#REF!</definedName>
    <definedName name="El_A0001_m">#REF!</definedName>
    <definedName name="EL_A0001_p">#REF!</definedName>
    <definedName name="EL_A0001_q">#REF!</definedName>
    <definedName name="EL_A0001_t">#REF!</definedName>
    <definedName name="EL_A0002">#REF!</definedName>
    <definedName name="EL_A0002_f">#REF!</definedName>
    <definedName name="EL_A0002_m">#REF!</definedName>
    <definedName name="EL_A0002_p">#REF!</definedName>
    <definedName name="EL_A0002_q">#REF!</definedName>
    <definedName name="EL_A0002_t">#REF!</definedName>
    <definedName name="EL_A0003_f">#REF!</definedName>
    <definedName name="EL_A0003_m">#REF!</definedName>
    <definedName name="EL_A0003_p">#REF!</definedName>
    <definedName name="EL_A0003_t">#REF!</definedName>
    <definedName name="EN">#REF!</definedName>
    <definedName name="EN_01001">#REF!</definedName>
    <definedName name="EN_01001_f">#REF!</definedName>
    <definedName name="EN_01001_m">#REF!</definedName>
    <definedName name="EN_01001_p">#REF!</definedName>
    <definedName name="EN_01001_q">#REF!</definedName>
    <definedName name="EN_01001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EN_A0001">#REF!</definedName>
    <definedName name="EN_A0001_f">#REF!</definedName>
    <definedName name="EN_A0001_m">#REF!</definedName>
    <definedName name="EN_A0001_p">#REF!</definedName>
    <definedName name="EN_A0001_pa">#REF!</definedName>
    <definedName name="EN_A0001_q">#REF!</definedName>
    <definedName name="EN_A0001_t">#REF!</definedName>
    <definedName name="EN_A001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E18" i="13" l="1"/>
  <c r="N18" i="13"/>
  <c r="N14" i="14"/>
  <c r="J13" i="14"/>
  <c r="N13" i="14"/>
  <c r="J10" i="15"/>
  <c r="I25" i="14"/>
  <c r="I22" i="14"/>
  <c r="I23" i="14"/>
  <c r="I24" i="14"/>
  <c r="J12" i="14"/>
  <c r="J10" i="17"/>
  <c r="K10" i="17"/>
  <c r="N10" i="17"/>
  <c r="N11" i="17"/>
  <c r="I14" i="17"/>
  <c r="I15" i="17"/>
  <c r="I16" i="17"/>
  <c r="N1" i="17"/>
  <c r="N4" i="17"/>
  <c r="E10" i="17"/>
  <c r="K10" i="15"/>
  <c r="N10" i="15"/>
  <c r="N11" i="15"/>
  <c r="H14" i="15"/>
  <c r="I14" i="15"/>
  <c r="I15" i="15"/>
  <c r="I16" i="15"/>
  <c r="N1" i="15"/>
  <c r="N4" i="15"/>
  <c r="E10" i="15"/>
  <c r="J10" i="14"/>
  <c r="N10" i="14"/>
  <c r="J11" i="14"/>
  <c r="N11" i="14"/>
  <c r="N12" i="14"/>
  <c r="N15" i="14"/>
  <c r="I18" i="14"/>
  <c r="I19" i="14"/>
  <c r="I20" i="14"/>
  <c r="I21" i="14"/>
  <c r="I26" i="14"/>
  <c r="I27" i="14"/>
  <c r="I28" i="14"/>
  <c r="I29" i="14"/>
  <c r="I30" i="14"/>
  <c r="I33" i="14"/>
  <c r="I34" i="14"/>
  <c r="N1" i="14"/>
  <c r="N4" i="14"/>
  <c r="C9" i="13"/>
  <c r="E9" i="13"/>
  <c r="C10" i="13"/>
  <c r="E10" i="13"/>
  <c r="C11" i="13"/>
  <c r="E11" i="13"/>
  <c r="E12" i="13"/>
  <c r="N15" i="13"/>
  <c r="N16" i="13"/>
  <c r="M17" i="13"/>
  <c r="N17" i="13"/>
  <c r="N19" i="13"/>
  <c r="I22" i="13"/>
  <c r="F23" i="13"/>
  <c r="I23" i="13"/>
  <c r="I24" i="13"/>
  <c r="I25" i="13"/>
  <c r="I26" i="13"/>
  <c r="I27" i="13"/>
  <c r="I28" i="13"/>
  <c r="I29" i="13"/>
  <c r="I30" i="13"/>
  <c r="I31" i="13"/>
  <c r="I32" i="13"/>
  <c r="J35" i="13"/>
  <c r="J36" i="13"/>
  <c r="J37" i="13"/>
  <c r="J38" i="13"/>
  <c r="J39" i="13"/>
  <c r="D40" i="13"/>
  <c r="J40" i="13"/>
  <c r="J41" i="13"/>
  <c r="J42" i="13"/>
  <c r="I45" i="13"/>
  <c r="I46" i="13"/>
  <c r="N1" i="13"/>
  <c r="N4" i="13"/>
  <c r="E17" i="13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J8" i="8"/>
  <c r="J7" i="8"/>
  <c r="F8" i="8"/>
  <c r="F7" i="8"/>
  <c r="M8" i="8"/>
  <c r="L8" i="8"/>
  <c r="K8" i="8"/>
  <c r="I8" i="8"/>
  <c r="M7" i="8"/>
  <c r="L7" i="8"/>
  <c r="K7" i="8"/>
  <c r="H7" i="8"/>
  <c r="B18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K18" i="8"/>
  <c r="M18" i="8"/>
  <c r="N7" i="8"/>
  <c r="H8" i="8"/>
  <c r="N8" i="8"/>
  <c r="J18" i="8"/>
  <c r="O1" i="8"/>
  <c r="N18" i="8"/>
</calcChain>
</file>

<file path=xl/sharedStrings.xml><?xml version="1.0" encoding="utf-8"?>
<sst xmlns="http://schemas.openxmlformats.org/spreadsheetml/2006/main" count="493" uniqueCount="220">
  <si>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</si>
  <si>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</si>
  <si>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</si>
  <si>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</si>
  <si>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</si>
  <si>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</si>
  <si>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</si>
  <si>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</si>
  <si>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</si>
  <si>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</si>
  <si>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</si>
  <si>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</si>
  <si>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</si>
  <si>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</si>
  <si>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</si>
  <si>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</si>
  <si>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</si>
  <si>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</si>
  <si>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</si>
  <si>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</si>
  <si>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</si>
  <si>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</si>
  <si>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</si>
  <si>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</si>
  <si>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</si>
  <si>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</si>
  <si>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</si>
  <si>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</si>
  <si>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</si>
  <si>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</si>
  <si>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</si>
  <si>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</si>
  <si>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</si>
  <si>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</si>
  <si>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</si>
  <si>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</si>
  <si>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</si>
  <si>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</si>
  <si>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</si>
  <si>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</si>
  <si>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</si>
  <si>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</si>
  <si>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</si>
  <si>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</si>
  <si>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</si>
  <si>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cm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</si>
  <si>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</si>
  <si>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</si>
  <si>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</si>
  <si>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</si>
  <si>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</si>
  <si>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</si>
  <si>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</si>
  <si>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</si>
  <si>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</si>
  <si>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</si>
  <si>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</si>
  <si>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</si>
  <si>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</si>
  <si>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</si>
  <si>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</si>
  <si>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</si>
  <si>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</si>
  <si>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</si>
  <si>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</si>
  <si>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</si>
  <si>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</si>
  <si>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</si>
  <si>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</si>
  <si>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</si>
  <si>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</si>
  <si>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</si>
  <si>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</si>
  <si>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</si>
  <si>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</si>
  <si>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</si>
  <si>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</si>
  <si>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</si>
  <si>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</si>
  <si>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</si>
  <si>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</si>
  <si>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</si>
  <si>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</si>
  <si>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</si>
  <si>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</si>
  <si>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</si>
  <si>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</si>
  <si>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</si>
  <si>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</si>
  <si>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</si>
  <si>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</si>
  <si>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</si>
  <si>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</si>
  <si>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</si>
  <si>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</si>
  <si>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</si>
  <si>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</si>
  <si>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</si>
  <si>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</si>
  <si>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</si>
  <si>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</si>
  <si>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</si>
  <si>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</si>
  <si>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</si>
  <si>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</si>
  <si>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</si>
  <si>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</si>
  <si>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</si>
  <si>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</si>
  <si>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</si>
  <si>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</si>
  <si>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</si>
  <si>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</si>
  <si>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</si>
  <si>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</si>
  <si>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</si>
  <si>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</si>
  <si>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</si>
  <si>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</si>
  <si>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</si>
  <si>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</si>
  <si>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</si>
  <si>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</si>
  <si>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</si>
  <si>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</si>
  <si>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</si>
  <si>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</si>
  <si>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</si>
  <si>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</si>
  <si>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</si>
  <si>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</si>
  <si>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EN A0001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</si>
  <si>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</si>
  <si>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</si>
  <si>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 01001</t>
  </si>
  <si>
    <t>Consulter le tutoriel disponible sur GitHub, dans Vulcanix-v1.0/Cost Report, pour plus d'informations sur cette étape.</t>
  </si>
  <si>
    <t>Rear tabs welding</t>
  </si>
  <si>
    <t>Washer for the flat sump</t>
  </si>
  <si>
    <t>Bolt the flat sump</t>
  </si>
  <si>
    <t>Bolt, Grade 8.8 (SAE 5)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</si>
  <si>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</si>
  <si>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</si>
  <si>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</si>
  <si>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</si>
  <si>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</si>
  <si>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Ratchet &lt;= 6.35 mm</t>
  </si>
  <si>
    <t>Assemble, 1 kg, Line-on-Line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</si>
  <si>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</si>
  <si>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</si>
  <si>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</si>
  <si>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</si>
  <si>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</si>
  <si>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</si>
  <si>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</si>
  <si>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</si>
  <si>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m^2</t>
  </si>
  <si>
    <t>Paint of the rear tabs</t>
  </si>
  <si>
    <t>Aerosol apply</t>
  </si>
  <si>
    <t>Weld rear tabs to the frame</t>
  </si>
  <si>
    <t>Weld</t>
  </si>
  <si>
    <t>Paint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</si>
  <si>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</si>
  <si>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</si>
  <si>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</si>
  <si>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</si>
  <si>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</si>
  <si>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</si>
  <si>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</si>
  <si>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</si>
  <si>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</si>
  <si>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</si>
  <si>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</si>
  <si>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>Engine &amp; Drivetrain</t>
  </si>
  <si>
    <t xml:space="preserve">Mounts Welding </t>
  </si>
  <si>
    <t>Welds- Welding Fixture</t>
  </si>
  <si>
    <t>Drilled holes &lt; 25.4 mm dia.</t>
  </si>
  <si>
    <t>Machining Setup, installation and remove</t>
  </si>
  <si>
    <t>Sheet metal bends</t>
  </si>
  <si>
    <t>Laser cut folded base-wall</t>
  </si>
  <si>
    <t>Laser cut</t>
  </si>
  <si>
    <t>Upper plate</t>
  </si>
  <si>
    <t>Laser cut, upper plate</t>
  </si>
  <si>
    <t>Aluminum, Normal</t>
  </si>
  <si>
    <t>Rectangular area, 250x200 mm</t>
  </si>
  <si>
    <t>Upper plate - 5754</t>
  </si>
  <si>
    <t>Rectangular area, 233x276 mm</t>
  </si>
  <si>
    <t>Folded base - 5754</t>
  </si>
  <si>
    <t>Flat Sump, custom made</t>
  </si>
  <si>
    <t>Flat Sump</t>
  </si>
  <si>
    <t>Material - Steel</t>
  </si>
  <si>
    <t>2 parts made from a single machine setup</t>
  </si>
  <si>
    <t>Setup for laser cut</t>
  </si>
  <si>
    <t>kg</t>
  </si>
  <si>
    <t>Steel, Mild</t>
  </si>
  <si>
    <t>To attach the engine to the frame</t>
  </si>
  <si>
    <t>EN 01002</t>
  </si>
  <si>
    <t xml:space="preserve">Drawing : </t>
  </si>
  <si>
    <t>cm^3</t>
  </si>
  <si>
    <t>Machining</t>
  </si>
  <si>
    <t xml:space="preserve"> </t>
  </si>
  <si>
    <t>Steel, Alloy</t>
  </si>
  <si>
    <t>EN 01003</t>
  </si>
  <si>
    <t>Transversal wall - 5754</t>
  </si>
  <si>
    <t>Upper rectangular plate - 5754</t>
  </si>
  <si>
    <t>Rectangular area, 60x30 mm</t>
  </si>
  <si>
    <t>Rectangular area, 168x42 mm</t>
  </si>
  <si>
    <t>Fold base</t>
  </si>
  <si>
    <t>Laser cut transversal wall</t>
  </si>
  <si>
    <t>Laser cut upper rectangular plate</t>
  </si>
  <si>
    <t xml:space="preserve">Drain valve hole - upper rectangular plate </t>
  </si>
  <si>
    <t>Install upper rectangular plate in drill</t>
  </si>
  <si>
    <t>Rectangular area, 60x32 mm</t>
  </si>
  <si>
    <t>Round area, 20mm diam.</t>
  </si>
  <si>
    <t>To 13mm diam.</t>
  </si>
  <si>
    <t>Fitting, Weld-in, Male, Aluminum</t>
  </si>
  <si>
    <t>For Dash6 connection</t>
  </si>
  <si>
    <t>Weld the 4 plates together + Dash 6 connection</t>
  </si>
  <si>
    <t>Rubber</t>
  </si>
  <si>
    <t>Sealing between oil sump and engine</t>
  </si>
  <si>
    <t>Assemble Flat sump + rubber sealing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</si>
</sst>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\$#,##0.00_);&quot;(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0.0000"/>
    <numFmt numFmtId="169" formatCode="0.000"/>
    <numFmt numFmtId="170" formatCode="&quot;$&quot;#,##0.00"/>
    <numFmt numFmtId="171" formatCode="_(* #,##0_);_(* \(#,##0\);_(* &quot;-&quot;??_);_(@_)"/>
    <numFmt numFmtId="172" formatCode="_-* #,##0.00_-;\-* #,##0.00_-;_-* &quot;-&quot;??_-;_-@_-"/>
    <numFmt numFmtId="173" formatCode="_(&quot;$&quot;* #,##0.00_);_(&quot;$&quot;* \(#,##0.000\);_(&quot;$&quot;* &quot;-&quot;??_);_(@_)"/>
    <numFmt numFmtId="174" formatCode="_(* #,##0.000_);_(* \(#,##0.000\);_(* &quot;-&quot;??_);_(@_)"/>
    <numFmt numFmtId="175" formatCode="_(\$* #,##0.00_);_(\$* \(#,##0.00\);_(\$* \-??_);_(@_)"/>
    <numFmt numFmtId="180" formatCode="_-* #,##0.000\ _€_-;\-* #,##0.000\ _€_-;_-* &quot;-&quot;???\ _€_-;_-@_-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5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2" borderId="4">
      <alignment vertical="center" wrapText="1"/>
    </xf>
    <xf numFmtId="166" fontId="6" fillId="0" borderId="0" applyFont="0" applyFill="0" applyBorder="0" applyAlignment="0" applyProtection="0"/>
    <xf numFmtId="0" fontId="3" fillId="0" borderId="0"/>
    <xf numFmtId="164" fontId="4" fillId="0" borderId="1">
      <alignment vertical="center" wrapText="1"/>
    </xf>
    <xf numFmtId="0" fontId="17" fillId="0" borderId="0" applyNumberFormat="0" applyFill="0" applyBorder="0" applyAlignment="0" applyProtection="0"/>
    <xf numFmtId="0" fontId="1" fillId="0" borderId="0"/>
    <xf numFmtId="0" fontId="4" fillId="0" borderId="0"/>
    <xf numFmtId="170" fontId="4" fillId="0" borderId="1">
      <alignment vertical="center" wrapText="1"/>
    </xf>
    <xf numFmtId="0" fontId="25" fillId="0" borderId="0"/>
    <xf numFmtId="166" fontId="14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38">
    <xf numFmtId="0" fontId="0" fillId="0" borderId="0" xfId="0"/>
    <xf numFmtId="18" fontId="10" fillId="0" borderId="5" xfId="1" applyNumberFormat="1" applyFont="1" applyFill="1" applyBorder="1" applyAlignment="1" applyProtection="1">
      <protection locked="0"/>
    </xf>
    <xf numFmtId="0" fontId="10" fillId="0" borderId="5" xfId="1" applyFont="1" applyFill="1" applyBorder="1" applyAlignment="1">
      <alignment horizontal="center"/>
    </xf>
    <xf numFmtId="166" fontId="10" fillId="0" borderId="5" xfId="5" applyFont="1" applyFill="1" applyBorder="1" applyProtection="1">
      <protection locked="0"/>
    </xf>
    <xf numFmtId="0" fontId="10" fillId="0" borderId="5" xfId="1" applyFont="1" applyFill="1" applyBorder="1" applyAlignment="1" applyProtection="1">
      <alignment horizontal="center"/>
      <protection locked="0"/>
    </xf>
    <xf numFmtId="0" fontId="10" fillId="0" borderId="5" xfId="1" applyFont="1" applyFill="1" applyBorder="1" applyProtection="1">
      <protection locked="0"/>
    </xf>
    <xf numFmtId="166" fontId="7" fillId="0" borderId="0" xfId="5" applyFont="1"/>
    <xf numFmtId="0" fontId="7" fillId="0" borderId="0" xfId="1" applyFont="1" applyProtection="1">
      <protection locked="0"/>
    </xf>
    <xf numFmtId="166" fontId="6" fillId="0" borderId="0" xfId="5" applyFont="1"/>
    <xf numFmtId="0" fontId="7" fillId="0" borderId="0" xfId="1" applyFont="1"/>
    <xf numFmtId="0" fontId="9" fillId="0" borderId="0" xfId="1" applyFont="1"/>
    <xf numFmtId="0" fontId="6" fillId="0" borderId="0" xfId="1" applyFont="1" applyProtection="1">
      <protection locked="0"/>
    </xf>
    <xf numFmtId="0" fontId="6" fillId="0" borderId="0" xfId="1" applyFont="1" applyFill="1"/>
    <xf numFmtId="0" fontId="6" fillId="0" borderId="0" xfId="1" applyFont="1"/>
    <xf numFmtId="0" fontId="3" fillId="0" borderId="0" xfId="6" applyBorder="1"/>
    <xf numFmtId="0" fontId="3" fillId="0" borderId="0" xfId="6"/>
    <xf numFmtId="0" fontId="11" fillId="0" borderId="0" xfId="1" applyFont="1" applyAlignment="1">
      <alignment horizontal="center"/>
    </xf>
    <xf numFmtId="0" fontId="12" fillId="0" borderId="0" xfId="1" applyFont="1"/>
    <xf numFmtId="0" fontId="15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0" fillId="0" borderId="5" xfId="1" applyFont="1" applyFill="1" applyBorder="1" applyAlignment="1">
      <alignment horizontal="left"/>
    </xf>
    <xf numFmtId="0" fontId="8" fillId="0" borderId="0" xfId="1" applyFont="1"/>
    <xf numFmtId="0" fontId="13" fillId="0" borderId="0" xfId="1" applyFont="1"/>
    <xf numFmtId="0" fontId="15" fillId="3" borderId="0" xfId="6" applyFont="1" applyFill="1" applyBorder="1" applyAlignment="1"/>
    <xf numFmtId="166" fontId="6" fillId="0" borderId="0" xfId="1" applyNumberFormat="1" applyFont="1"/>
    <xf numFmtId="0" fontId="11" fillId="0" borderId="6" xfId="1" applyFont="1" applyBorder="1" applyAlignment="1">
      <alignment horizontal="center" wrapText="1"/>
    </xf>
    <xf numFmtId="2" fontId="11" fillId="0" borderId="6" xfId="1" applyNumberFormat="1" applyFont="1" applyBorder="1" applyAlignment="1">
      <alignment horizontal="center" wrapText="1"/>
    </xf>
    <xf numFmtId="166" fontId="11" fillId="0" borderId="6" xfId="5" applyFont="1" applyBorder="1" applyAlignment="1">
      <alignment horizontal="center" wrapText="1"/>
    </xf>
    <xf numFmtId="0" fontId="16" fillId="4" borderId="7" xfId="6" applyFont="1" applyFill="1" applyBorder="1"/>
    <xf numFmtId="0" fontId="16" fillId="4" borderId="9" xfId="6" applyFont="1" applyFill="1" applyBorder="1"/>
    <xf numFmtId="0" fontId="16" fillId="4" borderId="8" xfId="6" applyFont="1" applyFill="1" applyBorder="1"/>
    <xf numFmtId="0" fontId="16" fillId="4" borderId="10" xfId="6" applyFont="1" applyFill="1" applyBorder="1"/>
    <xf numFmtId="0" fontId="3" fillId="5" borderId="12" xfId="6" quotePrefix="1" applyFill="1" applyBorder="1" applyAlignment="1">
      <alignment horizontal="left"/>
    </xf>
    <xf numFmtId="2" fontId="3" fillId="6" borderId="13" xfId="6" quotePrefix="1" applyNumberFormat="1" applyFill="1" applyBorder="1" applyAlignment="1">
      <alignment horizontal="right"/>
    </xf>
    <xf numFmtId="0" fontId="16" fillId="3" borderId="0" xfId="6" applyFont="1" applyFill="1" applyBorder="1" applyAlignme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3" fillId="5" borderId="12" xfId="6" quotePrefix="1" applyFont="1" applyFill="1" applyBorder="1" applyAlignment="1">
      <alignment horizontal="left"/>
    </xf>
    <xf numFmtId="0" fontId="2" fillId="5" borderId="12" xfId="6" applyFont="1" applyFill="1" applyBorder="1"/>
    <xf numFmtId="0" fontId="2" fillId="5" borderId="11" xfId="6" applyFont="1" applyFill="1" applyBorder="1"/>
    <xf numFmtId="167" fontId="10" fillId="0" borderId="5" xfId="1" applyNumberFormat="1" applyFont="1" applyFill="1" applyBorder="1" applyAlignment="1">
      <alignment horizontal="right"/>
    </xf>
    <xf numFmtId="0" fontId="10" fillId="7" borderId="2" xfId="1" applyFont="1" applyFill="1" applyBorder="1" applyProtection="1">
      <protection locked="0"/>
    </xf>
    <xf numFmtId="0" fontId="10" fillId="7" borderId="2" xfId="1" applyFont="1" applyFill="1" applyBorder="1" applyAlignment="1">
      <alignment horizontal="left"/>
    </xf>
    <xf numFmtId="18" fontId="10" fillId="7" borderId="2" xfId="1" applyNumberFormat="1" applyFont="1" applyFill="1" applyBorder="1" applyAlignment="1" applyProtection="1">
      <protection locked="0"/>
    </xf>
    <xf numFmtId="0" fontId="17" fillId="7" borderId="2" xfId="8" applyFill="1" applyBorder="1" applyAlignment="1">
      <alignment horizontal="left"/>
    </xf>
    <xf numFmtId="167" fontId="10" fillId="7" borderId="2" xfId="5" applyNumberFormat="1" applyFont="1" applyFill="1" applyBorder="1" applyProtection="1">
      <protection locked="0"/>
    </xf>
    <xf numFmtId="3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>
      <alignment horizontal="right"/>
    </xf>
    <xf numFmtId="0" fontId="10" fillId="7" borderId="2" xfId="1" applyFont="1" applyFill="1" applyBorder="1" applyAlignment="1">
      <alignment horizontal="center"/>
    </xf>
    <xf numFmtId="0" fontId="10" fillId="8" borderId="2" xfId="1" applyFont="1" applyFill="1" applyBorder="1" applyProtection="1">
      <protection locked="0"/>
    </xf>
    <xf numFmtId="0" fontId="10" fillId="8" borderId="2" xfId="1" applyFont="1" applyFill="1" applyBorder="1" applyAlignment="1">
      <alignment horizontal="left"/>
    </xf>
    <xf numFmtId="18" fontId="10" fillId="8" borderId="2" xfId="1" applyNumberFormat="1" applyFont="1" applyFill="1" applyBorder="1" applyAlignment="1" applyProtection="1">
      <alignment horizontal="right"/>
      <protection locked="0"/>
    </xf>
    <xf numFmtId="18" fontId="10" fillId="8" borderId="2" xfId="1" applyNumberFormat="1" applyFont="1" applyFill="1" applyBorder="1" applyAlignment="1" applyProtection="1">
      <protection locked="0"/>
    </xf>
    <xf numFmtId="0" fontId="17" fillId="8" borderId="2" xfId="8" applyFill="1" applyBorder="1" applyAlignment="1">
      <alignment horizontal="left"/>
    </xf>
    <xf numFmtId="167" fontId="10" fillId="8" borderId="2" xfId="5" applyNumberFormat="1" applyFont="1" applyFill="1" applyBorder="1" applyProtection="1">
      <protection locked="0"/>
    </xf>
    <xf numFmtId="3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>
      <alignment horizontal="right"/>
    </xf>
    <xf numFmtId="0" fontId="10" fillId="8" borderId="2" xfId="1" applyFont="1" applyFill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11" fontId="10" fillId="8" borderId="2" xfId="1" applyNumberFormat="1" applyFont="1" applyFill="1" applyBorder="1" applyAlignment="1" applyProtection="1">
      <protection locked="0"/>
    </xf>
    <xf numFmtId="0" fontId="23" fillId="0" borderId="0" xfId="9" applyFont="1" applyFill="1" applyBorder="1"/>
    <xf numFmtId="0" fontId="24" fillId="0" borderId="0" xfId="9" applyFont="1" applyFill="1" applyBorder="1"/>
    <xf numFmtId="167" fontId="24" fillId="9" borderId="2" xfId="9" applyNumberFormat="1" applyFont="1" applyFill="1" applyBorder="1"/>
    <xf numFmtId="0" fontId="24" fillId="9" borderId="2" xfId="9" applyFont="1" applyFill="1" applyBorder="1" applyAlignment="1">
      <alignment horizontal="right"/>
    </xf>
    <xf numFmtId="165" fontId="23" fillId="0" borderId="2" xfId="3" applyNumberFormat="1" applyFont="1" applyFill="1" applyBorder="1"/>
    <xf numFmtId="0" fontId="23" fillId="0" borderId="2" xfId="9" applyFont="1" applyFill="1" applyBorder="1"/>
    <xf numFmtId="165" fontId="23" fillId="0" borderId="2" xfId="3" applyFont="1" applyFill="1" applyBorder="1"/>
    <xf numFmtId="0" fontId="23" fillId="0" borderId="2" xfId="10" applyFont="1" applyFill="1" applyBorder="1"/>
    <xf numFmtId="0" fontId="23" fillId="0" borderId="14" xfId="10" applyFont="1" applyBorder="1"/>
    <xf numFmtId="0" fontId="24" fillId="9" borderId="2" xfId="9" applyFont="1" applyFill="1" applyBorder="1"/>
    <xf numFmtId="165" fontId="23" fillId="0" borderId="0" xfId="9" applyNumberFormat="1" applyFont="1" applyFill="1" applyBorder="1"/>
    <xf numFmtId="0" fontId="23" fillId="0" borderId="0" xfId="9" applyFont="1" applyFill="1" applyBorder="1" applyAlignment="1">
      <alignment horizontal="right"/>
    </xf>
    <xf numFmtId="165" fontId="24" fillId="9" borderId="2" xfId="9" applyNumberFormat="1" applyFont="1" applyFill="1" applyBorder="1"/>
    <xf numFmtId="0" fontId="23" fillId="0" borderId="2" xfId="3" applyNumberFormat="1" applyFont="1" applyFill="1" applyBorder="1"/>
    <xf numFmtId="0" fontId="23" fillId="0" borderId="2" xfId="9" applyNumberFormat="1" applyFont="1" applyFill="1" applyBorder="1"/>
    <xf numFmtId="39" fontId="23" fillId="0" borderId="2" xfId="3" applyNumberFormat="1" applyFont="1" applyFill="1" applyBorder="1"/>
    <xf numFmtId="167" fontId="23" fillId="0" borderId="2" xfId="9" applyNumberFormat="1" applyFont="1" applyFill="1" applyBorder="1"/>
    <xf numFmtId="170" fontId="4" fillId="0" borderId="2" xfId="11" applyBorder="1">
      <alignment vertical="center" wrapText="1"/>
    </xf>
    <xf numFmtId="0" fontId="23" fillId="0" borderId="2" xfId="9" applyFont="1" applyFill="1" applyBorder="1" applyAlignment="1" applyProtection="1">
      <alignment vertical="center" wrapText="1"/>
    </xf>
    <xf numFmtId="167" fontId="23" fillId="0" borderId="2" xfId="3" applyNumberFormat="1" applyFont="1" applyFill="1" applyBorder="1"/>
    <xf numFmtId="0" fontId="23" fillId="0" borderId="3" xfId="9" applyFont="1" applyFill="1" applyBorder="1"/>
    <xf numFmtId="167" fontId="1" fillId="0" borderId="2" xfId="3" applyNumberFormat="1" applyFont="1" applyBorder="1"/>
    <xf numFmtId="0" fontId="23" fillId="0" borderId="2" xfId="10" applyNumberFormat="1" applyFont="1" applyFill="1" applyBorder="1"/>
    <xf numFmtId="0" fontId="23" fillId="0" borderId="3" xfId="10" applyFont="1" applyFill="1" applyBorder="1"/>
    <xf numFmtId="0" fontId="23" fillId="0" borderId="3" xfId="12" applyFont="1" applyFill="1" applyBorder="1" applyAlignment="1">
      <alignment wrapText="1"/>
    </xf>
    <xf numFmtId="0" fontId="23" fillId="0" borderId="2" xfId="12" applyFont="1" applyFill="1" applyBorder="1" applyAlignment="1">
      <alignment wrapText="1"/>
    </xf>
    <xf numFmtId="169" fontId="23" fillId="0" borderId="2" xfId="9" applyNumberFormat="1" applyFont="1" applyFill="1" applyBorder="1"/>
    <xf numFmtId="0" fontId="23" fillId="0" borderId="2" xfId="13" applyNumberFormat="1" applyFont="1" applyFill="1" applyBorder="1"/>
    <xf numFmtId="166" fontId="23" fillId="0" borderId="2" xfId="13" applyFont="1" applyFill="1" applyBorder="1"/>
    <xf numFmtId="171" fontId="23" fillId="0" borderId="2" xfId="13" applyNumberFormat="1" applyFont="1" applyFill="1" applyBorder="1"/>
    <xf numFmtId="11" fontId="23" fillId="0" borderId="2" xfId="9" applyNumberFormat="1" applyFont="1" applyFill="1" applyBorder="1"/>
    <xf numFmtId="172" fontId="23" fillId="0" borderId="2" xfId="9" applyNumberFormat="1" applyFont="1" applyFill="1" applyBorder="1"/>
    <xf numFmtId="0" fontId="23" fillId="0" borderId="2" xfId="9" applyFont="1" applyFill="1" applyBorder="1" applyAlignment="1" applyProtection="1">
      <alignment wrapText="1"/>
    </xf>
    <xf numFmtId="0" fontId="26" fillId="0" borderId="2" xfId="14" applyFill="1" applyBorder="1"/>
    <xf numFmtId="0" fontId="24" fillId="9" borderId="15" xfId="9" applyFont="1" applyFill="1" applyBorder="1"/>
    <xf numFmtId="165" fontId="23" fillId="0" borderId="0" xfId="3" applyNumberFormat="1" applyFont="1" applyFill="1" applyBorder="1"/>
    <xf numFmtId="0" fontId="23" fillId="0" borderId="0" xfId="9" applyFont="1" applyFill="1" applyBorder="1" applyAlignment="1">
      <alignment horizontal="left"/>
    </xf>
    <xf numFmtId="37" fontId="23" fillId="0" borderId="0" xfId="13" applyNumberFormat="1" applyFont="1" applyFill="1" applyBorder="1"/>
    <xf numFmtId="0" fontId="23" fillId="0" borderId="0" xfId="9" quotePrefix="1" applyFont="1" applyFill="1" applyBorder="1" applyAlignment="1">
      <alignment horizontal="right"/>
    </xf>
    <xf numFmtId="0" fontId="26" fillId="0" borderId="0" xfId="14" applyFill="1" applyBorder="1"/>
    <xf numFmtId="167" fontId="24" fillId="10" borderId="2" xfId="9" applyNumberFormat="1" applyFont="1" applyFill="1" applyBorder="1"/>
    <xf numFmtId="0" fontId="24" fillId="10" borderId="2" xfId="9" applyFont="1" applyFill="1" applyBorder="1" applyAlignment="1">
      <alignment horizontal="right"/>
    </xf>
    <xf numFmtId="0" fontId="24" fillId="10" borderId="2" xfId="9" applyFont="1" applyFill="1" applyBorder="1"/>
    <xf numFmtId="165" fontId="24" fillId="10" borderId="2" xfId="9" applyNumberFormat="1" applyFont="1" applyFill="1" applyBorder="1"/>
    <xf numFmtId="0" fontId="23" fillId="0" borderId="2" xfId="10" applyNumberFormat="1" applyFont="1" applyFill="1" applyBorder="1" applyAlignment="1">
      <alignment wrapText="1"/>
    </xf>
    <xf numFmtId="173" fontId="24" fillId="10" borderId="2" xfId="9" applyNumberFormat="1" applyFont="1" applyFill="1" applyBorder="1"/>
    <xf numFmtId="168" fontId="23" fillId="0" borderId="2" xfId="13" applyNumberFormat="1" applyFont="1" applyFill="1" applyBorder="1"/>
    <xf numFmtId="11" fontId="23" fillId="0" borderId="2" xfId="13" applyNumberFormat="1" applyFont="1" applyFill="1" applyBorder="1"/>
    <xf numFmtId="169" fontId="23" fillId="0" borderId="2" xfId="13" applyNumberFormat="1" applyFont="1" applyFill="1" applyBorder="1"/>
    <xf numFmtId="0" fontId="24" fillId="10" borderId="15" xfId="9" applyFont="1" applyFill="1" applyBorder="1"/>
    <xf numFmtId="0" fontId="10" fillId="0" borderId="0" xfId="1" applyFont="1" applyFill="1" applyBorder="1" applyAlignment="1" applyProtection="1">
      <alignment horizontal="center"/>
      <protection locked="0"/>
    </xf>
    <xf numFmtId="0" fontId="24" fillId="10" borderId="15" xfId="9" applyFont="1" applyFill="1" applyBorder="1" applyAlignment="1">
      <alignment horizontal="left"/>
    </xf>
    <xf numFmtId="0" fontId="23" fillId="0" borderId="2" xfId="9" applyFont="1" applyFill="1" applyBorder="1" applyAlignment="1">
      <alignment wrapText="1"/>
    </xf>
    <xf numFmtId="0" fontId="26" fillId="10" borderId="15" xfId="14" applyFill="1" applyBorder="1"/>
    <xf numFmtId="0" fontId="1" fillId="0" borderId="0" xfId="9"/>
    <xf numFmtId="0" fontId="26" fillId="0" borderId="0" xfId="14"/>
    <xf numFmtId="0" fontId="27" fillId="0" borderId="0" xfId="9" applyFont="1" applyAlignment="1">
      <alignment horizontal="right"/>
    </xf>
    <xf numFmtId="0" fontId="28" fillId="0" borderId="2" xfId="12" applyFont="1" applyFill="1" applyBorder="1" applyAlignment="1">
      <alignment wrapText="1"/>
    </xf>
    <xf numFmtId="0" fontId="17" fillId="0" borderId="0" xfId="8" applyFill="1" applyBorder="1"/>
    <xf numFmtId="0" fontId="23" fillId="0" borderId="2" xfId="10" applyFont="1" applyFill="1" applyBorder="1" applyAlignment="1" applyProtection="1">
      <alignment wrapText="1"/>
    </xf>
    <xf numFmtId="0" fontId="23" fillId="0" borderId="2" xfId="10" applyFont="1" applyFill="1" applyBorder="1" applyAlignment="1"/>
    <xf numFmtId="165" fontId="23" fillId="0" borderId="2" xfId="3" applyFont="1" applyFill="1" applyBorder="1" applyAlignment="1"/>
    <xf numFmtId="166" fontId="23" fillId="0" borderId="2" xfId="13" applyFont="1" applyFill="1" applyBorder="1" applyAlignment="1"/>
    <xf numFmtId="11" fontId="23" fillId="0" borderId="2" xfId="10" applyNumberFormat="1" applyFont="1" applyFill="1" applyBorder="1" applyAlignment="1">
      <alignment wrapText="1"/>
    </xf>
    <xf numFmtId="11" fontId="23" fillId="0" borderId="2" xfId="13" applyNumberFormat="1" applyFont="1" applyFill="1" applyBorder="1" applyAlignment="1"/>
    <xf numFmtId="174" fontId="23" fillId="0" borderId="2" xfId="13" applyNumberFormat="1" applyFont="1" applyFill="1" applyBorder="1" applyAlignment="1"/>
    <xf numFmtId="3" fontId="4" fillId="0" borderId="2" xfId="10" applyNumberFormat="1" applyBorder="1" applyAlignment="1"/>
    <xf numFmtId="1" fontId="23" fillId="0" borderId="2" xfId="13" applyNumberFormat="1" applyFont="1" applyFill="1" applyBorder="1" applyAlignment="1"/>
    <xf numFmtId="175" fontId="23" fillId="0" borderId="2" xfId="7" applyNumberFormat="1" applyFont="1" applyBorder="1" applyAlignment="1" applyProtection="1"/>
    <xf numFmtId="174" fontId="23" fillId="0" borderId="2" xfId="13" applyNumberFormat="1" applyFont="1" applyFill="1" applyBorder="1"/>
    <xf numFmtId="180" fontId="23" fillId="0" borderId="2" xfId="9" applyNumberFormat="1" applyFont="1" applyFill="1" applyBorder="1"/>
  </cellXfs>
  <cellStyles count="15">
    <cellStyle name="Comma 2" xfId="5"/>
    <cellStyle name="Cost_Green" xfId="4"/>
    <cellStyle name="Currency 2" xfId="2"/>
    <cellStyle name="Lien hypertexte" xfId="8" builtinId="8"/>
    <cellStyle name="Lien hypertexte 2" xfId="14"/>
    <cellStyle name="Milliers 2" xfId="13"/>
    <cellStyle name="Monétaire 2" xfId="3"/>
    <cellStyle name="Normal" xfId="0" builtinId="0"/>
    <cellStyle name="Normal 2" xfId="1"/>
    <cellStyle name="Normal 3" xfId="6"/>
    <cellStyle name="Normal 4" xfId="9"/>
    <cellStyle name="Normal 4 2" xfId="10"/>
    <cellStyle name="Normal_Sheet1" xfId="12"/>
    <cellStyle name="Style 1" xfId="11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19</xdr:row>
      <xdr:rowOff>47625</xdr:rowOff>
    </xdr:from>
    <xdr:ext cx="2585539" cy="2447925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34775" y="3667125"/>
          <a:ext cx="2585539" cy="2447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16</xdr:row>
      <xdr:rowOff>123824</xdr:rowOff>
    </xdr:from>
    <xdr:to>
      <xdr:col>13</xdr:col>
      <xdr:colOff>524728</xdr:colOff>
      <xdr:row>25</xdr:row>
      <xdr:rowOff>123824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10572749" y="2838449"/>
          <a:ext cx="2896454" cy="2352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202164</xdr:colOff>
      <xdr:row>1</xdr:row>
      <xdr:rowOff>93306</xdr:rowOff>
    </xdr:from>
    <xdr:to>
      <xdr:col>12</xdr:col>
      <xdr:colOff>119318</xdr:colOff>
      <xdr:row>37</xdr:row>
      <xdr:rowOff>81446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164" y="279918"/>
          <a:ext cx="9434378" cy="6706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11</xdr:row>
      <xdr:rowOff>85726</xdr:rowOff>
    </xdr:from>
    <xdr:ext cx="2830057" cy="137469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7410" y="2097406"/>
          <a:ext cx="2830057" cy="137469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31103</xdr:rowOff>
    </xdr:from>
    <xdr:to>
      <xdr:col>11</xdr:col>
      <xdr:colOff>702635</xdr:colOff>
      <xdr:row>36</xdr:row>
      <xdr:rowOff>175372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715"/>
          <a:ext cx="9426757" cy="6675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A21" sqref="A21"/>
    </sheetView>
  </sheetViews>
  <sheetFormatPr baseColWidth="10" defaultRowHeight="14.4" x14ac:dyDescent="0.3"/>
  <sheetData>
    <row r="1" spans="1:2" x14ac:dyDescent="0.3">
      <c r="A1" s="41" t="s">
        <v>120</v>
      </c>
    </row>
    <row r="3" spans="1:2" x14ac:dyDescent="0.3">
      <c r="A3" s="40" t="s">
        <v>66</v>
      </c>
      <c r="B3" s="39" t="s">
        <v>67</v>
      </c>
    </row>
    <row r="5" spans="1:2" x14ac:dyDescent="0.3">
      <c r="A5" t="s">
        <v>121</v>
      </c>
    </row>
    <row r="6" spans="1:2" x14ac:dyDescent="0.3">
      <c r="A6" t="s">
        <v>98</v>
      </c>
    </row>
    <row r="7" spans="1:2" x14ac:dyDescent="0.3">
      <c r="A7" t="s">
        <v>104</v>
      </c>
    </row>
    <row r="8" spans="1:2" x14ac:dyDescent="0.3">
      <c r="A8" t="s">
        <v>102</v>
      </c>
    </row>
    <row r="9" spans="1:2" x14ac:dyDescent="0.3">
      <c r="A9" t="s">
        <v>68</v>
      </c>
    </row>
    <row r="10" spans="1:2" x14ac:dyDescent="0.3">
      <c r="A10" s="39" t="s">
        <v>95</v>
      </c>
    </row>
    <row r="11" spans="1:2" x14ac:dyDescent="0.3">
      <c r="A11" t="s">
        <v>133</v>
      </c>
    </row>
    <row r="12" spans="1:2" x14ac:dyDescent="0.3">
      <c r="A12" t="s">
        <v>69</v>
      </c>
    </row>
    <row r="14" spans="1:2" x14ac:dyDescent="0.3">
      <c r="A14" t="s">
        <v>97</v>
      </c>
    </row>
    <row r="15" spans="1:2" x14ac:dyDescent="0.3">
      <c r="A15" t="s">
        <v>122</v>
      </c>
    </row>
    <row r="16" spans="1:2" x14ac:dyDescent="0.3">
      <c r="A16" t="s">
        <v>108</v>
      </c>
    </row>
    <row r="18" spans="1:3" x14ac:dyDescent="0.3">
      <c r="A18" s="40" t="s">
        <v>70</v>
      </c>
      <c r="B18" s="39" t="s">
        <v>100</v>
      </c>
      <c r="C18" s="39"/>
    </row>
    <row r="20" spans="1:3" x14ac:dyDescent="0.3">
      <c r="A20" t="s">
        <v>107</v>
      </c>
    </row>
    <row r="21" spans="1:3" x14ac:dyDescent="0.3">
      <c r="A21" t="s">
        <v>135</v>
      </c>
    </row>
    <row r="23" spans="1:3" x14ac:dyDescent="0.3">
      <c r="A23" s="40" t="s">
        <v>72</v>
      </c>
      <c r="B23" s="39" t="s">
        <v>73</v>
      </c>
    </row>
    <row r="25" spans="1:3" x14ac:dyDescent="0.3">
      <c r="A25" t="s">
        <v>123</v>
      </c>
    </row>
    <row r="26" spans="1:3" x14ac:dyDescent="0.3">
      <c r="A26" t="s">
        <v>79</v>
      </c>
    </row>
    <row r="27" spans="1:3" x14ac:dyDescent="0.3">
      <c r="A27" t="s">
        <v>74</v>
      </c>
    </row>
    <row r="28" spans="1:3" x14ac:dyDescent="0.3">
      <c r="A28" t="s">
        <v>105</v>
      </c>
    </row>
    <row r="29" spans="1:3" x14ac:dyDescent="0.3">
      <c r="A29" t="s">
        <v>103</v>
      </c>
    </row>
    <row r="30" spans="1:3" x14ac:dyDescent="0.3">
      <c r="A30" t="s">
        <v>75</v>
      </c>
    </row>
    <row r="31" spans="1:3" x14ac:dyDescent="0.3">
      <c r="A31" s="39" t="s">
        <v>95</v>
      </c>
    </row>
    <row r="32" spans="1:3" x14ac:dyDescent="0.3">
      <c r="A32" t="s">
        <v>124</v>
      </c>
    </row>
    <row r="33" spans="1:2" x14ac:dyDescent="0.3">
      <c r="A33" t="s">
        <v>125</v>
      </c>
    </row>
    <row r="35" spans="1:2" x14ac:dyDescent="0.3">
      <c r="A35" t="s">
        <v>106</v>
      </c>
    </row>
    <row r="36" spans="1:2" x14ac:dyDescent="0.3">
      <c r="A36" t="s">
        <v>126</v>
      </c>
    </row>
    <row r="37" spans="1:2" x14ac:dyDescent="0.3">
      <c r="A37" t="s">
        <v>109</v>
      </c>
    </row>
    <row r="39" spans="1:2" x14ac:dyDescent="0.3">
      <c r="A39" s="40" t="s">
        <v>76</v>
      </c>
      <c r="B39" s="39" t="s">
        <v>71</v>
      </c>
    </row>
    <row r="41" spans="1:2" x14ac:dyDescent="0.3">
      <c r="A41" t="s">
        <v>114</v>
      </c>
    </row>
    <row r="42" spans="1:2" x14ac:dyDescent="0.3">
      <c r="A42" t="s">
        <v>115</v>
      </c>
    </row>
    <row r="43" spans="1:2" x14ac:dyDescent="0.3">
      <c r="A43" t="s">
        <v>99</v>
      </c>
    </row>
    <row r="45" spans="1:2" x14ac:dyDescent="0.3">
      <c r="A45" s="40" t="s">
        <v>77</v>
      </c>
      <c r="B45" s="39" t="s">
        <v>92</v>
      </c>
    </row>
    <row r="47" spans="1:2" x14ac:dyDescent="0.3">
      <c r="A47" t="s">
        <v>127</v>
      </c>
    </row>
    <row r="48" spans="1:2" x14ac:dyDescent="0.3">
      <c r="A48" t="s">
        <v>93</v>
      </c>
    </row>
    <row r="49" spans="1:2" x14ac:dyDescent="0.3">
      <c r="A49" t="s">
        <v>94</v>
      </c>
    </row>
    <row r="50" spans="1:2" x14ac:dyDescent="0.3">
      <c r="A50" t="s">
        <v>128</v>
      </c>
    </row>
    <row r="51" spans="1:2" x14ac:dyDescent="0.3">
      <c r="A51" t="s">
        <v>116</v>
      </c>
    </row>
    <row r="52" spans="1:2" x14ac:dyDescent="0.3">
      <c r="A52" t="s">
        <v>129</v>
      </c>
    </row>
    <row r="53" spans="1:2" x14ac:dyDescent="0.3">
      <c r="A53" t="s">
        <v>132</v>
      </c>
    </row>
    <row r="55" spans="1:2" x14ac:dyDescent="0.3">
      <c r="A55" t="s">
        <v>110</v>
      </c>
    </row>
    <row r="57" spans="1:2" x14ac:dyDescent="0.3">
      <c r="A57" s="40" t="s">
        <v>81</v>
      </c>
      <c r="B57" s="39" t="s">
        <v>78</v>
      </c>
    </row>
    <row r="59" spans="1:2" x14ac:dyDescent="0.3">
      <c r="A59" t="s">
        <v>80</v>
      </c>
    </row>
    <row r="60" spans="1:2" x14ac:dyDescent="0.3">
      <c r="A60" t="s">
        <v>111</v>
      </c>
    </row>
    <row r="61" spans="1:2" x14ac:dyDescent="0.3">
      <c r="A61" t="s">
        <v>130</v>
      </c>
    </row>
    <row r="63" spans="1:2" x14ac:dyDescent="0.3">
      <c r="A63" s="40" t="s">
        <v>91</v>
      </c>
      <c r="B63" s="39" t="s">
        <v>82</v>
      </c>
    </row>
    <row r="65" spans="1:1" x14ac:dyDescent="0.3">
      <c r="A65" t="s">
        <v>83</v>
      </c>
    </row>
    <row r="66" spans="1:1" x14ac:dyDescent="0.3">
      <c r="A66" t="s">
        <v>85</v>
      </c>
    </row>
    <row r="67" spans="1:1" x14ac:dyDescent="0.3">
      <c r="A67" t="s">
        <v>84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112</v>
      </c>
    </row>
    <row r="72" spans="1:1" x14ac:dyDescent="0.3">
      <c r="A72" t="s">
        <v>113</v>
      </c>
    </row>
    <row r="74" spans="1:1" x14ac:dyDescent="0.3">
      <c r="A74" t="s">
        <v>117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112</v>
      </c>
    </row>
    <row r="78" spans="1:1" x14ac:dyDescent="0.3">
      <c r="A78" t="s">
        <v>113</v>
      </c>
    </row>
    <row r="80" spans="1:1" x14ac:dyDescent="0.3">
      <c r="A80" s="39" t="s">
        <v>96</v>
      </c>
    </row>
    <row r="82" spans="1:1" x14ac:dyDescent="0.3">
      <c r="A82" s="41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2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35" t="s">
        <v>0</v>
      </c>
      <c r="B1" s="44" t="s">
        <v>44</v>
      </c>
      <c r="D1" s="26"/>
      <c r="M1" s="38" t="s">
        <v>47</v>
      </c>
      <c r="N1" s="27"/>
      <c r="O1" s="37" t="e">
        <f>#REF!</f>
        <v>#REF!</v>
      </c>
    </row>
    <row r="2" spans="1:15" s="15" customFormat="1" ht="15" thickBot="1" x14ac:dyDescent="0.35">
      <c r="A2" s="33" t="s">
        <v>48</v>
      </c>
      <c r="B2" s="43" t="s">
        <v>118</v>
      </c>
      <c r="C2" s="14"/>
      <c r="F2" s="21"/>
    </row>
    <row r="3" spans="1:15" s="15" customFormat="1" ht="15.6" thickTop="1" thickBot="1" x14ac:dyDescent="0.35">
      <c r="A3" s="34" t="s">
        <v>49</v>
      </c>
      <c r="B3" s="36">
        <v>2018</v>
      </c>
      <c r="C3" s="14"/>
      <c r="F3" s="21"/>
    </row>
    <row r="4" spans="1:15" s="15" customFormat="1" ht="15.6" thickTop="1" thickBot="1" x14ac:dyDescent="0.35">
      <c r="A4" s="32" t="s">
        <v>1</v>
      </c>
      <c r="B4" s="42">
        <v>81</v>
      </c>
      <c r="C4" s="14"/>
      <c r="D4" s="26" t="s">
        <v>50</v>
      </c>
      <c r="F4" s="21"/>
    </row>
    <row r="5" spans="1:15" s="19" customFormat="1" ht="15" thickTop="1" x14ac:dyDescent="0.3">
      <c r="A5" s="18"/>
      <c r="B5" s="22"/>
      <c r="C5" s="20"/>
      <c r="F5" s="23"/>
    </row>
    <row r="6" spans="1:15" s="17" customFormat="1" ht="49.5" customHeight="1" x14ac:dyDescent="0.25">
      <c r="A6" s="16" t="s">
        <v>51</v>
      </c>
      <c r="B6" s="29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31" t="s">
        <v>58</v>
      </c>
      <c r="I6" s="29" t="s">
        <v>17</v>
      </c>
      <c r="J6" s="29" t="s">
        <v>59</v>
      </c>
      <c r="K6" s="29" t="s">
        <v>60</v>
      </c>
      <c r="L6" s="29" t="s">
        <v>61</v>
      </c>
      <c r="M6" s="29" t="s">
        <v>62</v>
      </c>
      <c r="N6" s="30" t="s">
        <v>63</v>
      </c>
      <c r="O6" s="29" t="s">
        <v>64</v>
      </c>
    </row>
    <row r="7" spans="1:15" ht="14.4" x14ac:dyDescent="0.3">
      <c r="A7" s="46"/>
      <c r="B7" s="47" t="e">
        <f>#REF!</f>
        <v>#REF!</v>
      </c>
      <c r="C7" s="48" t="e">
        <f>EN_A0001</f>
        <v>#REF!</v>
      </c>
      <c r="D7" s="48" t="s">
        <v>11</v>
      </c>
      <c r="E7" s="48"/>
      <c r="F7" s="49" t="str">
        <f>'[2]BR Assembly'!B4</f>
        <v>Nom de l'assemblage 1</v>
      </c>
      <c r="G7" s="48"/>
      <c r="H7" s="50" t="e">
        <f>SUM(J7:M7)</f>
        <v>#REF!</v>
      </c>
      <c r="I7" s="51" t="e">
        <f>EN_A0001_q</f>
        <v>#REF!</v>
      </c>
      <c r="J7" s="52" t="e">
        <f>EN_A0001_m</f>
        <v>#REF!</v>
      </c>
      <c r="K7" s="52" t="e">
        <f>EN_A0001_p</f>
        <v>#REF!</v>
      </c>
      <c r="L7" s="52" t="e">
        <f>EN_A0001_f</f>
        <v>#REF!</v>
      </c>
      <c r="M7" s="52" t="e">
        <f>EN_A0001_t</f>
        <v>#REF!</v>
      </c>
      <c r="N7" s="53" t="e">
        <f t="shared" ref="N7:N17" si="0">H7*I7</f>
        <v>#REF!</v>
      </c>
      <c r="O7" s="54"/>
    </row>
    <row r="8" spans="1:15" ht="14.4" x14ac:dyDescent="0.3">
      <c r="A8" s="55"/>
      <c r="B8" s="56" t="e">
        <f>#REF!</f>
        <v>#REF!</v>
      </c>
      <c r="C8" s="57" t="e">
        <f>EN_01001</f>
        <v>#REF!</v>
      </c>
      <c r="D8" s="58" t="s">
        <v>11</v>
      </c>
      <c r="E8" s="58" t="str">
        <f>F7</f>
        <v>Nom de l'assemblage 1</v>
      </c>
      <c r="F8" s="59" t="e">
        <f>#REF!</f>
        <v>#REF!</v>
      </c>
      <c r="G8" s="58"/>
      <c r="H8" s="60" t="e">
        <f t="shared" ref="H8:H17" si="1">SUM(J8:M8)</f>
        <v>#REF!</v>
      </c>
      <c r="I8" s="61" t="e">
        <f>EN_A0001_q*EN_01001_q</f>
        <v>#REF!</v>
      </c>
      <c r="J8" s="62" t="e">
        <f>EN_01001_m</f>
        <v>#REF!</v>
      </c>
      <c r="K8" s="62" t="e">
        <f>EN_01001_p</f>
        <v>#REF!</v>
      </c>
      <c r="L8" s="62" t="e">
        <f>EN_01001_f</f>
        <v>#REF!</v>
      </c>
      <c r="M8" s="62" t="e">
        <f>EN_01001_t</f>
        <v>#REF!</v>
      </c>
      <c r="N8" s="63" t="e">
        <f t="shared" si="0"/>
        <v>#REF!</v>
      </c>
      <c r="O8" s="64"/>
    </row>
    <row r="9" spans="1:15" ht="13.8" x14ac:dyDescent="0.25">
      <c r="A9" s="55"/>
      <c r="B9" s="56" t="e">
        <f>#REF!</f>
        <v>#REF!</v>
      </c>
      <c r="C9" s="58"/>
      <c r="D9" s="58" t="s">
        <v>11</v>
      </c>
      <c r="E9" s="58"/>
      <c r="F9" s="56"/>
      <c r="G9" s="58"/>
      <c r="H9" s="60">
        <f t="shared" si="1"/>
        <v>0</v>
      </c>
      <c r="I9" s="65"/>
      <c r="J9" s="62"/>
      <c r="K9" s="62"/>
      <c r="L9" s="62"/>
      <c r="M9" s="62"/>
      <c r="N9" s="63">
        <f t="shared" si="0"/>
        <v>0</v>
      </c>
      <c r="O9" s="64"/>
    </row>
    <row r="10" spans="1:15" ht="13.8" x14ac:dyDescent="0.25">
      <c r="A10" s="55"/>
      <c r="B10" s="56" t="e">
        <f>#REF!</f>
        <v>#REF!</v>
      </c>
      <c r="C10" s="58"/>
      <c r="D10" s="58" t="s">
        <v>11</v>
      </c>
      <c r="E10" s="58"/>
      <c r="F10" s="56"/>
      <c r="G10" s="58"/>
      <c r="H10" s="60">
        <f t="shared" si="1"/>
        <v>0</v>
      </c>
      <c r="I10" s="65"/>
      <c r="J10" s="62"/>
      <c r="K10" s="62"/>
      <c r="L10" s="62"/>
      <c r="M10" s="62"/>
      <c r="N10" s="63">
        <f t="shared" si="0"/>
        <v>0</v>
      </c>
      <c r="O10" s="64"/>
    </row>
    <row r="11" spans="1:15" ht="13.8" x14ac:dyDescent="0.25">
      <c r="A11" s="55"/>
      <c r="B11" s="56" t="e">
        <f>#REF!</f>
        <v>#REF!</v>
      </c>
      <c r="C11" s="58"/>
      <c r="D11" s="58" t="s">
        <v>11</v>
      </c>
      <c r="E11" s="58"/>
      <c r="F11" s="56"/>
      <c r="G11" s="58"/>
      <c r="H11" s="60">
        <f t="shared" si="1"/>
        <v>0</v>
      </c>
      <c r="I11" s="65"/>
      <c r="J11" s="62"/>
      <c r="K11" s="62"/>
      <c r="L11" s="62"/>
      <c r="M11" s="62"/>
      <c r="N11" s="63">
        <f t="shared" si="0"/>
        <v>0</v>
      </c>
      <c r="O11" s="64"/>
    </row>
    <row r="12" spans="1:15" ht="13.8" x14ac:dyDescent="0.25">
      <c r="A12" s="55"/>
      <c r="B12" s="56" t="e">
        <f>#REF!</f>
        <v>#REF!</v>
      </c>
      <c r="C12" s="58"/>
      <c r="D12" s="58" t="s">
        <v>11</v>
      </c>
      <c r="E12" s="58"/>
      <c r="F12" s="56"/>
      <c r="G12" s="58"/>
      <c r="H12" s="60">
        <f t="shared" si="1"/>
        <v>0</v>
      </c>
      <c r="I12" s="65"/>
      <c r="J12" s="62"/>
      <c r="K12" s="62"/>
      <c r="L12" s="62"/>
      <c r="M12" s="62"/>
      <c r="N12" s="63">
        <f t="shared" si="0"/>
        <v>0</v>
      </c>
      <c r="O12" s="64"/>
    </row>
    <row r="13" spans="1:15" ht="13.8" x14ac:dyDescent="0.25">
      <c r="A13" s="55"/>
      <c r="B13" s="56" t="e">
        <f>#REF!</f>
        <v>#REF!</v>
      </c>
      <c r="C13" s="58"/>
      <c r="D13" s="58" t="s">
        <v>11</v>
      </c>
      <c r="E13" s="58"/>
      <c r="F13" s="56"/>
      <c r="G13" s="58"/>
      <c r="H13" s="60">
        <f t="shared" si="1"/>
        <v>0</v>
      </c>
      <c r="I13" s="65"/>
      <c r="J13" s="62"/>
      <c r="K13" s="62"/>
      <c r="L13" s="62"/>
      <c r="M13" s="62"/>
      <c r="N13" s="63">
        <f t="shared" si="0"/>
        <v>0</v>
      </c>
      <c r="O13" s="64"/>
    </row>
    <row r="14" spans="1:15" ht="13.8" x14ac:dyDescent="0.25">
      <c r="A14" s="55"/>
      <c r="B14" s="56" t="e">
        <f>#REF!</f>
        <v>#REF!</v>
      </c>
      <c r="C14" s="58"/>
      <c r="D14" s="58" t="s">
        <v>11</v>
      </c>
      <c r="E14" s="58"/>
      <c r="F14" s="56"/>
      <c r="G14" s="58"/>
      <c r="H14" s="60">
        <f t="shared" si="1"/>
        <v>0</v>
      </c>
      <c r="I14" s="65"/>
      <c r="J14" s="62"/>
      <c r="K14" s="62"/>
      <c r="L14" s="62"/>
      <c r="M14" s="62"/>
      <c r="N14" s="63">
        <f t="shared" si="0"/>
        <v>0</v>
      </c>
      <c r="O14" s="64"/>
    </row>
    <row r="15" spans="1:15" ht="13.8" x14ac:dyDescent="0.25">
      <c r="A15" s="55"/>
      <c r="B15" s="56" t="e">
        <f>#REF!</f>
        <v>#REF!</v>
      </c>
      <c r="C15" s="58"/>
      <c r="D15" s="58" t="s">
        <v>11</v>
      </c>
      <c r="E15" s="58"/>
      <c r="F15" s="56"/>
      <c r="G15" s="66"/>
      <c r="H15" s="60">
        <f t="shared" si="1"/>
        <v>0</v>
      </c>
      <c r="I15" s="65"/>
      <c r="J15" s="62"/>
      <c r="K15" s="62"/>
      <c r="L15" s="62"/>
      <c r="M15" s="62"/>
      <c r="N15" s="63">
        <f t="shared" si="0"/>
        <v>0</v>
      </c>
      <c r="O15" s="64"/>
    </row>
    <row r="16" spans="1:15" ht="13.8" x14ac:dyDescent="0.25">
      <c r="A16" s="55"/>
      <c r="B16" s="56" t="e">
        <f>#REF!</f>
        <v>#REF!</v>
      </c>
      <c r="C16" s="58"/>
      <c r="D16" s="58" t="s">
        <v>11</v>
      </c>
      <c r="E16" s="58"/>
      <c r="F16" s="56"/>
      <c r="G16" s="58"/>
      <c r="H16" s="60">
        <f t="shared" si="1"/>
        <v>0</v>
      </c>
      <c r="I16" s="65"/>
      <c r="J16" s="62"/>
      <c r="K16" s="62"/>
      <c r="L16" s="62"/>
      <c r="M16" s="62"/>
      <c r="N16" s="63">
        <f t="shared" si="0"/>
        <v>0</v>
      </c>
      <c r="O16" s="64"/>
    </row>
    <row r="17" spans="1:15" ht="14.4" thickBot="1" x14ac:dyDescent="0.3">
      <c r="A17" s="55"/>
      <c r="B17" s="56" t="e">
        <f>#REF!</f>
        <v>#REF!</v>
      </c>
      <c r="C17" s="58"/>
      <c r="D17" s="58" t="s">
        <v>11</v>
      </c>
      <c r="E17" s="58"/>
      <c r="F17" s="56"/>
      <c r="G17" s="58"/>
      <c r="H17" s="60">
        <f t="shared" si="1"/>
        <v>0</v>
      </c>
      <c r="I17" s="65"/>
      <c r="J17" s="62"/>
      <c r="K17" s="62"/>
      <c r="L17" s="62"/>
      <c r="M17" s="62"/>
      <c r="N17" s="63">
        <f t="shared" si="0"/>
        <v>0</v>
      </c>
      <c r="O17" s="64"/>
    </row>
    <row r="18" spans="1:15" s="12" customFormat="1" ht="15" thickTop="1" thickBot="1" x14ac:dyDescent="0.3">
      <c r="A18" s="5"/>
      <c r="B18" s="24" t="e">
        <f>#REF!</f>
        <v>#REF!</v>
      </c>
      <c r="C18" s="1"/>
      <c r="D18" s="1"/>
      <c r="E18" s="1"/>
      <c r="F18" s="24" t="s">
        <v>65</v>
      </c>
      <c r="G18" s="1"/>
      <c r="H18" s="3"/>
      <c r="I18" s="4"/>
      <c r="J18" s="45" t="e">
        <f>SUMPRODUCT($I7:$I17,J7:J17)</f>
        <v>#REF!</v>
      </c>
      <c r="K18" s="45" t="e">
        <f>SUMPRODUCT($I7:$I17,K7:K17)</f>
        <v>#REF!</v>
      </c>
      <c r="L18" s="45" t="e">
        <f>SUMPRODUCT($I7:$I17,L7:L17)</f>
        <v>#REF!</v>
      </c>
      <c r="M18" s="45" t="e">
        <f>SUMPRODUCT($I7:$I17,M7:M17)</f>
        <v>#REF!</v>
      </c>
      <c r="N18" s="45" t="e">
        <f>SUM(N7:N17)</f>
        <v>#REF!</v>
      </c>
      <c r="O18" s="2"/>
    </row>
    <row r="19" spans="1:15" ht="13.8" thickTop="1" x14ac:dyDescent="0.25">
      <c r="A19" s="11"/>
      <c r="B19" s="25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25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28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28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25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25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25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25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25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25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25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25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25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25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2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2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2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2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2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2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2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2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2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2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2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2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2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2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2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2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2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2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2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2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2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2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2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2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2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2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2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2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2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2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2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2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2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2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2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2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2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2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2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2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2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2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2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2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2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2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2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2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2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2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2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2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2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2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2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2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2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2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2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2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2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2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2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2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2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2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2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2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2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2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2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2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2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2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2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2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2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2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2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2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2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2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2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2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2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2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2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2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2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2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2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2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2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2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2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2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25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25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25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25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25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25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25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25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25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25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7:M8 H9:H17 C7:C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6"/>
  <sheetViews>
    <sheetView tabSelected="1" zoomScale="80" zoomScaleNormal="80" workbookViewId="0">
      <selection activeCell="C36" sqref="C36"/>
    </sheetView>
  </sheetViews>
  <sheetFormatPr baseColWidth="10" defaultColWidth="9.109375" defaultRowHeight="14.4" x14ac:dyDescent="0.3"/>
  <cols>
    <col min="1" max="1" width="10.33203125" style="67" bestFit="1" customWidth="1"/>
    <col min="2" max="2" width="59.33203125" style="67" bestFit="1" customWidth="1"/>
    <col min="3" max="3" width="32.5546875" style="67" customWidth="1"/>
    <col min="4" max="4" width="9.77734375" style="67" customWidth="1"/>
    <col min="5" max="5" width="9.109375" style="67" bestFit="1" customWidth="1"/>
    <col min="6" max="6" width="8.6640625" style="67" bestFit="1" customWidth="1"/>
    <col min="7" max="7" width="10" style="67" bestFit="1" customWidth="1"/>
    <col min="8" max="8" width="15.77734375" style="67" bestFit="1" customWidth="1"/>
    <col min="9" max="9" width="10.77734375" style="67" bestFit="1" customWidth="1"/>
    <col min="10" max="10" width="9.109375" style="67" bestFit="1" customWidth="1"/>
    <col min="11" max="11" width="7" style="67" bestFit="1" customWidth="1"/>
    <col min="12" max="12" width="9.109375" style="67" bestFit="1" customWidth="1"/>
    <col min="13" max="13" width="13.6640625" style="67" bestFit="1" customWidth="1"/>
    <col min="14" max="14" width="10.44140625" style="67" bestFit="1" customWidth="1"/>
    <col min="15" max="16384" width="9.109375" style="67"/>
  </cols>
  <sheetData>
    <row r="1" spans="1:14" x14ac:dyDescent="0.3">
      <c r="A1" s="101" t="s">
        <v>0</v>
      </c>
      <c r="B1" s="67" t="s">
        <v>44</v>
      </c>
      <c r="D1" s="106" t="s">
        <v>119</v>
      </c>
      <c r="J1" s="101" t="s">
        <v>1</v>
      </c>
      <c r="K1" s="105">
        <v>81</v>
      </c>
      <c r="M1" s="101" t="s">
        <v>2</v>
      </c>
      <c r="N1" s="102">
        <f>E12+N19+I32+J42+I46</f>
        <v>1616.595635972878</v>
      </c>
    </row>
    <row r="2" spans="1:14" x14ac:dyDescent="0.3">
      <c r="A2" s="101" t="s">
        <v>3</v>
      </c>
      <c r="B2" s="67" t="s">
        <v>172</v>
      </c>
      <c r="M2" s="101" t="s">
        <v>4</v>
      </c>
      <c r="N2" s="104">
        <v>1</v>
      </c>
    </row>
    <row r="3" spans="1:14" x14ac:dyDescent="0.3">
      <c r="A3" s="101" t="s">
        <v>5</v>
      </c>
      <c r="B3" s="67" t="s">
        <v>171</v>
      </c>
      <c r="J3" s="101" t="s">
        <v>6</v>
      </c>
    </row>
    <row r="4" spans="1:14" x14ac:dyDescent="0.3">
      <c r="A4" s="101" t="s">
        <v>7</v>
      </c>
      <c r="B4" s="103" t="s">
        <v>131</v>
      </c>
      <c r="J4" s="101" t="s">
        <v>8</v>
      </c>
      <c r="M4" s="101" t="s">
        <v>9</v>
      </c>
      <c r="N4" s="102">
        <f>N1*N2</f>
        <v>1616.595635972878</v>
      </c>
    </row>
    <row r="5" spans="1:14" x14ac:dyDescent="0.3">
      <c r="A5" s="101" t="s">
        <v>10</v>
      </c>
      <c r="B5" s="67" t="s">
        <v>11</v>
      </c>
      <c r="J5" s="101" t="s">
        <v>12</v>
      </c>
    </row>
    <row r="6" spans="1:14" x14ac:dyDescent="0.3">
      <c r="A6" s="101" t="s">
        <v>13</v>
      </c>
      <c r="B6" s="67" t="s">
        <v>170</v>
      </c>
    </row>
    <row r="8" spans="1:14" x14ac:dyDescent="0.3">
      <c r="A8" s="76" t="s">
        <v>14</v>
      </c>
      <c r="B8" s="76" t="s">
        <v>15</v>
      </c>
      <c r="C8" s="76" t="s">
        <v>16</v>
      </c>
      <c r="D8" s="76" t="s">
        <v>17</v>
      </c>
      <c r="E8" s="76" t="s">
        <v>18</v>
      </c>
    </row>
    <row r="9" spans="1:14" x14ac:dyDescent="0.3">
      <c r="A9" s="72">
        <v>10</v>
      </c>
      <c r="B9" s="100" t="s">
        <v>169</v>
      </c>
      <c r="C9" s="73">
        <f>'EN 01001'!N1</f>
        <v>38.781627930666666</v>
      </c>
      <c r="D9" s="81">
        <v>1</v>
      </c>
      <c r="E9" s="71">
        <f>C9*D9</f>
        <v>38.781627930666666</v>
      </c>
    </row>
    <row r="10" spans="1:14" x14ac:dyDescent="0.3">
      <c r="A10" s="72">
        <v>20</v>
      </c>
      <c r="B10" s="100" t="s">
        <v>168</v>
      </c>
      <c r="C10" s="73">
        <f>'EN 01002'!N1</f>
        <v>1.4174720000000001</v>
      </c>
      <c r="D10" s="81">
        <v>2</v>
      </c>
      <c r="E10" s="71">
        <f>C10*D10</f>
        <v>2.8349440000000001</v>
      </c>
    </row>
    <row r="11" spans="1:14" x14ac:dyDescent="0.3">
      <c r="A11" s="72">
        <v>30</v>
      </c>
      <c r="B11" s="100" t="s">
        <v>167</v>
      </c>
      <c r="C11" s="73">
        <f>'EN 01003'!N1</f>
        <v>1.9460502534247164</v>
      </c>
      <c r="D11" s="81">
        <v>1</v>
      </c>
      <c r="E11" s="71">
        <f>C11*D11</f>
        <v>1.9460502534247164</v>
      </c>
    </row>
    <row r="12" spans="1:14" x14ac:dyDescent="0.3">
      <c r="D12" s="70" t="s">
        <v>18</v>
      </c>
      <c r="E12" s="79">
        <f>SUM(E9:E11)</f>
        <v>43.562622184091381</v>
      </c>
    </row>
    <row r="14" spans="1:14" x14ac:dyDescent="0.3">
      <c r="A14" s="76" t="s">
        <v>14</v>
      </c>
      <c r="B14" s="76" t="s">
        <v>19</v>
      </c>
      <c r="C14" s="76" t="s">
        <v>20</v>
      </c>
      <c r="D14" s="76" t="s">
        <v>21</v>
      </c>
      <c r="E14" s="76" t="s">
        <v>22</v>
      </c>
      <c r="F14" s="76" t="s">
        <v>23</v>
      </c>
      <c r="G14" s="76" t="s">
        <v>24</v>
      </c>
      <c r="H14" s="76" t="s">
        <v>25</v>
      </c>
      <c r="I14" s="76" t="s">
        <v>26</v>
      </c>
      <c r="J14" s="76" t="s">
        <v>27</v>
      </c>
      <c r="K14" s="76" t="s">
        <v>28</v>
      </c>
      <c r="L14" s="76" t="s">
        <v>29</v>
      </c>
      <c r="M14" s="76" t="s">
        <v>17</v>
      </c>
      <c r="N14" s="76" t="s">
        <v>18</v>
      </c>
    </row>
    <row r="15" spans="1:14" x14ac:dyDescent="0.3">
      <c r="A15" s="72">
        <v>10</v>
      </c>
      <c r="B15" s="99" t="s">
        <v>166</v>
      </c>
      <c r="C15" s="72" t="s">
        <v>165</v>
      </c>
      <c r="D15" s="73">
        <v>2.5</v>
      </c>
      <c r="E15" s="72">
        <v>599</v>
      </c>
      <c r="F15" s="72" t="s">
        <v>164</v>
      </c>
      <c r="G15" s="72"/>
      <c r="H15" s="72"/>
      <c r="I15" s="72"/>
      <c r="J15" s="72"/>
      <c r="K15" s="72"/>
      <c r="L15" s="72"/>
      <c r="M15" s="72">
        <v>1</v>
      </c>
      <c r="N15" s="98">
        <f>E15*D15*M15</f>
        <v>1497.5</v>
      </c>
    </row>
    <row r="16" spans="1:14" x14ac:dyDescent="0.3">
      <c r="A16" s="72">
        <v>20</v>
      </c>
      <c r="B16" s="72" t="s">
        <v>163</v>
      </c>
      <c r="C16" s="72" t="s">
        <v>162</v>
      </c>
      <c r="D16" s="73">
        <v>0.75</v>
      </c>
      <c r="E16" s="72">
        <v>3.5</v>
      </c>
      <c r="F16" s="72" t="s">
        <v>161</v>
      </c>
      <c r="G16" s="72"/>
      <c r="H16" s="95"/>
      <c r="I16" s="97"/>
      <c r="J16" s="96"/>
      <c r="K16" s="95"/>
      <c r="L16" s="95"/>
      <c r="M16" s="94">
        <v>3.5</v>
      </c>
      <c r="N16" s="71">
        <f>IF(J16="",D16*M16,D16*J16*K16*L16*M16)</f>
        <v>2.625</v>
      </c>
    </row>
    <row r="17" spans="1:14" x14ac:dyDescent="0.3">
      <c r="A17" s="72">
        <v>30</v>
      </c>
      <c r="B17" s="72" t="s">
        <v>160</v>
      </c>
      <c r="C17" s="72" t="s">
        <v>156</v>
      </c>
      <c r="D17" s="73">
        <v>10</v>
      </c>
      <c r="E17" s="93">
        <f>26.634/10000</f>
        <v>2.6634000000000002E-3</v>
      </c>
      <c r="F17" s="72" t="s">
        <v>155</v>
      </c>
      <c r="G17" s="72"/>
      <c r="H17" s="95"/>
      <c r="I17" s="97"/>
      <c r="J17" s="96"/>
      <c r="K17" s="95"/>
      <c r="L17" s="95"/>
      <c r="M17" s="93">
        <f>26.634/10000</f>
        <v>2.6634000000000002E-3</v>
      </c>
      <c r="N17" s="71">
        <f>IF(J17="",D17*M17,D17*J17*K17*L17*M17)</f>
        <v>2.6634000000000001E-2</v>
      </c>
    </row>
    <row r="18" spans="1:14" ht="28.8" x14ac:dyDescent="0.3">
      <c r="A18" s="72">
        <v>40</v>
      </c>
      <c r="B18" s="72" t="s">
        <v>217</v>
      </c>
      <c r="C18" s="119" t="s">
        <v>218</v>
      </c>
      <c r="D18" s="73">
        <v>3.3</v>
      </c>
      <c r="E18" s="137">
        <f>L18*K18*J18</f>
        <v>1.8700000000000001E-2</v>
      </c>
      <c r="F18" s="72" t="s">
        <v>192</v>
      </c>
      <c r="G18" s="72"/>
      <c r="H18" s="95"/>
      <c r="I18" s="97"/>
      <c r="J18" s="136">
        <v>1.7000000000000001E-2</v>
      </c>
      <c r="K18" s="136">
        <v>1E-3</v>
      </c>
      <c r="L18" s="96">
        <v>1100</v>
      </c>
      <c r="M18" s="94">
        <v>1</v>
      </c>
      <c r="N18" s="71">
        <f>M18*E18*D18</f>
        <v>6.1710000000000001E-2</v>
      </c>
    </row>
    <row r="19" spans="1:14" s="68" customFormat="1" x14ac:dyDescent="0.3">
      <c r="M19" s="70" t="s">
        <v>18</v>
      </c>
      <c r="N19" s="79">
        <f>SUM(N15:N18)</f>
        <v>1500.213344</v>
      </c>
    </row>
    <row r="21" spans="1:14" s="68" customFormat="1" x14ac:dyDescent="0.3">
      <c r="A21" s="76" t="s">
        <v>14</v>
      </c>
      <c r="B21" s="76" t="s">
        <v>31</v>
      </c>
      <c r="C21" s="76" t="s">
        <v>20</v>
      </c>
      <c r="D21" s="76" t="s">
        <v>21</v>
      </c>
      <c r="E21" s="76" t="s">
        <v>32</v>
      </c>
      <c r="F21" s="76" t="s">
        <v>17</v>
      </c>
      <c r="G21" s="76" t="s">
        <v>33</v>
      </c>
      <c r="H21" s="76" t="s">
        <v>34</v>
      </c>
      <c r="I21" s="76" t="s">
        <v>18</v>
      </c>
    </row>
    <row r="22" spans="1:14" x14ac:dyDescent="0.3">
      <c r="A22" s="72">
        <v>10</v>
      </c>
      <c r="B22" s="72" t="s">
        <v>159</v>
      </c>
      <c r="C22" s="72" t="s">
        <v>158</v>
      </c>
      <c r="D22" s="83">
        <v>0.15</v>
      </c>
      <c r="E22" s="72" t="s">
        <v>45</v>
      </c>
      <c r="F22" s="72">
        <v>5.96</v>
      </c>
      <c r="G22" s="72"/>
      <c r="H22" s="72">
        <v>1</v>
      </c>
      <c r="I22" s="83">
        <f t="shared" ref="I22:I31" si="0">H22*F22*D22</f>
        <v>0.89400000000000002</v>
      </c>
    </row>
    <row r="23" spans="1:14" x14ac:dyDescent="0.3">
      <c r="A23" s="72">
        <v>20</v>
      </c>
      <c r="B23" s="72" t="s">
        <v>157</v>
      </c>
      <c r="C23" s="72" t="s">
        <v>156</v>
      </c>
      <c r="D23" s="83">
        <v>5.25</v>
      </c>
      <c r="E23" s="72" t="s">
        <v>155</v>
      </c>
      <c r="F23" s="93">
        <f>26.634/10000</f>
        <v>2.6634000000000002E-3</v>
      </c>
      <c r="G23" s="72"/>
      <c r="H23" s="72">
        <v>1</v>
      </c>
      <c r="I23" s="83">
        <f t="shared" si="0"/>
        <v>1.3982850000000002E-2</v>
      </c>
    </row>
    <row r="24" spans="1:14" x14ac:dyDescent="0.3">
      <c r="A24" s="72">
        <v>30</v>
      </c>
      <c r="B24" s="92" t="s">
        <v>154</v>
      </c>
      <c r="C24" s="89" t="s">
        <v>153</v>
      </c>
      <c r="D24" s="73">
        <v>5.63</v>
      </c>
      <c r="E24" s="74" t="s">
        <v>32</v>
      </c>
      <c r="F24" s="74">
        <v>1</v>
      </c>
      <c r="G24" s="92"/>
      <c r="H24" s="74">
        <v>1</v>
      </c>
      <c r="I24" s="83">
        <f t="shared" si="0"/>
        <v>5.63</v>
      </c>
    </row>
    <row r="25" spans="1:14" x14ac:dyDescent="0.3">
      <c r="A25" s="72">
        <v>40</v>
      </c>
      <c r="B25" s="92" t="s">
        <v>152</v>
      </c>
      <c r="C25" s="89" t="s">
        <v>151</v>
      </c>
      <c r="D25" s="73">
        <v>0.13</v>
      </c>
      <c r="E25" s="90" t="s">
        <v>32</v>
      </c>
      <c r="F25" s="90">
        <v>1</v>
      </c>
      <c r="G25" s="91"/>
      <c r="H25" s="90">
        <v>1</v>
      </c>
      <c r="I25" s="83">
        <f t="shared" si="0"/>
        <v>0.13</v>
      </c>
    </row>
    <row r="26" spans="1:14" x14ac:dyDescent="0.3">
      <c r="A26" s="72">
        <v>50</v>
      </c>
      <c r="B26" s="92" t="s">
        <v>149</v>
      </c>
      <c r="C26" s="89" t="s">
        <v>150</v>
      </c>
      <c r="D26" s="73">
        <v>0.75</v>
      </c>
      <c r="E26" s="90" t="s">
        <v>32</v>
      </c>
      <c r="F26" s="90">
        <v>2</v>
      </c>
      <c r="G26" s="91"/>
      <c r="H26" s="90">
        <v>1</v>
      </c>
      <c r="I26" s="83">
        <f t="shared" si="0"/>
        <v>1.5</v>
      </c>
    </row>
    <row r="27" spans="1:14" x14ac:dyDescent="0.3">
      <c r="A27" s="72">
        <v>60</v>
      </c>
      <c r="B27" s="92" t="s">
        <v>149</v>
      </c>
      <c r="C27" s="89" t="s">
        <v>147</v>
      </c>
      <c r="D27" s="73">
        <v>0.75</v>
      </c>
      <c r="E27" s="90" t="s">
        <v>32</v>
      </c>
      <c r="F27" s="90">
        <v>2</v>
      </c>
      <c r="G27" s="91"/>
      <c r="H27" s="90">
        <v>1</v>
      </c>
      <c r="I27" s="83">
        <f t="shared" si="0"/>
        <v>1.5</v>
      </c>
    </row>
    <row r="28" spans="1:14" x14ac:dyDescent="0.3">
      <c r="A28" s="72">
        <v>70</v>
      </c>
      <c r="B28" s="92" t="s">
        <v>148</v>
      </c>
      <c r="C28" s="89" t="s">
        <v>147</v>
      </c>
      <c r="D28" s="73">
        <v>0.25</v>
      </c>
      <c r="E28" s="90" t="s">
        <v>32</v>
      </c>
      <c r="F28" s="90">
        <v>2</v>
      </c>
      <c r="G28" s="91"/>
      <c r="H28" s="90">
        <v>1</v>
      </c>
      <c r="I28" s="83">
        <f t="shared" si="0"/>
        <v>0.5</v>
      </c>
    </row>
    <row r="29" spans="1:14" x14ac:dyDescent="0.3">
      <c r="A29" s="72">
        <v>80</v>
      </c>
      <c r="B29" s="81" t="s">
        <v>146</v>
      </c>
      <c r="C29" s="81" t="s">
        <v>219</v>
      </c>
      <c r="D29" s="88">
        <v>0.125</v>
      </c>
      <c r="E29" s="87" t="s">
        <v>35</v>
      </c>
      <c r="F29" s="87">
        <v>2</v>
      </c>
      <c r="G29" s="87"/>
      <c r="H29" s="87">
        <v>1</v>
      </c>
      <c r="I29" s="83">
        <f t="shared" si="0"/>
        <v>0.25</v>
      </c>
    </row>
    <row r="30" spans="1:14" x14ac:dyDescent="0.3">
      <c r="A30" s="72">
        <v>90</v>
      </c>
      <c r="B30" s="124" t="s">
        <v>145</v>
      </c>
      <c r="C30" s="81" t="s">
        <v>144</v>
      </c>
      <c r="D30" s="86">
        <v>0.5</v>
      </c>
      <c r="E30" s="72" t="s">
        <v>35</v>
      </c>
      <c r="F30" s="72">
        <v>12</v>
      </c>
      <c r="G30" s="72"/>
      <c r="H30" s="72">
        <v>1</v>
      </c>
      <c r="I30" s="83">
        <f t="shared" si="0"/>
        <v>6</v>
      </c>
    </row>
    <row r="31" spans="1:14" x14ac:dyDescent="0.3">
      <c r="A31" s="72">
        <v>100</v>
      </c>
      <c r="B31" s="81" t="s">
        <v>143</v>
      </c>
      <c r="C31" s="81"/>
      <c r="D31" s="86">
        <v>50</v>
      </c>
      <c r="E31" s="72" t="s">
        <v>35</v>
      </c>
      <c r="F31" s="72">
        <v>1</v>
      </c>
      <c r="G31" s="72"/>
      <c r="H31" s="72">
        <v>1</v>
      </c>
      <c r="I31" s="83">
        <f t="shared" si="0"/>
        <v>50</v>
      </c>
    </row>
    <row r="32" spans="1:14" s="68" customFormat="1" x14ac:dyDescent="0.3">
      <c r="H32" s="70" t="s">
        <v>18</v>
      </c>
      <c r="I32" s="69">
        <f>SUM(I22:I31)</f>
        <v>66.417982850000001</v>
      </c>
    </row>
    <row r="34" spans="1:10" s="68" customFormat="1" x14ac:dyDescent="0.3">
      <c r="A34" s="76" t="s">
        <v>14</v>
      </c>
      <c r="B34" s="76" t="s">
        <v>36</v>
      </c>
      <c r="C34" s="76" t="s">
        <v>20</v>
      </c>
      <c r="D34" s="76" t="s">
        <v>21</v>
      </c>
      <c r="E34" s="76" t="s">
        <v>22</v>
      </c>
      <c r="F34" s="76" t="s">
        <v>23</v>
      </c>
      <c r="G34" s="76" t="s">
        <v>24</v>
      </c>
      <c r="H34" s="76" t="s">
        <v>25</v>
      </c>
      <c r="I34" s="76" t="s">
        <v>17</v>
      </c>
      <c r="J34" s="76" t="s">
        <v>18</v>
      </c>
    </row>
    <row r="35" spans="1:10" x14ac:dyDescent="0.3">
      <c r="A35" s="72">
        <v>10</v>
      </c>
      <c r="B35" s="85" t="s">
        <v>139</v>
      </c>
      <c r="C35" s="72" t="s">
        <v>142</v>
      </c>
      <c r="D35" s="83">
        <v>1.05</v>
      </c>
      <c r="E35" s="72">
        <v>12</v>
      </c>
      <c r="F35" s="82" t="s">
        <v>30</v>
      </c>
      <c r="G35" s="72">
        <v>80</v>
      </c>
      <c r="H35" s="81" t="s">
        <v>30</v>
      </c>
      <c r="I35" s="80">
        <v>2</v>
      </c>
      <c r="J35" s="73">
        <f t="shared" ref="J35:J41" si="1">D35*I35</f>
        <v>2.1</v>
      </c>
    </row>
    <row r="36" spans="1:10" x14ac:dyDescent="0.3">
      <c r="A36" s="72">
        <v>20</v>
      </c>
      <c r="B36" s="84" t="s">
        <v>37</v>
      </c>
      <c r="C36" s="72" t="s">
        <v>142</v>
      </c>
      <c r="D36" s="83">
        <v>0.01</v>
      </c>
      <c r="E36" s="72"/>
      <c r="F36" s="82" t="s">
        <v>35</v>
      </c>
      <c r="G36" s="72"/>
      <c r="H36" s="81"/>
      <c r="I36" s="80">
        <v>2</v>
      </c>
      <c r="J36" s="73">
        <f t="shared" si="1"/>
        <v>0.02</v>
      </c>
    </row>
    <row r="37" spans="1:10" x14ac:dyDescent="0.3">
      <c r="A37" s="72">
        <v>20</v>
      </c>
      <c r="B37" s="85" t="s">
        <v>139</v>
      </c>
      <c r="C37" s="72" t="s">
        <v>141</v>
      </c>
      <c r="D37" s="83">
        <v>1.4</v>
      </c>
      <c r="E37" s="72">
        <v>12</v>
      </c>
      <c r="F37" s="82" t="s">
        <v>30</v>
      </c>
      <c r="G37" s="72">
        <v>100</v>
      </c>
      <c r="H37" s="81" t="s">
        <v>30</v>
      </c>
      <c r="I37" s="80">
        <v>2</v>
      </c>
      <c r="J37" s="73">
        <f t="shared" si="1"/>
        <v>2.8</v>
      </c>
    </row>
    <row r="38" spans="1:10" x14ac:dyDescent="0.3">
      <c r="A38" s="72">
        <v>30</v>
      </c>
      <c r="B38" s="84" t="s">
        <v>38</v>
      </c>
      <c r="C38" s="72" t="s">
        <v>141</v>
      </c>
      <c r="D38" s="83">
        <v>0.1</v>
      </c>
      <c r="E38" s="72">
        <v>12</v>
      </c>
      <c r="F38" s="82" t="s">
        <v>30</v>
      </c>
      <c r="G38" s="72"/>
      <c r="H38" s="81"/>
      <c r="I38" s="80">
        <v>2</v>
      </c>
      <c r="J38" s="73">
        <f t="shared" si="1"/>
        <v>0.2</v>
      </c>
    </row>
    <row r="39" spans="1:10" x14ac:dyDescent="0.3">
      <c r="A39" s="72">
        <v>40</v>
      </c>
      <c r="B39" s="84" t="s">
        <v>37</v>
      </c>
      <c r="C39" s="72" t="s">
        <v>140</v>
      </c>
      <c r="D39" s="83">
        <v>0.01</v>
      </c>
      <c r="E39" s="72"/>
      <c r="F39" s="82" t="s">
        <v>35</v>
      </c>
      <c r="G39" s="72"/>
      <c r="H39" s="81"/>
      <c r="I39" s="80">
        <v>6</v>
      </c>
      <c r="J39" s="73">
        <f t="shared" si="1"/>
        <v>0.06</v>
      </c>
    </row>
    <row r="40" spans="1:10" x14ac:dyDescent="0.3">
      <c r="A40" s="72">
        <v>50</v>
      </c>
      <c r="B40" s="85" t="s">
        <v>139</v>
      </c>
      <c r="C40" s="72" t="s">
        <v>138</v>
      </c>
      <c r="D40" s="83">
        <f>0.8/105154*E40^2*G40*SQRT(G40)+(0.003*EXP(0.319*E40))</f>
        <v>3.6251689343322346E-2</v>
      </c>
      <c r="E40" s="72">
        <v>6</v>
      </c>
      <c r="F40" s="82" t="s">
        <v>30</v>
      </c>
      <c r="G40" s="72">
        <v>15</v>
      </c>
      <c r="H40" s="81" t="s">
        <v>30</v>
      </c>
      <c r="I40" s="80">
        <v>12</v>
      </c>
      <c r="J40" s="73">
        <f t="shared" si="1"/>
        <v>0.43502027211986816</v>
      </c>
    </row>
    <row r="41" spans="1:10" s="68" customFormat="1" x14ac:dyDescent="0.3">
      <c r="A41" s="72">
        <v>40</v>
      </c>
      <c r="B41" s="84" t="s">
        <v>37</v>
      </c>
      <c r="C41" s="72" t="s">
        <v>137</v>
      </c>
      <c r="D41" s="83">
        <v>0.01</v>
      </c>
      <c r="E41" s="72"/>
      <c r="F41" s="82" t="s">
        <v>35</v>
      </c>
      <c r="G41" s="72"/>
      <c r="H41" s="81"/>
      <c r="I41" s="80">
        <v>12</v>
      </c>
      <c r="J41" s="73">
        <f t="shared" si="1"/>
        <v>0.12</v>
      </c>
    </row>
    <row r="42" spans="1:10" x14ac:dyDescent="0.3">
      <c r="A42" s="68"/>
      <c r="B42" s="68"/>
      <c r="C42" s="68"/>
      <c r="D42" s="68"/>
      <c r="E42" s="68"/>
      <c r="F42" s="68"/>
      <c r="G42" s="68"/>
      <c r="H42" s="68"/>
      <c r="I42" s="70" t="s">
        <v>18</v>
      </c>
      <c r="J42" s="79">
        <f>SUM(J35:J41)</f>
        <v>5.7350202721198675</v>
      </c>
    </row>
    <row r="43" spans="1:10" s="68" customFormat="1" x14ac:dyDescent="0.3">
      <c r="A43" s="67"/>
      <c r="B43" s="67"/>
      <c r="C43" s="67"/>
      <c r="D43" s="67"/>
      <c r="E43" s="67"/>
      <c r="F43" s="67"/>
      <c r="G43" s="67"/>
      <c r="H43" s="78"/>
      <c r="I43" s="77"/>
      <c r="J43" s="67"/>
    </row>
    <row r="44" spans="1:10" x14ac:dyDescent="0.3">
      <c r="A44" s="76" t="s">
        <v>14</v>
      </c>
      <c r="B44" s="76" t="s">
        <v>39</v>
      </c>
      <c r="C44" s="76" t="s">
        <v>20</v>
      </c>
      <c r="D44" s="76" t="s">
        <v>21</v>
      </c>
      <c r="E44" s="76" t="s">
        <v>32</v>
      </c>
      <c r="F44" s="76" t="s">
        <v>17</v>
      </c>
      <c r="G44" s="76" t="s">
        <v>40</v>
      </c>
      <c r="H44" s="76" t="s">
        <v>41</v>
      </c>
      <c r="I44" s="76" t="s">
        <v>18</v>
      </c>
      <c r="J44" s="68"/>
    </row>
    <row r="45" spans="1:10" s="68" customFormat="1" x14ac:dyDescent="0.3">
      <c r="A45" s="72">
        <v>10</v>
      </c>
      <c r="B45" s="75" t="s">
        <v>42</v>
      </c>
      <c r="C45" s="74" t="s">
        <v>136</v>
      </c>
      <c r="D45" s="73">
        <v>500</v>
      </c>
      <c r="E45" s="72" t="s">
        <v>43</v>
      </c>
      <c r="F45" s="72">
        <v>4</v>
      </c>
      <c r="G45" s="72">
        <v>3000</v>
      </c>
      <c r="H45" s="72">
        <v>1</v>
      </c>
      <c r="I45" s="71">
        <f>D45*F45/G45*H45</f>
        <v>0.66666666666666663</v>
      </c>
      <c r="J45" s="67"/>
    </row>
    <row r="46" spans="1:10" x14ac:dyDescent="0.3">
      <c r="A46" s="68"/>
      <c r="B46" s="68"/>
      <c r="C46" s="68"/>
      <c r="D46" s="68"/>
      <c r="E46" s="68"/>
      <c r="F46" s="68"/>
      <c r="G46" s="68"/>
      <c r="H46" s="70" t="s">
        <v>18</v>
      </c>
      <c r="I46" s="69">
        <f>SUM(I45:I45)</f>
        <v>0.66666666666666663</v>
      </c>
      <c r="J46" s="68"/>
    </row>
  </sheetData>
  <hyperlinks>
    <hyperlink ref="D1" location="BOM!A1" display="Back to BOM"/>
    <hyperlink ref="B9" location="'EN 01001'!A1" display="Flat sump"/>
    <hyperlink ref="B10" location="'EN 01002'!A1" display="Rear tab"/>
    <hyperlink ref="B11" location="'EN 01003'!A1" display="Rear tube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35"/>
  <sheetViews>
    <sheetView zoomScale="80" zoomScaleNormal="80" zoomScalePageLayoutView="49" workbookViewId="0">
      <selection activeCell="K32" sqref="K32"/>
    </sheetView>
  </sheetViews>
  <sheetFormatPr baseColWidth="10" defaultColWidth="9.109375" defaultRowHeight="14.4" x14ac:dyDescent="0.3"/>
  <cols>
    <col min="1" max="1" width="10.33203125" style="67" bestFit="1" customWidth="1"/>
    <col min="2" max="2" width="23.6640625" style="67" customWidth="1"/>
    <col min="3" max="3" width="44.33203125" style="67" bestFit="1" customWidth="1"/>
    <col min="4" max="4" width="9" style="67" bestFit="1" customWidth="1"/>
    <col min="5" max="5" width="6.44140625" style="67" bestFit="1" customWidth="1"/>
    <col min="6" max="6" width="8.6640625" style="67" bestFit="1" customWidth="1"/>
    <col min="7" max="7" width="10" style="67" bestFit="1" customWidth="1"/>
    <col min="8" max="8" width="9.6640625" style="67" bestFit="1" customWidth="1"/>
    <col min="9" max="9" width="28" style="67" bestFit="1" customWidth="1"/>
    <col min="10" max="10" width="8.77734375" style="67" bestFit="1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N15+I30+I34</f>
        <v>38.781627930666666</v>
      </c>
    </row>
    <row r="2" spans="1:14" x14ac:dyDescent="0.3">
      <c r="A2" s="116" t="s">
        <v>3</v>
      </c>
      <c r="B2" s="67" t="s">
        <v>172</v>
      </c>
      <c r="D2" s="116" t="s">
        <v>6</v>
      </c>
      <c r="M2" s="116" t="s">
        <v>4</v>
      </c>
      <c r="N2" s="104">
        <v>1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188</v>
      </c>
      <c r="D4" s="116" t="s">
        <v>12</v>
      </c>
      <c r="J4" s="116" t="s">
        <v>8</v>
      </c>
      <c r="M4" s="116" t="s">
        <v>9</v>
      </c>
      <c r="N4" s="102">
        <f>N1*N2</f>
        <v>38.781627930666666</v>
      </c>
    </row>
    <row r="5" spans="1:14" x14ac:dyDescent="0.3">
      <c r="A5" s="116" t="s">
        <v>7</v>
      </c>
      <c r="B5" s="67" t="s">
        <v>134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187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182</v>
      </c>
      <c r="C10" s="72" t="s">
        <v>186</v>
      </c>
      <c r="D10" s="73">
        <v>4.2</v>
      </c>
      <c r="E10" s="72">
        <v>233</v>
      </c>
      <c r="F10" s="72" t="s">
        <v>30</v>
      </c>
      <c r="G10" s="72">
        <v>276</v>
      </c>
      <c r="H10" s="95" t="s">
        <v>30</v>
      </c>
      <c r="I10" s="97" t="s">
        <v>185</v>
      </c>
      <c r="J10" s="114">
        <f>0.233*0.276</f>
        <v>6.4308000000000004E-2</v>
      </c>
      <c r="K10" s="113">
        <v>2.5000000000000001E-3</v>
      </c>
      <c r="L10" s="94">
        <v>2712</v>
      </c>
      <c r="M10" s="94">
        <v>1</v>
      </c>
      <c r="N10" s="71">
        <f>IF(J10="",D10*M10,D10*J10*K10*L10*M10)</f>
        <v>1.8312346080000004</v>
      </c>
    </row>
    <row r="11" spans="1:14" x14ac:dyDescent="0.3">
      <c r="A11" s="72">
        <v>20</v>
      </c>
      <c r="B11" s="72" t="s">
        <v>182</v>
      </c>
      <c r="C11" s="72" t="s">
        <v>184</v>
      </c>
      <c r="D11" s="73">
        <v>4.2</v>
      </c>
      <c r="E11" s="72">
        <v>250</v>
      </c>
      <c r="F11" s="72" t="s">
        <v>30</v>
      </c>
      <c r="G11" s="72">
        <v>200</v>
      </c>
      <c r="H11" s="95" t="s">
        <v>30</v>
      </c>
      <c r="I11" s="97" t="s">
        <v>183</v>
      </c>
      <c r="J11" s="114">
        <f>0.25*0.2</f>
        <v>0.05</v>
      </c>
      <c r="K11" s="115">
        <v>1.4999999999999999E-2</v>
      </c>
      <c r="L11" s="94">
        <v>2712</v>
      </c>
      <c r="M11" s="94">
        <v>1</v>
      </c>
      <c r="N11" s="71">
        <f>IF(J11="",D11*M11,D11*J11*K11*L11*M11)</f>
        <v>8.5427999999999997</v>
      </c>
    </row>
    <row r="12" spans="1:14" x14ac:dyDescent="0.3">
      <c r="A12" s="72">
        <v>30</v>
      </c>
      <c r="B12" s="72" t="s">
        <v>182</v>
      </c>
      <c r="C12" s="72" t="s">
        <v>202</v>
      </c>
      <c r="D12" s="73">
        <v>4.2</v>
      </c>
      <c r="E12" s="72">
        <v>168</v>
      </c>
      <c r="F12" s="72" t="s">
        <v>30</v>
      </c>
      <c r="G12" s="72">
        <v>42</v>
      </c>
      <c r="H12" s="95" t="s">
        <v>30</v>
      </c>
      <c r="I12" s="97" t="s">
        <v>205</v>
      </c>
      <c r="J12" s="114">
        <f>0.168*0.042</f>
        <v>7.0560000000000006E-3</v>
      </c>
      <c r="K12" s="113">
        <v>2.5000000000000001E-3</v>
      </c>
      <c r="L12" s="94">
        <v>2712</v>
      </c>
      <c r="M12" s="94">
        <v>1</v>
      </c>
      <c r="N12" s="71">
        <f>IF(J12="",D12*M12,D12*J12*K12*L12*M12)</f>
        <v>0.20092665600000004</v>
      </c>
    </row>
    <row r="13" spans="1:14" x14ac:dyDescent="0.3">
      <c r="A13" s="72">
        <v>40</v>
      </c>
      <c r="B13" s="72" t="s">
        <v>182</v>
      </c>
      <c r="C13" s="72" t="s">
        <v>203</v>
      </c>
      <c r="D13" s="73">
        <v>4.2</v>
      </c>
      <c r="E13" s="72">
        <v>50</v>
      </c>
      <c r="F13" s="72" t="s">
        <v>30</v>
      </c>
      <c r="G13" s="72">
        <v>30</v>
      </c>
      <c r="H13" s="95" t="s">
        <v>30</v>
      </c>
      <c r="I13" s="97" t="s">
        <v>204</v>
      </c>
      <c r="J13" s="114">
        <f>0.05*0.03</f>
        <v>1.5E-3</v>
      </c>
      <c r="K13" s="113">
        <v>2.5000000000000001E-3</v>
      </c>
      <c r="L13" s="94">
        <v>2712</v>
      </c>
      <c r="M13" s="94">
        <v>1</v>
      </c>
      <c r="N13" s="71">
        <f>IF(J13="",D13*M13,D13*J13*K13*L13*M13)</f>
        <v>4.2714000000000002E-2</v>
      </c>
    </row>
    <row r="14" spans="1:14" ht="28.8" x14ac:dyDescent="0.3">
      <c r="A14" s="72">
        <v>50</v>
      </c>
      <c r="B14" s="126" t="s">
        <v>214</v>
      </c>
      <c r="C14" s="127" t="s">
        <v>215</v>
      </c>
      <c r="D14" s="128">
        <v>1.85</v>
      </c>
      <c r="E14" s="127">
        <v>8</v>
      </c>
      <c r="F14" s="127" t="s">
        <v>30</v>
      </c>
      <c r="G14" s="127"/>
      <c r="H14" s="129"/>
      <c r="I14" s="130"/>
      <c r="J14" s="131"/>
      <c r="K14" s="132"/>
      <c r="L14" s="133"/>
      <c r="M14" s="134">
        <v>1</v>
      </c>
      <c r="N14" s="135">
        <f>IF(J14="",D14*M14,D14*J14*K14*L14*M14)</f>
        <v>1.85</v>
      </c>
    </row>
    <row r="15" spans="1:14" s="68" customFormat="1" x14ac:dyDescent="0.3">
      <c r="M15" s="108" t="s">
        <v>18</v>
      </c>
      <c r="N15" s="112">
        <f>SUM(N10:N12)</f>
        <v>10.574961264000001</v>
      </c>
    </row>
    <row r="17" spans="1:9" s="68" customFormat="1" x14ac:dyDescent="0.3">
      <c r="A17" s="109" t="s">
        <v>14</v>
      </c>
      <c r="B17" s="109" t="s">
        <v>31</v>
      </c>
      <c r="C17" s="109" t="s">
        <v>20</v>
      </c>
      <c r="D17" s="109" t="s">
        <v>21</v>
      </c>
      <c r="E17" s="109" t="s">
        <v>32</v>
      </c>
      <c r="F17" s="109" t="s">
        <v>17</v>
      </c>
      <c r="G17" s="109" t="s">
        <v>33</v>
      </c>
      <c r="H17" s="109" t="s">
        <v>34</v>
      </c>
      <c r="I17" s="109" t="s">
        <v>18</v>
      </c>
    </row>
    <row r="18" spans="1:9" ht="28.8" x14ac:dyDescent="0.3">
      <c r="A18" s="72">
        <v>10</v>
      </c>
      <c r="B18" s="111" t="s">
        <v>176</v>
      </c>
      <c r="C18" s="81" t="s">
        <v>181</v>
      </c>
      <c r="D18" s="73">
        <v>1.3</v>
      </c>
      <c r="E18" s="72" t="s">
        <v>32</v>
      </c>
      <c r="F18" s="72">
        <v>1</v>
      </c>
      <c r="G18" s="72"/>
      <c r="H18" s="72"/>
      <c r="I18" s="73">
        <f>IF('EN 01001'!$H18&lt;&gt;"",'EN 01001'!$D18*'EN 01001'!$F18*'EN 01001'!$H18,'EN 01001'!$D18*'EN 01001'!$F18)</f>
        <v>1.3</v>
      </c>
    </row>
    <row r="19" spans="1:9" x14ac:dyDescent="0.3">
      <c r="A19" s="72">
        <v>20</v>
      </c>
      <c r="B19" s="81" t="s">
        <v>179</v>
      </c>
      <c r="C19" s="81" t="s">
        <v>180</v>
      </c>
      <c r="D19" s="73">
        <v>0.01</v>
      </c>
      <c r="E19" s="72" t="s">
        <v>45</v>
      </c>
      <c r="F19" s="72">
        <v>166</v>
      </c>
      <c r="G19" s="72"/>
      <c r="H19" s="72"/>
      <c r="I19" s="71">
        <f>IF('EN 01001'!$H19&lt;&gt;"",'EN 01001'!$D19*'EN 01001'!$F19*'EN 01001'!$H19,'EN 01001'!$D19*'EN 01001'!$F19)</f>
        <v>1.6600000000000001</v>
      </c>
    </row>
    <row r="20" spans="1:9" ht="28.8" x14ac:dyDescent="0.3">
      <c r="A20" s="72">
        <v>30</v>
      </c>
      <c r="B20" s="111" t="s">
        <v>176</v>
      </c>
      <c r="C20" s="81" t="s">
        <v>178</v>
      </c>
      <c r="D20" s="73">
        <v>1.3</v>
      </c>
      <c r="E20" s="72" t="s">
        <v>32</v>
      </c>
      <c r="F20" s="72">
        <v>1</v>
      </c>
      <c r="G20" s="72"/>
      <c r="H20" s="72"/>
      <c r="I20" s="73">
        <f>IF('EN 01001'!$H20&lt;&gt;"",'EN 01001'!$D20*'EN 01001'!$F20*'EN 01001'!$H20,'EN 01001'!$D20*'EN 01001'!$F20)</f>
        <v>1.3</v>
      </c>
    </row>
    <row r="21" spans="1:9" x14ac:dyDescent="0.3">
      <c r="A21" s="72">
        <v>40</v>
      </c>
      <c r="B21" s="81" t="s">
        <v>179</v>
      </c>
      <c r="C21" s="81" t="s">
        <v>178</v>
      </c>
      <c r="D21" s="73">
        <v>0.01</v>
      </c>
      <c r="E21" s="72" t="s">
        <v>45</v>
      </c>
      <c r="F21" s="72">
        <v>155</v>
      </c>
      <c r="G21" s="72"/>
      <c r="H21" s="72"/>
      <c r="I21" s="71">
        <f>IF('EN 01001'!$H21&lt;&gt;"",'EN 01001'!$D21*'EN 01001'!$F21*'EN 01001'!$H21,'EN 01001'!$D21*'EN 01001'!$F21)</f>
        <v>1.55</v>
      </c>
    </row>
    <row r="22" spans="1:9" ht="28.8" x14ac:dyDescent="0.3">
      <c r="A22" s="72">
        <v>50</v>
      </c>
      <c r="B22" s="111" t="s">
        <v>176</v>
      </c>
      <c r="C22" s="81" t="s">
        <v>207</v>
      </c>
      <c r="D22" s="73">
        <v>1.3</v>
      </c>
      <c r="E22" s="72" t="s">
        <v>32</v>
      </c>
      <c r="F22" s="72">
        <v>1</v>
      </c>
      <c r="G22" s="72"/>
      <c r="H22" s="72"/>
      <c r="I22" s="71">
        <f>IF('EN 01001'!$H22&lt;&gt;"",'EN 01001'!$D22*'EN 01001'!$F22*'EN 01001'!$H22,'EN 01001'!$D22*'EN 01001'!$F22)</f>
        <v>1.3</v>
      </c>
    </row>
    <row r="23" spans="1:9" x14ac:dyDescent="0.3">
      <c r="A23" s="72">
        <v>60</v>
      </c>
      <c r="B23" s="81" t="s">
        <v>179</v>
      </c>
      <c r="C23" s="81" t="s">
        <v>207</v>
      </c>
      <c r="D23" s="73">
        <v>0.01</v>
      </c>
      <c r="E23" s="72" t="s">
        <v>45</v>
      </c>
      <c r="F23" s="72">
        <v>42</v>
      </c>
      <c r="G23" s="72"/>
      <c r="H23" s="72"/>
      <c r="I23" s="71">
        <f>IF('EN 01001'!$H23&lt;&gt;"",'EN 01001'!$D23*'EN 01001'!$F23*'EN 01001'!$H23,'EN 01001'!$D23*'EN 01001'!$F23)</f>
        <v>0.42</v>
      </c>
    </row>
    <row r="24" spans="1:9" ht="28.8" x14ac:dyDescent="0.3">
      <c r="A24" s="72">
        <v>70</v>
      </c>
      <c r="B24" s="111" t="s">
        <v>176</v>
      </c>
      <c r="C24" s="81" t="s">
        <v>208</v>
      </c>
      <c r="D24" s="73">
        <v>1.3</v>
      </c>
      <c r="E24" s="72" t="s">
        <v>32</v>
      </c>
      <c r="F24" s="72">
        <v>1</v>
      </c>
      <c r="G24" s="72"/>
      <c r="H24" s="72"/>
      <c r="I24" s="71">
        <f>IF('EN 01001'!$H24&lt;&gt;"",'EN 01001'!$D24*'EN 01001'!$F24*'EN 01001'!$H24,'EN 01001'!$D24*'EN 01001'!$F24)</f>
        <v>1.3</v>
      </c>
    </row>
    <row r="25" spans="1:9" x14ac:dyDescent="0.3">
      <c r="A25" s="72">
        <v>80</v>
      </c>
      <c r="B25" s="81" t="s">
        <v>179</v>
      </c>
      <c r="C25" s="81" t="s">
        <v>208</v>
      </c>
      <c r="D25" s="73">
        <v>0.01</v>
      </c>
      <c r="E25" s="72" t="s">
        <v>45</v>
      </c>
      <c r="F25" s="72">
        <v>16</v>
      </c>
      <c r="G25" s="72"/>
      <c r="H25" s="72"/>
      <c r="I25" s="71">
        <f>IF('EN 01001'!$H25&lt;&gt;"",'EN 01001'!$D25*'EN 01001'!$F25*'EN 01001'!$H25,'EN 01001'!$D25*'EN 01001'!$F25)</f>
        <v>0.16</v>
      </c>
    </row>
    <row r="26" spans="1:9" x14ac:dyDescent="0.3">
      <c r="A26" s="72">
        <v>90</v>
      </c>
      <c r="B26" s="81" t="s">
        <v>177</v>
      </c>
      <c r="C26" s="81" t="s">
        <v>206</v>
      </c>
      <c r="D26" s="73">
        <v>0.25</v>
      </c>
      <c r="E26" s="72" t="s">
        <v>32</v>
      </c>
      <c r="F26" s="72">
        <v>4</v>
      </c>
      <c r="G26" s="72"/>
      <c r="H26" s="72"/>
      <c r="I26" s="71">
        <f>IF('EN 01001'!$H26&lt;&gt;"",'EN 01001'!$D26*'EN 01001'!$F26*'EN 01001'!$H26,'EN 01001'!$D26*'EN 01001'!$F26)</f>
        <v>1</v>
      </c>
    </row>
    <row r="27" spans="1:9" ht="28.8" x14ac:dyDescent="0.3">
      <c r="A27" s="72">
        <v>100</v>
      </c>
      <c r="B27" s="111" t="s">
        <v>176</v>
      </c>
      <c r="C27" s="81" t="s">
        <v>210</v>
      </c>
      <c r="D27" s="73">
        <v>1.3</v>
      </c>
      <c r="E27" s="72" t="s">
        <v>32</v>
      </c>
      <c r="F27" s="72">
        <v>1</v>
      </c>
      <c r="G27" s="72"/>
      <c r="H27" s="72"/>
      <c r="I27" s="71">
        <f>IF('EN 01001'!$H27&lt;&gt;"",'EN 01001'!$D27*'EN 01001'!$F27*'EN 01001'!$H27,'EN 01001'!$D27*'EN 01001'!$F27)</f>
        <v>1.3</v>
      </c>
    </row>
    <row r="28" spans="1:9" x14ac:dyDescent="0.3">
      <c r="A28" s="72">
        <v>110</v>
      </c>
      <c r="B28" s="81" t="s">
        <v>175</v>
      </c>
      <c r="C28" s="81" t="s">
        <v>209</v>
      </c>
      <c r="D28" s="73">
        <v>0.35</v>
      </c>
      <c r="E28" s="72" t="s">
        <v>32</v>
      </c>
      <c r="F28" s="72">
        <v>1</v>
      </c>
      <c r="G28" s="72"/>
      <c r="H28" s="72"/>
      <c r="I28" s="71">
        <f>IF('EN 01001'!$H28&lt;&gt;"",'EN 01001'!$D28*'EN 01001'!$F28*'EN 01001'!$H28,'EN 01001'!$D28*'EN 01001'!$F28)</f>
        <v>0.35</v>
      </c>
    </row>
    <row r="29" spans="1:9" x14ac:dyDescent="0.3">
      <c r="A29" s="72">
        <v>120</v>
      </c>
      <c r="B29" s="81" t="s">
        <v>159</v>
      </c>
      <c r="C29" s="81" t="s">
        <v>216</v>
      </c>
      <c r="D29" s="73">
        <v>0.15</v>
      </c>
      <c r="E29" s="72" t="s">
        <v>45</v>
      </c>
      <c r="F29" s="72">
        <v>96</v>
      </c>
      <c r="G29" s="72"/>
      <c r="H29" s="72"/>
      <c r="I29" s="71">
        <f>IF('EN 01001'!$H29&lt;&gt;"",'EN 01001'!$D29*'EN 01001'!$F29*'EN 01001'!$H29,'EN 01001'!$D29*'EN 01001'!$F29)</f>
        <v>14.399999999999999</v>
      </c>
    </row>
    <row r="30" spans="1:9" s="68" customFormat="1" x14ac:dyDescent="0.3">
      <c r="H30" s="108" t="s">
        <v>18</v>
      </c>
      <c r="I30" s="110">
        <f>SUM(I18:I29)</f>
        <v>26.04</v>
      </c>
    </row>
    <row r="31" spans="1:9" x14ac:dyDescent="0.3">
      <c r="H31" s="78"/>
      <c r="I31" s="77"/>
    </row>
    <row r="32" spans="1:9" s="68" customFormat="1" x14ac:dyDescent="0.3">
      <c r="A32" s="109" t="s">
        <v>14</v>
      </c>
      <c r="B32" s="109" t="s">
        <v>39</v>
      </c>
      <c r="C32" s="109" t="s">
        <v>20</v>
      </c>
      <c r="D32" s="109" t="s">
        <v>21</v>
      </c>
      <c r="E32" s="109" t="s">
        <v>32</v>
      </c>
      <c r="F32" s="109" t="s">
        <v>17</v>
      </c>
      <c r="G32" s="109" t="s">
        <v>40</v>
      </c>
      <c r="H32" s="109" t="s">
        <v>46</v>
      </c>
      <c r="I32" s="109" t="s">
        <v>18</v>
      </c>
    </row>
    <row r="33" spans="1:9" x14ac:dyDescent="0.3">
      <c r="A33" s="72">
        <v>10</v>
      </c>
      <c r="B33" s="72" t="s">
        <v>174</v>
      </c>
      <c r="C33" s="72" t="s">
        <v>173</v>
      </c>
      <c r="D33" s="73">
        <v>500</v>
      </c>
      <c r="E33" s="72" t="s">
        <v>43</v>
      </c>
      <c r="F33" s="72">
        <v>13</v>
      </c>
      <c r="G33" s="72">
        <v>3000</v>
      </c>
      <c r="H33" s="72">
        <v>1</v>
      </c>
      <c r="I33" s="73">
        <f>IF('EN 01001'!$G33&lt;&gt;"",D33*F33/G33*H33,"")</f>
        <v>2.1666666666666665</v>
      </c>
    </row>
    <row r="34" spans="1:9" s="68" customFormat="1" x14ac:dyDescent="0.3">
      <c r="H34" s="108" t="s">
        <v>18</v>
      </c>
      <c r="I34" s="107">
        <f>SUM(I33:I33)</f>
        <v>2.1666666666666665</v>
      </c>
    </row>
    <row r="35" spans="1:9" x14ac:dyDescent="0.3">
      <c r="H35" s="78"/>
      <c r="I35" s="77"/>
    </row>
  </sheetData>
  <hyperlinks>
    <hyperlink ref="F1" location="BOM!A1" display="Back to BOM"/>
    <hyperlink ref="B3" location="'EN A0001'!A1" display="Engine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zoomScale="90" zoomScaleNormal="90" zoomScalePageLayoutView="49" workbookViewId="0">
      <selection activeCell="N2" sqref="N2"/>
    </sheetView>
  </sheetViews>
  <sheetFormatPr baseColWidth="10" defaultColWidth="9.109375" defaultRowHeight="14.4" x14ac:dyDescent="0.3"/>
  <cols>
    <col min="1" max="1" width="10.33203125" style="67" bestFit="1" customWidth="1"/>
    <col min="2" max="2" width="33.44140625" style="67" customWidth="1"/>
    <col min="3" max="3" width="17.10937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9.77734375" style="67" bestFit="1" customWidth="1"/>
    <col min="8" max="8" width="9.6640625" style="67" bestFit="1" customWidth="1"/>
    <col min="9" max="9" width="25.77734375" style="67" bestFit="1" customWidth="1"/>
    <col min="10" max="11" width="9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1.4174720000000001</v>
      </c>
    </row>
    <row r="2" spans="1:14" x14ac:dyDescent="0.3">
      <c r="A2" s="116" t="s">
        <v>3</v>
      </c>
      <c r="B2" s="67" t="s">
        <v>172</v>
      </c>
      <c r="C2" s="78" t="s">
        <v>196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168</v>
      </c>
      <c r="D4" s="116" t="s">
        <v>12</v>
      </c>
      <c r="J4" s="116" t="s">
        <v>8</v>
      </c>
      <c r="M4" s="116" t="s">
        <v>9</v>
      </c>
      <c r="N4" s="102">
        <f>N1*N2</f>
        <v>2.8349440000000001</v>
      </c>
    </row>
    <row r="5" spans="1:14" x14ac:dyDescent="0.3">
      <c r="A5" s="116" t="s">
        <v>7</v>
      </c>
      <c r="B5" s="67" t="s">
        <v>195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194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193</v>
      </c>
      <c r="C10" s="72"/>
      <c r="D10" s="73">
        <v>2.25</v>
      </c>
      <c r="E10" s="93">
        <f>J10*K10*L10</f>
        <v>9.0431999999999998E-2</v>
      </c>
      <c r="F10" s="72" t="s">
        <v>192</v>
      </c>
      <c r="G10" s="72"/>
      <c r="H10" s="95"/>
      <c r="I10" s="97" t="s">
        <v>211</v>
      </c>
      <c r="J10" s="114">
        <f>60*32/1000000</f>
        <v>1.92E-3</v>
      </c>
      <c r="K10" s="115">
        <f>6/1000</f>
        <v>6.0000000000000001E-3</v>
      </c>
      <c r="L10" s="94">
        <v>7850</v>
      </c>
      <c r="M10" s="94">
        <v>1</v>
      </c>
      <c r="N10" s="71">
        <f>IF(J10="",D10*M10,D10*J10*K10*L10*M10)</f>
        <v>0.20347200000000001</v>
      </c>
    </row>
    <row r="11" spans="1:14" s="68" customFormat="1" x14ac:dyDescent="0.3">
      <c r="M11" s="108" t="s">
        <v>18</v>
      </c>
      <c r="N11" s="112">
        <f>SUM(N10:N10)</f>
        <v>0.20347200000000001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176</v>
      </c>
      <c r="C14" s="81" t="s">
        <v>191</v>
      </c>
      <c r="D14" s="73">
        <v>1.3</v>
      </c>
      <c r="E14" s="72" t="s">
        <v>32</v>
      </c>
      <c r="F14" s="72">
        <v>1</v>
      </c>
      <c r="G14" s="119" t="s">
        <v>190</v>
      </c>
      <c r="H14" s="72">
        <f>1/2</f>
        <v>0.5</v>
      </c>
      <c r="I14" s="73">
        <f>H14*F14*D14</f>
        <v>0.65</v>
      </c>
    </row>
    <row r="15" spans="1:14" x14ac:dyDescent="0.3">
      <c r="A15" s="72">
        <v>20</v>
      </c>
      <c r="B15" s="81" t="s">
        <v>179</v>
      </c>
      <c r="C15" s="81"/>
      <c r="D15" s="73">
        <v>0.01</v>
      </c>
      <c r="E15" s="72" t="s">
        <v>45</v>
      </c>
      <c r="F15" s="72">
        <v>18.8</v>
      </c>
      <c r="G15" s="72" t="s">
        <v>189</v>
      </c>
      <c r="H15" s="72">
        <v>3</v>
      </c>
      <c r="I15" s="73">
        <f>H15*F15*D15</f>
        <v>0.56400000000000006</v>
      </c>
    </row>
    <row r="16" spans="1:14" s="68" customFormat="1" x14ac:dyDescent="0.3">
      <c r="H16" s="108" t="s">
        <v>18</v>
      </c>
      <c r="I16" s="110">
        <f>SUM(I14:I15)</f>
        <v>1.214</v>
      </c>
    </row>
  </sheetData>
  <hyperlinks>
    <hyperlink ref="F1" location="BOM!A1" display="Back to BOM"/>
    <hyperlink ref="D2" location="'EN 01002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195</v>
      </c>
    </row>
  </sheetData>
  <hyperlinks>
    <hyperlink ref="A1" location="'EN 01002'!A1" display="EN 01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zoomScale="80" zoomScaleNormal="80" zoomScalePageLayoutView="49" workbookViewId="0">
      <selection activeCell="B3" sqref="B3"/>
    </sheetView>
  </sheetViews>
  <sheetFormatPr baseColWidth="10" defaultColWidth="9.109375" defaultRowHeight="14.4" x14ac:dyDescent="0.3"/>
  <cols>
    <col min="1" max="1" width="10.33203125" style="67" bestFit="1" customWidth="1"/>
    <col min="2" max="2" width="30.77734375" style="67" bestFit="1" customWidth="1"/>
    <col min="3" max="3" width="14.4414062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4.44140625" style="67" bestFit="1" customWidth="1"/>
    <col min="8" max="8" width="12.33203125" style="67" customWidth="1"/>
    <col min="9" max="9" width="23.109375" style="67" bestFit="1" customWidth="1"/>
    <col min="10" max="10" width="12.6640625" style="67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11.109375" style="67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1.9460502534247164</v>
      </c>
    </row>
    <row r="2" spans="1:14" x14ac:dyDescent="0.3">
      <c r="A2" s="116" t="s">
        <v>3</v>
      </c>
      <c r="B2" s="67" t="s">
        <v>172</v>
      </c>
      <c r="C2" s="123" t="s">
        <v>196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167</v>
      </c>
      <c r="D4" s="116" t="s">
        <v>12</v>
      </c>
      <c r="J4" s="116" t="s">
        <v>8</v>
      </c>
      <c r="M4" s="116" t="s">
        <v>9</v>
      </c>
      <c r="N4" s="102">
        <f>N1*N2</f>
        <v>3.8921005068494328</v>
      </c>
    </row>
    <row r="5" spans="1:14" x14ac:dyDescent="0.3">
      <c r="A5" s="116" t="s">
        <v>7</v>
      </c>
      <c r="B5" s="67" t="s">
        <v>201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194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200</v>
      </c>
      <c r="C10" s="72"/>
      <c r="D10" s="73">
        <v>2.25</v>
      </c>
      <c r="E10" s="93">
        <f>J10*K10*L10</f>
        <v>6.3133445966540483E-2</v>
      </c>
      <c r="F10" s="72" t="s">
        <v>192</v>
      </c>
      <c r="G10" s="72"/>
      <c r="H10" s="95"/>
      <c r="I10" s="97" t="s">
        <v>212</v>
      </c>
      <c r="J10" s="114">
        <f>PI()*8*8/1000000</f>
        <v>2.0106192982974677E-4</v>
      </c>
      <c r="K10" s="115">
        <f>40/1000</f>
        <v>0.04</v>
      </c>
      <c r="L10" s="94">
        <v>7850</v>
      </c>
      <c r="M10" s="94">
        <v>1</v>
      </c>
      <c r="N10" s="71">
        <f>IF(J10="",D10*M10,D10*J10*K10*L10*M10)</f>
        <v>0.14205025342471611</v>
      </c>
    </row>
    <row r="11" spans="1:14" s="68" customFormat="1" x14ac:dyDescent="0.3">
      <c r="J11" s="68" t="s">
        <v>199</v>
      </c>
      <c r="M11" s="108" t="s">
        <v>18</v>
      </c>
      <c r="N11" s="112">
        <f>SUM(N10:N10)</f>
        <v>0.14205025342471611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176</v>
      </c>
      <c r="C14" s="81"/>
      <c r="D14" s="73">
        <v>1.3</v>
      </c>
      <c r="E14" s="72" t="s">
        <v>32</v>
      </c>
      <c r="F14" s="72">
        <v>1</v>
      </c>
      <c r="G14" s="119"/>
      <c r="H14" s="72">
        <v>1</v>
      </c>
      <c r="I14" s="73">
        <f>H14*F14*D14</f>
        <v>1.3</v>
      </c>
    </row>
    <row r="15" spans="1:14" x14ac:dyDescent="0.3">
      <c r="A15" s="72">
        <v>20</v>
      </c>
      <c r="B15" s="81" t="s">
        <v>198</v>
      </c>
      <c r="C15" s="81" t="s">
        <v>213</v>
      </c>
      <c r="D15" s="73">
        <v>0.04</v>
      </c>
      <c r="E15" s="72" t="s">
        <v>197</v>
      </c>
      <c r="F15" s="72">
        <v>4.2</v>
      </c>
      <c r="G15" s="119" t="s">
        <v>189</v>
      </c>
      <c r="H15" s="72">
        <v>3</v>
      </c>
      <c r="I15" s="73">
        <f>H15*F15*D15</f>
        <v>0.50400000000000011</v>
      </c>
    </row>
    <row r="16" spans="1:14" s="68" customFormat="1" x14ac:dyDescent="0.3">
      <c r="H16" s="108" t="s">
        <v>18</v>
      </c>
      <c r="I16" s="110">
        <f>SUM(I14:I15)</f>
        <v>1.8040000000000003</v>
      </c>
    </row>
  </sheetData>
  <hyperlinks>
    <hyperlink ref="F1" location="BOM!A1" display="Back to BOM"/>
    <hyperlink ref="D2" location="'EN 01003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201</v>
      </c>
    </row>
  </sheetData>
  <hyperlinks>
    <hyperlink ref="A1" location="'EN 01003'!A1" display="EN 01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</vt:i4>
      </vt:variant>
    </vt:vector>
  </HeadingPairs>
  <TitlesOfParts>
    <vt:vector size="12" baseType="lpstr">
      <vt:lpstr>Instructions</vt:lpstr>
      <vt:lpstr>BOM</vt:lpstr>
      <vt:lpstr>EN A0001</vt:lpstr>
      <vt:lpstr>EN 01001</vt:lpstr>
      <vt:lpstr>EN 01002</vt:lpstr>
      <vt:lpstr>EN 01002 Drawing</vt:lpstr>
      <vt:lpstr>EN 01003</vt:lpstr>
      <vt:lpstr>EN 01003 Drawing</vt:lpstr>
      <vt:lpstr>BOM!Car</vt:lpstr>
      <vt:lpstr>BOM!CompCode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2018-04-30T14:36:10Z</dcterms:modified>
  <dc:language>fr-FR</dc:language>
</cp:coreProperties>
</file>