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quette_EPSA\SU - Suspension\Cost\"/>
    </mc:Choice>
  </mc:AlternateContent>
  <bookViews>
    <workbookView xWindow="0" yWindow="0" windowWidth="20496" windowHeight="7548" firstSheet="70" activeTab="78"/>
  </bookViews>
  <sheets>
    <sheet name="Instructions" sheetId="7" r:id="rId1"/>
    <sheet name="BOM" sheetId="8" r:id="rId2"/>
    <sheet name="SU A0100" sheetId="20" r:id="rId3"/>
    <sheet name="SU 01001" sheetId="21" r:id="rId4"/>
    <sheet name="dSU 01001" sheetId="27" r:id="rId5"/>
    <sheet name="SU 01002" sheetId="22" r:id="rId6"/>
    <sheet name="dSU 01002" sheetId="28" r:id="rId7"/>
    <sheet name="SU 01003" sheetId="23" r:id="rId8"/>
    <sheet name="SU 01004" sheetId="24" r:id="rId9"/>
    <sheet name="SU 01005" sheetId="25" r:id="rId10"/>
    <sheet name="dSU 01005" sheetId="29" r:id="rId11"/>
    <sheet name="SU 01006" sheetId="42" r:id="rId12"/>
    <sheet name="dSU 01006" sheetId="43" r:id="rId13"/>
    <sheet name="SU 01007" sheetId="26" r:id="rId14"/>
    <sheet name="dSU 01007" sheetId="30" r:id="rId15"/>
    <sheet name="SU 01008" sheetId="72" r:id="rId16"/>
    <sheet name="dSU 01008" sheetId="73" r:id="rId17"/>
    <sheet name="SU 01009" sheetId="74" r:id="rId18"/>
    <sheet name="dSU 01009" sheetId="75" r:id="rId19"/>
    <sheet name="SU 01010" sheetId="76" r:id="rId20"/>
    <sheet name="dSU 01010" sheetId="77" r:id="rId21"/>
    <sheet name="SU 01011" sheetId="78" r:id="rId22"/>
    <sheet name="dSU 01011" sheetId="79" r:id="rId23"/>
    <sheet name="SU A0200" sheetId="31" r:id="rId24"/>
    <sheet name="SU 02001" sheetId="32" r:id="rId25"/>
    <sheet name="dSU 02001" sheetId="38" r:id="rId26"/>
    <sheet name="SU 02002" sheetId="33" r:id="rId27"/>
    <sheet name="dSU 02002" sheetId="39" r:id="rId28"/>
    <sheet name="SU 02003" sheetId="34" r:id="rId29"/>
    <sheet name="SU 02004" sheetId="35" r:id="rId30"/>
    <sheet name="SU 02005" sheetId="36" r:id="rId31"/>
    <sheet name="dSU 02005" sheetId="40" r:id="rId32"/>
    <sheet name="SU 02006" sheetId="44" r:id="rId33"/>
    <sheet name="dSU 02006" sheetId="45" r:id="rId34"/>
    <sheet name="SU 02007" sheetId="37" r:id="rId35"/>
    <sheet name="dSU 02007" sheetId="41" r:id="rId36"/>
    <sheet name="SU 02008" sheetId="83" r:id="rId37"/>
    <sheet name="dSU 02008" sheetId="84" r:id="rId38"/>
    <sheet name="SU 02009" sheetId="85" r:id="rId39"/>
    <sheet name="dSU 02009" sheetId="86" r:id="rId40"/>
    <sheet name="SU 02010" sheetId="87" r:id="rId41"/>
    <sheet name="dSU 02010" sheetId="88" r:id="rId42"/>
    <sheet name="SU 02011" sheetId="89" r:id="rId43"/>
    <sheet name="dSU 02011" sheetId="90" r:id="rId44"/>
    <sheet name="SU A0300" sheetId="46" r:id="rId45"/>
    <sheet name="SU 03001" sheetId="47" r:id="rId46"/>
    <sheet name="dSU 03001" sheetId="53" r:id="rId47"/>
    <sheet name="SU 03002" sheetId="48" r:id="rId48"/>
    <sheet name="dSU 03002" sheetId="54" r:id="rId49"/>
    <sheet name="SU 03003" sheetId="49" r:id="rId50"/>
    <sheet name="SU 03004" sheetId="50" r:id="rId51"/>
    <sheet name="SU 03005" sheetId="51" r:id="rId52"/>
    <sheet name="dSU 03005" sheetId="55" r:id="rId53"/>
    <sheet name="SU 03006" sheetId="57" r:id="rId54"/>
    <sheet name="dSU 03006" sheetId="58" r:id="rId55"/>
    <sheet name="SU 03007" sheetId="52" r:id="rId56"/>
    <sheet name="dSU 03007" sheetId="56" r:id="rId57"/>
    <sheet name="SU 03008" sheetId="91" r:id="rId58"/>
    <sheet name="dSU 03008" sheetId="92" r:id="rId59"/>
    <sheet name="SU 03009" sheetId="93" r:id="rId60"/>
    <sheet name="dSU 03009" sheetId="94" r:id="rId61"/>
    <sheet name="SU 03010" sheetId="95" r:id="rId62"/>
    <sheet name="dSU 03010" sheetId="96" r:id="rId63"/>
    <sheet name="SU 03011" sheetId="97" r:id="rId64"/>
    <sheet name="dSU 03011" sheetId="98" r:id="rId65"/>
    <sheet name="SU A0400" sheetId="59" r:id="rId66"/>
    <sheet name="SU 04001" sheetId="60" r:id="rId67"/>
    <sheet name="dSU 04001" sheetId="66" r:id="rId68"/>
    <sheet name="SU 04002" sheetId="61" r:id="rId69"/>
    <sheet name="dSU 04002" sheetId="67" r:id="rId70"/>
    <sheet name="SU 04003" sheetId="62" r:id="rId71"/>
    <sheet name="SU 04004" sheetId="63" r:id="rId72"/>
    <sheet name="SU 04005" sheetId="64" r:id="rId73"/>
    <sheet name="dSU 04005" sheetId="68" r:id="rId74"/>
    <sheet name="SU 04006" sheetId="70" r:id="rId75"/>
    <sheet name="dSU 04006" sheetId="71" r:id="rId76"/>
    <sheet name="SU 04007" sheetId="65" r:id="rId77"/>
    <sheet name="dSU 04007" sheetId="69" r:id="rId78"/>
    <sheet name="SU 04008" sheetId="99" r:id="rId79"/>
    <sheet name="dSU 04008" sheetId="100" r:id="rId80"/>
    <sheet name="SU 04009" sheetId="101" r:id="rId81"/>
    <sheet name="dSU 04009" sheetId="102" r:id="rId82"/>
    <sheet name="SU 04010" sheetId="103" r:id="rId83"/>
    <sheet name="dSU 04010" sheetId="104" r:id="rId84"/>
    <sheet name="SU 04011" sheetId="105" r:id="rId85"/>
    <sheet name="dSU 04011" sheetId="106" r:id="rId86"/>
  </sheets>
  <externalReferences>
    <externalReference r:id="rId87"/>
  </externalReferences>
  <definedNames>
    <definedName name="dSU_01001">'dSU 01001'!$A$1</definedName>
    <definedName name="dSU_01002">'dSU 01002'!$A$1</definedName>
    <definedName name="dSU_01005">'dSU 01005'!$A$1</definedName>
    <definedName name="dSU_01006">'dSU 01006'!$A$1</definedName>
    <definedName name="dSU_01007">'dSU 01007'!$A$1</definedName>
    <definedName name="dSU_01008">'dSU 01008'!$A$1</definedName>
    <definedName name="dSU_01009">'dSU 01009'!$A$1</definedName>
    <definedName name="dSU_01010">'dSU 01010'!$A$1</definedName>
    <definedName name="dSU_01011">'dSU 01011'!$A$1</definedName>
    <definedName name="dSU_02001">'dSU 02001'!$A$1</definedName>
    <definedName name="dSU_02002">'dSU 02002'!$A$1</definedName>
    <definedName name="dSU_02005">'dSU 02005'!$A$1</definedName>
    <definedName name="dSU_02006">'dSU 02006'!$A$1</definedName>
    <definedName name="dSU_02007">'dSU 02007'!$A$1</definedName>
    <definedName name="dSU_02008">'dSU 02008'!$A$1</definedName>
    <definedName name="dSU_02009">'dSU 02009'!$A$1</definedName>
    <definedName name="dSU_02010">'dSU 02010'!$A$1</definedName>
    <definedName name="dSU_03001">'dSU 03001'!$A$1</definedName>
    <definedName name="dSU_03002">'dSU 03002'!$A$1</definedName>
    <definedName name="dSU_03005">'dSU 03005'!$A$1</definedName>
    <definedName name="dSU_03006">'dSU 03006'!$A$1</definedName>
    <definedName name="dSU_03007">'dSU 03007'!$A$1</definedName>
    <definedName name="dSU_03008">'dSU 03008'!$A$1</definedName>
    <definedName name="dSU_03009">'dSU 03009'!$A$1</definedName>
    <definedName name="dSU_03010">'dSU 03010'!$A$1</definedName>
    <definedName name="dSU_03011">'dSU 03011'!$A$1</definedName>
    <definedName name="dSU_04001">'dSU 04001'!$A$1</definedName>
    <definedName name="dSU_04002">'dSU 04002'!$A$1</definedName>
    <definedName name="dSU_04005">'dSU 04005'!$A$1</definedName>
    <definedName name="dSU_04006">'dSU 04006'!$A$1</definedName>
    <definedName name="dSU_04007">'dSU 04007'!$A$1</definedName>
    <definedName name="dSU_510_001">#REF!</definedName>
    <definedName name="SU_01001">'SU 01001'!$B$6</definedName>
    <definedName name="SU_01001_m">'SU 01001'!$N$12</definedName>
    <definedName name="SU_01001_p">'SU 01001'!$I$26</definedName>
    <definedName name="SU_01001_q">'SU 01001'!$N$3</definedName>
    <definedName name="SU_01002">'SU 01002'!$B$6</definedName>
    <definedName name="SU_01002_m">'SU 01002'!$N$12</definedName>
    <definedName name="SU_01002_p">'SU 01002'!$I$21</definedName>
    <definedName name="SU_01002_q">'SU 01002'!$N$3</definedName>
    <definedName name="SU_01003">'SU 01003'!$B$6</definedName>
    <definedName name="SU_01003_m">'SU 01003'!$N$12</definedName>
    <definedName name="SU_01003_p">'SU 01003'!$I$16</definedName>
    <definedName name="SU_01003_q">'SU 01003'!$N$3</definedName>
    <definedName name="SU_01004">'SU 01004'!$B$6</definedName>
    <definedName name="SU_01004_m">'SU 01004'!$N$12</definedName>
    <definedName name="SU_01004_p">'SU 01004'!$I$16</definedName>
    <definedName name="SU_01004_q">'SU 01004'!$N$3</definedName>
    <definedName name="SU_01005">'SU 01005'!$B$6</definedName>
    <definedName name="SU_01005_m">'SU 01005'!$N$12</definedName>
    <definedName name="SU_01005_p">'SU 01005'!$I$18</definedName>
    <definedName name="SU_01005_q">'SU 01005'!$N$3</definedName>
    <definedName name="SU_01006">'SU 01006'!$B$6</definedName>
    <definedName name="SU_01006_m">'SU 01006'!$N$12</definedName>
    <definedName name="SU_01006_p">'SU 01006'!$I$18</definedName>
    <definedName name="SU_01006_q">'SU 01006'!$N$3</definedName>
    <definedName name="SU_01007">'SU 01007'!$B$6</definedName>
    <definedName name="SU_01007_m">'SU 01007'!$N$12</definedName>
    <definedName name="SU_01007_p">'SU 01007'!$I$16</definedName>
    <definedName name="SU_01007_q">'SU 01007'!$N$3</definedName>
    <definedName name="SU_01008">'SU 01008'!$B$6</definedName>
    <definedName name="SU_01008_m">'SU 01008'!$N$13</definedName>
    <definedName name="SU_01008_p">'SU 01008'!$I$21</definedName>
    <definedName name="SU_01008_q">'SU 01008'!$N$3</definedName>
    <definedName name="SU_01009">'SU 01009'!$B$6</definedName>
    <definedName name="SU_01009_m">'SU 01009'!$N$13</definedName>
    <definedName name="SU_01009_p">'SU 01009'!$I$21</definedName>
    <definedName name="SU_01009_q">'SU 01009'!$N$3</definedName>
    <definedName name="SU_01010">'SU 01010'!$B$6</definedName>
    <definedName name="SU_01010_m">'SU 01010'!$N$13</definedName>
    <definedName name="SU_01010_p">'SU 01010'!$I$21</definedName>
    <definedName name="SU_01010_q">'SU 01010'!$N$3</definedName>
    <definedName name="SU_01011">'SU 01011'!$B$6</definedName>
    <definedName name="SU_01011_m">'SU 01011'!$N$13</definedName>
    <definedName name="SU_01011_p">'SU 01011'!$I$21</definedName>
    <definedName name="SU_01011_q">'SU 01011'!$N$3</definedName>
    <definedName name="SU_02001">'SU 02001'!$B$6</definedName>
    <definedName name="SU_02001_m">'SU 02001'!$N$12</definedName>
    <definedName name="SU_02001_p">'SU 02001'!$I$23</definedName>
    <definedName name="SU_02001_q">'SU 02001'!$N$3</definedName>
    <definedName name="SU_02002">'SU 02002'!$B$6</definedName>
    <definedName name="SU_02002_m">'SU 02002'!$N$12</definedName>
    <definedName name="SU_02002_p">'SU 02002'!$I$21</definedName>
    <definedName name="SU_02002_q">'SU 02002'!$N$3</definedName>
    <definedName name="SU_02003">'SU 02003'!$B$6</definedName>
    <definedName name="SU_02003_m">'SU 02003'!$N$12</definedName>
    <definedName name="SU_02003_p">'SU 02003'!$I$16</definedName>
    <definedName name="SU_02003_q">'SU 02003'!$N$3</definedName>
    <definedName name="SU_02004">'SU 02004'!$B$6</definedName>
    <definedName name="SU_02004_m">'SU 02004'!$N$12</definedName>
    <definedName name="SU_02004_p">'SU 02004'!$I$16</definedName>
    <definedName name="SU_02004_q">'SU 02004'!$N$3</definedName>
    <definedName name="SU_02005">'SU 02005'!$B$6</definedName>
    <definedName name="SU_02005_m">'SU 02005'!$N$12</definedName>
    <definedName name="SU_02005_p">'SU 02005'!$I$18</definedName>
    <definedName name="SU_02005_q">'SU 02005'!$N$3</definedName>
    <definedName name="SU_02006">'SU 02006'!$B$6</definedName>
    <definedName name="SU_02006_m">'SU 02006'!$N$12</definedName>
    <definedName name="SU_02006_p">'SU 02006'!$I$18</definedName>
    <definedName name="SU_02006_q">'SU 02006'!$N$3</definedName>
    <definedName name="SU_02007">'SU 02007'!$B$6</definedName>
    <definedName name="SU_02007_m">'SU 02007'!$N$12</definedName>
    <definedName name="SU_02007_p">'SU 02007'!$I$16</definedName>
    <definedName name="SU_02007_q">'SU 02007'!$N$3</definedName>
    <definedName name="SU_02008">'SU 02008'!$B$6</definedName>
    <definedName name="SU_02008_m">'SU 02008'!$N$13</definedName>
    <definedName name="SU_02008_p">'SU 02008'!$I$21</definedName>
    <definedName name="SU_02008_q">'SU 02008'!$N$3</definedName>
    <definedName name="SU_02009">'SU 02009'!$B$6</definedName>
    <definedName name="SU_02009_m">'SU 02009'!$N$13</definedName>
    <definedName name="SU_02009_p">'SU 02009'!$I$21</definedName>
    <definedName name="SU_02009_q">'SU 02009'!$N$3</definedName>
    <definedName name="SU_02010">'SU 02010'!$B$6</definedName>
    <definedName name="SU_02010_m">'SU 02010'!$N$13</definedName>
    <definedName name="SU_02010_p">'SU 02010'!$I$21</definedName>
    <definedName name="SU_02010_q">'SU 02010'!$N$3</definedName>
    <definedName name="SU_02011">'SU 02011'!$B$6</definedName>
    <definedName name="SU_02011_m">'SU 02011'!$N$13</definedName>
    <definedName name="SU_02011_p">'SU 02011'!$I$21</definedName>
    <definedName name="SU_02011_q">'SU 02011'!$N$3</definedName>
    <definedName name="SU_03001">'SU 03001'!$B$6</definedName>
    <definedName name="SU_03001_m">'SU 03001'!$N$12</definedName>
    <definedName name="SU_03001_p">'SU 03001'!$I$26</definedName>
    <definedName name="SU_03001_q">'SU 03001'!$N$3</definedName>
    <definedName name="SU_03002">'SU 03002'!$B$6</definedName>
    <definedName name="SU_03002_m">'SU 03002'!$N$12</definedName>
    <definedName name="SU_03002_p">'SU 03002'!$I$21</definedName>
    <definedName name="SU_03002_q">'SU 03002'!$N$3</definedName>
    <definedName name="SU_03003">'SU 03003'!$B$6</definedName>
    <definedName name="SU_03003_m">'SU 03003'!$N$12</definedName>
    <definedName name="SU_03003_p">'SU 03003'!$I$16</definedName>
    <definedName name="SU_03003_q">'SU 03003'!$N$3</definedName>
    <definedName name="SU_03004">'SU 03004'!$B$6</definedName>
    <definedName name="SU_03004_m">'SU 03004'!$N$12</definedName>
    <definedName name="SU_03004_p">'SU 03004'!$I$16</definedName>
    <definedName name="SU_03004_q">'SU 03004'!$N$3</definedName>
    <definedName name="SU_03005">'SU 03005'!$B$6</definedName>
    <definedName name="SU_03005_m">'SU 03005'!$N$12</definedName>
    <definedName name="SU_03005_p">'SU 03005'!$I$21</definedName>
    <definedName name="SU_03005_q">'SU 03005'!$N$3</definedName>
    <definedName name="SU_03006">'SU 03006'!$B$6</definedName>
    <definedName name="SU_03006_m">'SU 03006'!$N$12</definedName>
    <definedName name="SU_03006_p">'SU 03006'!$I$18</definedName>
    <definedName name="SU_03006_q">'SU 03006'!$N$3</definedName>
    <definedName name="SU_03007">'SU 03007'!$B$6</definedName>
    <definedName name="SU_03007_m">'SU 03007'!$N$12</definedName>
    <definedName name="SU_03007_p">'SU 03007'!$I$16</definedName>
    <definedName name="SU_03007_q">'SU 03007'!$N$3</definedName>
    <definedName name="SU_03008">'SU 03008'!$B$6</definedName>
    <definedName name="SU_03008_m">'SU 03008'!$N$13</definedName>
    <definedName name="SU_03008_p">'SU 03008'!$I$21</definedName>
    <definedName name="SU_03008_q">'SU 03008'!$N$3</definedName>
    <definedName name="SU_03009">'SU 03009'!$B$6</definedName>
    <definedName name="SU_03009_m">'SU 03009'!$N$13</definedName>
    <definedName name="SU_03009_p">'SU 03009'!$I$21</definedName>
    <definedName name="SU_03009_q">'SU 03009'!$N$3</definedName>
    <definedName name="SU_03010">'SU 03010'!$B$6</definedName>
    <definedName name="SU_03010_m">'SU 03010'!$N$13</definedName>
    <definedName name="SU_03010_p">'SU 03010'!$I$21</definedName>
    <definedName name="SU_03010_q">'SU 03010'!$N$3</definedName>
    <definedName name="SU_03011">'SU 03011'!$B$6</definedName>
    <definedName name="SU_03011_m">'SU 03011'!$N$13</definedName>
    <definedName name="SU_03011_p">'SU 03011'!$I$21</definedName>
    <definedName name="SU_03011_q">'SU 03011'!$N$3</definedName>
    <definedName name="SU_04001">'SU 04001'!$B$6</definedName>
    <definedName name="SU_04001_m">'SU 04001'!$N$12</definedName>
    <definedName name="SU_04001_p">'SU 04001'!$I$23</definedName>
    <definedName name="SU_04001_q">'SU 04001'!$N$3</definedName>
    <definedName name="SU_04002">'SU 04002'!$B$6</definedName>
    <definedName name="SU_04002_m">'SU 04002'!$N$12</definedName>
    <definedName name="SU_04002_p">'SU 04002'!$I$21</definedName>
    <definedName name="SU_04002_q">'SU 04002'!$N$3</definedName>
    <definedName name="SU_04003">'SU 04003'!$B$6</definedName>
    <definedName name="SU_04003_m">'SU 04003'!$N$12</definedName>
    <definedName name="SU_04003_p">'SU 04003'!$I$16</definedName>
    <definedName name="SU_04003_q">'SU 04003'!$N$3</definedName>
    <definedName name="SU_04004">'SU 04004'!$B$6</definedName>
    <definedName name="SU_04004_m">'SU 04004'!$N$12</definedName>
    <definedName name="SU_04004_p">'SU 04004'!$I$16</definedName>
    <definedName name="SU_04004_q">'SU 04004'!$N$3</definedName>
    <definedName name="SU_04005">'SU 04005'!$B$6</definedName>
    <definedName name="SU_04005_m">'SU 04005'!$N$12</definedName>
    <definedName name="SU_04005_p">'SU 04005'!$I$21</definedName>
    <definedName name="SU_04005_q">'SU 04005'!$N$3</definedName>
    <definedName name="SU_04006">'SU 04006'!$B$6</definedName>
    <definedName name="SU_04006_m">'SU 04006'!$N$12</definedName>
    <definedName name="SU_04006_p">'SU 04006'!$I$18</definedName>
    <definedName name="SU_04006_q">'SU 04006'!$N$3</definedName>
    <definedName name="SU_04007">'SU 04007'!$B$6</definedName>
    <definedName name="SU_04007_m">'SU 04007'!$N$12</definedName>
    <definedName name="SU_04007_p">'SU 04007'!$I$16</definedName>
    <definedName name="SU_04007_q">'SU 04007'!$N$3</definedName>
    <definedName name="SU_510_001">#REF!</definedName>
    <definedName name="SU_510_001_f">#REF!</definedName>
    <definedName name="SU_510_001_m">#REF!</definedName>
    <definedName name="SU_510_001_p">#REF!</definedName>
    <definedName name="SU_510_001_q">#REF!</definedName>
    <definedName name="SU_510_001_t">#REF!</definedName>
    <definedName name="SU_A0100">'SU A0100'!$B$5</definedName>
    <definedName name="SU_A0100_BOM">BOM!$C$7</definedName>
    <definedName name="SU_A0100_f">'SU A0100'!$J$59</definedName>
    <definedName name="SU_A0100_m">'SU A0100'!$N$27</definedName>
    <definedName name="SU_A0100_p">'SU A0100'!$I$52</definedName>
    <definedName name="SU_A0100_pa">'SU A0100'!$E$21</definedName>
    <definedName name="SU_A0100_q">'SU A0100'!$N$3</definedName>
    <definedName name="SU_A0100_t">'SU A0100'!$I$63</definedName>
    <definedName name="SU_A0200">'SU A0200'!$B$5</definedName>
    <definedName name="SU_A0200_BOM">BOM!$C$19</definedName>
    <definedName name="SU_A0200_f">'SU A0200'!$J$59</definedName>
    <definedName name="SU_A0200_m">'SU A0200'!$N$27</definedName>
    <definedName name="SU_A0200_p">'SU A0200'!$I$52</definedName>
    <definedName name="SU_A0200_pa">'SU A0200'!$E$21</definedName>
    <definedName name="SU_A0200_q">'SU A0200'!$N$3</definedName>
    <definedName name="SU_A0200_t">'SU A0200'!$I$63</definedName>
    <definedName name="SU_A0300">'SU A0300'!$B$5</definedName>
    <definedName name="SU_A0300_BOM">BOM!$C$31</definedName>
    <definedName name="SU_A0300_f">'SU A0300'!$J$59</definedName>
    <definedName name="SU_A0300_m">'SU A0300'!$N$27</definedName>
    <definedName name="SU_A0300_p">'SU A0300'!$I$52</definedName>
    <definedName name="SU_A0300_pa">'SU A0300'!$E$21</definedName>
    <definedName name="SU_A0300_q">'SU A0300'!$N$3</definedName>
    <definedName name="SU_A0300_t">'SU A0300'!$I$63</definedName>
    <definedName name="SU_A0400">'SU A0400'!$B$5</definedName>
    <definedName name="SU_A0400_BOM">BOM!$C$43</definedName>
    <definedName name="SU_A0400_f">'SU A0400'!$J$59</definedName>
    <definedName name="SU_A0400_m">'SU A0400'!$N$27</definedName>
    <definedName name="SU_A0400_p">'SU A0400'!$I$52</definedName>
    <definedName name="SU_A0400_pa">'SU A0400'!$E$21</definedName>
    <definedName name="SU_A0400_q">'SU A0400'!$N$3</definedName>
    <definedName name="SU_A0400_t">'SU A0400'!$I$63</definedName>
    <definedName name="SU_A0500">#REF!</definedName>
    <definedName name="SU_A0500_f">#REF!</definedName>
    <definedName name="SU_A0500_m">#REF!</definedName>
    <definedName name="SU_A0500_p">#REF!</definedName>
    <definedName name="SU_A0500_pa">#REF!</definedName>
    <definedName name="SU_A0500_q">#REF!</definedName>
    <definedName name="SU_A0500_t">#REF!</definedName>
    <definedName name="_xlnm.Print_Area" localSheetId="5">'SU 01002'!$A$1:$O$37</definedName>
  </definedNames>
  <calcPr calcId="162913" concurrentCalc="0"/>
</workbook>
</file>

<file path=xl/calcChain.xml><?xml version="1.0" encoding="utf-8"?>
<calcChain xmlns="http://schemas.openxmlformats.org/spreadsheetml/2006/main">
  <c r="I16" i="99" l="1"/>
  <c r="I17" i="99"/>
  <c r="I18" i="99"/>
  <c r="I19" i="99"/>
  <c r="J11" i="99"/>
  <c r="F20" i="99"/>
  <c r="I20" i="99"/>
  <c r="I21" i="99"/>
  <c r="N11" i="99"/>
  <c r="E12" i="99"/>
  <c r="N12" i="99"/>
  <c r="N13" i="99"/>
  <c r="E11" i="99"/>
  <c r="N2" i="99"/>
  <c r="N5" i="99"/>
  <c r="B3" i="99"/>
  <c r="N2" i="65"/>
  <c r="I15" i="65"/>
  <c r="I16" i="65"/>
  <c r="J11" i="65"/>
  <c r="N11" i="65"/>
  <c r="N12" i="65"/>
  <c r="N2" i="70"/>
  <c r="B3" i="70"/>
  <c r="I15" i="70"/>
  <c r="I16" i="70"/>
  <c r="I17" i="70"/>
  <c r="I18" i="70"/>
  <c r="J11" i="70"/>
  <c r="E11" i="70"/>
  <c r="N11" i="70"/>
  <c r="N12" i="70"/>
  <c r="N5" i="70"/>
  <c r="J11" i="57"/>
  <c r="E11" i="57"/>
  <c r="N11" i="57"/>
  <c r="N12" i="57"/>
  <c r="I15" i="57"/>
  <c r="I16" i="57"/>
  <c r="I17" i="57"/>
  <c r="I18" i="57"/>
  <c r="N2" i="57"/>
  <c r="B3" i="57"/>
  <c r="N5" i="57"/>
  <c r="F15" i="63"/>
  <c r="I15" i="63"/>
  <c r="N12" i="63"/>
  <c r="J11" i="63"/>
  <c r="E11" i="63"/>
  <c r="D11" i="63"/>
  <c r="N11" i="63"/>
  <c r="F15" i="62"/>
  <c r="I15" i="62"/>
  <c r="N12" i="62"/>
  <c r="J11" i="62"/>
  <c r="E11" i="62"/>
  <c r="D11" i="62"/>
  <c r="N11" i="62"/>
  <c r="I20" i="61"/>
  <c r="I19" i="61"/>
  <c r="I18" i="61"/>
  <c r="I17" i="61"/>
  <c r="I16" i="61"/>
  <c r="I15" i="61"/>
  <c r="D11" i="61"/>
  <c r="J11" i="61"/>
  <c r="E11" i="61"/>
  <c r="N11" i="61"/>
  <c r="I16" i="60"/>
  <c r="I22" i="60"/>
  <c r="I23" i="60"/>
  <c r="I21" i="60"/>
  <c r="I20" i="60"/>
  <c r="I19" i="60"/>
  <c r="I18" i="60"/>
  <c r="I17" i="60"/>
  <c r="I15" i="60"/>
  <c r="N11" i="60"/>
  <c r="N12" i="60"/>
  <c r="N2" i="60"/>
  <c r="J11" i="60"/>
  <c r="I52" i="59"/>
  <c r="I51" i="59"/>
  <c r="I50" i="59"/>
  <c r="I49" i="59"/>
  <c r="I48" i="59"/>
  <c r="I47" i="59"/>
  <c r="I46" i="59"/>
  <c r="I45" i="59"/>
  <c r="I44" i="59"/>
  <c r="I43" i="59"/>
  <c r="I42" i="59"/>
  <c r="I41" i="59"/>
  <c r="I40" i="59"/>
  <c r="I39" i="59"/>
  <c r="I38" i="59"/>
  <c r="I37" i="59"/>
  <c r="I36" i="59"/>
  <c r="I35" i="59"/>
  <c r="I34" i="59"/>
  <c r="I33" i="59"/>
  <c r="I32" i="59"/>
  <c r="I31" i="59"/>
  <c r="I30" i="59"/>
  <c r="N12" i="61"/>
  <c r="I21" i="61"/>
  <c r="N2" i="61"/>
  <c r="C11" i="59"/>
  <c r="D11" i="59"/>
  <c r="E11" i="59"/>
  <c r="I16" i="62"/>
  <c r="N2" i="62"/>
  <c r="C12" i="59"/>
  <c r="D12" i="59"/>
  <c r="E12" i="59"/>
  <c r="I16" i="63"/>
  <c r="N2" i="63"/>
  <c r="C13" i="59"/>
  <c r="D13" i="59"/>
  <c r="E13" i="59"/>
  <c r="C14" i="59"/>
  <c r="D14" i="59"/>
  <c r="E14" i="59"/>
  <c r="C15" i="59"/>
  <c r="D15" i="59"/>
  <c r="E15" i="59"/>
  <c r="C16" i="59"/>
  <c r="D16" i="59"/>
  <c r="E16" i="59"/>
  <c r="C17" i="59"/>
  <c r="D17" i="59"/>
  <c r="E17" i="59"/>
  <c r="C18" i="59"/>
  <c r="D18" i="59"/>
  <c r="E18" i="59"/>
  <c r="C19" i="59"/>
  <c r="D19" i="59"/>
  <c r="E19" i="59"/>
  <c r="C20" i="59"/>
  <c r="D20" i="59"/>
  <c r="E20" i="59"/>
  <c r="D10" i="59"/>
  <c r="C10" i="59"/>
  <c r="B20" i="59"/>
  <c r="B19" i="59"/>
  <c r="B18" i="59"/>
  <c r="B17" i="59"/>
  <c r="B16" i="59"/>
  <c r="B15" i="59"/>
  <c r="B14" i="59"/>
  <c r="B13" i="59"/>
  <c r="B12" i="59"/>
  <c r="B11" i="59"/>
  <c r="B10" i="59"/>
  <c r="E10" i="59"/>
  <c r="F62" i="59"/>
  <c r="I62" i="59"/>
  <c r="I63" i="59"/>
  <c r="M43" i="8"/>
  <c r="D55" i="59"/>
  <c r="J55" i="59"/>
  <c r="D56" i="59"/>
  <c r="J56" i="59"/>
  <c r="D57" i="59"/>
  <c r="J57" i="59"/>
  <c r="J58" i="59"/>
  <c r="J59" i="59"/>
  <c r="L43" i="8"/>
  <c r="F62" i="46"/>
  <c r="I62" i="46"/>
  <c r="I63" i="46"/>
  <c r="K54" i="8"/>
  <c r="K53" i="8"/>
  <c r="K52" i="8"/>
  <c r="K51" i="8"/>
  <c r="K50" i="8"/>
  <c r="K49" i="8"/>
  <c r="K48" i="8"/>
  <c r="K47" i="8"/>
  <c r="K46" i="8"/>
  <c r="K45" i="8"/>
  <c r="K44" i="8"/>
  <c r="J54" i="8"/>
  <c r="J53" i="8"/>
  <c r="J52" i="8"/>
  <c r="J51" i="8"/>
  <c r="J50" i="8"/>
  <c r="J49" i="8"/>
  <c r="E11" i="64"/>
  <c r="N11" i="64"/>
  <c r="N12" i="64"/>
  <c r="J48" i="8"/>
  <c r="J47" i="8"/>
  <c r="J46" i="8"/>
  <c r="J45" i="8"/>
  <c r="J44" i="8"/>
  <c r="K43" i="8"/>
  <c r="D24" i="59"/>
  <c r="N24" i="59"/>
  <c r="N25" i="59"/>
  <c r="N26" i="59"/>
  <c r="N27" i="59"/>
  <c r="J43" i="8"/>
  <c r="M31" i="8"/>
  <c r="I54" i="8"/>
  <c r="I53" i="8"/>
  <c r="I52" i="8"/>
  <c r="I51" i="8"/>
  <c r="I50" i="8"/>
  <c r="I49" i="8"/>
  <c r="I48" i="8"/>
  <c r="I47" i="8"/>
  <c r="I46" i="8"/>
  <c r="I45" i="8"/>
  <c r="I44" i="8"/>
  <c r="I43" i="8"/>
  <c r="F54" i="8"/>
  <c r="F53" i="8"/>
  <c r="F52" i="8"/>
  <c r="F51" i="8"/>
  <c r="F50" i="8"/>
  <c r="F49" i="8"/>
  <c r="F48" i="8"/>
  <c r="F47" i="8"/>
  <c r="F46" i="8"/>
  <c r="F45" i="8"/>
  <c r="F44" i="8"/>
  <c r="F43" i="8"/>
  <c r="E45" i="8"/>
  <c r="E46" i="8"/>
  <c r="E47" i="8"/>
  <c r="E48" i="8"/>
  <c r="E49" i="8"/>
  <c r="E50" i="8"/>
  <c r="E51" i="8"/>
  <c r="E52" i="8"/>
  <c r="E53" i="8"/>
  <c r="E54" i="8"/>
  <c r="E44" i="8"/>
  <c r="C54" i="8"/>
  <c r="C53" i="8"/>
  <c r="C52" i="8"/>
  <c r="C51" i="8"/>
  <c r="C50" i="8"/>
  <c r="C49" i="8"/>
  <c r="C48" i="8"/>
  <c r="C47" i="8"/>
  <c r="C46" i="8"/>
  <c r="C45" i="8"/>
  <c r="C44" i="8"/>
  <c r="C43" i="8"/>
  <c r="H54" i="8"/>
  <c r="N54" i="8"/>
  <c r="F31" i="8"/>
  <c r="H53" i="8"/>
  <c r="N53" i="8"/>
  <c r="H52" i="8"/>
  <c r="N52" i="8"/>
  <c r="H51" i="8"/>
  <c r="N51" i="8"/>
  <c r="H50" i="8"/>
  <c r="N50" i="8"/>
  <c r="H49" i="8"/>
  <c r="N49" i="8"/>
  <c r="H48" i="8"/>
  <c r="N48" i="8"/>
  <c r="H47" i="8"/>
  <c r="N47" i="8"/>
  <c r="H46" i="8"/>
  <c r="N46" i="8"/>
  <c r="H45" i="8"/>
  <c r="N45" i="8"/>
  <c r="H44" i="8"/>
  <c r="N44" i="8"/>
  <c r="H43" i="8"/>
  <c r="N43" i="8"/>
  <c r="B65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65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65" i="8"/>
  <c r="L7" i="8"/>
  <c r="L19" i="8"/>
  <c r="L31" i="8"/>
  <c r="L65" i="8"/>
  <c r="M7" i="8"/>
  <c r="M19" i="8"/>
  <c r="M65" i="8"/>
  <c r="H7" i="8"/>
  <c r="N7" i="8"/>
  <c r="H8" i="8"/>
  <c r="N8" i="8"/>
  <c r="H9" i="8"/>
  <c r="N9" i="8"/>
  <c r="H10" i="8"/>
  <c r="N10" i="8"/>
  <c r="H11" i="8"/>
  <c r="N11" i="8"/>
  <c r="H12" i="8"/>
  <c r="N12" i="8"/>
  <c r="H13" i="8"/>
  <c r="N13" i="8"/>
  <c r="H14" i="8"/>
  <c r="N14" i="8"/>
  <c r="H15" i="8"/>
  <c r="N15" i="8"/>
  <c r="H16" i="8"/>
  <c r="N16" i="8"/>
  <c r="H17" i="8"/>
  <c r="N17" i="8"/>
  <c r="H18" i="8"/>
  <c r="N18" i="8"/>
  <c r="H19" i="8"/>
  <c r="N19" i="8"/>
  <c r="H20" i="8"/>
  <c r="N20" i="8"/>
  <c r="H21" i="8"/>
  <c r="N21" i="8"/>
  <c r="H22" i="8"/>
  <c r="N22" i="8"/>
  <c r="H23" i="8"/>
  <c r="N23" i="8"/>
  <c r="H24" i="8"/>
  <c r="N24" i="8"/>
  <c r="H25" i="8"/>
  <c r="N25" i="8"/>
  <c r="H26" i="8"/>
  <c r="N26" i="8"/>
  <c r="H27" i="8"/>
  <c r="N27" i="8"/>
  <c r="H28" i="8"/>
  <c r="N28" i="8"/>
  <c r="H29" i="8"/>
  <c r="N29" i="8"/>
  <c r="H30" i="8"/>
  <c r="N30" i="8"/>
  <c r="H31" i="8"/>
  <c r="N31" i="8"/>
  <c r="H32" i="8"/>
  <c r="N32" i="8"/>
  <c r="H33" i="8"/>
  <c r="N33" i="8"/>
  <c r="H34" i="8"/>
  <c r="N34" i="8"/>
  <c r="H35" i="8"/>
  <c r="N35" i="8"/>
  <c r="H36" i="8"/>
  <c r="N36" i="8"/>
  <c r="H37" i="8"/>
  <c r="N37" i="8"/>
  <c r="H38" i="8"/>
  <c r="N38" i="8"/>
  <c r="H39" i="8"/>
  <c r="N39" i="8"/>
  <c r="H40" i="8"/>
  <c r="N40" i="8"/>
  <c r="H41" i="8"/>
  <c r="N41" i="8"/>
  <c r="H42" i="8"/>
  <c r="N42" i="8"/>
  <c r="N65" i="8"/>
  <c r="I15" i="52"/>
  <c r="J11" i="52"/>
  <c r="N11" i="52"/>
  <c r="I20" i="48"/>
  <c r="I19" i="48"/>
  <c r="I18" i="48"/>
  <c r="I17" i="48"/>
  <c r="I16" i="48"/>
  <c r="I15" i="48"/>
  <c r="D11" i="48"/>
  <c r="J11" i="48"/>
  <c r="E11" i="48"/>
  <c r="N11" i="48"/>
  <c r="N11" i="47"/>
  <c r="D11" i="47"/>
  <c r="J11" i="47"/>
  <c r="I16" i="47"/>
  <c r="I22" i="47"/>
  <c r="I24" i="47"/>
  <c r="I26" i="47"/>
  <c r="I25" i="47"/>
  <c r="I23" i="47"/>
  <c r="I21" i="47"/>
  <c r="I20" i="47"/>
  <c r="I19" i="47"/>
  <c r="I18" i="47"/>
  <c r="I17" i="47"/>
  <c r="I15" i="47"/>
  <c r="I52" i="46"/>
  <c r="I51" i="46"/>
  <c r="I50" i="46"/>
  <c r="I49" i="46"/>
  <c r="I48" i="46"/>
  <c r="I47" i="46"/>
  <c r="I46" i="46"/>
  <c r="I45" i="46"/>
  <c r="I44" i="46"/>
  <c r="I43" i="46"/>
  <c r="I42" i="46"/>
  <c r="I41" i="46"/>
  <c r="I40" i="46"/>
  <c r="I39" i="46"/>
  <c r="I38" i="46"/>
  <c r="I37" i="46"/>
  <c r="I36" i="46"/>
  <c r="I35" i="46"/>
  <c r="I34" i="46"/>
  <c r="I33" i="46"/>
  <c r="I32" i="46"/>
  <c r="I31" i="46"/>
  <c r="I30" i="46"/>
  <c r="D24" i="46"/>
  <c r="N24" i="46"/>
  <c r="N25" i="46"/>
  <c r="N26" i="46"/>
  <c r="D20" i="46"/>
  <c r="D19" i="46"/>
  <c r="D18" i="46"/>
  <c r="D17" i="46"/>
  <c r="C20" i="46"/>
  <c r="C19" i="46"/>
  <c r="C18" i="46"/>
  <c r="C17" i="46"/>
  <c r="B20" i="46"/>
  <c r="B19" i="46"/>
  <c r="B18" i="46"/>
  <c r="B17" i="46"/>
  <c r="E20" i="46"/>
  <c r="E19" i="46"/>
  <c r="E18" i="46"/>
  <c r="E17" i="46"/>
  <c r="F42" i="8"/>
  <c r="F41" i="8"/>
  <c r="F40" i="8"/>
  <c r="F39" i="8"/>
  <c r="F38" i="8"/>
  <c r="C42" i="8"/>
  <c r="C41" i="8"/>
  <c r="C40" i="8"/>
  <c r="C39" i="8"/>
  <c r="E39" i="8"/>
  <c r="E40" i="8"/>
  <c r="E41" i="8"/>
  <c r="E42" i="8"/>
  <c r="I16" i="97"/>
  <c r="I17" i="97"/>
  <c r="I18" i="97"/>
  <c r="I19" i="97"/>
  <c r="J11" i="97"/>
  <c r="F20" i="97"/>
  <c r="I20" i="97"/>
  <c r="I21" i="97"/>
  <c r="N11" i="97"/>
  <c r="E12" i="97"/>
  <c r="N12" i="97"/>
  <c r="N13" i="97"/>
  <c r="E11" i="97"/>
  <c r="N2" i="97"/>
  <c r="N5" i="97"/>
  <c r="B3" i="97"/>
  <c r="I16" i="95"/>
  <c r="I17" i="95"/>
  <c r="I18" i="95"/>
  <c r="I19" i="95"/>
  <c r="J11" i="95"/>
  <c r="F20" i="95"/>
  <c r="I20" i="95"/>
  <c r="I21" i="95"/>
  <c r="N11" i="95"/>
  <c r="E12" i="95"/>
  <c r="N12" i="95"/>
  <c r="N13" i="95"/>
  <c r="E11" i="95"/>
  <c r="N2" i="95"/>
  <c r="N5" i="95"/>
  <c r="B3" i="95"/>
  <c r="I16" i="93"/>
  <c r="I17" i="93"/>
  <c r="I18" i="93"/>
  <c r="I19" i="93"/>
  <c r="J11" i="93"/>
  <c r="F20" i="93"/>
  <c r="I20" i="93"/>
  <c r="I21" i="93"/>
  <c r="N11" i="93"/>
  <c r="E12" i="93"/>
  <c r="N12" i="93"/>
  <c r="N13" i="93"/>
  <c r="E11" i="93"/>
  <c r="N2" i="93"/>
  <c r="N5" i="93"/>
  <c r="B3" i="93"/>
  <c r="I16" i="91"/>
  <c r="I17" i="91"/>
  <c r="I18" i="91"/>
  <c r="I19" i="91"/>
  <c r="J11" i="91"/>
  <c r="F20" i="91"/>
  <c r="I20" i="91"/>
  <c r="I21" i="91"/>
  <c r="N11" i="91"/>
  <c r="E12" i="91"/>
  <c r="N12" i="91"/>
  <c r="N13" i="91"/>
  <c r="E11" i="91"/>
  <c r="N2" i="91"/>
  <c r="N5" i="91"/>
  <c r="B3" i="91"/>
  <c r="F30" i="8"/>
  <c r="F29" i="8"/>
  <c r="F28" i="8"/>
  <c r="F27" i="8"/>
  <c r="J11" i="87"/>
  <c r="I17" i="83"/>
  <c r="I21" i="83"/>
  <c r="N2" i="83"/>
  <c r="N5" i="83"/>
  <c r="I17" i="89"/>
  <c r="I21" i="89"/>
  <c r="N2" i="89"/>
  <c r="N5" i="89"/>
  <c r="N11" i="87"/>
  <c r="E12" i="87"/>
  <c r="N12" i="87"/>
  <c r="N13" i="87"/>
  <c r="F20" i="87"/>
  <c r="I20" i="87"/>
  <c r="I17" i="87"/>
  <c r="I21" i="87"/>
  <c r="N2" i="87"/>
  <c r="N5" i="87"/>
  <c r="I17" i="85"/>
  <c r="I21" i="85"/>
  <c r="N2" i="85"/>
  <c r="N5" i="85"/>
  <c r="J11" i="85"/>
  <c r="J11" i="83"/>
  <c r="I16" i="89"/>
  <c r="I18" i="89"/>
  <c r="I19" i="89"/>
  <c r="J11" i="89"/>
  <c r="F20" i="89"/>
  <c r="I20" i="89"/>
  <c r="N11" i="89"/>
  <c r="E12" i="89"/>
  <c r="N12" i="89"/>
  <c r="N13" i="89"/>
  <c r="E11" i="89"/>
  <c r="B3" i="89"/>
  <c r="I16" i="87"/>
  <c r="I18" i="87"/>
  <c r="I19" i="87"/>
  <c r="E11" i="87"/>
  <c r="B3" i="87"/>
  <c r="I16" i="85"/>
  <c r="I18" i="85"/>
  <c r="I19" i="85"/>
  <c r="F20" i="85"/>
  <c r="I20" i="85"/>
  <c r="N11" i="85"/>
  <c r="E12" i="85"/>
  <c r="N12" i="85"/>
  <c r="N13" i="85"/>
  <c r="E11" i="85"/>
  <c r="B3" i="85"/>
  <c r="F20" i="83"/>
  <c r="I20" i="83"/>
  <c r="B3" i="83"/>
  <c r="I16" i="83"/>
  <c r="I18" i="83"/>
  <c r="I19" i="83"/>
  <c r="N11" i="83"/>
  <c r="E12" i="83"/>
  <c r="N12" i="83"/>
  <c r="N13" i="83"/>
  <c r="E11" i="83"/>
  <c r="F62" i="31"/>
  <c r="I62" i="31"/>
  <c r="I63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15" i="37"/>
  <c r="J11" i="37"/>
  <c r="N11" i="37"/>
  <c r="J11" i="44"/>
  <c r="E11" i="44"/>
  <c r="N11" i="44"/>
  <c r="I17" i="44"/>
  <c r="I16" i="44"/>
  <c r="I15" i="44"/>
  <c r="N11" i="25"/>
  <c r="N11" i="42"/>
  <c r="E11" i="42"/>
  <c r="E11" i="25"/>
  <c r="N12" i="25"/>
  <c r="I18" i="36"/>
  <c r="I17" i="36"/>
  <c r="I16" i="36"/>
  <c r="I15" i="36"/>
  <c r="N2" i="33"/>
  <c r="I15" i="33"/>
  <c r="I16" i="33"/>
  <c r="I17" i="33"/>
  <c r="I18" i="33"/>
  <c r="I19" i="33"/>
  <c r="I20" i="33"/>
  <c r="I21" i="33"/>
  <c r="D11" i="33"/>
  <c r="J11" i="33"/>
  <c r="E11" i="33"/>
  <c r="N11" i="33"/>
  <c r="N12" i="33"/>
  <c r="C11" i="31"/>
  <c r="D11" i="31"/>
  <c r="E11" i="31"/>
  <c r="J11" i="36"/>
  <c r="E11" i="36"/>
  <c r="N11" i="36"/>
  <c r="N12" i="36"/>
  <c r="N2" i="36"/>
  <c r="C14" i="31"/>
  <c r="D14" i="31"/>
  <c r="E14" i="31"/>
  <c r="I18" i="44"/>
  <c r="N12" i="44"/>
  <c r="N2" i="44"/>
  <c r="C15" i="31"/>
  <c r="D15" i="31"/>
  <c r="E15" i="31"/>
  <c r="N12" i="37"/>
  <c r="I16" i="37"/>
  <c r="N2" i="37"/>
  <c r="C16" i="31"/>
  <c r="D16" i="31"/>
  <c r="E16" i="31"/>
  <c r="C10" i="31"/>
  <c r="D10" i="31"/>
  <c r="E10" i="31"/>
  <c r="C12" i="31"/>
  <c r="D12" i="31"/>
  <c r="E12" i="31"/>
  <c r="C13" i="31"/>
  <c r="D13" i="31"/>
  <c r="E13" i="31"/>
  <c r="E21" i="31"/>
  <c r="D24" i="31"/>
  <c r="N24" i="31"/>
  <c r="N25" i="31"/>
  <c r="N26" i="31"/>
  <c r="N27" i="31"/>
  <c r="D55" i="31"/>
  <c r="J55" i="31"/>
  <c r="D56" i="31"/>
  <c r="J56" i="31"/>
  <c r="D57" i="31"/>
  <c r="J57" i="31"/>
  <c r="J58" i="31"/>
  <c r="J59" i="31"/>
  <c r="N2" i="31"/>
  <c r="N2" i="32"/>
  <c r="I16" i="32"/>
  <c r="I22" i="32"/>
  <c r="I23" i="32"/>
  <c r="I21" i="32"/>
  <c r="I20" i="32"/>
  <c r="I19" i="32"/>
  <c r="I18" i="32"/>
  <c r="I17" i="32"/>
  <c r="I15" i="32"/>
  <c r="J11" i="32"/>
  <c r="C30" i="8"/>
  <c r="C29" i="8"/>
  <c r="C28" i="8"/>
  <c r="C27" i="8"/>
  <c r="E33" i="8"/>
  <c r="E34" i="8"/>
  <c r="E35" i="8"/>
  <c r="E36" i="8"/>
  <c r="E37" i="8"/>
  <c r="E38" i="8"/>
  <c r="E32" i="8"/>
  <c r="F19" i="8"/>
  <c r="E27" i="8"/>
  <c r="E28" i="8"/>
  <c r="E29" i="8"/>
  <c r="E30" i="8"/>
  <c r="D20" i="31"/>
  <c r="D19" i="31"/>
  <c r="D18" i="31"/>
  <c r="D17" i="31"/>
  <c r="C20" i="31"/>
  <c r="C19" i="31"/>
  <c r="C18" i="31"/>
  <c r="C17" i="31"/>
  <c r="B20" i="31"/>
  <c r="B19" i="31"/>
  <c r="B18" i="31"/>
  <c r="B17" i="31"/>
  <c r="E20" i="31"/>
  <c r="E19" i="31"/>
  <c r="E18" i="31"/>
  <c r="E17" i="31"/>
  <c r="B10" i="31"/>
  <c r="B11" i="31"/>
  <c r="B12" i="31"/>
  <c r="B13" i="31"/>
  <c r="B14" i="31"/>
  <c r="B15" i="31"/>
  <c r="B16" i="31"/>
  <c r="I17" i="72"/>
  <c r="I21" i="72"/>
  <c r="N2" i="72"/>
  <c r="C17" i="20"/>
  <c r="D17" i="20"/>
  <c r="E17" i="20"/>
  <c r="I17" i="74"/>
  <c r="I21" i="74"/>
  <c r="N2" i="74"/>
  <c r="C18" i="20"/>
  <c r="D18" i="20"/>
  <c r="E18" i="20"/>
  <c r="I17" i="76"/>
  <c r="I21" i="76"/>
  <c r="N2" i="76"/>
  <c r="C19" i="20"/>
  <c r="D19" i="20"/>
  <c r="E19" i="20"/>
  <c r="C20" i="20"/>
  <c r="D20" i="20"/>
  <c r="E20" i="20"/>
  <c r="C16" i="20"/>
  <c r="D16" i="20"/>
  <c r="E16" i="20"/>
  <c r="C10" i="20"/>
  <c r="D10" i="20"/>
  <c r="E10" i="20"/>
  <c r="C11" i="20"/>
  <c r="D11" i="20"/>
  <c r="E11" i="20"/>
  <c r="C12" i="20"/>
  <c r="D12" i="20"/>
  <c r="E12" i="20"/>
  <c r="C13" i="20"/>
  <c r="D13" i="20"/>
  <c r="E13" i="20"/>
  <c r="I16" i="25"/>
  <c r="I18" i="25"/>
  <c r="N2" i="25"/>
  <c r="C14" i="20"/>
  <c r="D14" i="20"/>
  <c r="E14" i="20"/>
  <c r="N12" i="42"/>
  <c r="N2" i="42"/>
  <c r="C15" i="20"/>
  <c r="D15" i="20"/>
  <c r="E15" i="20"/>
  <c r="E21" i="20"/>
  <c r="N13" i="72"/>
  <c r="N13" i="74"/>
  <c r="N13" i="78"/>
  <c r="I17" i="78"/>
  <c r="I21" i="78"/>
  <c r="N13" i="76"/>
  <c r="F15" i="8"/>
  <c r="F18" i="8"/>
  <c r="F17" i="8"/>
  <c r="F16" i="8"/>
  <c r="C17" i="8"/>
  <c r="B20" i="20"/>
  <c r="B19" i="20"/>
  <c r="B18" i="20"/>
  <c r="B17" i="20"/>
  <c r="D55" i="20"/>
  <c r="J55" i="20"/>
  <c r="D56" i="20"/>
  <c r="J56" i="20"/>
  <c r="D57" i="20"/>
  <c r="J57" i="20"/>
  <c r="J58" i="20"/>
  <c r="J5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15" i="22"/>
  <c r="I17" i="22"/>
  <c r="I21" i="22"/>
  <c r="N2" i="22"/>
  <c r="I15" i="25"/>
  <c r="I15" i="42"/>
  <c r="I18" i="42"/>
  <c r="D24" i="20"/>
  <c r="N24" i="20"/>
  <c r="N25" i="20"/>
  <c r="N26" i="20"/>
  <c r="N27" i="20"/>
  <c r="F20" i="78"/>
  <c r="I20" i="78"/>
  <c r="I19" i="78"/>
  <c r="I18" i="78"/>
  <c r="I16" i="78"/>
  <c r="E12" i="78"/>
  <c r="N12" i="78"/>
  <c r="N11" i="78"/>
  <c r="E11" i="78"/>
  <c r="B4" i="78"/>
  <c r="B3" i="78"/>
  <c r="F20" i="76"/>
  <c r="I20" i="76"/>
  <c r="I19" i="76"/>
  <c r="I18" i="76"/>
  <c r="I16" i="76"/>
  <c r="E12" i="76"/>
  <c r="N12" i="76"/>
  <c r="N11" i="76"/>
  <c r="E11" i="76"/>
  <c r="B4" i="76"/>
  <c r="B3" i="76"/>
  <c r="E12" i="72"/>
  <c r="N12" i="72"/>
  <c r="N12" i="74"/>
  <c r="E12" i="74"/>
  <c r="F20" i="74"/>
  <c r="I20" i="74"/>
  <c r="I19" i="74"/>
  <c r="I18" i="74"/>
  <c r="I16" i="74"/>
  <c r="N11" i="74"/>
  <c r="E11" i="74"/>
  <c r="B4" i="74"/>
  <c r="B3" i="74"/>
  <c r="F20" i="72"/>
  <c r="I20" i="72"/>
  <c r="I16" i="72"/>
  <c r="I19" i="72"/>
  <c r="I18" i="72"/>
  <c r="J11" i="72"/>
  <c r="N11" i="72"/>
  <c r="E11" i="72"/>
  <c r="B4" i="72"/>
  <c r="B3" i="72"/>
  <c r="F7" i="8"/>
  <c r="E15" i="8"/>
  <c r="E16" i="8"/>
  <c r="E17" i="8"/>
  <c r="E18" i="8"/>
  <c r="C18" i="8"/>
  <c r="C16" i="8"/>
  <c r="C15" i="8"/>
  <c r="E21" i="59"/>
  <c r="N2" i="59"/>
  <c r="J11" i="26"/>
  <c r="N11" i="26"/>
  <c r="I15" i="26"/>
  <c r="I17" i="42"/>
  <c r="I16" i="42"/>
  <c r="J11" i="42"/>
  <c r="J11" i="25"/>
  <c r="I17" i="25"/>
  <c r="F15" i="24"/>
  <c r="E11" i="24"/>
  <c r="N11" i="24"/>
  <c r="I20" i="22"/>
  <c r="I19" i="22"/>
  <c r="I18" i="22"/>
  <c r="I16" i="22"/>
  <c r="E11" i="22"/>
  <c r="N11" i="22"/>
  <c r="J11" i="22"/>
  <c r="I24" i="21"/>
  <c r="I26" i="21"/>
  <c r="I16" i="21"/>
  <c r="I17" i="21"/>
  <c r="I18" i="21"/>
  <c r="I19" i="21"/>
  <c r="I20" i="21"/>
  <c r="I21" i="21"/>
  <c r="I22" i="21"/>
  <c r="I23" i="21"/>
  <c r="I25" i="21"/>
  <c r="N11" i="21"/>
  <c r="D11" i="21"/>
  <c r="J11" i="21"/>
  <c r="F62" i="20"/>
  <c r="I62" i="20"/>
  <c r="I63" i="20"/>
  <c r="N5" i="65"/>
  <c r="B3" i="65"/>
  <c r="I15" i="64"/>
  <c r="I16" i="64"/>
  <c r="I17" i="64"/>
  <c r="I18" i="64"/>
  <c r="I19" i="64"/>
  <c r="I20" i="64"/>
  <c r="I21" i="64"/>
  <c r="J11" i="64"/>
  <c r="N2" i="64"/>
  <c r="N5" i="64"/>
  <c r="B3" i="64"/>
  <c r="N5" i="63"/>
  <c r="B3" i="63"/>
  <c r="N5" i="62"/>
  <c r="B3" i="62"/>
  <c r="R13" i="61"/>
  <c r="R14" i="61"/>
  <c r="N5" i="61"/>
  <c r="B3" i="61"/>
  <c r="N5" i="60"/>
  <c r="B3" i="60"/>
  <c r="N5" i="59"/>
  <c r="J11" i="51"/>
  <c r="E11" i="51"/>
  <c r="N11" i="51"/>
  <c r="D55" i="46"/>
  <c r="J55" i="46"/>
  <c r="D56" i="46"/>
  <c r="J56" i="46"/>
  <c r="D57" i="46"/>
  <c r="J57" i="46"/>
  <c r="J58" i="46"/>
  <c r="J59" i="46"/>
  <c r="I16" i="52"/>
  <c r="F15" i="50"/>
  <c r="I15" i="50"/>
  <c r="I16" i="50"/>
  <c r="I21" i="48"/>
  <c r="N12" i="52"/>
  <c r="N12" i="51"/>
  <c r="E11" i="50"/>
  <c r="D11" i="50"/>
  <c r="N11" i="50"/>
  <c r="N12" i="50"/>
  <c r="N12" i="48"/>
  <c r="N12" i="47"/>
  <c r="N27" i="46"/>
  <c r="N2" i="51"/>
  <c r="C14" i="46"/>
  <c r="D14" i="46"/>
  <c r="E14" i="46"/>
  <c r="N2" i="47"/>
  <c r="C10" i="46"/>
  <c r="D10" i="46"/>
  <c r="E10" i="46"/>
  <c r="D11" i="46"/>
  <c r="N2" i="48"/>
  <c r="C11" i="46"/>
  <c r="E11" i="46"/>
  <c r="D12" i="46"/>
  <c r="C12" i="46"/>
  <c r="E12" i="46"/>
  <c r="D13" i="46"/>
  <c r="N2" i="50"/>
  <c r="C13" i="46"/>
  <c r="E13" i="46"/>
  <c r="D16" i="46"/>
  <c r="N2" i="52"/>
  <c r="C16" i="46"/>
  <c r="E16" i="46"/>
  <c r="E21" i="46"/>
  <c r="N2" i="46"/>
  <c r="F37" i="8"/>
  <c r="F36" i="8"/>
  <c r="F35" i="8"/>
  <c r="F34" i="8"/>
  <c r="F33" i="8"/>
  <c r="F32" i="8"/>
  <c r="C38" i="8"/>
  <c r="C37" i="8"/>
  <c r="C36" i="8"/>
  <c r="C35" i="8"/>
  <c r="C34" i="8"/>
  <c r="C33" i="8"/>
  <c r="C32" i="8"/>
  <c r="C31" i="8"/>
  <c r="C26" i="8"/>
  <c r="I15" i="24"/>
  <c r="J11" i="23"/>
  <c r="F15" i="23"/>
  <c r="I15" i="23"/>
  <c r="F15" i="35"/>
  <c r="I15" i="35"/>
  <c r="F15" i="34"/>
  <c r="I15" i="34"/>
  <c r="F15" i="49"/>
  <c r="I15" i="49"/>
  <c r="E11" i="49"/>
  <c r="D11" i="49"/>
  <c r="N11" i="49"/>
  <c r="J11" i="50"/>
  <c r="J11" i="49"/>
  <c r="D15" i="46"/>
  <c r="C15" i="46"/>
  <c r="B15" i="46"/>
  <c r="B1" i="55"/>
  <c r="B1" i="53"/>
  <c r="B1" i="54"/>
  <c r="B1" i="56"/>
  <c r="N5" i="52"/>
  <c r="B3" i="52"/>
  <c r="I15" i="51"/>
  <c r="I16" i="51"/>
  <c r="I17" i="51"/>
  <c r="I18" i="51"/>
  <c r="I19" i="51"/>
  <c r="I20" i="51"/>
  <c r="I21" i="51"/>
  <c r="N5" i="51"/>
  <c r="B3" i="51"/>
  <c r="N5" i="50"/>
  <c r="B3" i="50"/>
  <c r="I16" i="49"/>
  <c r="N12" i="49"/>
  <c r="N2" i="49"/>
  <c r="N5" i="49"/>
  <c r="B3" i="49"/>
  <c r="R13" i="48"/>
  <c r="N5" i="48"/>
  <c r="B3" i="48"/>
  <c r="N5" i="47"/>
  <c r="B3" i="47"/>
  <c r="B16" i="46"/>
  <c r="B14" i="46"/>
  <c r="B13" i="46"/>
  <c r="B12" i="46"/>
  <c r="B11" i="46"/>
  <c r="B10" i="46"/>
  <c r="N5" i="46"/>
  <c r="C25" i="8"/>
  <c r="E25" i="8"/>
  <c r="F25" i="8"/>
  <c r="B1" i="45"/>
  <c r="B1" i="41"/>
  <c r="N5" i="44"/>
  <c r="B3" i="44"/>
  <c r="C13" i="8"/>
  <c r="E13" i="8"/>
  <c r="F13" i="8"/>
  <c r="B1" i="30"/>
  <c r="B1" i="43"/>
  <c r="N12" i="22"/>
  <c r="I16" i="23"/>
  <c r="E11" i="23"/>
  <c r="D11" i="23"/>
  <c r="N11" i="23"/>
  <c r="N12" i="23"/>
  <c r="N2" i="23"/>
  <c r="I16" i="24"/>
  <c r="N12" i="24"/>
  <c r="N2" i="24"/>
  <c r="I16" i="26"/>
  <c r="N12" i="26"/>
  <c r="N2" i="26"/>
  <c r="N12" i="21"/>
  <c r="I15" i="21"/>
  <c r="N2" i="21"/>
  <c r="N5" i="42"/>
  <c r="B4" i="42"/>
  <c r="B3" i="42"/>
  <c r="C14" i="8"/>
  <c r="E21" i="8"/>
  <c r="E22" i="8"/>
  <c r="E23" i="8"/>
  <c r="E24" i="8"/>
  <c r="E26" i="8"/>
  <c r="E20" i="8"/>
  <c r="D11" i="35"/>
  <c r="N11" i="35"/>
  <c r="D11" i="34"/>
  <c r="N11" i="34"/>
  <c r="J11" i="35"/>
  <c r="E11" i="35"/>
  <c r="J11" i="34"/>
  <c r="E11" i="34"/>
  <c r="J11" i="24"/>
  <c r="K11" i="35"/>
  <c r="F26" i="8"/>
  <c r="F24" i="8"/>
  <c r="F23" i="8"/>
  <c r="F22" i="8"/>
  <c r="F20" i="8"/>
  <c r="F21" i="8"/>
  <c r="I16" i="35"/>
  <c r="I16" i="34"/>
  <c r="N12" i="35"/>
  <c r="N12" i="34"/>
  <c r="N11" i="32"/>
  <c r="N12" i="32"/>
  <c r="C24" i="8"/>
  <c r="C23" i="8"/>
  <c r="C22" i="8"/>
  <c r="C21" i="8"/>
  <c r="C20" i="8"/>
  <c r="C19" i="8"/>
  <c r="B1" i="38"/>
  <c r="N5" i="37"/>
  <c r="B3" i="37"/>
  <c r="N5" i="36"/>
  <c r="B3" i="36"/>
  <c r="N2" i="35"/>
  <c r="N5" i="35"/>
  <c r="B3" i="35"/>
  <c r="N2" i="34"/>
  <c r="N5" i="34"/>
  <c r="B3" i="34"/>
  <c r="N5" i="33"/>
  <c r="B3" i="33"/>
  <c r="N5" i="32"/>
  <c r="B3" i="32"/>
  <c r="N5" i="31"/>
  <c r="F14" i="8"/>
  <c r="F12" i="8"/>
  <c r="F11" i="8"/>
  <c r="F10" i="8"/>
  <c r="F9" i="8"/>
  <c r="F8" i="8"/>
  <c r="E9" i="8"/>
  <c r="E10" i="8"/>
  <c r="E11" i="8"/>
  <c r="E12" i="8"/>
  <c r="E14" i="8"/>
  <c r="E8" i="8"/>
  <c r="C12" i="8"/>
  <c r="C11" i="8"/>
  <c r="C10" i="8"/>
  <c r="C9" i="8"/>
  <c r="C8" i="8"/>
  <c r="C7" i="8"/>
  <c r="B1" i="27"/>
  <c r="N2" i="20"/>
  <c r="L58" i="30"/>
  <c r="B4" i="26"/>
  <c r="B3" i="26"/>
  <c r="B4" i="25"/>
  <c r="B3" i="25"/>
  <c r="B4" i="24"/>
  <c r="B3" i="24"/>
  <c r="B4" i="23"/>
  <c r="B3" i="23"/>
  <c r="D11" i="22"/>
  <c r="B4" i="22"/>
  <c r="B3" i="22"/>
  <c r="B4" i="21"/>
  <c r="B3" i="21"/>
  <c r="B16" i="20"/>
  <c r="B14" i="20"/>
  <c r="B13" i="20"/>
  <c r="B12" i="20"/>
  <c r="B11" i="20"/>
  <c r="B10" i="20"/>
  <c r="N5" i="21"/>
  <c r="N5" i="22"/>
  <c r="N5" i="25"/>
  <c r="N5" i="24"/>
  <c r="N5" i="26"/>
  <c r="N5" i="23"/>
  <c r="N5" i="20"/>
  <c r="O1" i="8"/>
</calcChain>
</file>

<file path=xl/sharedStrings.xml><?xml version="1.0" encoding="utf-8"?>
<sst xmlns="http://schemas.openxmlformats.org/spreadsheetml/2006/main" count="3641" uniqueCount="325">
  <si>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</si>
  <si>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</si>
  <si>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</si>
  <si>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</si>
  <si>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</si>
  <si>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</si>
  <si>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</si>
  <si>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</si>
  <si>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</si>
  <si>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</si>
  <si>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</si>
  <si>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</si>
  <si>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</si>
  <si>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</si>
  <si>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</si>
  <si>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</si>
  <si>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</si>
  <si>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</si>
  <si>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</si>
  <si>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</si>
  <si>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</si>
  <si>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</si>
  <si>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</si>
  <si>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</si>
  <si>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</si>
  <si>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</si>
  <si>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</si>
  <si>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</si>
  <si>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</si>
  <si>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</si>
  <si>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</si>
  <si>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</si>
  <si>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</si>
  <si>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</si>
  <si>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</si>
  <si>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</si>
  <si>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</si>
  <si>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Ecole Centrale de Lyon</t>
  </si>
  <si>
    <t>Stock material for part</t>
  </si>
  <si>
    <t>Machining Setup, Install and remove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</si>
  <si>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</si>
  <si>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</si>
  <si>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</si>
  <si>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</si>
  <si>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</si>
  <si>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</si>
  <si>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</si>
  <si>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</si>
  <si>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</si>
  <si>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</si>
  <si>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</si>
  <si>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</si>
  <si>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</si>
  <si>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</si>
  <si>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</si>
  <si>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</si>
  <si>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</si>
  <si>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</si>
  <si>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</si>
  <si>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</si>
  <si>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</si>
  <si>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</si>
  <si>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</si>
  <si>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</si>
  <si>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</si>
  <si>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</si>
  <si>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</si>
  <si>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</si>
  <si>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</si>
  <si>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</si>
  <si>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</si>
  <si>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</si>
  <si>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</si>
  <si>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</si>
  <si>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</si>
  <si>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</si>
  <si>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</si>
  <si>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</si>
  <si>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</si>
  <si>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</si>
  <si>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</si>
  <si>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</si>
  <si>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</si>
  <si>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</si>
  <si>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</si>
  <si>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</si>
  <si>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</si>
  <si>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</si>
  <si>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</si>
  <si>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</si>
  <si>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</si>
  <si>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</si>
  <si>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</si>
  <si>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</si>
  <si>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</si>
  <si>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</si>
  <si>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</si>
  <si>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</si>
  <si>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</si>
  <si>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</si>
  <si>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</si>
  <si>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</si>
  <si>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</si>
  <si>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</si>
  <si>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</si>
  <si>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</si>
  <si>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</si>
  <si>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</si>
  <si>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</si>
  <si>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</si>
  <si>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</si>
  <si>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</si>
  <si>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</si>
  <si>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</si>
  <si>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</si>
  <si>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</si>
  <si>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</si>
  <si>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</si>
  <si>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</si>
  <si>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</si>
  <si>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</si>
  <si>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</si>
  <si>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</si>
  <si>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</si>
  <si>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</si>
  <si>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</si>
  <si>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</si>
  <si>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</si>
  <si>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</si>
  <si>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Suspension &amp; Shocks</t>
  </si>
  <si>
    <t>SU A0100</t>
  </si>
  <si>
    <t>Sperical bearing</t>
  </si>
  <si>
    <t>Aluminum, Premium</t>
  </si>
  <si>
    <t>Upper face</t>
  </si>
  <si>
    <t>Setup for machining</t>
  </si>
  <si>
    <t>Outboard A-arm Insert</t>
  </si>
  <si>
    <t>Adhesive</t>
  </si>
  <si>
    <t>Glue for Ball Joint – Cost Included in Processes</t>
  </si>
  <si>
    <t>Epoxy resin for Tube/insert assembly – Cost Included in Processes</t>
  </si>
  <si>
    <t>Brush Apply</t>
  </si>
  <si>
    <t>cm²</t>
  </si>
  <si>
    <t>Assemble, 1kg, Line on line</t>
  </si>
  <si>
    <t>Hand Finish - Surface Preperation</t>
  </si>
  <si>
    <t>m²</t>
  </si>
  <si>
    <t>Ratchet &lt;= 25,4mm</t>
  </si>
  <si>
    <t>Reaction tool &lt;=25,4mm</t>
  </si>
  <si>
    <r>
      <t>Bo</t>
    </r>
    <r>
      <rPr>
        <sz val="11"/>
        <color rgb="FF000000"/>
        <rFont val="Calibri"/>
        <family val="2"/>
        <charset val="1"/>
      </rPr>
      <t>lt, Grade 8,8 (SAE 5)</t>
    </r>
  </si>
  <si>
    <t>A-Arm Fixing Bolts on Frame Side</t>
  </si>
  <si>
    <t>A-Arm Fixing Bolts on Upright Side</t>
  </si>
  <si>
    <r>
      <t>Nut,</t>
    </r>
    <r>
      <rPr>
        <sz val="11"/>
        <color rgb="FF000000"/>
        <rFont val="Calibri"/>
        <family val="2"/>
        <charset val="1"/>
      </rPr>
      <t xml:space="preserve"> Grade 8,8 (SAE 5)</t>
    </r>
  </si>
  <si>
    <t>A-Arm Fixing Nuts</t>
  </si>
  <si>
    <r>
      <t>Washe</t>
    </r>
    <r>
      <rPr>
        <sz val="11"/>
        <color rgb="FF000000"/>
        <rFont val="Calibri"/>
        <family val="2"/>
        <charset val="1"/>
      </rPr>
      <t>r, Grade 8,8 (SAE 5)</t>
    </r>
  </si>
  <si>
    <t>A-Arm Fixing Washers</t>
  </si>
  <si>
    <t>Upper Front A-arm tube (Back)  Carbon Fiber Tube</t>
  </si>
  <si>
    <t>Upper Front A-arm tube (Front)  Carbon Fiber Tube</t>
  </si>
  <si>
    <t>Upper Front A-arm</t>
  </si>
  <si>
    <t>Upper Front Bearing Support</t>
  </si>
  <si>
    <t>Inner Bearing Support</t>
  </si>
  <si>
    <t>Machining Setup, Change</t>
  </si>
  <si>
    <t>Machining</t>
  </si>
  <si>
    <t>Change for new operation</t>
  </si>
  <si>
    <t>cm^3</t>
  </si>
  <si>
    <t>Kg</t>
  </si>
  <si>
    <t>Cylinder face area</t>
  </si>
  <si>
    <t>tube face</t>
  </si>
  <si>
    <t>Cylinder face</t>
  </si>
  <si>
    <t>Mild Steel</t>
  </si>
  <si>
    <t>Turning</t>
  </si>
  <si>
    <t xml:space="preserve">Cuting part from stock cylinder </t>
  </si>
  <si>
    <t>Drilling</t>
  </si>
  <si>
    <t xml:space="preserve">Drawing part : </t>
  </si>
  <si>
    <t>SU_01002</t>
  </si>
  <si>
    <t>SU_01005</t>
  </si>
  <si>
    <t>SU_01001</t>
  </si>
  <si>
    <t>SU_01004</t>
  </si>
  <si>
    <t>SU_01003</t>
  </si>
  <si>
    <t>Lower Front A-arm</t>
  </si>
  <si>
    <t>SU A0200</t>
  </si>
  <si>
    <t>Lower Front Bearing Support</t>
  </si>
  <si>
    <t>SU_02002</t>
  </si>
  <si>
    <t>Lower Front A-arm tube (Front)  Carbon Fiber Tube</t>
  </si>
  <si>
    <t>SU_02003</t>
  </si>
  <si>
    <t>Lower Front A-arm tube (Back)  Carbon Fiber Tube</t>
  </si>
  <si>
    <t>SU_02004</t>
  </si>
  <si>
    <t>SU_02005</t>
  </si>
  <si>
    <t>SU_02006</t>
  </si>
  <si>
    <t>SU 02001</t>
  </si>
  <si>
    <t>SU 02002</t>
  </si>
  <si>
    <t>Carbon Fiber, 1 Ply</t>
  </si>
  <si>
    <t>Stock</t>
  </si>
  <si>
    <t>m^3</t>
  </si>
  <si>
    <t>SU_01007</t>
  </si>
  <si>
    <t>Spacer 2</t>
  </si>
  <si>
    <t>Spacer 1</t>
  </si>
  <si>
    <t>SU_01006</t>
  </si>
  <si>
    <t>Drawing part :</t>
  </si>
  <si>
    <t>SU_02007</t>
  </si>
  <si>
    <t>Upper Back A-arm</t>
  </si>
  <si>
    <t>SU A0300</t>
  </si>
  <si>
    <t>Upper Back Bearing Support</t>
  </si>
  <si>
    <t>Upper Back A-arm tube (Front)  Carbon Fiber Tube</t>
  </si>
  <si>
    <t>Upper Back A-arm tube (Back)  Carbon Fiber Tube</t>
  </si>
  <si>
    <t>SU 03002</t>
  </si>
  <si>
    <t>SU 03001</t>
  </si>
  <si>
    <t>SU 03003</t>
  </si>
  <si>
    <t>SU 03007</t>
  </si>
  <si>
    <t>SU 03006</t>
  </si>
  <si>
    <t>SU 03005</t>
  </si>
  <si>
    <t>SU 03004</t>
  </si>
  <si>
    <t>=SU_03006</t>
  </si>
  <si>
    <t>Lamination, Fillament Wirring</t>
  </si>
  <si>
    <t>Tube Lamination</t>
  </si>
  <si>
    <t>kg</t>
  </si>
  <si>
    <t>Lower Back A-arm</t>
  </si>
  <si>
    <t>SU A0400</t>
  </si>
  <si>
    <t>Lower Back Bearing Support</t>
  </si>
  <si>
    <t>SU_04001</t>
  </si>
  <si>
    <t>SU_04002</t>
  </si>
  <si>
    <t>Lower Back A-arm tube (Front)  Carbon Fiber Tube</t>
  </si>
  <si>
    <t>SU_04003</t>
  </si>
  <si>
    <t>Lower Back A-arm tube (Back)  Carbon Fiber Tube</t>
  </si>
  <si>
    <t>SU_04004</t>
  </si>
  <si>
    <t>SU_04005</t>
  </si>
  <si>
    <t>SU_04006</t>
  </si>
  <si>
    <t>Repeat 2</t>
  </si>
  <si>
    <t>Assemble, 1kg, loose</t>
  </si>
  <si>
    <t>Solvent degreasing  on carbon tube</t>
  </si>
  <si>
    <t>Solvent degreasing  on bearing bores</t>
  </si>
  <si>
    <t>Repeat 3</t>
  </si>
  <si>
    <t>Glue applying on bearing bores</t>
  </si>
  <si>
    <t>Bearing in Insert Bores</t>
  </si>
  <si>
    <t>Weld</t>
  </si>
  <si>
    <t>Steel mounts welding</t>
  </si>
  <si>
    <t>Aerosol Apply</t>
  </si>
  <si>
    <t>Steel mounts painting</t>
  </si>
  <si>
    <t>A-Arm Positionning</t>
  </si>
  <si>
    <t>Spacers installation</t>
  </si>
  <si>
    <t>Washers installation</t>
  </si>
  <si>
    <t>M8 bolts installation</t>
  </si>
  <si>
    <t>M8 nut blocking</t>
  </si>
  <si>
    <t>Solvent degreasing  on Upper Front Bearing Support</t>
  </si>
  <si>
    <t>Glue applying on on Upper Front Bearing Support</t>
  </si>
  <si>
    <t>Solvent degreasing  on Outboard A-arm Insert</t>
  </si>
  <si>
    <t>Solvent degreasing  on Outboard A-arm insert</t>
  </si>
  <si>
    <t>Glue applying on Outboard A-arm Inserts</t>
  </si>
  <si>
    <t>Outboard A-arm Insert in Upper front bearing support</t>
  </si>
  <si>
    <t>Solvent degreasing  on Inner Bearing support</t>
  </si>
  <si>
    <t xml:space="preserve">Glue applying on Inner Bearing support </t>
  </si>
  <si>
    <t>Inner Bearing support in Carbon Tube</t>
  </si>
  <si>
    <t>Outboard A-arm Insert in Carbon Tube with Inner Bearing support</t>
  </si>
  <si>
    <t>Tooling</t>
  </si>
  <si>
    <t>PVF</t>
  </si>
  <si>
    <t>FractionIncluded</t>
  </si>
  <si>
    <t>Welds - Welding Fixture</t>
  </si>
  <si>
    <t>Welding processes</t>
  </si>
  <si>
    <t>point</t>
  </si>
  <si>
    <t>Main shape
contouring and top of the main hole machining</t>
  </si>
  <si>
    <t>First tube hole machining</t>
  </si>
  <si>
    <t>Second tube hole machining</t>
  </si>
  <si>
    <t>Angle and bottom of the main hole machining</t>
  </si>
  <si>
    <t>Suspension rod support machining</t>
  </si>
  <si>
    <t>Drilled holes &lt; 25.4 mm</t>
  </si>
  <si>
    <t>Suspension rod support drilling</t>
  </si>
  <si>
    <t>Main shape
machining</t>
  </si>
  <si>
    <t>Material - Aluminium</t>
  </si>
  <si>
    <t>Sides machining</t>
  </si>
  <si>
    <t>Hole machining</t>
  </si>
  <si>
    <t>Material removal</t>
  </si>
  <si>
    <t>Material -Steel</t>
  </si>
  <si>
    <t>Drilled holes &lt;25,4mm dia.</t>
  </si>
  <si>
    <t>Holes for assembly</t>
  </si>
  <si>
    <t>hole</t>
  </si>
  <si>
    <t>Saw or tubing cut</t>
  </si>
  <si>
    <t>Aluminium, Premium (per kg)</t>
  </si>
  <si>
    <t>cylinder</t>
  </si>
  <si>
    <t>Round area diam. 24mm</t>
  </si>
  <si>
    <t>m^2</t>
  </si>
  <si>
    <t>This part is Welded on the frame</t>
  </si>
  <si>
    <t>Steel, Mild (per kg)</t>
  </si>
  <si>
    <t>Stock for the part</t>
  </si>
  <si>
    <t>Rectangular area</t>
  </si>
  <si>
    <t xml:space="preserve">Paint </t>
  </si>
  <si>
    <t>Installation of the item 10 for laser cut</t>
  </si>
  <si>
    <t>Laser Cut</t>
  </si>
  <si>
    <t>To apply red paint</t>
  </si>
  <si>
    <t>SU_01008</t>
  </si>
  <si>
    <t>SU_01009</t>
  </si>
  <si>
    <t>SU_01010</t>
  </si>
  <si>
    <t>SU_01011</t>
  </si>
  <si>
    <t>Front up bracket</t>
  </si>
  <si>
    <t>Front down bracket</t>
  </si>
  <si>
    <t>Rear up bracket</t>
  </si>
  <si>
    <t>Rear down bracket</t>
  </si>
  <si>
    <t>Tubing cavity</t>
  </si>
  <si>
    <t>2 parts made from a single setup</t>
  </si>
  <si>
    <t>2 parts from a single setup</t>
  </si>
  <si>
    <t>Bolt, Grade 8,8 (SAE 5)</t>
  </si>
  <si>
    <t>Nut, Grade 8,8 (SAE 5)</t>
  </si>
  <si>
    <t>Washer, Grade 8,8 (SAE 5)</t>
  </si>
  <si>
    <t>Insert</t>
  </si>
  <si>
    <t>Bottom side and hole machining</t>
  </si>
  <si>
    <t>Rectangular area 64x36mm</t>
  </si>
  <si>
    <t>Main shape contouring and top side machining</t>
  </si>
  <si>
    <t>SU_02008</t>
  </si>
  <si>
    <t>Drawing :</t>
  </si>
  <si>
    <t>SU_02009</t>
  </si>
  <si>
    <t>SU_02010</t>
  </si>
  <si>
    <t>Rear Up bracket</t>
  </si>
  <si>
    <t>SU_02011</t>
  </si>
  <si>
    <t>Rectangular area 48x24 mm</t>
  </si>
  <si>
    <t>Rectangular area 68x22mm</t>
  </si>
  <si>
    <t>Rectangular area 40x22mm</t>
  </si>
  <si>
    <t>Installation item 10 for laser cut</t>
  </si>
  <si>
    <t>SU_03008</t>
  </si>
  <si>
    <t>SU_03009</t>
  </si>
  <si>
    <t>SU_03010</t>
  </si>
  <si>
    <t>SU_03011</t>
  </si>
  <si>
    <t>Main shape contouring and top of the main hole machining</t>
  </si>
  <si>
    <t>Rectangular area 48x24mm</t>
  </si>
  <si>
    <t>SU 04001</t>
  </si>
  <si>
    <t>Rectangular area 65x42mm</t>
  </si>
  <si>
    <t xml:space="preserve"> Aluminium</t>
  </si>
  <si>
    <t>Aluminium</t>
  </si>
  <si>
    <t>SU_04007</t>
  </si>
  <si>
    <t>SU_04008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</si>
</sst>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* #,##0_);_(* \(#,##0\);_(* \-??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0"/>
    <numFmt numFmtId="174" formatCode="&quot;$&quot;#,##0.00"/>
    <numFmt numFmtId="175" formatCode="0.0"/>
    <numFmt numFmtId="176" formatCode="_-* #,##0.0000\ _€_-;\-* #,##0.0000\ _€_-;_-* &quot;-&quot;????\ _€_-;_-@_-"/>
    <numFmt numFmtId="179" formatCode="0.000"/>
    <numFmt numFmtId="181" formatCode="_-* #,##0.000000\ _€_-;\-* #,##0.000000\ _€_-;_-* &quot;-&quot;????\ _€_-;_-@_-"/>
    <numFmt numFmtId="182" formatCode="_(* #,##0.0_);_(* \(#,##0.0\);_(* \-??_);_(@_)"/>
    <numFmt numFmtId="184" formatCode="_(* #,##0.000_);_(* \(#,##0.000\);_(* &quot;-&quot;??_);_(@_)"/>
    <numFmt numFmtId="185" formatCode="0E+00"/>
    <numFmt numFmtId="186" formatCode="_-* #,##0.000\ _€_-;\-* #,##0.000\ _€_-;_-* &quot;-&quot;????\ _€_-;_-@_-"/>
    <numFmt numFmtId="187" formatCode="_(&quot;$&quot;* #,##0.00_);_(&quot;$&quot;* \(#,##0.000\);_(&quot;$&quot;* &quot;-&quot;??_);_(@_)"/>
    <numFmt numFmtId="188" formatCode="_-[$$-C09]* #,##0.00_-;\-[$$-C09]* #,##0.00_-;_-[$$-C09]* &quot;-&quot;??_-;_-@_-"/>
    <numFmt numFmtId="191" formatCode="0.00.E+00"/>
  </numFmts>
  <fonts count="5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sz val="10"/>
      <name val="MS Sans Serif"/>
    </font>
    <font>
      <sz val="11"/>
      <name val="Calibri"/>
      <family val="2"/>
    </font>
    <font>
      <sz val="11"/>
      <color indexed="17"/>
      <name val="Calibri"/>
      <family val="2"/>
    </font>
    <font>
      <sz val="10"/>
      <name val="MS Sans Serif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u/>
      <sz val="11"/>
      <color theme="1"/>
      <name val="Calibri"/>
      <family val="2"/>
      <charset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FF99"/>
        <bgColor rgb="FFFCD5B5"/>
      </patternFill>
    </fill>
    <fill>
      <patternFill patternType="solid">
        <fgColor rgb="FFFFFF66"/>
        <bgColor rgb="FF000000"/>
      </patternFill>
    </fill>
  </fills>
  <borders count="5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6">
    <xf numFmtId="0" fontId="0" fillId="0" borderId="0"/>
    <xf numFmtId="0" fontId="12" fillId="0" borderId="0"/>
    <xf numFmtId="170" fontId="12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11" fillId="2" borderId="6">
      <alignment vertical="center" wrapText="1"/>
    </xf>
    <xf numFmtId="171" fontId="12" fillId="0" borderId="0" applyFont="0" applyFill="0" applyBorder="0" applyAlignment="0" applyProtection="0"/>
    <xf numFmtId="0" fontId="7" fillId="0" borderId="0"/>
    <xf numFmtId="166" fontId="10" fillId="0" borderId="1">
      <alignment vertical="center" wrapText="1"/>
    </xf>
    <xf numFmtId="0" fontId="23" fillId="0" borderId="0" applyNumberFormat="0" applyFill="0" applyBorder="0" applyAlignment="0" applyProtection="0"/>
    <xf numFmtId="0" fontId="30" fillId="0" borderId="0"/>
    <xf numFmtId="170" fontId="35" fillId="13" borderId="1">
      <alignment vertical="center" wrapText="1"/>
    </xf>
    <xf numFmtId="170" fontId="29" fillId="11" borderId="6">
      <alignment vertical="center" wrapText="1"/>
    </xf>
    <xf numFmtId="170" fontId="5" fillId="0" borderId="0" applyFont="0" applyFill="0" applyBorder="0" applyAlignment="0" applyProtection="0"/>
    <xf numFmtId="0" fontId="32" fillId="12" borderId="0" applyNumberFormat="0" applyBorder="0" applyAlignment="0" applyProtection="0"/>
    <xf numFmtId="170" fontId="12" fillId="0" borderId="0" applyFont="0" applyFill="0" applyBorder="0" applyAlignment="0" applyProtection="0"/>
    <xf numFmtId="0" fontId="34" fillId="0" borderId="0"/>
    <xf numFmtId="0" fontId="12" fillId="0" borderId="0"/>
    <xf numFmtId="0" fontId="34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34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33" fillId="0" borderId="0"/>
    <xf numFmtId="174" fontId="35" fillId="0" borderId="1">
      <alignment vertical="center" wrapText="1"/>
    </xf>
    <xf numFmtId="165" fontId="20" fillId="0" borderId="0" applyFill="0" applyBorder="0" applyAlignment="0" applyProtection="0"/>
    <xf numFmtId="0" fontId="37" fillId="0" borderId="0"/>
    <xf numFmtId="0" fontId="4" fillId="0" borderId="0"/>
    <xf numFmtId="0" fontId="3" fillId="0" borderId="0"/>
    <xf numFmtId="0" fontId="10" fillId="0" borderId="0"/>
    <xf numFmtId="0" fontId="2" fillId="0" borderId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0" fillId="0" borderId="0"/>
    <xf numFmtId="170" fontId="38" fillId="14" borderId="6">
      <alignment vertical="center" wrapText="1"/>
    </xf>
    <xf numFmtId="170" fontId="1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646">
    <xf numFmtId="0" fontId="0" fillId="0" borderId="0" xfId="0"/>
    <xf numFmtId="18" fontId="16" fillId="0" borderId="7" xfId="1" applyNumberFormat="1" applyFont="1" applyFill="1" applyBorder="1" applyAlignment="1" applyProtection="1">
      <protection locked="0"/>
    </xf>
    <xf numFmtId="0" fontId="16" fillId="0" borderId="7" xfId="1" applyFont="1" applyFill="1" applyBorder="1" applyAlignment="1">
      <alignment horizontal="center"/>
    </xf>
    <xf numFmtId="171" fontId="16" fillId="0" borderId="7" xfId="5" applyFont="1" applyFill="1" applyBorder="1" applyProtection="1">
      <protection locked="0"/>
    </xf>
    <xf numFmtId="0" fontId="16" fillId="0" borderId="7" xfId="1" applyFont="1" applyFill="1" applyBorder="1" applyAlignment="1" applyProtection="1">
      <alignment horizontal="center"/>
      <protection locked="0"/>
    </xf>
    <xf numFmtId="0" fontId="16" fillId="0" borderId="7" xfId="1" applyFont="1" applyFill="1" applyBorder="1" applyProtection="1">
      <protection locked="0"/>
    </xf>
    <xf numFmtId="171" fontId="13" fillId="0" borderId="0" xfId="5" applyFont="1"/>
    <xf numFmtId="0" fontId="13" fillId="0" borderId="0" xfId="1" applyFont="1" applyProtection="1">
      <protection locked="0"/>
    </xf>
    <xf numFmtId="171" fontId="12" fillId="0" borderId="0" xfId="5" applyFont="1"/>
    <xf numFmtId="0" fontId="13" fillId="0" borderId="0" xfId="1" applyFont="1"/>
    <xf numFmtId="0" fontId="15" fillId="0" borderId="0" xfId="1" applyFont="1"/>
    <xf numFmtId="0" fontId="12" fillId="0" borderId="0" xfId="1" applyFont="1" applyProtection="1">
      <protection locked="0"/>
    </xf>
    <xf numFmtId="0" fontId="12" fillId="0" borderId="0" xfId="1" applyFont="1" applyFill="1"/>
    <xf numFmtId="0" fontId="12" fillId="0" borderId="0" xfId="1" applyFont="1"/>
    <xf numFmtId="0" fontId="7" fillId="0" borderId="0" xfId="6" applyBorder="1"/>
    <xf numFmtId="0" fontId="7" fillId="0" borderId="0" xfId="6"/>
    <xf numFmtId="0" fontId="9" fillId="0" borderId="0" xfId="0" applyFont="1" applyBorder="1"/>
    <xf numFmtId="0" fontId="0" fillId="0" borderId="0" xfId="0" applyFont="1"/>
    <xf numFmtId="0" fontId="9" fillId="0" borderId="0" xfId="0" applyFont="1" applyBorder="1" applyAlignment="1">
      <alignment horizontal="left"/>
    </xf>
    <xf numFmtId="164" fontId="9" fillId="0" borderId="3" xfId="7" applyNumberFormat="1" applyFont="1" applyBorder="1" applyAlignment="1" applyProtection="1"/>
    <xf numFmtId="0" fontId="9" fillId="0" borderId="3" xfId="0" applyFont="1" applyBorder="1" applyAlignment="1"/>
    <xf numFmtId="11" fontId="9" fillId="0" borderId="3" xfId="0" applyNumberFormat="1" applyFont="1" applyBorder="1" applyAlignment="1"/>
    <xf numFmtId="0" fontId="0" fillId="0" borderId="0" xfId="0" applyAlignment="1"/>
    <xf numFmtId="2" fontId="9" fillId="0" borderId="3" xfId="7" applyNumberFormat="1" applyFont="1" applyBorder="1" applyAlignment="1" applyProtection="1"/>
    <xf numFmtId="0" fontId="8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9" fillId="0" borderId="0" xfId="0" applyNumberFormat="1" applyFont="1" applyBorder="1" applyAlignment="1">
      <alignment horizontal="left"/>
    </xf>
    <xf numFmtId="0" fontId="8" fillId="0" borderId="4" xfId="0" applyFont="1" applyBorder="1"/>
    <xf numFmtId="165" fontId="9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9" fillId="0" borderId="3" xfId="7" applyNumberFormat="1" applyFont="1" applyBorder="1" applyAlignment="1" applyProtection="1">
      <alignment wrapText="1"/>
    </xf>
    <xf numFmtId="0" fontId="17" fillId="0" borderId="0" xfId="1" applyFont="1" applyAlignment="1">
      <alignment horizontal="center"/>
    </xf>
    <xf numFmtId="0" fontId="18" fillId="0" borderId="0" xfId="1" applyFont="1"/>
    <xf numFmtId="0" fontId="21" fillId="0" borderId="0" xfId="6" applyFont="1" applyFill="1" applyBorder="1"/>
    <xf numFmtId="0" fontId="7" fillId="0" borderId="0" xfId="6" applyFill="1"/>
    <xf numFmtId="0" fontId="7" fillId="0" borderId="0" xfId="6" applyFill="1" applyBorder="1"/>
    <xf numFmtId="0" fontId="7" fillId="0" borderId="0" xfId="6" applyFont="1"/>
    <xf numFmtId="0" fontId="7" fillId="0" borderId="0" xfId="6" applyFont="1" applyFill="1" applyBorder="1"/>
    <xf numFmtId="0" fontId="7" fillId="0" borderId="0" xfId="6" applyFont="1" applyFill="1"/>
    <xf numFmtId="0" fontId="16" fillId="0" borderId="7" xfId="1" applyFont="1" applyFill="1" applyBorder="1" applyAlignment="1">
      <alignment horizontal="left"/>
    </xf>
    <xf numFmtId="0" fontId="14" fillId="0" borderId="0" xfId="1" applyFont="1"/>
    <xf numFmtId="0" fontId="19" fillId="0" borderId="0" xfId="1" applyFont="1"/>
    <xf numFmtId="0" fontId="21" fillId="3" borderId="0" xfId="6" applyFont="1" applyFill="1" applyBorder="1" applyAlignment="1"/>
    <xf numFmtId="171" fontId="12" fillId="0" borderId="0" xfId="1" applyNumberFormat="1" applyFont="1"/>
    <xf numFmtId="0" fontId="17" fillId="0" borderId="8" xfId="1" applyFont="1" applyBorder="1" applyAlignment="1">
      <alignment horizontal="center" wrapText="1"/>
    </xf>
    <xf numFmtId="2" fontId="17" fillId="0" borderId="8" xfId="1" applyNumberFormat="1" applyFont="1" applyBorder="1" applyAlignment="1">
      <alignment horizontal="center" wrapText="1"/>
    </xf>
    <xf numFmtId="171" fontId="17" fillId="0" borderId="8" xfId="5" applyFont="1" applyBorder="1" applyAlignment="1">
      <alignment horizontal="center" wrapText="1"/>
    </xf>
    <xf numFmtId="0" fontId="22" fillId="4" borderId="9" xfId="6" applyFont="1" applyFill="1" applyBorder="1"/>
    <xf numFmtId="0" fontId="22" fillId="4" borderId="11" xfId="6" applyFont="1" applyFill="1" applyBorder="1"/>
    <xf numFmtId="0" fontId="22" fillId="4" borderId="10" xfId="6" applyFont="1" applyFill="1" applyBorder="1"/>
    <xf numFmtId="0" fontId="22" fillId="4" borderId="12" xfId="6" applyFont="1" applyFill="1" applyBorder="1"/>
    <xf numFmtId="0" fontId="7" fillId="5" borderId="14" xfId="6" quotePrefix="1" applyFill="1" applyBorder="1" applyAlignment="1">
      <alignment horizontal="left"/>
    </xf>
    <xf numFmtId="2" fontId="7" fillId="6" borderId="15" xfId="6" quotePrefix="1" applyNumberFormat="1" applyFill="1" applyBorder="1" applyAlignment="1">
      <alignment horizontal="right"/>
    </xf>
    <xf numFmtId="0" fontId="22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9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8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9" fillId="0" borderId="16" xfId="0" applyFont="1" applyBorder="1"/>
    <xf numFmtId="0" fontId="9" fillId="0" borderId="16" xfId="7" applyNumberFormat="1" applyFont="1" applyBorder="1" applyAlignment="1" applyProtection="1"/>
    <xf numFmtId="165" fontId="9" fillId="0" borderId="16" xfId="7" applyNumberFormat="1" applyFont="1" applyBorder="1" applyAlignment="1" applyProtection="1"/>
    <xf numFmtId="164" fontId="9" fillId="0" borderId="16" xfId="7" applyNumberFormat="1" applyFont="1" applyBorder="1" applyAlignment="1" applyProtection="1"/>
    <xf numFmtId="11" fontId="9" fillId="0" borderId="16" xfId="0" applyNumberFormat="1" applyFont="1" applyBorder="1"/>
    <xf numFmtId="167" fontId="9" fillId="0" borderId="16" xfId="7" applyNumberFormat="1" applyFont="1" applyBorder="1" applyAlignment="1" applyProtection="1"/>
    <xf numFmtId="168" fontId="9" fillId="0" borderId="16" xfId="7" applyNumberFormat="1" applyFont="1" applyBorder="1" applyAlignment="1" applyProtection="1"/>
    <xf numFmtId="0" fontId="0" fillId="0" borderId="16" xfId="0" applyBorder="1" applyAlignment="1"/>
    <xf numFmtId="2" fontId="9" fillId="0" borderId="16" xfId="7" applyNumberFormat="1" applyFont="1" applyBorder="1" applyAlignment="1" applyProtection="1"/>
    <xf numFmtId="169" fontId="9" fillId="0" borderId="16" xfId="7" applyNumberFormat="1" applyFont="1" applyBorder="1" applyAlignment="1" applyProtection="1"/>
    <xf numFmtId="37" fontId="9" fillId="0" borderId="16" xfId="7" applyNumberFormat="1" applyFont="1" applyBorder="1" applyAlignment="1" applyProtection="1"/>
    <xf numFmtId="0" fontId="9" fillId="0" borderId="16" xfId="0" applyFont="1" applyBorder="1" applyAlignment="1">
      <alignment horizontal="right"/>
    </xf>
    <xf numFmtId="0" fontId="8" fillId="0" borderId="26" xfId="0" applyFont="1" applyBorder="1"/>
    <xf numFmtId="0" fontId="9" fillId="0" borderId="22" xfId="0" applyFont="1" applyBorder="1" applyAlignment="1"/>
    <xf numFmtId="0" fontId="23" fillId="0" borderId="16" xfId="8" applyNumberFormat="1" applyBorder="1" applyAlignment="1" applyProtection="1"/>
    <xf numFmtId="0" fontId="24" fillId="0" borderId="0" xfId="0" applyFont="1"/>
    <xf numFmtId="0" fontId="23" fillId="0" borderId="0" xfId="8" applyBorder="1"/>
    <xf numFmtId="0" fontId="23" fillId="0" borderId="0" xfId="8"/>
    <xf numFmtId="0" fontId="26" fillId="0" borderId="0" xfId="0" applyFont="1"/>
    <xf numFmtId="0" fontId="27" fillId="0" borderId="0" xfId="0" applyFont="1"/>
    <xf numFmtId="0" fontId="7" fillId="5" borderId="14" xfId="6" quotePrefix="1" applyFont="1" applyFill="1" applyBorder="1" applyAlignment="1">
      <alignment horizontal="left"/>
    </xf>
    <xf numFmtId="0" fontId="6" fillId="5" borderId="14" xfId="6" applyFont="1" applyFill="1" applyBorder="1"/>
    <xf numFmtId="0" fontId="6" fillId="5" borderId="13" xfId="6" applyFont="1" applyFill="1" applyBorder="1"/>
    <xf numFmtId="172" fontId="9" fillId="0" borderId="16" xfId="7" applyNumberFormat="1" applyFont="1" applyBorder="1" applyAlignment="1" applyProtection="1"/>
    <xf numFmtId="172" fontId="16" fillId="0" borderId="7" xfId="1" applyNumberFormat="1" applyFont="1" applyFill="1" applyBorder="1" applyAlignment="1">
      <alignment horizontal="right"/>
    </xf>
    <xf numFmtId="173" fontId="9" fillId="0" borderId="16" xfId="7" applyNumberFormat="1" applyFont="1" applyBorder="1" applyAlignment="1" applyProtection="1"/>
    <xf numFmtId="0" fontId="8" fillId="7" borderId="16" xfId="0" applyFont="1" applyFill="1" applyBorder="1"/>
    <xf numFmtId="0" fontId="8" fillId="7" borderId="0" xfId="0" applyFont="1" applyFill="1" applyBorder="1"/>
    <xf numFmtId="165" fontId="8" fillId="7" borderId="16" xfId="0" applyNumberFormat="1" applyFont="1" applyFill="1" applyBorder="1"/>
    <xf numFmtId="0" fontId="8" fillId="7" borderId="16" xfId="0" applyFont="1" applyFill="1" applyBorder="1" applyAlignment="1">
      <alignment horizontal="right"/>
    </xf>
    <xf numFmtId="0" fontId="8" fillId="8" borderId="16" xfId="0" applyFont="1" applyFill="1" applyBorder="1"/>
    <xf numFmtId="0" fontId="8" fillId="8" borderId="16" xfId="0" applyFont="1" applyFill="1" applyBorder="1" applyAlignment="1">
      <alignment horizontal="left"/>
    </xf>
    <xf numFmtId="0" fontId="8" fillId="8" borderId="2" xfId="0" applyFont="1" applyFill="1" applyBorder="1"/>
    <xf numFmtId="0" fontId="8" fillId="8" borderId="27" xfId="0" applyFont="1" applyFill="1" applyBorder="1"/>
    <xf numFmtId="0" fontId="8" fillId="8" borderId="5" xfId="0" applyFont="1" applyFill="1" applyBorder="1"/>
    <xf numFmtId="0" fontId="8" fillId="8" borderId="3" xfId="0" applyFont="1" applyFill="1" applyBorder="1"/>
    <xf numFmtId="0" fontId="8" fillId="8" borderId="3" xfId="0" applyFont="1" applyFill="1" applyBorder="1" applyAlignment="1">
      <alignment horizontal="right"/>
    </xf>
    <xf numFmtId="165" fontId="8" fillId="8" borderId="5" xfId="0" applyNumberFormat="1" applyFont="1" applyFill="1" applyBorder="1"/>
    <xf numFmtId="0" fontId="8" fillId="8" borderId="22" xfId="0" applyFont="1" applyFill="1" applyBorder="1"/>
    <xf numFmtId="0" fontId="8" fillId="8" borderId="5" xfId="0" applyFont="1" applyFill="1" applyBorder="1" applyAlignment="1">
      <alignment horizontal="right"/>
    </xf>
    <xf numFmtId="0" fontId="16" fillId="9" borderId="3" xfId="1" applyFont="1" applyFill="1" applyBorder="1" applyProtection="1">
      <protection locked="0"/>
    </xf>
    <xf numFmtId="0" fontId="16" fillId="9" borderId="3" xfId="1" applyFont="1" applyFill="1" applyBorder="1" applyAlignment="1">
      <alignment horizontal="left"/>
    </xf>
    <xf numFmtId="18" fontId="16" fillId="9" borderId="3" xfId="1" applyNumberFormat="1" applyFont="1" applyFill="1" applyBorder="1" applyAlignment="1" applyProtection="1">
      <protection locked="0"/>
    </xf>
    <xf numFmtId="172" fontId="16" fillId="9" borderId="3" xfId="5" applyNumberFormat="1" applyFont="1" applyFill="1" applyBorder="1" applyProtection="1">
      <protection locked="0"/>
    </xf>
    <xf numFmtId="172" fontId="16" fillId="9" borderId="3" xfId="1" applyNumberFormat="1" applyFont="1" applyFill="1" applyBorder="1" applyAlignment="1" applyProtection="1">
      <alignment horizontal="center"/>
      <protection locked="0"/>
    </xf>
    <xf numFmtId="172" fontId="16" fillId="9" borderId="3" xfId="1" applyNumberFormat="1" applyFont="1" applyFill="1" applyBorder="1" applyAlignment="1">
      <alignment horizontal="right"/>
    </xf>
    <xf numFmtId="0" fontId="16" fillId="9" borderId="3" xfId="1" applyFont="1" applyFill="1" applyBorder="1" applyAlignment="1">
      <alignment horizontal="center"/>
    </xf>
    <xf numFmtId="0" fontId="16" fillId="10" borderId="3" xfId="1" applyFont="1" applyFill="1" applyBorder="1" applyProtection="1">
      <protection locked="0"/>
    </xf>
    <xf numFmtId="18" fontId="16" fillId="10" borderId="3" xfId="1" applyNumberFormat="1" applyFont="1" applyFill="1" applyBorder="1" applyAlignment="1" applyProtection="1">
      <protection locked="0"/>
    </xf>
    <xf numFmtId="0" fontId="23" fillId="10" borderId="3" xfId="8" applyFill="1" applyBorder="1" applyAlignment="1">
      <alignment horizontal="left"/>
    </xf>
    <xf numFmtId="172" fontId="16" fillId="10" borderId="3" xfId="5" applyNumberFormat="1" applyFont="1" applyFill="1" applyBorder="1" applyProtection="1">
      <protection locked="0"/>
    </xf>
    <xf numFmtId="172" fontId="16" fillId="10" borderId="3" xfId="1" applyNumberFormat="1" applyFont="1" applyFill="1" applyBorder="1" applyAlignment="1" applyProtection="1">
      <alignment horizontal="center"/>
      <protection locked="0"/>
    </xf>
    <xf numFmtId="172" fontId="16" fillId="10" borderId="3" xfId="1" applyNumberFormat="1" applyFont="1" applyFill="1" applyBorder="1" applyAlignment="1">
      <alignment horizontal="right"/>
    </xf>
    <xf numFmtId="0" fontId="16" fillId="10" borderId="3" xfId="1" applyFont="1" applyFill="1" applyBorder="1" applyAlignment="1">
      <alignment horizontal="center"/>
    </xf>
    <xf numFmtId="0" fontId="16" fillId="10" borderId="3" xfId="1" applyFont="1" applyFill="1" applyBorder="1" applyAlignment="1" applyProtection="1">
      <alignment horizontal="center"/>
      <protection locked="0"/>
    </xf>
    <xf numFmtId="170" fontId="36" fillId="0" borderId="0" xfId="11" applyFont="1" applyFill="1" applyBorder="1">
      <alignment vertical="center" wrapText="1"/>
    </xf>
    <xf numFmtId="0" fontId="9" fillId="0" borderId="16" xfId="0" applyNumberFormat="1" applyFont="1" applyBorder="1"/>
    <xf numFmtId="165" fontId="31" fillId="0" borderId="28" xfId="29" applyFont="1" applyFill="1" applyBorder="1" applyAlignment="1" applyProtection="1"/>
    <xf numFmtId="39" fontId="31" fillId="0" borderId="28" xfId="29" applyNumberFormat="1" applyFont="1" applyFill="1" applyBorder="1" applyAlignment="1" applyProtection="1"/>
    <xf numFmtId="37" fontId="31" fillId="0" borderId="30" xfId="29" applyNumberFormat="1" applyFont="1" applyFill="1" applyBorder="1" applyAlignment="1" applyProtection="1"/>
    <xf numFmtId="165" fontId="31" fillId="0" borderId="30" xfId="29" applyFont="1" applyFill="1" applyBorder="1" applyAlignment="1" applyProtection="1"/>
    <xf numFmtId="37" fontId="31" fillId="0" borderId="28" xfId="29" applyNumberFormat="1" applyFont="1" applyFill="1" applyBorder="1" applyAlignment="1" applyProtection="1"/>
    <xf numFmtId="0" fontId="20" fillId="0" borderId="6" xfId="30" applyFont="1" applyFill="1" applyBorder="1" applyAlignment="1">
      <alignment wrapText="1"/>
    </xf>
    <xf numFmtId="176" fontId="0" fillId="0" borderId="0" xfId="0" applyNumberFormat="1"/>
    <xf numFmtId="176" fontId="0" fillId="0" borderId="0" xfId="0" applyNumberFormat="1" applyFont="1"/>
    <xf numFmtId="176" fontId="0" fillId="0" borderId="0" xfId="0" applyNumberFormat="1" applyAlignment="1">
      <alignment wrapText="1"/>
    </xf>
    <xf numFmtId="0" fontId="0" fillId="10" borderId="0" xfId="0" applyFill="1"/>
    <xf numFmtId="0" fontId="31" fillId="0" borderId="28" xfId="31" applyFont="1" applyFill="1" applyBorder="1"/>
    <xf numFmtId="0" fontId="31" fillId="0" borderId="28" xfId="31" applyNumberFormat="1" applyFont="1" applyFill="1" applyBorder="1"/>
    <xf numFmtId="0" fontId="31" fillId="0" borderId="29" xfId="31" applyFont="1" applyFill="1" applyBorder="1"/>
    <xf numFmtId="4" fontId="31" fillId="0" borderId="28" xfId="31" applyNumberFormat="1" applyFont="1" applyFill="1" applyBorder="1"/>
    <xf numFmtId="2" fontId="31" fillId="0" borderId="28" xfId="31" applyNumberFormat="1" applyFont="1" applyFill="1" applyBorder="1"/>
    <xf numFmtId="18" fontId="23" fillId="9" borderId="3" xfId="8" applyNumberFormat="1" applyFill="1" applyBorder="1" applyAlignment="1" applyProtection="1">
      <protection locked="0"/>
    </xf>
    <xf numFmtId="0" fontId="31" fillId="0" borderId="3" xfId="9" applyFont="1" applyFill="1" applyBorder="1" applyAlignment="1" applyProtection="1">
      <alignment wrapText="1"/>
    </xf>
    <xf numFmtId="0" fontId="31" fillId="0" borderId="3" xfId="9" applyFont="1" applyFill="1" applyBorder="1" applyAlignment="1">
      <alignment horizontal="left" wrapText="1"/>
    </xf>
    <xf numFmtId="1" fontId="9" fillId="0" borderId="3" xfId="7" applyNumberFormat="1" applyFont="1" applyBorder="1" applyAlignment="1" applyProtection="1"/>
    <xf numFmtId="181" fontId="9" fillId="0" borderId="3" xfId="0" applyNumberFormat="1" applyFont="1" applyBorder="1" applyAlignment="1"/>
    <xf numFmtId="170" fontId="36" fillId="0" borderId="3" xfId="11" applyNumberFormat="1" applyFont="1" applyFill="1" applyBorder="1">
      <alignment vertical="center" wrapText="1"/>
    </xf>
    <xf numFmtId="165" fontId="9" fillId="0" borderId="31" xfId="7" applyNumberFormat="1" applyFont="1" applyBorder="1" applyAlignment="1" applyProtection="1"/>
    <xf numFmtId="0" fontId="16" fillId="9" borderId="3" xfId="1" applyFont="1" applyFill="1" applyBorder="1" applyAlignment="1" applyProtection="1">
      <alignment horizontal="center"/>
      <protection locked="0"/>
    </xf>
    <xf numFmtId="0" fontId="10" fillId="0" borderId="17" xfId="33" applyBorder="1"/>
    <xf numFmtId="0" fontId="10" fillId="0" borderId="18" xfId="33" applyBorder="1"/>
    <xf numFmtId="0" fontId="10" fillId="0" borderId="19" xfId="33" applyBorder="1"/>
    <xf numFmtId="0" fontId="10" fillId="0" borderId="0" xfId="33"/>
    <xf numFmtId="0" fontId="8" fillId="7" borderId="16" xfId="33" applyFont="1" applyFill="1" applyBorder="1"/>
    <xf numFmtId="0" fontId="9" fillId="0" borderId="0" xfId="33" applyFont="1" applyBorder="1"/>
    <xf numFmtId="0" fontId="10" fillId="0" borderId="0" xfId="33" applyBorder="1"/>
    <xf numFmtId="0" fontId="9" fillId="0" borderId="16" xfId="33" applyFont="1" applyBorder="1" applyAlignment="1">
      <alignment horizontal="right"/>
    </xf>
    <xf numFmtId="0" fontId="10" fillId="0" borderId="20" xfId="33" applyBorder="1"/>
    <xf numFmtId="0" fontId="10" fillId="0" borderId="0" xfId="33" applyFont="1" applyBorder="1"/>
    <xf numFmtId="0" fontId="8" fillId="7" borderId="0" xfId="33" applyFont="1" applyFill="1" applyBorder="1"/>
    <xf numFmtId="0" fontId="9" fillId="0" borderId="0" xfId="33" applyFont="1" applyBorder="1" applyAlignment="1">
      <alignment horizontal="left"/>
    </xf>
    <xf numFmtId="0" fontId="10" fillId="0" borderId="21" xfId="33" applyBorder="1"/>
    <xf numFmtId="0" fontId="9" fillId="0" borderId="16" xfId="33" applyFont="1" applyBorder="1"/>
    <xf numFmtId="0" fontId="9" fillId="0" borderId="16" xfId="33" applyNumberFormat="1" applyFont="1" applyBorder="1"/>
    <xf numFmtId="0" fontId="10" fillId="0" borderId="0" xfId="33" applyFont="1"/>
    <xf numFmtId="0" fontId="10" fillId="0" borderId="20" xfId="33" applyFont="1" applyBorder="1"/>
    <xf numFmtId="0" fontId="8" fillId="7" borderId="16" xfId="33" applyFont="1" applyFill="1" applyBorder="1" applyAlignment="1">
      <alignment horizontal="right"/>
    </xf>
    <xf numFmtId="165" fontId="8" fillId="7" borderId="16" xfId="33" applyNumberFormat="1" applyFont="1" applyFill="1" applyBorder="1"/>
    <xf numFmtId="11" fontId="9" fillId="0" borderId="16" xfId="33" applyNumberFormat="1" applyFont="1" applyBorder="1"/>
    <xf numFmtId="0" fontId="31" fillId="0" borderId="28" xfId="34" applyFont="1" applyFill="1" applyBorder="1"/>
    <xf numFmtId="0" fontId="31" fillId="0" borderId="28" xfId="34" applyFont="1" applyFill="1" applyBorder="1" applyAlignment="1">
      <alignment wrapText="1"/>
    </xf>
    <xf numFmtId="0" fontId="9" fillId="0" borderId="16" xfId="33" applyFont="1" applyBorder="1" applyAlignment="1"/>
    <xf numFmtId="11" fontId="9" fillId="0" borderId="16" xfId="33" applyNumberFormat="1" applyFont="1" applyBorder="1" applyAlignment="1"/>
    <xf numFmtId="0" fontId="10" fillId="0" borderId="16" xfId="33" applyBorder="1" applyAlignment="1"/>
    <xf numFmtId="0" fontId="10" fillId="0" borderId="20" xfId="33" applyBorder="1" applyAlignment="1"/>
    <xf numFmtId="0" fontId="10" fillId="0" borderId="0" xfId="33" applyAlignment="1"/>
    <xf numFmtId="0" fontId="8" fillId="0" borderId="21" xfId="33" applyFont="1" applyBorder="1"/>
    <xf numFmtId="0" fontId="8" fillId="0" borderId="0" xfId="33" applyFont="1" applyBorder="1"/>
    <xf numFmtId="0" fontId="10" fillId="0" borderId="20" xfId="33" applyBorder="1" applyAlignment="1">
      <alignment wrapText="1"/>
    </xf>
    <xf numFmtId="0" fontId="10" fillId="0" borderId="0" xfId="33" applyAlignment="1">
      <alignment wrapText="1"/>
    </xf>
    <xf numFmtId="0" fontId="31" fillId="0" borderId="28" xfId="34" applyNumberFormat="1" applyFont="1" applyFill="1" applyBorder="1"/>
    <xf numFmtId="0" fontId="30" fillId="0" borderId="0" xfId="9"/>
    <xf numFmtId="4" fontId="31" fillId="0" borderId="28" xfId="34" applyNumberFormat="1" applyFont="1" applyFill="1" applyBorder="1"/>
    <xf numFmtId="0" fontId="20" fillId="0" borderId="28" xfId="34" applyFont="1" applyFill="1" applyBorder="1"/>
    <xf numFmtId="2" fontId="31" fillId="0" borderId="28" xfId="34" applyNumberFormat="1" applyFont="1" applyFill="1" applyBorder="1"/>
    <xf numFmtId="0" fontId="10" fillId="0" borderId="0" xfId="33" applyBorder="1" applyAlignment="1">
      <alignment wrapText="1"/>
    </xf>
    <xf numFmtId="0" fontId="10" fillId="0" borderId="23" xfId="33" applyBorder="1"/>
    <xf numFmtId="0" fontId="10" fillId="0" borderId="24" xfId="33" applyBorder="1"/>
    <xf numFmtId="0" fontId="10" fillId="0" borderId="25" xfId="33" applyBorder="1"/>
    <xf numFmtId="0" fontId="8" fillId="8" borderId="16" xfId="33" applyFont="1" applyFill="1" applyBorder="1"/>
    <xf numFmtId="0" fontId="8" fillId="8" borderId="16" xfId="33" applyFont="1" applyFill="1" applyBorder="1" applyAlignment="1">
      <alignment horizontal="left"/>
    </xf>
    <xf numFmtId="0" fontId="8" fillId="8" borderId="2" xfId="33" applyFont="1" applyFill="1" applyBorder="1"/>
    <xf numFmtId="49" fontId="9" fillId="0" borderId="0" xfId="33" applyNumberFormat="1" applyFont="1" applyBorder="1" applyAlignment="1">
      <alignment horizontal="left"/>
    </xf>
    <xf numFmtId="0" fontId="8" fillId="0" borderId="26" xfId="33" applyFont="1" applyBorder="1"/>
    <xf numFmtId="0" fontId="8" fillId="0" borderId="4" xfId="33" applyFont="1" applyBorder="1"/>
    <xf numFmtId="0" fontId="8" fillId="8" borderId="27" xfId="33" applyFont="1" applyFill="1" applyBorder="1"/>
    <xf numFmtId="0" fontId="8" fillId="8" borderId="5" xfId="33" applyFont="1" applyFill="1" applyBorder="1"/>
    <xf numFmtId="0" fontId="8" fillId="8" borderId="3" xfId="33" applyFont="1" applyFill="1" applyBorder="1"/>
    <xf numFmtId="0" fontId="9" fillId="0" borderId="22" xfId="33" applyFont="1" applyBorder="1" applyAlignment="1"/>
    <xf numFmtId="0" fontId="10" fillId="0" borderId="3" xfId="33" applyBorder="1"/>
    <xf numFmtId="0" fontId="9" fillId="0" borderId="3" xfId="33" applyFont="1" applyBorder="1" applyAlignment="1"/>
    <xf numFmtId="11" fontId="9" fillId="0" borderId="3" xfId="33" applyNumberFormat="1" applyFont="1" applyBorder="1" applyAlignment="1"/>
    <xf numFmtId="0" fontId="8" fillId="8" borderId="3" xfId="33" applyFont="1" applyFill="1" applyBorder="1" applyAlignment="1">
      <alignment horizontal="right"/>
    </xf>
    <xf numFmtId="165" fontId="8" fillId="8" borderId="5" xfId="33" applyNumberFormat="1" applyFont="1" applyFill="1" applyBorder="1"/>
    <xf numFmtId="176" fontId="10" fillId="0" borderId="0" xfId="33" applyNumberFormat="1"/>
    <xf numFmtId="0" fontId="8" fillId="8" borderId="22" xfId="33" applyFont="1" applyFill="1" applyBorder="1"/>
    <xf numFmtId="0" fontId="10" fillId="0" borderId="22" xfId="33" applyBorder="1" applyAlignment="1">
      <alignment wrapText="1"/>
    </xf>
    <xf numFmtId="0" fontId="10" fillId="0" borderId="3" xfId="33" applyBorder="1" applyAlignment="1">
      <alignment wrapText="1"/>
    </xf>
    <xf numFmtId="0" fontId="9" fillId="0" borderId="22" xfId="33" applyFont="1" applyBorder="1"/>
    <xf numFmtId="0" fontId="9" fillId="0" borderId="3" xfId="33" applyFont="1" applyBorder="1"/>
    <xf numFmtId="0" fontId="10" fillId="0" borderId="22" xfId="33" applyBorder="1"/>
    <xf numFmtId="0" fontId="8" fillId="8" borderId="5" xfId="33" applyFont="1" applyFill="1" applyBorder="1" applyAlignment="1">
      <alignment horizontal="right"/>
    </xf>
    <xf numFmtId="0" fontId="8" fillId="8" borderId="31" xfId="33" applyFont="1" applyFill="1" applyBorder="1"/>
    <xf numFmtId="0" fontId="9" fillId="0" borderId="32" xfId="7" applyNumberFormat="1" applyFont="1" applyBorder="1" applyAlignment="1" applyProtection="1"/>
    <xf numFmtId="176" fontId="9" fillId="0" borderId="3" xfId="33" applyNumberFormat="1" applyFont="1" applyBorder="1" applyAlignment="1"/>
    <xf numFmtId="0" fontId="9" fillId="0" borderId="3" xfId="33" applyNumberFormat="1" applyFont="1" applyBorder="1"/>
    <xf numFmtId="0" fontId="10" fillId="10" borderId="0" xfId="33" applyFill="1"/>
    <xf numFmtId="49" fontId="23" fillId="0" borderId="0" xfId="8" applyNumberFormat="1"/>
    <xf numFmtId="0" fontId="30" fillId="0" borderId="3" xfId="9" applyBorder="1"/>
    <xf numFmtId="0" fontId="31" fillId="0" borderId="3" xfId="30" applyFont="1" applyFill="1" applyBorder="1" applyAlignment="1">
      <alignment wrapText="1"/>
    </xf>
    <xf numFmtId="170" fontId="31" fillId="0" borderId="3" xfId="3" applyFont="1" applyFill="1" applyBorder="1"/>
    <xf numFmtId="170" fontId="31" fillId="0" borderId="3" xfId="3" applyNumberFormat="1" applyFont="1" applyFill="1" applyBorder="1" applyAlignment="1"/>
    <xf numFmtId="179" fontId="31" fillId="0" borderId="3" xfId="9" applyNumberFormat="1" applyFont="1" applyFill="1" applyBorder="1" applyAlignment="1">
      <alignment horizontal="right" wrapText="1"/>
    </xf>
    <xf numFmtId="0" fontId="31" fillId="0" borderId="3" xfId="9" applyFont="1" applyFill="1" applyBorder="1"/>
    <xf numFmtId="0" fontId="31" fillId="0" borderId="3" xfId="9" applyFont="1" applyFill="1" applyBorder="1" applyAlignment="1">
      <alignment wrapText="1"/>
    </xf>
    <xf numFmtId="0" fontId="8" fillId="0" borderId="0" xfId="9" applyFont="1" applyBorder="1"/>
    <xf numFmtId="0" fontId="30" fillId="0" borderId="20" xfId="9" applyBorder="1" applyAlignment="1">
      <alignment wrapText="1"/>
    </xf>
    <xf numFmtId="0" fontId="30" fillId="0" borderId="0" xfId="9" applyBorder="1"/>
    <xf numFmtId="0" fontId="30" fillId="0" borderId="20" xfId="9" applyBorder="1"/>
    <xf numFmtId="0" fontId="31" fillId="0" borderId="3" xfId="9" applyNumberFormat="1" applyFont="1" applyFill="1" applyBorder="1" applyAlignment="1">
      <alignment wrapText="1"/>
    </xf>
    <xf numFmtId="0" fontId="10" fillId="0" borderId="0" xfId="9" applyFont="1" applyBorder="1"/>
    <xf numFmtId="0" fontId="10" fillId="0" borderId="20" xfId="9" applyFont="1" applyBorder="1"/>
    <xf numFmtId="0" fontId="31" fillId="0" borderId="6" xfId="30" applyFont="1" applyFill="1" applyBorder="1" applyAlignment="1">
      <alignment wrapText="1"/>
    </xf>
    <xf numFmtId="0" fontId="30" fillId="0" borderId="0" xfId="9" applyAlignment="1">
      <alignment wrapText="1"/>
    </xf>
    <xf numFmtId="0" fontId="36" fillId="0" borderId="3" xfId="9" applyFont="1" applyBorder="1"/>
    <xf numFmtId="0" fontId="9" fillId="0" borderId="33" xfId="0" applyFont="1" applyBorder="1"/>
    <xf numFmtId="0" fontId="31" fillId="0" borderId="29" xfId="31" applyFont="1" applyFill="1" applyBorder="1" applyAlignment="1">
      <alignment wrapText="1"/>
    </xf>
    <xf numFmtId="165" fontId="9" fillId="0" borderId="33" xfId="7" applyNumberFormat="1" applyFont="1" applyBorder="1" applyAlignment="1" applyProtection="1"/>
    <xf numFmtId="164" fontId="9" fillId="0" borderId="33" xfId="7" applyNumberFormat="1" applyFont="1" applyBorder="1" applyAlignment="1" applyProtection="1"/>
    <xf numFmtId="2" fontId="9" fillId="0" borderId="33" xfId="7" applyNumberFormat="1" applyFont="1" applyBorder="1" applyAlignment="1" applyProtection="1"/>
    <xf numFmtId="0" fontId="0" fillId="0" borderId="33" xfId="0" applyBorder="1" applyAlignment="1"/>
    <xf numFmtId="165" fontId="8" fillId="7" borderId="34" xfId="0" applyNumberFormat="1" applyFont="1" applyFill="1" applyBorder="1"/>
    <xf numFmtId="0" fontId="8" fillId="7" borderId="36" xfId="0" applyFont="1" applyFill="1" applyBorder="1"/>
    <xf numFmtId="0" fontId="40" fillId="0" borderId="28" xfId="31" applyFont="1" applyFill="1" applyBorder="1"/>
    <xf numFmtId="0" fontId="8" fillId="15" borderId="16" xfId="9" applyFont="1" applyFill="1" applyBorder="1"/>
    <xf numFmtId="170" fontId="31" fillId="0" borderId="3" xfId="36" applyFont="1" applyFill="1" applyBorder="1"/>
    <xf numFmtId="170" fontId="31" fillId="0" borderId="3" xfId="36" applyNumberFormat="1" applyFont="1" applyFill="1" applyBorder="1"/>
    <xf numFmtId="0" fontId="8" fillId="0" borderId="21" xfId="9" applyFont="1" applyBorder="1"/>
    <xf numFmtId="165" fontId="8" fillId="7" borderId="34" xfId="9" applyNumberFormat="1" applyFont="1" applyFill="1" applyBorder="1"/>
    <xf numFmtId="0" fontId="8" fillId="7" borderId="34" xfId="9" applyFont="1" applyFill="1" applyBorder="1" applyAlignment="1">
      <alignment horizontal="right"/>
    </xf>
    <xf numFmtId="11" fontId="9" fillId="0" borderId="16" xfId="7" applyNumberFormat="1" applyFont="1" applyBorder="1" applyAlignment="1" applyProtection="1"/>
    <xf numFmtId="0" fontId="9" fillId="0" borderId="3" xfId="9" applyFont="1" applyBorder="1" applyAlignment="1">
      <alignment wrapText="1"/>
    </xf>
    <xf numFmtId="0" fontId="9" fillId="0" borderId="3" xfId="30" applyFont="1" applyFill="1" applyBorder="1" applyAlignment="1">
      <alignment wrapText="1"/>
    </xf>
    <xf numFmtId="170" fontId="9" fillId="0" borderId="3" xfId="3" applyFont="1" applyFill="1" applyBorder="1" applyAlignment="1">
      <alignment wrapText="1"/>
    </xf>
    <xf numFmtId="0" fontId="9" fillId="0" borderId="3" xfId="9" applyFont="1" applyFill="1" applyBorder="1"/>
    <xf numFmtId="0" fontId="9" fillId="0" borderId="3" xfId="9" applyFont="1" applyFill="1" applyBorder="1" applyAlignment="1">
      <alignment wrapText="1"/>
    </xf>
    <xf numFmtId="170" fontId="9" fillId="0" borderId="3" xfId="3" applyFont="1" applyFill="1" applyBorder="1"/>
    <xf numFmtId="1" fontId="9" fillId="0" borderId="3" xfId="9" applyNumberFormat="1" applyFont="1" applyFill="1" applyBorder="1"/>
    <xf numFmtId="1" fontId="9" fillId="0" borderId="3" xfId="9" applyNumberFormat="1" applyFont="1" applyBorder="1" applyAlignment="1">
      <alignment wrapText="1"/>
    </xf>
    <xf numFmtId="185" fontId="9" fillId="0" borderId="16" xfId="7" applyNumberFormat="1" applyFont="1" applyBorder="1" applyAlignment="1" applyProtection="1"/>
    <xf numFmtId="186" fontId="9" fillId="0" borderId="3" xfId="0" applyNumberFormat="1" applyFont="1" applyBorder="1" applyAlignment="1"/>
    <xf numFmtId="11" fontId="31" fillId="0" borderId="3" xfId="9" applyNumberFormat="1" applyFont="1" applyFill="1" applyBorder="1" applyAlignment="1">
      <alignment horizontal="right" wrapText="1"/>
    </xf>
    <xf numFmtId="0" fontId="8" fillId="7" borderId="34" xfId="0" applyFont="1" applyFill="1" applyBorder="1" applyAlignment="1">
      <alignment horizontal="right"/>
    </xf>
    <xf numFmtId="18" fontId="16" fillId="10" borderId="37" xfId="1" applyNumberFormat="1" applyFont="1" applyFill="1" applyBorder="1" applyAlignment="1" applyProtection="1">
      <protection locked="0"/>
    </xf>
    <xf numFmtId="0" fontId="23" fillId="10" borderId="37" xfId="8" applyFill="1" applyBorder="1" applyAlignment="1">
      <alignment horizontal="left"/>
    </xf>
    <xf numFmtId="172" fontId="16" fillId="10" borderId="37" xfId="5" applyNumberFormat="1" applyFont="1" applyFill="1" applyBorder="1" applyProtection="1">
      <protection locked="0"/>
    </xf>
    <xf numFmtId="0" fontId="16" fillId="10" borderId="37" xfId="1" applyFont="1" applyFill="1" applyBorder="1" applyAlignment="1" applyProtection="1">
      <alignment horizontal="center"/>
      <protection locked="0"/>
    </xf>
    <xf numFmtId="172" fontId="16" fillId="10" borderId="37" xfId="1" applyNumberFormat="1" applyFont="1" applyFill="1" applyBorder="1" applyAlignment="1" applyProtection="1">
      <alignment horizontal="center"/>
      <protection locked="0"/>
    </xf>
    <xf numFmtId="172" fontId="16" fillId="10" borderId="37" xfId="1" applyNumberFormat="1" applyFont="1" applyFill="1" applyBorder="1" applyAlignment="1">
      <alignment horizontal="right"/>
    </xf>
    <xf numFmtId="0" fontId="16" fillId="10" borderId="37" xfId="1" applyFont="1" applyFill="1" applyBorder="1" applyAlignment="1">
      <alignment horizontal="center"/>
    </xf>
    <xf numFmtId="0" fontId="16" fillId="10" borderId="5" xfId="1" applyFont="1" applyFill="1" applyBorder="1" applyProtection="1">
      <protection locked="0"/>
    </xf>
    <xf numFmtId="0" fontId="23" fillId="9" borderId="3" xfId="8" applyFill="1" applyBorder="1" applyAlignment="1">
      <alignment horizontal="left"/>
    </xf>
    <xf numFmtId="0" fontId="36" fillId="0" borderId="0" xfId="39" applyFont="1" applyBorder="1"/>
    <xf numFmtId="0" fontId="0" fillId="0" borderId="43" xfId="0" applyBorder="1"/>
    <xf numFmtId="170" fontId="36" fillId="0" borderId="0" xfId="39" applyNumberFormat="1" applyFont="1" applyBorder="1"/>
    <xf numFmtId="0" fontId="0" fillId="0" borderId="42" xfId="0" applyBorder="1"/>
    <xf numFmtId="0" fontId="36" fillId="0" borderId="0" xfId="39" applyFont="1" applyBorder="1" applyAlignment="1">
      <alignment horizontal="right"/>
    </xf>
    <xf numFmtId="37" fontId="36" fillId="0" borderId="0" xfId="39" applyNumberFormat="1" applyFont="1" applyBorder="1"/>
    <xf numFmtId="0" fontId="0" fillId="0" borderId="41" xfId="0" applyBorder="1"/>
    <xf numFmtId="0" fontId="0" fillId="0" borderId="40" xfId="0" applyBorder="1"/>
    <xf numFmtId="0" fontId="23" fillId="0" borderId="0" xfId="8" applyFill="1" applyBorder="1"/>
    <xf numFmtId="170" fontId="31" fillId="0" borderId="3" xfId="36" applyFont="1" applyFill="1" applyBorder="1"/>
    <xf numFmtId="170" fontId="31" fillId="0" borderId="3" xfId="3" applyFont="1" applyFill="1" applyBorder="1"/>
    <xf numFmtId="170" fontId="31" fillId="0" borderId="3" xfId="36" applyNumberFormat="1" applyFont="1" applyFill="1" applyBorder="1"/>
    <xf numFmtId="0" fontId="23" fillId="0" borderId="0" xfId="8"/>
    <xf numFmtId="0" fontId="31" fillId="0" borderId="3" xfId="30" applyFont="1" applyFill="1" applyBorder="1" applyAlignment="1">
      <alignment wrapText="1"/>
    </xf>
    <xf numFmtId="165" fontId="9" fillId="0" borderId="3" xfId="7" applyNumberFormat="1" applyFont="1" applyBorder="1" applyAlignment="1" applyProtection="1"/>
    <xf numFmtId="164" fontId="9" fillId="0" borderId="3" xfId="7" applyNumberFormat="1" applyFont="1" applyBorder="1" applyAlignment="1" applyProtection="1"/>
    <xf numFmtId="0" fontId="36" fillId="0" borderId="44" xfId="39" applyFont="1" applyBorder="1"/>
    <xf numFmtId="0" fontId="41" fillId="0" borderId="44" xfId="39" applyFont="1" applyBorder="1"/>
    <xf numFmtId="0" fontId="41" fillId="0" borderId="0" xfId="39" applyFont="1" applyBorder="1"/>
    <xf numFmtId="1" fontId="31" fillId="0" borderId="46" xfId="42" applyNumberFormat="1" applyFont="1" applyFill="1" applyBorder="1"/>
    <xf numFmtId="0" fontId="31" fillId="0" borderId="47" xfId="42" applyFon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41" fillId="16" borderId="38" xfId="39" applyFont="1" applyFill="1" applyBorder="1"/>
    <xf numFmtId="187" fontId="41" fillId="16" borderId="39" xfId="39" applyNumberFormat="1" applyFont="1" applyFill="1" applyBorder="1"/>
    <xf numFmtId="0" fontId="41" fillId="16" borderId="5" xfId="39" applyFont="1" applyFill="1" applyBorder="1" applyAlignment="1">
      <alignment horizontal="right"/>
    </xf>
    <xf numFmtId="170" fontId="41" fillId="16" borderId="39" xfId="39" applyNumberFormat="1" applyFont="1" applyFill="1" applyBorder="1"/>
    <xf numFmtId="0" fontId="41" fillId="16" borderId="46" xfId="39" applyFont="1" applyFill="1" applyBorder="1"/>
    <xf numFmtId="11" fontId="0" fillId="0" borderId="0" xfId="0" applyNumberFormat="1"/>
    <xf numFmtId="170" fontId="31" fillId="0" borderId="46" xfId="3" applyFont="1" applyFill="1" applyBorder="1"/>
    <xf numFmtId="170" fontId="31" fillId="0" borderId="46" xfId="3" applyNumberFormat="1" applyFont="1" applyFill="1" applyBorder="1" applyAlignment="1"/>
    <xf numFmtId="0" fontId="39" fillId="0" borderId="45" xfId="30" applyFont="1" applyFill="1" applyBorder="1" applyAlignment="1">
      <alignment wrapText="1"/>
    </xf>
    <xf numFmtId="0" fontId="42" fillId="0" borderId="46" xfId="39" applyFont="1" applyBorder="1"/>
    <xf numFmtId="0" fontId="39" fillId="13" borderId="46" xfId="42" applyFont="1" applyFill="1" applyBorder="1"/>
    <xf numFmtId="0" fontId="39" fillId="0" borderId="46" xfId="30" applyFont="1" applyFill="1" applyBorder="1" applyAlignment="1">
      <alignment wrapText="1"/>
    </xf>
    <xf numFmtId="0" fontId="42" fillId="0" borderId="0" xfId="39" applyFont="1" applyBorder="1"/>
    <xf numFmtId="170" fontId="39" fillId="13" borderId="46" xfId="42" applyNumberFormat="1" applyFont="1" applyFill="1" applyBorder="1"/>
    <xf numFmtId="170" fontId="39" fillId="0" borderId="46" xfId="3" applyNumberFormat="1" applyFont="1" applyFill="1" applyBorder="1" applyAlignment="1"/>
    <xf numFmtId="0" fontId="43" fillId="0" borderId="0" xfId="39" applyFont="1" applyBorder="1"/>
    <xf numFmtId="188" fontId="42" fillId="0" borderId="46" xfId="40" applyNumberFormat="1" applyFont="1" applyBorder="1"/>
    <xf numFmtId="11" fontId="39" fillId="0" borderId="46" xfId="42" applyNumberFormat="1" applyFont="1" applyBorder="1"/>
    <xf numFmtId="0" fontId="39" fillId="0" borderId="0" xfId="0" applyFont="1" applyBorder="1"/>
    <xf numFmtId="0" fontId="8" fillId="8" borderId="51" xfId="0" applyFont="1" applyFill="1" applyBorder="1"/>
    <xf numFmtId="0" fontId="41" fillId="16" borderId="47" xfId="39" applyFont="1" applyFill="1" applyBorder="1"/>
    <xf numFmtId="0" fontId="31" fillId="0" borderId="46" xfId="42" applyFont="1" applyFill="1" applyBorder="1" applyAlignment="1" applyProtection="1">
      <alignment wrapText="1"/>
    </xf>
    <xf numFmtId="0" fontId="31" fillId="0" borderId="46" xfId="42" applyFont="1" applyFill="1" applyBorder="1" applyAlignment="1">
      <alignment horizontal="left"/>
    </xf>
    <xf numFmtId="179" fontId="31" fillId="0" borderId="46" xfId="42" applyNumberFormat="1" applyFont="1" applyFill="1" applyBorder="1"/>
    <xf numFmtId="0" fontId="31" fillId="0" borderId="46" xfId="42" applyFont="1" applyFill="1" applyBorder="1"/>
    <xf numFmtId="43" fontId="31" fillId="0" borderId="46" xfId="41" applyFont="1" applyFill="1" applyBorder="1"/>
    <xf numFmtId="11" fontId="31" fillId="0" borderId="46" xfId="42" applyNumberFormat="1" applyFont="1" applyFill="1" applyBorder="1" applyAlignment="1">
      <alignment wrapText="1"/>
    </xf>
    <xf numFmtId="11" fontId="31" fillId="0" borderId="46" xfId="41" applyNumberFormat="1" applyFont="1" applyFill="1" applyBorder="1"/>
    <xf numFmtId="0" fontId="31" fillId="0" borderId="46" xfId="41" applyNumberFormat="1" applyFont="1" applyFill="1" applyBorder="1"/>
    <xf numFmtId="170" fontId="31" fillId="0" borderId="46" xfId="36" applyNumberFormat="1" applyFont="1" applyFill="1" applyBorder="1"/>
    <xf numFmtId="170" fontId="36" fillId="0" borderId="46" xfId="43" applyFont="1" applyFill="1" applyBorder="1">
      <alignment vertical="center" wrapText="1"/>
    </xf>
    <xf numFmtId="11" fontId="1" fillId="0" borderId="46" xfId="39" applyNumberFormat="1" applyBorder="1"/>
    <xf numFmtId="0" fontId="31" fillId="0" borderId="46" xfId="39" applyFont="1" applyFill="1" applyBorder="1" applyAlignment="1" applyProtection="1">
      <alignment vertical="center" wrapText="1"/>
    </xf>
    <xf numFmtId="0" fontId="39" fillId="0" borderId="47" xfId="42" applyFont="1" applyBorder="1"/>
    <xf numFmtId="0" fontId="39" fillId="0" borderId="46" xfId="42" applyFont="1" applyBorder="1" applyAlignment="1">
      <alignment wrapText="1"/>
    </xf>
    <xf numFmtId="170" fontId="39" fillId="0" borderId="46" xfId="3" applyFont="1" applyFill="1" applyBorder="1"/>
    <xf numFmtId="0" fontId="39" fillId="0" borderId="46" xfId="42" applyFont="1" applyBorder="1"/>
    <xf numFmtId="0" fontId="39" fillId="0" borderId="47" xfId="42" applyFont="1" applyFill="1" applyBorder="1"/>
    <xf numFmtId="0" fontId="31" fillId="0" borderId="46" xfId="30" applyFont="1" applyFill="1" applyBorder="1" applyAlignment="1">
      <alignment wrapText="1"/>
    </xf>
    <xf numFmtId="175" fontId="39" fillId="0" borderId="46" xfId="42" applyNumberFormat="1" applyFont="1" applyFill="1" applyBorder="1"/>
    <xf numFmtId="0" fontId="36" fillId="0" borderId="3" xfId="9" applyFont="1" applyBorder="1" applyAlignment="1">
      <alignment wrapText="1"/>
    </xf>
    <xf numFmtId="0" fontId="36" fillId="0" borderId="3" xfId="30" applyFont="1" applyFill="1" applyBorder="1" applyAlignment="1">
      <alignment wrapText="1"/>
    </xf>
    <xf numFmtId="170" fontId="36" fillId="0" borderId="3" xfId="3" applyFont="1" applyFill="1" applyBorder="1" applyAlignment="1">
      <alignment wrapText="1"/>
    </xf>
    <xf numFmtId="170" fontId="36" fillId="0" borderId="3" xfId="3" applyNumberFormat="1" applyFont="1" applyFill="1" applyBorder="1" applyAlignment="1">
      <alignment wrapText="1"/>
    </xf>
    <xf numFmtId="0" fontId="36" fillId="0" borderId="3" xfId="9" applyFont="1" applyFill="1" applyBorder="1"/>
    <xf numFmtId="0" fontId="36" fillId="0" borderId="3" xfId="9" applyFont="1" applyFill="1" applyBorder="1" applyAlignment="1">
      <alignment wrapText="1"/>
    </xf>
    <xf numFmtId="170" fontId="36" fillId="0" borderId="3" xfId="3" applyFont="1" applyFill="1" applyBorder="1"/>
    <xf numFmtId="1" fontId="36" fillId="0" borderId="3" xfId="9" applyNumberFormat="1" applyFont="1" applyFill="1" applyBorder="1"/>
    <xf numFmtId="170" fontId="36" fillId="0" borderId="3" xfId="3" applyNumberFormat="1" applyFont="1" applyFill="1" applyBorder="1" applyAlignment="1"/>
    <xf numFmtId="0" fontId="44" fillId="0" borderId="17" xfId="0" applyFont="1" applyBorder="1"/>
    <xf numFmtId="0" fontId="44" fillId="0" borderId="18" xfId="0" applyFont="1" applyBorder="1"/>
    <xf numFmtId="0" fontId="44" fillId="0" borderId="19" xfId="0" applyFont="1" applyBorder="1"/>
    <xf numFmtId="0" fontId="41" fillId="8" borderId="16" xfId="0" applyFont="1" applyFill="1" applyBorder="1"/>
    <xf numFmtId="0" fontId="36" fillId="0" borderId="0" xfId="0" applyFont="1" applyBorder="1"/>
    <xf numFmtId="0" fontId="44" fillId="0" borderId="0" xfId="0" applyFont="1" applyBorder="1"/>
    <xf numFmtId="0" fontId="45" fillId="0" borderId="0" xfId="8" applyFont="1" applyBorder="1"/>
    <xf numFmtId="0" fontId="41" fillId="8" borderId="16" xfId="0" applyFont="1" applyFill="1" applyBorder="1" applyAlignment="1">
      <alignment horizontal="left"/>
    </xf>
    <xf numFmtId="0" fontId="36" fillId="0" borderId="16" xfId="0" applyFont="1" applyBorder="1" applyAlignment="1">
      <alignment horizontal="right"/>
    </xf>
    <xf numFmtId="165" fontId="36" fillId="0" borderId="16" xfId="7" applyNumberFormat="1" applyFont="1" applyBorder="1" applyAlignment="1" applyProtection="1"/>
    <xf numFmtId="0" fontId="44" fillId="0" borderId="20" xfId="0" applyFont="1" applyBorder="1"/>
    <xf numFmtId="0" fontId="44" fillId="0" borderId="0" xfId="0" applyFont="1"/>
    <xf numFmtId="37" fontId="36" fillId="0" borderId="16" xfId="7" applyNumberFormat="1" applyFont="1" applyBorder="1" applyAlignment="1" applyProtection="1"/>
    <xf numFmtId="0" fontId="41" fillId="8" borderId="2" xfId="0" applyFont="1" applyFill="1" applyBorder="1"/>
    <xf numFmtId="0" fontId="36" fillId="0" borderId="16" xfId="7" applyNumberFormat="1" applyFont="1" applyBorder="1" applyAlignment="1" applyProtection="1"/>
    <xf numFmtId="49" fontId="36" fillId="0" borderId="0" xfId="0" applyNumberFormat="1" applyFont="1" applyBorder="1" applyAlignment="1">
      <alignment horizontal="left"/>
    </xf>
    <xf numFmtId="0" fontId="41" fillId="0" borderId="26" xfId="0" applyFont="1" applyBorder="1"/>
    <xf numFmtId="0" fontId="41" fillId="0" borderId="4" xfId="0" applyFont="1" applyBorder="1"/>
    <xf numFmtId="0" fontId="41" fillId="8" borderId="27" xfId="0" applyFont="1" applyFill="1" applyBorder="1"/>
    <xf numFmtId="0" fontId="41" fillId="8" borderId="5" xfId="0" applyFont="1" applyFill="1" applyBorder="1"/>
    <xf numFmtId="0" fontId="41" fillId="8" borderId="3" xfId="0" applyFont="1" applyFill="1" applyBorder="1"/>
    <xf numFmtId="0" fontId="36" fillId="0" borderId="22" xfId="0" applyFont="1" applyBorder="1" applyAlignment="1"/>
    <xf numFmtId="0" fontId="36" fillId="0" borderId="3" xfId="9" applyFont="1" applyFill="1" applyBorder="1" applyAlignment="1" applyProtection="1">
      <alignment wrapText="1"/>
    </xf>
    <xf numFmtId="0" fontId="36" fillId="0" borderId="3" xfId="9" applyFont="1" applyFill="1" applyBorder="1" applyAlignment="1">
      <alignment horizontal="left" wrapText="1"/>
    </xf>
    <xf numFmtId="181" fontId="36" fillId="0" borderId="3" xfId="0" applyNumberFormat="1" applyFont="1" applyBorder="1" applyAlignment="1"/>
    <xf numFmtId="0" fontId="36" fillId="0" borderId="3" xfId="0" applyFont="1" applyBorder="1" applyAlignment="1"/>
    <xf numFmtId="164" fontId="36" fillId="0" borderId="3" xfId="7" applyNumberFormat="1" applyFont="1" applyBorder="1" applyAlignment="1" applyProtection="1"/>
    <xf numFmtId="11" fontId="36" fillId="0" borderId="3" xfId="0" applyNumberFormat="1" applyFont="1" applyBorder="1" applyAlignment="1"/>
    <xf numFmtId="11" fontId="36" fillId="0" borderId="16" xfId="7" applyNumberFormat="1" applyFont="1" applyBorder="1" applyAlignment="1" applyProtection="1"/>
    <xf numFmtId="164" fontId="36" fillId="0" borderId="16" xfId="7" applyNumberFormat="1" applyFont="1" applyBorder="1" applyAlignment="1" applyProtection="1"/>
    <xf numFmtId="0" fontId="44" fillId="0" borderId="16" xfId="0" applyFont="1" applyBorder="1" applyAlignment="1"/>
    <xf numFmtId="1" fontId="36" fillId="0" borderId="3" xfId="7" applyNumberFormat="1" applyFont="1" applyBorder="1" applyAlignment="1" applyProtection="1"/>
    <xf numFmtId="165" fontId="36" fillId="0" borderId="3" xfId="7" applyNumberFormat="1" applyFont="1" applyBorder="1" applyAlignment="1" applyProtection="1"/>
    <xf numFmtId="0" fontId="44" fillId="0" borderId="20" xfId="0" applyFont="1" applyBorder="1" applyAlignment="1"/>
    <xf numFmtId="0" fontId="41" fillId="0" borderId="21" xfId="0" applyFont="1" applyBorder="1"/>
    <xf numFmtId="0" fontId="41" fillId="0" borderId="0" xfId="0" applyFont="1" applyBorder="1"/>
    <xf numFmtId="0" fontId="41" fillId="8" borderId="3" xfId="0" applyFont="1" applyFill="1" applyBorder="1" applyAlignment="1">
      <alignment horizontal="right"/>
    </xf>
    <xf numFmtId="165" fontId="41" fillId="8" borderId="5" xfId="0" applyNumberFormat="1" applyFont="1" applyFill="1" applyBorder="1"/>
    <xf numFmtId="0" fontId="44" fillId="0" borderId="21" xfId="0" applyFont="1" applyBorder="1"/>
    <xf numFmtId="0" fontId="41" fillId="8" borderId="22" xfId="0" applyFont="1" applyFill="1" applyBorder="1"/>
    <xf numFmtId="179" fontId="36" fillId="0" borderId="3" xfId="9" applyNumberFormat="1" applyFont="1" applyFill="1" applyBorder="1" applyAlignment="1">
      <alignment horizontal="right" wrapText="1"/>
    </xf>
    <xf numFmtId="0" fontId="44" fillId="0" borderId="0" xfId="0" applyFont="1" applyBorder="1" applyAlignment="1">
      <alignment wrapText="1"/>
    </xf>
    <xf numFmtId="0" fontId="44" fillId="0" borderId="20" xfId="0" applyFont="1" applyBorder="1" applyAlignment="1">
      <alignment wrapText="1"/>
    </xf>
    <xf numFmtId="0" fontId="41" fillId="8" borderId="5" xfId="0" applyFont="1" applyFill="1" applyBorder="1" applyAlignment="1">
      <alignment horizontal="right"/>
    </xf>
    <xf numFmtId="0" fontId="44" fillId="0" borderId="23" xfId="0" applyFont="1" applyBorder="1"/>
    <xf numFmtId="0" fontId="44" fillId="0" borderId="24" xfId="0" applyFont="1" applyBorder="1"/>
    <xf numFmtId="0" fontId="44" fillId="0" borderId="25" xfId="0" applyFont="1" applyBorder="1"/>
    <xf numFmtId="0" fontId="45" fillId="0" borderId="0" xfId="8" applyFont="1"/>
    <xf numFmtId="0" fontId="36" fillId="0" borderId="0" xfId="0" applyFont="1" applyBorder="1" applyAlignment="1">
      <alignment horizontal="left"/>
    </xf>
    <xf numFmtId="0" fontId="44" fillId="0" borderId="3" xfId="0" applyFont="1" applyBorder="1"/>
    <xf numFmtId="0" fontId="36" fillId="13" borderId="3" xfId="9" applyFont="1" applyFill="1" applyBorder="1"/>
    <xf numFmtId="170" fontId="36" fillId="13" borderId="3" xfId="9" applyNumberFormat="1" applyFont="1" applyFill="1" applyBorder="1"/>
    <xf numFmtId="0" fontId="44" fillId="0" borderId="3" xfId="9" applyFont="1" applyBorder="1"/>
    <xf numFmtId="170" fontId="44" fillId="0" borderId="3" xfId="9" applyNumberFormat="1" applyFont="1" applyBorder="1"/>
    <xf numFmtId="185" fontId="36" fillId="0" borderId="16" xfId="7" applyNumberFormat="1" applyFont="1" applyBorder="1" applyAlignment="1" applyProtection="1"/>
    <xf numFmtId="0" fontId="36" fillId="0" borderId="16" xfId="0" applyFont="1" applyBorder="1"/>
    <xf numFmtId="0" fontId="36" fillId="0" borderId="3" xfId="9" applyFont="1" applyFill="1" applyBorder="1" applyAlignment="1"/>
    <xf numFmtId="0" fontId="36" fillId="0" borderId="3" xfId="9" applyFont="1" applyFill="1" applyBorder="1" applyAlignment="1" applyProtection="1"/>
    <xf numFmtId="170" fontId="36" fillId="0" borderId="3" xfId="3" applyFont="1" applyFill="1" applyBorder="1" applyAlignment="1"/>
    <xf numFmtId="0" fontId="36" fillId="0" borderId="3" xfId="9" applyNumberFormat="1" applyFont="1" applyFill="1" applyBorder="1" applyAlignment="1"/>
    <xf numFmtId="171" fontId="36" fillId="0" borderId="3" xfId="35" applyFont="1" applyFill="1" applyBorder="1" applyAlignment="1"/>
    <xf numFmtId="11" fontId="36" fillId="0" borderId="3" xfId="9" applyNumberFormat="1" applyFont="1" applyFill="1" applyBorder="1" applyAlignment="1">
      <alignment wrapText="1"/>
    </xf>
    <xf numFmtId="11" fontId="36" fillId="0" borderId="3" xfId="37" applyNumberFormat="1" applyFont="1" applyFill="1" applyBorder="1" applyAlignment="1"/>
    <xf numFmtId="184" fontId="36" fillId="0" borderId="3" xfId="35" applyNumberFormat="1" applyFont="1" applyFill="1" applyBorder="1" applyAlignment="1"/>
    <xf numFmtId="2" fontId="36" fillId="0" borderId="3" xfId="35" applyNumberFormat="1" applyFont="1" applyFill="1" applyBorder="1" applyAlignment="1"/>
    <xf numFmtId="0" fontId="36" fillId="0" borderId="3" xfId="9" applyNumberFormat="1" applyFont="1" applyFill="1" applyBorder="1"/>
    <xf numFmtId="170" fontId="36" fillId="0" borderId="3" xfId="36" applyFont="1" applyFill="1" applyBorder="1"/>
    <xf numFmtId="170" fontId="36" fillId="0" borderId="3" xfId="36" applyNumberFormat="1" applyFont="1" applyFill="1" applyBorder="1"/>
    <xf numFmtId="3" fontId="36" fillId="0" borderId="3" xfId="9" applyNumberFormat="1" applyFont="1" applyBorder="1" applyAlignment="1"/>
    <xf numFmtId="0" fontId="36" fillId="0" borderId="20" xfId="9" applyFont="1" applyBorder="1" applyAlignment="1"/>
    <xf numFmtId="0" fontId="46" fillId="0" borderId="0" xfId="39" applyFont="1" applyBorder="1"/>
    <xf numFmtId="0" fontId="46" fillId="0" borderId="0" xfId="39" applyFont="1" applyBorder="1" applyAlignment="1">
      <alignment horizontal="right"/>
    </xf>
    <xf numFmtId="0" fontId="47" fillId="16" borderId="46" xfId="39" applyFont="1" applyFill="1" applyBorder="1"/>
    <xf numFmtId="170" fontId="46" fillId="0" borderId="0" xfId="39" applyNumberFormat="1" applyFont="1" applyBorder="1"/>
    <xf numFmtId="37" fontId="46" fillId="0" borderId="0" xfId="39" applyNumberFormat="1" applyFont="1" applyBorder="1"/>
    <xf numFmtId="0" fontId="46" fillId="0" borderId="44" xfId="39" applyFont="1" applyBorder="1"/>
    <xf numFmtId="0" fontId="47" fillId="16" borderId="47" xfId="39" applyFont="1" applyFill="1" applyBorder="1"/>
    <xf numFmtId="0" fontId="47" fillId="16" borderId="38" xfId="39" applyFont="1" applyFill="1" applyBorder="1"/>
    <xf numFmtId="170" fontId="46" fillId="0" borderId="46" xfId="43" applyFont="1" applyFill="1" applyBorder="1">
      <alignment vertical="center" wrapText="1"/>
    </xf>
    <xf numFmtId="11" fontId="42" fillId="0" borderId="46" xfId="39" applyNumberFormat="1" applyFont="1" applyBorder="1"/>
    <xf numFmtId="0" fontId="47" fillId="0" borderId="44" xfId="39" applyFont="1" applyBorder="1"/>
    <xf numFmtId="0" fontId="47" fillId="0" borderId="0" xfId="39" applyFont="1" applyBorder="1"/>
    <xf numFmtId="0" fontId="47" fillId="16" borderId="5" xfId="39" applyFont="1" applyFill="1" applyBorder="1" applyAlignment="1">
      <alignment horizontal="right"/>
    </xf>
    <xf numFmtId="0" fontId="48" fillId="0" borderId="40" xfId="0" applyFont="1" applyBorder="1"/>
    <xf numFmtId="0" fontId="48" fillId="0" borderId="41" xfId="0" applyFont="1" applyBorder="1"/>
    <xf numFmtId="0" fontId="48" fillId="0" borderId="42" xfId="0" applyFont="1" applyBorder="1"/>
    <xf numFmtId="0" fontId="47" fillId="8" borderId="51" xfId="0" applyFont="1" applyFill="1" applyBorder="1"/>
    <xf numFmtId="0" fontId="46" fillId="0" borderId="0" xfId="0" applyFont="1" applyBorder="1"/>
    <xf numFmtId="0" fontId="47" fillId="8" borderId="16" xfId="0" applyFont="1" applyFill="1" applyBorder="1"/>
    <xf numFmtId="0" fontId="48" fillId="0" borderId="43" xfId="0" applyFont="1" applyBorder="1"/>
    <xf numFmtId="0" fontId="49" fillId="0" borderId="0" xfId="8" applyFont="1" applyBorder="1"/>
    <xf numFmtId="0" fontId="46" fillId="0" borderId="16" xfId="0" applyFont="1" applyBorder="1"/>
    <xf numFmtId="49" fontId="46" fillId="0" borderId="0" xfId="0" applyNumberFormat="1" applyFont="1" applyBorder="1" applyAlignment="1">
      <alignment horizontal="left"/>
    </xf>
    <xf numFmtId="0" fontId="46" fillId="0" borderId="47" xfId="42" applyFont="1" applyFill="1" applyBorder="1"/>
    <xf numFmtId="0" fontId="46" fillId="0" borderId="46" xfId="42" applyFont="1" applyFill="1" applyBorder="1" applyAlignment="1" applyProtection="1">
      <alignment wrapText="1"/>
    </xf>
    <xf numFmtId="0" fontId="46" fillId="0" borderId="46" xfId="42" applyFont="1" applyFill="1" applyBorder="1" applyAlignment="1">
      <alignment horizontal="left"/>
    </xf>
    <xf numFmtId="170" fontId="46" fillId="0" borderId="46" xfId="3" applyFont="1" applyFill="1" applyBorder="1"/>
    <xf numFmtId="179" fontId="46" fillId="0" borderId="46" xfId="42" applyNumberFormat="1" applyFont="1" applyFill="1" applyBorder="1"/>
    <xf numFmtId="0" fontId="46" fillId="0" borderId="46" xfId="42" applyFont="1" applyFill="1" applyBorder="1"/>
    <xf numFmtId="43" fontId="46" fillId="0" borderId="46" xfId="41" applyFont="1" applyFill="1" applyBorder="1"/>
    <xf numFmtId="11" fontId="46" fillId="0" borderId="46" xfId="42" applyNumberFormat="1" applyFont="1" applyFill="1" applyBorder="1" applyAlignment="1">
      <alignment wrapText="1"/>
    </xf>
    <xf numFmtId="11" fontId="46" fillId="0" borderId="46" xfId="41" applyNumberFormat="1" applyFont="1" applyFill="1" applyBorder="1"/>
    <xf numFmtId="0" fontId="46" fillId="0" borderId="46" xfId="41" applyNumberFormat="1" applyFont="1" applyFill="1" applyBorder="1"/>
    <xf numFmtId="170" fontId="46" fillId="0" borderId="46" xfId="36" applyNumberFormat="1" applyFont="1" applyFill="1" applyBorder="1"/>
    <xf numFmtId="0" fontId="46" fillId="0" borderId="46" xfId="39" applyFont="1" applyFill="1" applyBorder="1" applyAlignment="1" applyProtection="1">
      <alignment vertical="center" wrapText="1"/>
    </xf>
    <xf numFmtId="0" fontId="42" fillId="0" borderId="47" xfId="42" applyFont="1" applyBorder="1"/>
    <xf numFmtId="0" fontId="42" fillId="0" borderId="46" xfId="30" applyFont="1" applyFill="1" applyBorder="1" applyAlignment="1">
      <alignment wrapText="1"/>
    </xf>
    <xf numFmtId="0" fontId="42" fillId="0" borderId="46" xfId="42" applyFont="1" applyBorder="1" applyAlignment="1">
      <alignment wrapText="1"/>
    </xf>
    <xf numFmtId="170" fontId="42" fillId="0" borderId="46" xfId="3" applyFont="1" applyFill="1" applyBorder="1"/>
    <xf numFmtId="0" fontId="42" fillId="0" borderId="46" xfId="42" applyFont="1" applyBorder="1"/>
    <xf numFmtId="170" fontId="46" fillId="0" borderId="46" xfId="3" applyNumberFormat="1" applyFont="1" applyFill="1" applyBorder="1" applyAlignment="1"/>
    <xf numFmtId="0" fontId="42" fillId="0" borderId="47" xfId="42" applyFont="1" applyFill="1" applyBorder="1"/>
    <xf numFmtId="0" fontId="42" fillId="0" borderId="45" xfId="30" applyFont="1" applyFill="1" applyBorder="1" applyAlignment="1">
      <alignment wrapText="1"/>
    </xf>
    <xf numFmtId="175" fontId="42" fillId="0" borderId="46" xfId="42" applyNumberFormat="1" applyFont="1" applyFill="1" applyBorder="1"/>
    <xf numFmtId="0" fontId="46" fillId="0" borderId="46" xfId="30" applyFont="1" applyFill="1" applyBorder="1" applyAlignment="1">
      <alignment wrapText="1"/>
    </xf>
    <xf numFmtId="0" fontId="42" fillId="13" borderId="46" xfId="42" applyFont="1" applyFill="1" applyBorder="1"/>
    <xf numFmtId="170" fontId="42" fillId="13" borderId="46" xfId="42" applyNumberFormat="1" applyFont="1" applyFill="1" applyBorder="1"/>
    <xf numFmtId="170" fontId="42" fillId="0" borderId="46" xfId="3" applyNumberFormat="1" applyFont="1" applyFill="1" applyBorder="1" applyAlignment="1"/>
    <xf numFmtId="11" fontId="42" fillId="0" borderId="46" xfId="42" applyNumberFormat="1" applyFont="1" applyBorder="1"/>
    <xf numFmtId="0" fontId="42" fillId="0" borderId="0" xfId="0" applyFont="1" applyBorder="1"/>
    <xf numFmtId="0" fontId="48" fillId="0" borderId="0" xfId="0" applyFont="1" applyBorder="1"/>
    <xf numFmtId="0" fontId="48" fillId="0" borderId="48" xfId="0" applyFont="1" applyBorder="1"/>
    <xf numFmtId="0" fontId="48" fillId="0" borderId="49" xfId="0" applyFont="1" applyBorder="1"/>
    <xf numFmtId="0" fontId="48" fillId="0" borderId="50" xfId="0" applyFont="1" applyBorder="1"/>
    <xf numFmtId="0" fontId="23" fillId="0" borderId="33" xfId="8" applyNumberFormat="1" applyBorder="1" applyAlignment="1" applyProtection="1"/>
    <xf numFmtId="0" fontId="23" fillId="0" borderId="46" xfId="8" applyNumberFormat="1" applyBorder="1" applyAlignment="1" applyProtection="1"/>
    <xf numFmtId="0" fontId="9" fillId="0" borderId="46" xfId="0" applyFont="1" applyFill="1" applyBorder="1"/>
    <xf numFmtId="165" fontId="9" fillId="0" borderId="35" xfId="7" applyNumberFormat="1" applyFont="1" applyBorder="1" applyAlignment="1" applyProtection="1"/>
    <xf numFmtId="165" fontId="9" fillId="0" borderId="52" xfId="7" applyNumberFormat="1" applyFont="1" applyBorder="1" applyAlignment="1" applyProtection="1"/>
    <xf numFmtId="0" fontId="16" fillId="10" borderId="46" xfId="1" applyFont="1" applyFill="1" applyBorder="1" applyProtection="1">
      <protection locked="0"/>
    </xf>
    <xf numFmtId="18" fontId="16" fillId="10" borderId="46" xfId="1" applyNumberFormat="1" applyFont="1" applyFill="1" applyBorder="1" applyAlignment="1" applyProtection="1">
      <protection locked="0"/>
    </xf>
    <xf numFmtId="0" fontId="23" fillId="10" borderId="46" xfId="8" applyFill="1" applyBorder="1" applyAlignment="1">
      <alignment horizontal="left"/>
    </xf>
    <xf numFmtId="0" fontId="16" fillId="10" borderId="46" xfId="1" applyFont="1" applyFill="1" applyBorder="1" applyAlignment="1">
      <alignment horizontal="center"/>
    </xf>
    <xf numFmtId="0" fontId="41" fillId="7" borderId="16" xfId="0" applyFont="1" applyFill="1" applyBorder="1"/>
    <xf numFmtId="172" fontId="36" fillId="0" borderId="16" xfId="7" applyNumberFormat="1" applyFont="1" applyBorder="1" applyAlignment="1" applyProtection="1"/>
    <xf numFmtId="0" fontId="41" fillId="7" borderId="0" xfId="0" applyFont="1" applyFill="1" applyBorder="1"/>
    <xf numFmtId="0" fontId="45" fillId="0" borderId="16" xfId="8" applyNumberFormat="1" applyFont="1" applyBorder="1" applyAlignment="1" applyProtection="1"/>
    <xf numFmtId="0" fontId="36" fillId="0" borderId="16" xfId="0" applyNumberFormat="1" applyFont="1" applyBorder="1"/>
    <xf numFmtId="0" fontId="36" fillId="0" borderId="20" xfId="7" applyNumberFormat="1" applyFont="1" applyBorder="1" applyAlignment="1"/>
    <xf numFmtId="0" fontId="36" fillId="0" borderId="46" xfId="0" applyFont="1" applyFill="1" applyBorder="1"/>
    <xf numFmtId="0" fontId="36" fillId="0" borderId="33" xfId="0" applyFont="1" applyBorder="1"/>
    <xf numFmtId="0" fontId="41" fillId="7" borderId="16" xfId="0" applyFont="1" applyFill="1" applyBorder="1" applyAlignment="1">
      <alignment horizontal="right"/>
    </xf>
    <xf numFmtId="165" fontId="41" fillId="7" borderId="16" xfId="0" applyNumberFormat="1" applyFont="1" applyFill="1" applyBorder="1"/>
    <xf numFmtId="165" fontId="36" fillId="0" borderId="33" xfId="7" applyNumberFormat="1" applyFont="1" applyBorder="1" applyAlignment="1" applyProtection="1"/>
    <xf numFmtId="0" fontId="44" fillId="0" borderId="16" xfId="7" applyNumberFormat="1" applyFont="1" applyBorder="1" applyAlignment="1">
      <alignment wrapText="1"/>
    </xf>
    <xf numFmtId="0" fontId="44" fillId="0" borderId="16" xfId="0" applyFont="1" applyBorder="1"/>
    <xf numFmtId="0" fontId="41" fillId="7" borderId="33" xfId="0" applyFont="1" applyFill="1" applyBorder="1"/>
    <xf numFmtId="0" fontId="41" fillId="7" borderId="34" xfId="0" applyFont="1" applyFill="1" applyBorder="1"/>
    <xf numFmtId="165" fontId="41" fillId="7" borderId="34" xfId="0" applyNumberFormat="1" applyFont="1" applyFill="1" applyBorder="1"/>
    <xf numFmtId="0" fontId="36" fillId="0" borderId="46" xfId="0" applyFont="1" applyBorder="1"/>
    <xf numFmtId="170" fontId="36" fillId="0" borderId="46" xfId="11" applyFont="1" applyFill="1" applyBorder="1">
      <alignment vertical="center" wrapText="1"/>
    </xf>
    <xf numFmtId="164" fontId="36" fillId="0" borderId="46" xfId="7" applyNumberFormat="1" applyFont="1" applyBorder="1" applyAlignment="1" applyProtection="1"/>
    <xf numFmtId="11" fontId="36" fillId="0" borderId="46" xfId="0" applyNumberFormat="1" applyFont="1" applyBorder="1"/>
    <xf numFmtId="167" fontId="36" fillId="0" borderId="46" xfId="7" applyNumberFormat="1" applyFont="1" applyBorder="1" applyAlignment="1" applyProtection="1"/>
    <xf numFmtId="169" fontId="36" fillId="0" borderId="46" xfId="7" applyNumberFormat="1" applyFont="1" applyBorder="1" applyAlignment="1" applyProtection="1"/>
    <xf numFmtId="165" fontId="36" fillId="0" borderId="46" xfId="7" applyNumberFormat="1" applyFont="1" applyBorder="1" applyAlignment="1" applyProtection="1"/>
    <xf numFmtId="0" fontId="36" fillId="0" borderId="46" xfId="31" applyFont="1" applyFill="1" applyBorder="1"/>
    <xf numFmtId="0" fontId="36" fillId="0" borderId="46" xfId="31" applyFont="1" applyFill="1" applyBorder="1" applyAlignment="1">
      <alignment wrapText="1"/>
    </xf>
    <xf numFmtId="0" fontId="36" fillId="0" borderId="46" xfId="0" applyFont="1" applyBorder="1" applyAlignment="1"/>
    <xf numFmtId="11" fontId="36" fillId="0" borderId="46" xfId="0" applyNumberFormat="1" applyFont="1" applyBorder="1" applyAlignment="1"/>
    <xf numFmtId="173" fontId="36" fillId="0" borderId="46" xfId="7" applyNumberFormat="1" applyFont="1" applyBorder="1" applyAlignment="1" applyProtection="1"/>
    <xf numFmtId="168" fontId="36" fillId="0" borderId="46" xfId="7" applyNumberFormat="1" applyFont="1" applyBorder="1" applyAlignment="1" applyProtection="1"/>
    <xf numFmtId="0" fontId="44" fillId="0" borderId="46" xfId="0" applyFont="1" applyBorder="1" applyAlignment="1"/>
    <xf numFmtId="2" fontId="36" fillId="0" borderId="46" xfId="7" applyNumberFormat="1" applyFont="1" applyBorder="1" applyAlignment="1" applyProtection="1"/>
    <xf numFmtId="0" fontId="45" fillId="0" borderId="33" xfId="8" applyNumberFormat="1" applyFont="1" applyBorder="1" applyAlignment="1" applyProtection="1"/>
    <xf numFmtId="0" fontId="36" fillId="0" borderId="33" xfId="0" applyNumberFormat="1" applyFont="1" applyBorder="1"/>
    <xf numFmtId="0" fontId="41" fillId="7" borderId="34" xfId="0" applyFont="1" applyFill="1" applyBorder="1" applyAlignment="1">
      <alignment horizontal="right"/>
    </xf>
    <xf numFmtId="0" fontId="31" fillId="0" borderId="46" xfId="42" applyFont="1" applyFill="1" applyBorder="1" applyAlignment="1"/>
    <xf numFmtId="0" fontId="31" fillId="0" borderId="46" xfId="42" applyFont="1" applyFill="1" applyBorder="1" applyAlignment="1" applyProtection="1"/>
    <xf numFmtId="170" fontId="31" fillId="0" borderId="46" xfId="3" applyFont="1" applyFill="1" applyBorder="1" applyAlignment="1"/>
    <xf numFmtId="0" fontId="31" fillId="0" borderId="46" xfId="42" applyNumberFormat="1" applyFont="1" applyFill="1" applyBorder="1" applyAlignment="1"/>
    <xf numFmtId="171" fontId="31" fillId="0" borderId="46" xfId="35" applyFont="1" applyFill="1" applyBorder="1" applyAlignment="1"/>
    <xf numFmtId="0" fontId="10" fillId="0" borderId="46" xfId="42" applyBorder="1" applyAlignment="1">
      <alignment wrapText="1"/>
    </xf>
    <xf numFmtId="0" fontId="31" fillId="0" borderId="46" xfId="42" applyFont="1" applyBorder="1" applyAlignment="1">
      <alignment wrapText="1"/>
    </xf>
    <xf numFmtId="170" fontId="31" fillId="0" borderId="46" xfId="3" applyFont="1" applyFill="1" applyBorder="1" applyAlignment="1">
      <alignment wrapText="1"/>
    </xf>
    <xf numFmtId="170" fontId="31" fillId="0" borderId="46" xfId="3" applyNumberFormat="1" applyFont="1" applyFill="1" applyBorder="1" applyAlignment="1">
      <alignment wrapText="1"/>
    </xf>
    <xf numFmtId="0" fontId="31" fillId="0" borderId="46" xfId="42" applyFont="1" applyFill="1" applyBorder="1" applyAlignment="1">
      <alignment wrapText="1"/>
    </xf>
    <xf numFmtId="0" fontId="31" fillId="0" borderId="46" xfId="42" applyFont="1" applyBorder="1"/>
    <xf numFmtId="0" fontId="10" fillId="0" borderId="0" xfId="42" applyBorder="1" applyAlignment="1">
      <alignment wrapText="1"/>
    </xf>
    <xf numFmtId="0" fontId="10" fillId="0" borderId="20" xfId="42" applyBorder="1" applyAlignment="1">
      <alignment wrapText="1"/>
    </xf>
    <xf numFmtId="0" fontId="10" fillId="0" borderId="0" xfId="42"/>
    <xf numFmtId="0" fontId="10" fillId="0" borderId="0" xfId="42" applyBorder="1"/>
    <xf numFmtId="0" fontId="10" fillId="0" borderId="20" xfId="42" applyBorder="1"/>
    <xf numFmtId="0" fontId="10" fillId="0" borderId="0" xfId="42" applyFont="1" applyBorder="1"/>
    <xf numFmtId="0" fontId="10" fillId="0" borderId="20" xfId="42" applyFont="1" applyBorder="1"/>
    <xf numFmtId="0" fontId="8" fillId="0" borderId="0" xfId="42" applyFont="1" applyBorder="1"/>
    <xf numFmtId="0" fontId="10" fillId="13" borderId="0" xfId="42" applyFill="1" applyBorder="1"/>
    <xf numFmtId="2" fontId="31" fillId="0" borderId="3" xfId="9" applyNumberFormat="1" applyFont="1" applyFill="1" applyBorder="1" applyAlignment="1">
      <alignment horizontal="right" wrapText="1"/>
    </xf>
    <xf numFmtId="0" fontId="48" fillId="0" borderId="17" xfId="0" applyFont="1" applyBorder="1"/>
    <xf numFmtId="0" fontId="48" fillId="0" borderId="18" xfId="0" applyFont="1" applyBorder="1"/>
    <xf numFmtId="0" fontId="48" fillId="0" borderId="19" xfId="0" applyFont="1" applyBorder="1"/>
    <xf numFmtId="0" fontId="47" fillId="8" borderId="16" xfId="0" applyFont="1" applyFill="1" applyBorder="1" applyAlignment="1">
      <alignment horizontal="left"/>
    </xf>
    <xf numFmtId="0" fontId="46" fillId="0" borderId="16" xfId="0" applyFont="1" applyBorder="1" applyAlignment="1">
      <alignment horizontal="right"/>
    </xf>
    <xf numFmtId="165" fontId="46" fillId="0" borderId="16" xfId="7" applyNumberFormat="1" applyFont="1" applyBorder="1" applyAlignment="1" applyProtection="1"/>
    <xf numFmtId="0" fontId="48" fillId="0" borderId="20" xfId="0" applyFont="1" applyBorder="1"/>
    <xf numFmtId="0" fontId="49" fillId="0" borderId="0" xfId="8" applyFont="1"/>
    <xf numFmtId="37" fontId="46" fillId="0" borderId="16" xfId="7" applyNumberFormat="1" applyFont="1" applyBorder="1" applyAlignment="1" applyProtection="1"/>
    <xf numFmtId="0" fontId="47" fillId="8" borderId="2" xfId="0" applyFont="1" applyFill="1" applyBorder="1"/>
    <xf numFmtId="0" fontId="46" fillId="0" borderId="0" xfId="0" applyFont="1" applyBorder="1" applyAlignment="1">
      <alignment horizontal="left"/>
    </xf>
    <xf numFmtId="0" fontId="47" fillId="0" borderId="26" xfId="0" applyFont="1" applyBorder="1"/>
    <xf numFmtId="0" fontId="47" fillId="0" borderId="4" xfId="0" applyFont="1" applyBorder="1"/>
    <xf numFmtId="0" fontId="47" fillId="8" borderId="27" xfId="0" applyFont="1" applyFill="1" applyBorder="1"/>
    <xf numFmtId="0" fontId="47" fillId="8" borderId="5" xfId="0" applyFont="1" applyFill="1" applyBorder="1"/>
    <xf numFmtId="0" fontId="47" fillId="8" borderId="3" xfId="0" applyFont="1" applyFill="1" applyBorder="1"/>
    <xf numFmtId="0" fontId="46" fillId="0" borderId="22" xfId="0" applyFont="1" applyBorder="1" applyAlignment="1"/>
    <xf numFmtId="0" fontId="48" fillId="0" borderId="3" xfId="0" applyFont="1" applyBorder="1"/>
    <xf numFmtId="0" fontId="46" fillId="0" borderId="3" xfId="0" applyFont="1" applyBorder="1" applyAlignment="1"/>
    <xf numFmtId="165" fontId="46" fillId="0" borderId="3" xfId="7" applyNumberFormat="1" applyFont="1" applyBorder="1" applyAlignment="1" applyProtection="1"/>
    <xf numFmtId="176" fontId="46" fillId="0" borderId="3" xfId="0" applyNumberFormat="1" applyFont="1" applyBorder="1" applyAlignment="1"/>
    <xf numFmtId="164" fontId="46" fillId="0" borderId="3" xfId="7" applyNumberFormat="1" applyFont="1" applyBorder="1" applyAlignment="1" applyProtection="1"/>
    <xf numFmtId="11" fontId="46" fillId="0" borderId="3" xfId="0" applyNumberFormat="1" applyFont="1" applyBorder="1" applyAlignment="1"/>
    <xf numFmtId="2" fontId="46" fillId="0" borderId="16" xfId="7" applyNumberFormat="1" applyFont="1" applyBorder="1" applyAlignment="1" applyProtection="1"/>
    <xf numFmtId="182" fontId="46" fillId="0" borderId="16" xfId="7" applyNumberFormat="1" applyFont="1" applyBorder="1" applyAlignment="1" applyProtection="1"/>
    <xf numFmtId="0" fontId="48" fillId="0" borderId="16" xfId="0" applyFont="1" applyBorder="1" applyAlignment="1"/>
    <xf numFmtId="1" fontId="46" fillId="0" borderId="3" xfId="7" applyNumberFormat="1" applyFont="1" applyBorder="1" applyAlignment="1" applyProtection="1"/>
    <xf numFmtId="0" fontId="48" fillId="0" borderId="20" xfId="0" applyFont="1" applyBorder="1" applyAlignment="1"/>
    <xf numFmtId="0" fontId="47" fillId="0" borderId="21" xfId="0" applyFont="1" applyBorder="1"/>
    <xf numFmtId="0" fontId="47" fillId="0" borderId="0" xfId="0" applyFont="1" applyBorder="1"/>
    <xf numFmtId="0" fontId="47" fillId="8" borderId="3" xfId="0" applyFont="1" applyFill="1" applyBorder="1" applyAlignment="1">
      <alignment horizontal="right"/>
    </xf>
    <xf numFmtId="165" fontId="47" fillId="8" borderId="5" xfId="0" applyNumberFormat="1" applyFont="1" applyFill="1" applyBorder="1"/>
    <xf numFmtId="0" fontId="48" fillId="0" borderId="21" xfId="0" applyFont="1" applyBorder="1"/>
    <xf numFmtId="0" fontId="47" fillId="8" borderId="22" xfId="0" applyFont="1" applyFill="1" applyBorder="1"/>
    <xf numFmtId="0" fontId="47" fillId="8" borderId="5" xfId="0" applyFont="1" applyFill="1" applyBorder="1" applyAlignment="1">
      <alignment horizontal="right"/>
    </xf>
    <xf numFmtId="0" fontId="48" fillId="0" borderId="23" xfId="0" applyFont="1" applyBorder="1"/>
    <xf numFmtId="0" fontId="48" fillId="0" borderId="24" xfId="0" applyFont="1" applyBorder="1"/>
    <xf numFmtId="0" fontId="48" fillId="0" borderId="25" xfId="0" applyFont="1" applyBorder="1"/>
    <xf numFmtId="0" fontId="31" fillId="0" borderId="46" xfId="42" applyFont="1" applyFill="1" applyBorder="1" applyAlignment="1">
      <alignment horizontal="left" wrapText="1"/>
    </xf>
    <xf numFmtId="170" fontId="31" fillId="0" borderId="46" xfId="36" applyFont="1" applyFill="1" applyBorder="1"/>
    <xf numFmtId="0" fontId="42" fillId="0" borderId="46" xfId="39" applyFont="1" applyBorder="1" applyAlignment="1">
      <alignment wrapText="1"/>
    </xf>
    <xf numFmtId="0" fontId="23" fillId="0" borderId="46" xfId="8" applyBorder="1"/>
    <xf numFmtId="0" fontId="9" fillId="0" borderId="33" xfId="0" applyFont="1" applyBorder="1" applyAlignment="1"/>
    <xf numFmtId="11" fontId="9" fillId="0" borderId="33" xfId="0" applyNumberFormat="1" applyFont="1" applyBorder="1" applyAlignment="1"/>
    <xf numFmtId="173" fontId="9" fillId="0" borderId="33" xfId="7" applyNumberFormat="1" applyFont="1" applyBorder="1" applyAlignment="1" applyProtection="1"/>
    <xf numFmtId="168" fontId="9" fillId="0" borderId="33" xfId="7" applyNumberFormat="1" applyFont="1" applyBorder="1" applyAlignment="1" applyProtection="1"/>
    <xf numFmtId="165" fontId="8" fillId="7" borderId="5" xfId="0" applyNumberFormat="1" applyFont="1" applyFill="1" applyBorder="1"/>
    <xf numFmtId="0" fontId="9" fillId="0" borderId="46" xfId="0" applyFont="1" applyBorder="1"/>
    <xf numFmtId="0" fontId="31" fillId="0" borderId="46" xfId="31" applyFont="1" applyFill="1" applyBorder="1"/>
    <xf numFmtId="0" fontId="31" fillId="0" borderId="46" xfId="31" applyFont="1" applyFill="1" applyBorder="1" applyAlignment="1">
      <alignment wrapText="1"/>
    </xf>
    <xf numFmtId="165" fontId="9" fillId="0" borderId="46" xfId="7" applyNumberFormat="1" applyFont="1" applyBorder="1" applyAlignment="1" applyProtection="1"/>
    <xf numFmtId="164" fontId="9" fillId="0" borderId="46" xfId="7" applyNumberFormat="1" applyFont="1" applyBorder="1" applyAlignment="1" applyProtection="1"/>
    <xf numFmtId="2" fontId="9" fillId="0" borderId="46" xfId="7" applyNumberFormat="1" applyFont="1" applyBorder="1" applyAlignment="1" applyProtection="1"/>
    <xf numFmtId="169" fontId="9" fillId="0" borderId="46" xfId="7" applyNumberFormat="1" applyFont="1" applyBorder="1" applyAlignment="1" applyProtection="1"/>
    <xf numFmtId="0" fontId="0" fillId="0" borderId="46" xfId="0" applyBorder="1" applyAlignment="1"/>
    <xf numFmtId="191" fontId="9" fillId="0" borderId="16" xfId="7" applyNumberFormat="1" applyFont="1" applyBorder="1" applyAlignment="1" applyProtection="1"/>
    <xf numFmtId="0" fontId="42" fillId="0" borderId="17" xfId="33" applyFont="1" applyBorder="1"/>
    <xf numFmtId="0" fontId="42" fillId="0" borderId="18" xfId="33" applyFont="1" applyBorder="1"/>
    <xf numFmtId="0" fontId="42" fillId="0" borderId="19" xfId="33" applyFont="1" applyBorder="1"/>
    <xf numFmtId="0" fontId="43" fillId="8" borderId="16" xfId="33" applyFont="1" applyFill="1" applyBorder="1"/>
    <xf numFmtId="0" fontId="42" fillId="0" borderId="0" xfId="33" applyFont="1" applyBorder="1"/>
    <xf numFmtId="0" fontId="50" fillId="0" borderId="0" xfId="8" applyFont="1" applyBorder="1"/>
    <xf numFmtId="0" fontId="43" fillId="8" borderId="16" xfId="33" applyFont="1" applyFill="1" applyBorder="1" applyAlignment="1">
      <alignment horizontal="left"/>
    </xf>
    <xf numFmtId="0" fontId="42" fillId="0" borderId="16" xfId="33" applyFont="1" applyBorder="1" applyAlignment="1">
      <alignment horizontal="right"/>
    </xf>
    <xf numFmtId="165" fontId="42" fillId="0" borderId="16" xfId="7" applyNumberFormat="1" applyFont="1" applyBorder="1" applyAlignment="1" applyProtection="1"/>
    <xf numFmtId="0" fontId="42" fillId="0" borderId="20" xfId="33" applyFont="1" applyBorder="1"/>
    <xf numFmtId="0" fontId="50" fillId="0" borderId="0" xfId="8" applyFont="1"/>
    <xf numFmtId="37" fontId="42" fillId="0" borderId="16" xfId="7" applyNumberFormat="1" applyFont="1" applyBorder="1" applyAlignment="1" applyProtection="1"/>
    <xf numFmtId="0" fontId="43" fillId="8" borderId="2" xfId="33" applyFont="1" applyFill="1" applyBorder="1"/>
    <xf numFmtId="0" fontId="42" fillId="0" borderId="0" xfId="33" applyFont="1" applyBorder="1" applyAlignment="1">
      <alignment horizontal="left"/>
    </xf>
    <xf numFmtId="49" fontId="42" fillId="0" borderId="0" xfId="33" applyNumberFormat="1" applyFont="1" applyBorder="1" applyAlignment="1">
      <alignment horizontal="left"/>
    </xf>
    <xf numFmtId="0" fontId="43" fillId="0" borderId="26" xfId="33" applyFont="1" applyBorder="1"/>
    <xf numFmtId="0" fontId="43" fillId="0" borderId="4" xfId="33" applyFont="1" applyBorder="1"/>
    <xf numFmtId="0" fontId="43" fillId="8" borderId="27" xfId="33" applyFont="1" applyFill="1" applyBorder="1"/>
    <xf numFmtId="0" fontId="43" fillId="8" borderId="5" xfId="33" applyFont="1" applyFill="1" applyBorder="1"/>
    <xf numFmtId="0" fontId="43" fillId="8" borderId="3" xfId="33" applyFont="1" applyFill="1" applyBorder="1"/>
    <xf numFmtId="0" fontId="42" fillId="0" borderId="22" xfId="0" applyFont="1" applyBorder="1" applyAlignment="1"/>
    <xf numFmtId="0" fontId="42" fillId="0" borderId="3" xfId="0" applyFont="1" applyBorder="1"/>
    <xf numFmtId="0" fontId="42" fillId="0" borderId="3" xfId="0" applyFont="1" applyBorder="1" applyAlignment="1"/>
    <xf numFmtId="165" fontId="42" fillId="0" borderId="3" xfId="7" applyNumberFormat="1" applyFont="1" applyBorder="1" applyAlignment="1" applyProtection="1"/>
    <xf numFmtId="176" fontId="42" fillId="0" borderId="3" xfId="0" applyNumberFormat="1" applyFont="1" applyBorder="1" applyAlignment="1"/>
    <xf numFmtId="164" fontId="42" fillId="0" borderId="3" xfId="7" applyNumberFormat="1" applyFont="1" applyBorder="1" applyAlignment="1" applyProtection="1"/>
    <xf numFmtId="11" fontId="42" fillId="0" borderId="3" xfId="0" applyNumberFormat="1" applyFont="1" applyBorder="1" applyAlignment="1"/>
    <xf numFmtId="2" fontId="42" fillId="0" borderId="16" xfId="7" applyNumberFormat="1" applyFont="1" applyBorder="1" applyAlignment="1" applyProtection="1"/>
    <xf numFmtId="182" fontId="42" fillId="0" borderId="16" xfId="7" applyNumberFormat="1" applyFont="1" applyBorder="1" applyAlignment="1" applyProtection="1"/>
    <xf numFmtId="0" fontId="42" fillId="0" borderId="16" xfId="0" applyFont="1" applyBorder="1" applyAlignment="1"/>
    <xf numFmtId="1" fontId="42" fillId="0" borderId="3" xfId="7" applyNumberFormat="1" applyFont="1" applyBorder="1" applyAlignment="1" applyProtection="1"/>
    <xf numFmtId="0" fontId="42" fillId="0" borderId="20" xfId="33" applyFont="1" applyBorder="1" applyAlignment="1"/>
    <xf numFmtId="0" fontId="43" fillId="0" borderId="21" xfId="33" applyFont="1" applyBorder="1"/>
    <xf numFmtId="0" fontId="43" fillId="0" borderId="0" xfId="33" applyFont="1" applyBorder="1"/>
    <xf numFmtId="0" fontId="43" fillId="8" borderId="3" xfId="33" applyFont="1" applyFill="1" applyBorder="1" applyAlignment="1">
      <alignment horizontal="right"/>
    </xf>
    <xf numFmtId="165" fontId="43" fillId="8" borderId="5" xfId="33" applyNumberFormat="1" applyFont="1" applyFill="1" applyBorder="1"/>
    <xf numFmtId="0" fontId="42" fillId="0" borderId="21" xfId="33" applyFont="1" applyBorder="1"/>
    <xf numFmtId="0" fontId="43" fillId="8" borderId="22" xfId="33" applyFont="1" applyFill="1" applyBorder="1"/>
    <xf numFmtId="0" fontId="42" fillId="0" borderId="22" xfId="33" applyFont="1" applyBorder="1" applyAlignment="1">
      <alignment wrapText="1"/>
    </xf>
    <xf numFmtId="0" fontId="42" fillId="0" borderId="3" xfId="7" applyNumberFormat="1" applyFont="1" applyBorder="1" applyAlignment="1">
      <alignment wrapText="1"/>
    </xf>
    <xf numFmtId="0" fontId="42" fillId="0" borderId="3" xfId="33" applyFont="1" applyBorder="1" applyAlignment="1">
      <alignment wrapText="1"/>
    </xf>
    <xf numFmtId="165" fontId="42" fillId="0" borderId="3" xfId="7" applyNumberFormat="1" applyFont="1" applyBorder="1" applyAlignment="1" applyProtection="1">
      <alignment wrapText="1"/>
    </xf>
    <xf numFmtId="0" fontId="42" fillId="0" borderId="0" xfId="33" applyFont="1" applyBorder="1" applyAlignment="1">
      <alignment wrapText="1"/>
    </xf>
    <xf numFmtId="0" fontId="42" fillId="0" borderId="20" xfId="33" applyFont="1" applyBorder="1" applyAlignment="1">
      <alignment wrapText="1"/>
    </xf>
    <xf numFmtId="0" fontId="42" fillId="0" borderId="22" xfId="33" applyFont="1" applyBorder="1"/>
    <xf numFmtId="0" fontId="42" fillId="0" borderId="6" xfId="30" applyFont="1" applyFill="1" applyBorder="1" applyAlignment="1">
      <alignment wrapText="1"/>
    </xf>
    <xf numFmtId="0" fontId="42" fillId="0" borderId="3" xfId="33" applyFont="1" applyBorder="1"/>
    <xf numFmtId="0" fontId="42" fillId="0" borderId="3" xfId="33" applyNumberFormat="1" applyFont="1" applyBorder="1"/>
    <xf numFmtId="0" fontId="43" fillId="8" borderId="5" xfId="33" applyFont="1" applyFill="1" applyBorder="1" applyAlignment="1">
      <alignment horizontal="right"/>
    </xf>
    <xf numFmtId="0" fontId="42" fillId="0" borderId="23" xfId="33" applyFont="1" applyBorder="1"/>
    <xf numFmtId="0" fontId="42" fillId="0" borderId="24" xfId="33" applyFont="1" applyBorder="1"/>
    <xf numFmtId="0" fontId="42" fillId="0" borderId="25" xfId="33" applyFont="1" applyBorder="1"/>
    <xf numFmtId="0" fontId="46" fillId="0" borderId="46" xfId="42" applyFont="1" applyFill="1" applyBorder="1" applyAlignment="1">
      <alignment horizontal="left" wrapText="1"/>
    </xf>
    <xf numFmtId="0" fontId="8" fillId="8" borderId="46" xfId="0" applyFont="1" applyFill="1" applyBorder="1"/>
  </cellXfs>
  <cellStyles count="46">
    <cellStyle name="Comma 2" xfId="5"/>
    <cellStyle name="Cost Table Plain" xfId="10"/>
    <cellStyle name="Cost_Green" xfId="4"/>
    <cellStyle name="Cost_Red" xfId="43"/>
    <cellStyle name="Cost_Yellow" xfId="11"/>
    <cellStyle name="Currency 2" xfId="2"/>
    <cellStyle name="Currency 2 2" xfId="12"/>
    <cellStyle name="Good 2" xfId="13"/>
    <cellStyle name="Lien hypertexte" xfId="8" builtinId="8"/>
    <cellStyle name="Milliers 2" xfId="35"/>
    <cellStyle name="Milliers 2 2" xfId="41"/>
    <cellStyle name="Milliers 3" xfId="37"/>
    <cellStyle name="Milliers 3 2" xfId="45"/>
    <cellStyle name="Monétaire 10" xfId="36"/>
    <cellStyle name="Monétaire 10 2" xfId="29"/>
    <cellStyle name="Monétaire 2" xfId="3"/>
    <cellStyle name="Monétaire 3" xfId="14"/>
    <cellStyle name="Monétaire 4" xfId="40"/>
    <cellStyle name="Monétaire 4 3" xfId="44"/>
    <cellStyle name="Normal" xfId="0" builtinId="0"/>
    <cellStyle name="Normal 2" xfId="1"/>
    <cellStyle name="Normal 2 2" xfId="15"/>
    <cellStyle name="Normal 2 2 2" xfId="16"/>
    <cellStyle name="Normal 2 2 2 2" xfId="17"/>
    <cellStyle name="Normal 2 2 2 2 2" xfId="18"/>
    <cellStyle name="Normal 2 2 2 3" xfId="19"/>
    <cellStyle name="Normal 2 2 3" xfId="20"/>
    <cellStyle name="Normal 2 2 4" xfId="21"/>
    <cellStyle name="Normal 2 2 4 2" xfId="22"/>
    <cellStyle name="Normal 2 3" xfId="23"/>
    <cellStyle name="Normal 2 4" xfId="24"/>
    <cellStyle name="Normal 2 5" xfId="33"/>
    <cellStyle name="Normal 3" xfId="6"/>
    <cellStyle name="Normal 3 2" xfId="26"/>
    <cellStyle name="Normal 3 3" xfId="25"/>
    <cellStyle name="Normal 3 4" xfId="31"/>
    <cellStyle name="Normal 3 5" xfId="32"/>
    <cellStyle name="Normal 3 6" xfId="34"/>
    <cellStyle name="Normal 4" xfId="9"/>
    <cellStyle name="Normal 4 2" xfId="42"/>
    <cellStyle name="Normal 5" xfId="27"/>
    <cellStyle name="Normal 5 2" xfId="39"/>
    <cellStyle name="Normal 7" xfId="38"/>
    <cellStyle name="Normal_Sheet1" xfId="30"/>
    <cellStyle name="Style 1" xfId="28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FF00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haredStrings" Target="sharedString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jpe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hyperlink" Target="#SU_02006!B5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jpe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hyperlink" Target="#SU_02002!B5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SU_01002!B5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395007</xdr:colOff>
      <xdr:row>28</xdr:row>
      <xdr:rowOff>126066</xdr:rowOff>
    </xdr:from>
    <xdr:to>
      <xdr:col>13</xdr:col>
      <xdr:colOff>760305</xdr:colOff>
      <xdr:row>46</xdr:row>
      <xdr:rowOff>145925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867154" y="4249831"/>
          <a:ext cx="2875415" cy="341499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9</xdr:col>
      <xdr:colOff>630367</xdr:colOff>
      <xdr:row>32</xdr:row>
      <xdr:rowOff>99061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65761"/>
          <a:ext cx="7884607" cy="55854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10</xdr:col>
      <xdr:colOff>121904</xdr:colOff>
      <xdr:row>33</xdr:row>
      <xdr:rowOff>83820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65760"/>
          <a:ext cx="8130524" cy="5753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557617</xdr:colOff>
      <xdr:row>32</xdr:row>
      <xdr:rowOff>60960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65760"/>
          <a:ext cx="7827097" cy="55473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1</xdr:row>
      <xdr:rowOff>106680</xdr:rowOff>
    </xdr:from>
    <xdr:to>
      <xdr:col>10</xdr:col>
      <xdr:colOff>296457</xdr:colOff>
      <xdr:row>33</xdr:row>
      <xdr:rowOff>91440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720" y="289560"/>
          <a:ext cx="8251737" cy="583692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470318</xdr:colOff>
      <xdr:row>30</xdr:row>
      <xdr:rowOff>155933</xdr:rowOff>
    </xdr:from>
    <xdr:to>
      <xdr:col>14</xdr:col>
      <xdr:colOff>291730</xdr:colOff>
      <xdr:row>51</xdr:row>
      <xdr:rowOff>66674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05118" y="5804258"/>
          <a:ext cx="3126587" cy="389219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264184</xdr:colOff>
      <xdr:row>14</xdr:row>
      <xdr:rowOff>345057</xdr:rowOff>
    </xdr:from>
    <xdr:to>
      <xdr:col>13</xdr:col>
      <xdr:colOff>473852</xdr:colOff>
      <xdr:row>21</xdr:row>
      <xdr:rowOff>264184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13580" y="3004868"/>
          <a:ext cx="2948555" cy="206135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98844</xdr:colOff>
      <xdr:row>1</xdr:row>
      <xdr:rowOff>98844</xdr:rowOff>
    </xdr:from>
    <xdr:to>
      <xdr:col>10</xdr:col>
      <xdr:colOff>562604</xdr:colOff>
      <xdr:row>32</xdr:row>
      <xdr:rowOff>98843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2D20527-4F08-4414-A552-9E9580FA5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844" y="281724"/>
          <a:ext cx="8556200" cy="566927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272439</xdr:colOff>
      <xdr:row>13</xdr:row>
      <xdr:rowOff>135318</xdr:rowOff>
    </xdr:from>
    <xdr:to>
      <xdr:col>13</xdr:col>
      <xdr:colOff>733383</xdr:colOff>
      <xdr:row>21</xdr:row>
      <xdr:rowOff>14378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653665" y="2471639"/>
          <a:ext cx="2833209" cy="225132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126341</xdr:colOff>
      <xdr:row>1</xdr:row>
      <xdr:rowOff>158152</xdr:rowOff>
    </xdr:from>
    <xdr:ext cx="8610220" cy="4078525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6341" y="337869"/>
          <a:ext cx="8610220" cy="4078525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64698</xdr:colOff>
      <xdr:row>1</xdr:row>
      <xdr:rowOff>86265</xdr:rowOff>
    </xdr:from>
    <xdr:to>
      <xdr:col>9</xdr:col>
      <xdr:colOff>532636</xdr:colOff>
      <xdr:row>34</xdr:row>
      <xdr:rowOff>43133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698" y="265982"/>
          <a:ext cx="8339542" cy="5887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75408</xdr:colOff>
      <xdr:row>14</xdr:row>
      <xdr:rowOff>89298</xdr:rowOff>
    </xdr:from>
    <xdr:to>
      <xdr:col>14</xdr:col>
      <xdr:colOff>126602</xdr:colOff>
      <xdr:row>21</xdr:row>
      <xdr:rowOff>100409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949408" y="2645173"/>
          <a:ext cx="3297632" cy="229711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1</xdr:row>
      <xdr:rowOff>160020</xdr:rowOff>
    </xdr:from>
    <xdr:to>
      <xdr:col>9</xdr:col>
      <xdr:colOff>693507</xdr:colOff>
      <xdr:row>32</xdr:row>
      <xdr:rowOff>53340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480" y="342900"/>
          <a:ext cx="7863927" cy="55626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516467</xdr:colOff>
      <xdr:row>12</xdr:row>
      <xdr:rowOff>93131</xdr:rowOff>
    </xdr:from>
    <xdr:to>
      <xdr:col>12</xdr:col>
      <xdr:colOff>414867</xdr:colOff>
      <xdr:row>16</xdr:row>
      <xdr:rowOff>111905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15216" t="40599" r="10549" b="18514"/>
        <a:stretch/>
      </xdr:blipFill>
      <xdr:spPr>
        <a:xfrm>
          <a:off x="9973734" y="2362198"/>
          <a:ext cx="2286000" cy="76384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107292</xdr:colOff>
      <xdr:row>1</xdr:row>
      <xdr:rowOff>90122</xdr:rowOff>
    </xdr:from>
    <xdr:ext cx="8972010" cy="3693395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292" y="269839"/>
          <a:ext cx="8972010" cy="3693395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688595</xdr:colOff>
      <xdr:row>32</xdr:row>
      <xdr:rowOff>114300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65760"/>
          <a:ext cx="7897115" cy="56007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142969</xdr:colOff>
      <xdr:row>30</xdr:row>
      <xdr:rowOff>91440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65760"/>
          <a:ext cx="7374349" cy="521208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68581</xdr:rowOff>
    </xdr:from>
    <xdr:to>
      <xdr:col>9</xdr:col>
      <xdr:colOff>741991</xdr:colOff>
      <xdr:row>31</xdr:row>
      <xdr:rowOff>83821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1" y="251461"/>
          <a:ext cx="7760010" cy="550164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198120</xdr:colOff>
      <xdr:row>1</xdr:row>
      <xdr:rowOff>99060</xdr:rowOff>
    </xdr:from>
    <xdr:to>
      <xdr:col>9</xdr:col>
      <xdr:colOff>213743</xdr:colOff>
      <xdr:row>29</xdr:row>
      <xdr:rowOff>30480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120" y="281940"/>
          <a:ext cx="7147943" cy="50520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347634</xdr:colOff>
      <xdr:row>28</xdr:row>
      <xdr:rowOff>171203</xdr:rowOff>
    </xdr:from>
    <xdr:to>
      <xdr:col>14</xdr:col>
      <xdr:colOff>47642</xdr:colOff>
      <xdr:row>49</xdr:row>
      <xdr:rowOff>130135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463434" y="5352803"/>
          <a:ext cx="2976608" cy="3845132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80874</xdr:colOff>
      <xdr:row>14</xdr:row>
      <xdr:rowOff>92734</xdr:rowOff>
    </xdr:from>
    <xdr:to>
      <xdr:col>14</xdr:col>
      <xdr:colOff>112009</xdr:colOff>
      <xdr:row>22</xdr:row>
      <xdr:rowOff>237227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72119" y="2608772"/>
          <a:ext cx="3395437" cy="2380172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98844</xdr:colOff>
      <xdr:row>1</xdr:row>
      <xdr:rowOff>80873</xdr:rowOff>
    </xdr:from>
    <xdr:to>
      <xdr:col>10</xdr:col>
      <xdr:colOff>48354</xdr:colOff>
      <xdr:row>30</xdr:row>
      <xdr:rowOff>107831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8C8C848-D8F4-4ED8-9809-B8873C7EA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844" y="260590"/>
          <a:ext cx="7964887" cy="5238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76200</xdr:rowOff>
    </xdr:from>
    <xdr:to>
      <xdr:col>10</xdr:col>
      <xdr:colOff>644169</xdr:colOff>
      <xdr:row>32</xdr:row>
      <xdr:rowOff>101630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68D1A18-0015-46D2-8028-9BDAF1374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25" y="266700"/>
          <a:ext cx="8387994" cy="593093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589470</xdr:colOff>
      <xdr:row>12</xdr:row>
      <xdr:rowOff>170279</xdr:rowOff>
    </xdr:from>
    <xdr:to>
      <xdr:col>13</xdr:col>
      <xdr:colOff>70007</xdr:colOff>
      <xdr:row>20</xdr:row>
      <xdr:rowOff>179716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2810"/>
        <a:stretch/>
      </xdr:blipFill>
      <xdr:spPr>
        <a:xfrm>
          <a:off x="9582508" y="2326883"/>
          <a:ext cx="2614801" cy="195756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255736</xdr:colOff>
      <xdr:row>2</xdr:row>
      <xdr:rowOff>90398</xdr:rowOff>
    </xdr:from>
    <xdr:ext cx="8080135" cy="3827432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5736" y="449832"/>
          <a:ext cx="8080135" cy="3827432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9</xdr:col>
      <xdr:colOff>7230</xdr:colOff>
      <xdr:row>30</xdr:row>
      <xdr:rowOff>86266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59435"/>
          <a:ext cx="7253419" cy="511834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327660</xdr:colOff>
      <xdr:row>1</xdr:row>
      <xdr:rowOff>152400</xdr:rowOff>
    </xdr:from>
    <xdr:to>
      <xdr:col>9</xdr:col>
      <xdr:colOff>541917</xdr:colOff>
      <xdr:row>30</xdr:row>
      <xdr:rowOff>137160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27660" y="335280"/>
          <a:ext cx="7476117" cy="528828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345441</xdr:colOff>
      <xdr:row>11</xdr:row>
      <xdr:rowOff>55881</xdr:rowOff>
    </xdr:from>
    <xdr:to>
      <xdr:col>11</xdr:col>
      <xdr:colOff>508000</xdr:colOff>
      <xdr:row>16</xdr:row>
      <xdr:rowOff>189302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51908" y="2138681"/>
          <a:ext cx="1737359" cy="106475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847725</xdr:colOff>
      <xdr:row>5</xdr:row>
      <xdr:rowOff>9525</xdr:rowOff>
    </xdr:from>
    <xdr:ext cx="10058400" cy="414061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923925"/>
          <a:ext cx="10058400" cy="4140616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10</xdr:col>
      <xdr:colOff>151879</xdr:colOff>
      <xdr:row>33</xdr:row>
      <xdr:rowOff>45720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760"/>
          <a:ext cx="8076679" cy="571500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91441</xdr:rowOff>
    </xdr:from>
    <xdr:to>
      <xdr:col>9</xdr:col>
      <xdr:colOff>502815</xdr:colOff>
      <xdr:row>30</xdr:row>
      <xdr:rowOff>167641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74321"/>
          <a:ext cx="7635135" cy="5379720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545910</xdr:colOff>
      <xdr:row>31</xdr:row>
      <xdr:rowOff>129540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65760"/>
          <a:ext cx="7678230" cy="54330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0</xdr:rowOff>
    </xdr:from>
    <xdr:to>
      <xdr:col>9</xdr:col>
      <xdr:colOff>543703</xdr:colOff>
      <xdr:row>31</xdr:row>
      <xdr:rowOff>144780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365760"/>
          <a:ext cx="7676022" cy="5448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71157</xdr:colOff>
      <xdr:row>12</xdr:row>
      <xdr:rowOff>156883</xdr:rowOff>
    </xdr:from>
    <xdr:to>
      <xdr:col>14</xdr:col>
      <xdr:colOff>250450</xdr:colOff>
      <xdr:row>20</xdr:row>
      <xdr:rowOff>66675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663392" y="2308412"/>
          <a:ext cx="3334870" cy="1917887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395198</xdr:colOff>
      <xdr:row>28</xdr:row>
      <xdr:rowOff>182336</xdr:rowOff>
    </xdr:from>
    <xdr:to>
      <xdr:col>14</xdr:col>
      <xdr:colOff>147637</xdr:colOff>
      <xdr:row>49</xdr:row>
      <xdr:rowOff>178567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587198" y="5363936"/>
          <a:ext cx="3029039" cy="3882431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109629</xdr:colOff>
      <xdr:row>13</xdr:row>
      <xdr:rowOff>106033</xdr:rowOff>
    </xdr:from>
    <xdr:to>
      <xdr:col>14</xdr:col>
      <xdr:colOff>145571</xdr:colOff>
      <xdr:row>21</xdr:row>
      <xdr:rowOff>73233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27704" y="2485486"/>
          <a:ext cx="3400244" cy="2389785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104236</xdr:colOff>
      <xdr:row>1</xdr:row>
      <xdr:rowOff>50321</xdr:rowOff>
    </xdr:from>
    <xdr:to>
      <xdr:col>10</xdr:col>
      <xdr:colOff>431125</xdr:colOff>
      <xdr:row>31</xdr:row>
      <xdr:rowOff>141976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8578BB-0831-46B3-A339-F4994947C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36" y="230038"/>
          <a:ext cx="8342266" cy="5483164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143775</xdr:colOff>
      <xdr:row>12</xdr:row>
      <xdr:rowOff>56342</xdr:rowOff>
    </xdr:from>
    <xdr:to>
      <xdr:col>13</xdr:col>
      <xdr:colOff>224646</xdr:colOff>
      <xdr:row>20</xdr:row>
      <xdr:rowOff>179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693415" y="2250902"/>
          <a:ext cx="3220311" cy="1916411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2</xdr:row>
      <xdr:rowOff>104775</xdr:rowOff>
    </xdr:from>
    <xdr:ext cx="10058400" cy="476450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470535"/>
          <a:ext cx="10058400" cy="4764505"/>
        </a:xfrm>
        <a:prstGeom prst="rect">
          <a:avLst/>
        </a:prstGeom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391919</xdr:colOff>
      <xdr:row>34</xdr:row>
      <xdr:rowOff>57510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59434"/>
          <a:ext cx="8206013" cy="5808453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343797</xdr:colOff>
      <xdr:row>30</xdr:row>
      <xdr:rowOff>167640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65760"/>
          <a:ext cx="7476117" cy="528828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311574</xdr:colOff>
      <xdr:row>11</xdr:row>
      <xdr:rowOff>38948</xdr:rowOff>
    </xdr:from>
    <xdr:to>
      <xdr:col>11</xdr:col>
      <xdr:colOff>695000</xdr:colOff>
      <xdr:row>16</xdr:row>
      <xdr:rowOff>101600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18041" y="2265681"/>
          <a:ext cx="1958226" cy="99398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56970</xdr:colOff>
      <xdr:row>2</xdr:row>
      <xdr:rowOff>67035</xdr:rowOff>
    </xdr:from>
    <xdr:ext cx="8009733" cy="3297267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6970" y="426469"/>
          <a:ext cx="8009733" cy="329726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99061</xdr:colOff>
      <xdr:row>1</xdr:row>
      <xdr:rowOff>121920</xdr:rowOff>
    </xdr:from>
    <xdr:ext cx="8751358" cy="414538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061" y="304800"/>
          <a:ext cx="8751358" cy="414538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647910</xdr:colOff>
      <xdr:row>33</xdr:row>
      <xdr:rowOff>152400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182880"/>
          <a:ext cx="8534610" cy="60045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38100</xdr:rowOff>
    </xdr:from>
    <xdr:to>
      <xdr:col>10</xdr:col>
      <xdr:colOff>108065</xdr:colOff>
      <xdr:row>32</xdr:row>
      <xdr:rowOff>137160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0" y="220980"/>
          <a:ext cx="8154785" cy="576834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696686</xdr:colOff>
      <xdr:row>13</xdr:row>
      <xdr:rowOff>10886</xdr:rowOff>
    </xdr:from>
    <xdr:to>
      <xdr:col>11</xdr:col>
      <xdr:colOff>653144</xdr:colOff>
      <xdr:row>16</xdr:row>
      <xdr:rowOff>32657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15216" t="40599" r="10549" b="18514"/>
        <a:stretch/>
      </xdr:blipFill>
      <xdr:spPr>
        <a:xfrm>
          <a:off x="10156372" y="2449286"/>
          <a:ext cx="1698172" cy="57694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1</xdr:row>
      <xdr:rowOff>82476</xdr:rowOff>
    </xdr:from>
    <xdr:ext cx="9029700" cy="3717144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265356"/>
          <a:ext cx="9029700" cy="371714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_A0200"/>
      <sheetName val="SU_02001"/>
      <sheetName val="SU_02002"/>
      <sheetName val="SU_02003"/>
      <sheetName val="SU_02004"/>
      <sheetName val="SU_02005"/>
      <sheetName val="SU_02006"/>
      <sheetName val="SU Drawing Part 1"/>
      <sheetName val="SU Drawing Part 2"/>
      <sheetName val="SU Drawing Part 5"/>
      <sheetName val="SU Drawing Part 6"/>
    </sheetNames>
    <sheetDataSet>
      <sheetData sheetId="0" refreshError="1">
        <row r="3">
          <cell r="B3" t="str">
            <v>Suspension &amp; Shocks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28" workbookViewId="0">
      <selection activeCell="C43" sqref="C43"/>
    </sheetView>
  </sheetViews>
  <sheetFormatPr baseColWidth="10" defaultRowHeight="14.4" x14ac:dyDescent="0.3"/>
  <sheetData>
    <row r="1" spans="1:2" x14ac:dyDescent="0.3">
      <c r="A1" s="91" t="s">
        <v>127</v>
      </c>
    </row>
    <row r="3" spans="1:2" x14ac:dyDescent="0.3">
      <c r="A3" s="90" t="s">
        <v>60</v>
      </c>
      <c r="B3" s="87" t="s">
        <v>61</v>
      </c>
    </row>
    <row r="5" spans="1:2" x14ac:dyDescent="0.3">
      <c r="A5" t="s">
        <v>95</v>
      </c>
    </row>
    <row r="6" spans="1:2" x14ac:dyDescent="0.3">
      <c r="A6" t="s">
        <v>96</v>
      </c>
    </row>
    <row r="7" spans="1:2" x14ac:dyDescent="0.3">
      <c r="A7" t="s">
        <v>103</v>
      </c>
    </row>
    <row r="8" spans="1:2" x14ac:dyDescent="0.3">
      <c r="A8" t="s">
        <v>100</v>
      </c>
    </row>
    <row r="9" spans="1:2" x14ac:dyDescent="0.3">
      <c r="A9" t="s">
        <v>62</v>
      </c>
    </row>
    <row r="10" spans="1:2" x14ac:dyDescent="0.3">
      <c r="A10" s="87" t="s">
        <v>91</v>
      </c>
    </row>
    <row r="11" spans="1:2" x14ac:dyDescent="0.3">
      <c r="A11" t="s">
        <v>63</v>
      </c>
    </row>
    <row r="12" spans="1:2" x14ac:dyDescent="0.3">
      <c r="A12" t="s">
        <v>64</v>
      </c>
    </row>
    <row r="14" spans="1:2" x14ac:dyDescent="0.3">
      <c r="A14" t="s">
        <v>94</v>
      </c>
    </row>
    <row r="15" spans="1:2" x14ac:dyDescent="0.3">
      <c r="A15" t="s">
        <v>108</v>
      </c>
    </row>
    <row r="16" spans="1:2" x14ac:dyDescent="0.3">
      <c r="A16" t="s">
        <v>112</v>
      </c>
    </row>
    <row r="18" spans="1:3" x14ac:dyDescent="0.3">
      <c r="A18" s="90" t="s">
        <v>65</v>
      </c>
      <c r="B18" s="87" t="s">
        <v>98</v>
      </c>
      <c r="C18" s="87"/>
    </row>
    <row r="20" spans="1:3" x14ac:dyDescent="0.3">
      <c r="A20" t="s">
        <v>109</v>
      </c>
    </row>
    <row r="21" spans="1:3" x14ac:dyDescent="0.3">
      <c r="A21" t="s">
        <v>128</v>
      </c>
    </row>
    <row r="23" spans="1:3" x14ac:dyDescent="0.3">
      <c r="A23" s="90" t="s">
        <v>67</v>
      </c>
      <c r="B23" s="87" t="s">
        <v>68</v>
      </c>
    </row>
    <row r="25" spans="1:3" x14ac:dyDescent="0.3">
      <c r="A25" t="s">
        <v>120</v>
      </c>
    </row>
    <row r="26" spans="1:3" x14ac:dyDescent="0.3">
      <c r="A26" t="s">
        <v>74</v>
      </c>
    </row>
    <row r="27" spans="1:3" x14ac:dyDescent="0.3">
      <c r="A27" t="s">
        <v>69</v>
      </c>
    </row>
    <row r="28" spans="1:3" x14ac:dyDescent="0.3">
      <c r="A28" t="s">
        <v>104</v>
      </c>
    </row>
    <row r="29" spans="1:3" x14ac:dyDescent="0.3">
      <c r="A29" t="s">
        <v>101</v>
      </c>
    </row>
    <row r="30" spans="1:3" x14ac:dyDescent="0.3">
      <c r="A30" t="s">
        <v>70</v>
      </c>
    </row>
    <row r="31" spans="1:3" x14ac:dyDescent="0.3">
      <c r="A31" s="87" t="s">
        <v>91</v>
      </c>
    </row>
    <row r="32" spans="1:3" x14ac:dyDescent="0.3">
      <c r="A32" t="s">
        <v>102</v>
      </c>
    </row>
    <row r="33" spans="1:2" x14ac:dyDescent="0.3">
      <c r="A33" t="s">
        <v>105</v>
      </c>
    </row>
    <row r="35" spans="1:2" x14ac:dyDescent="0.3">
      <c r="A35" t="s">
        <v>106</v>
      </c>
    </row>
    <row r="36" spans="1:2" x14ac:dyDescent="0.3">
      <c r="A36" t="s">
        <v>107</v>
      </c>
    </row>
    <row r="37" spans="1:2" x14ac:dyDescent="0.3">
      <c r="A37" t="s">
        <v>113</v>
      </c>
    </row>
    <row r="39" spans="1:2" x14ac:dyDescent="0.3">
      <c r="A39" s="90" t="s">
        <v>71</v>
      </c>
      <c r="B39" s="87" t="s">
        <v>66</v>
      </c>
    </row>
    <row r="41" spans="1:2" x14ac:dyDescent="0.3">
      <c r="A41" t="s">
        <v>118</v>
      </c>
    </row>
    <row r="42" spans="1:2" x14ac:dyDescent="0.3">
      <c r="A42" t="s">
        <v>119</v>
      </c>
    </row>
    <row r="43" spans="1:2" x14ac:dyDescent="0.3">
      <c r="A43" t="s">
        <v>97</v>
      </c>
    </row>
    <row r="45" spans="1:2" x14ac:dyDescent="0.3">
      <c r="A45" s="90" t="s">
        <v>72</v>
      </c>
      <c r="B45" s="87" t="s">
        <v>88</v>
      </c>
    </row>
    <row r="47" spans="1:2" x14ac:dyDescent="0.3">
      <c r="A47" t="s">
        <v>121</v>
      </c>
    </row>
    <row r="48" spans="1:2" x14ac:dyDescent="0.3">
      <c r="A48" t="s">
        <v>89</v>
      </c>
    </row>
    <row r="49" spans="1:2" x14ac:dyDescent="0.3">
      <c r="A49" t="s">
        <v>90</v>
      </c>
    </row>
    <row r="50" spans="1:2" x14ac:dyDescent="0.3">
      <c r="A50" t="s">
        <v>110</v>
      </c>
    </row>
    <row r="51" spans="1:2" x14ac:dyDescent="0.3">
      <c r="A51" t="s">
        <v>122</v>
      </c>
    </row>
    <row r="52" spans="1:2" x14ac:dyDescent="0.3">
      <c r="A52" t="s">
        <v>123</v>
      </c>
    </row>
    <row r="53" spans="1:2" x14ac:dyDescent="0.3">
      <c r="A53" t="s">
        <v>92</v>
      </c>
    </row>
    <row r="55" spans="1:2" x14ac:dyDescent="0.3">
      <c r="A55" t="s">
        <v>114</v>
      </c>
    </row>
    <row r="57" spans="1:2" x14ac:dyDescent="0.3">
      <c r="A57" s="90" t="s">
        <v>76</v>
      </c>
      <c r="B57" s="87" t="s">
        <v>73</v>
      </c>
    </row>
    <row r="59" spans="1:2" x14ac:dyDescent="0.3">
      <c r="A59" t="s">
        <v>75</v>
      </c>
    </row>
    <row r="60" spans="1:2" x14ac:dyDescent="0.3">
      <c r="A60" t="s">
        <v>115</v>
      </c>
    </row>
    <row r="61" spans="1:2" x14ac:dyDescent="0.3">
      <c r="A61" t="s">
        <v>111</v>
      </c>
    </row>
    <row r="63" spans="1:2" x14ac:dyDescent="0.3">
      <c r="A63" s="90" t="s">
        <v>87</v>
      </c>
      <c r="B63" s="87" t="s">
        <v>77</v>
      </c>
    </row>
    <row r="65" spans="1:1" x14ac:dyDescent="0.3">
      <c r="A65" t="s">
        <v>78</v>
      </c>
    </row>
    <row r="66" spans="1:1" x14ac:dyDescent="0.3">
      <c r="A66" t="s">
        <v>80</v>
      </c>
    </row>
    <row r="67" spans="1:1" x14ac:dyDescent="0.3">
      <c r="A67" t="s">
        <v>79</v>
      </c>
    </row>
    <row r="68" spans="1:1" x14ac:dyDescent="0.3">
      <c r="A68" t="s">
        <v>81</v>
      </c>
    </row>
    <row r="69" spans="1:1" x14ac:dyDescent="0.3">
      <c r="A69" t="s">
        <v>82</v>
      </c>
    </row>
    <row r="70" spans="1:1" x14ac:dyDescent="0.3">
      <c r="A70" t="s">
        <v>83</v>
      </c>
    </row>
    <row r="71" spans="1:1" x14ac:dyDescent="0.3">
      <c r="A71" t="s">
        <v>116</v>
      </c>
    </row>
    <row r="72" spans="1:1" x14ac:dyDescent="0.3">
      <c r="A72" t="s">
        <v>117</v>
      </c>
    </row>
    <row r="74" spans="1:1" x14ac:dyDescent="0.3">
      <c r="A74" t="s">
        <v>124</v>
      </c>
    </row>
    <row r="75" spans="1:1" x14ac:dyDescent="0.3">
      <c r="A75" t="s">
        <v>84</v>
      </c>
    </row>
    <row r="76" spans="1:1" x14ac:dyDescent="0.3">
      <c r="A76" t="s">
        <v>85</v>
      </c>
    </row>
    <row r="77" spans="1:1" x14ac:dyDescent="0.3">
      <c r="A77" t="s">
        <v>116</v>
      </c>
    </row>
    <row r="78" spans="1:1" x14ac:dyDescent="0.3">
      <c r="A78" t="s">
        <v>117</v>
      </c>
    </row>
    <row r="80" spans="1:1" x14ac:dyDescent="0.3">
      <c r="A80" s="87" t="s">
        <v>93</v>
      </c>
    </row>
    <row r="82" spans="1:1" x14ac:dyDescent="0.3">
      <c r="A82" s="91" t="s">
        <v>99</v>
      </c>
    </row>
  </sheetData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19"/>
  <sheetViews>
    <sheetView workbookViewId="0">
      <selection activeCell="N12" sqref="N12"/>
    </sheetView>
  </sheetViews>
  <sheetFormatPr baseColWidth="10" defaultRowHeight="14.4" x14ac:dyDescent="0.3"/>
  <cols>
    <col min="2" max="2" width="25.109375" customWidth="1"/>
    <col min="3" max="3" width="30.5546875" customWidth="1"/>
    <col min="7" max="7" width="13.88671875" customWidth="1"/>
    <col min="9" max="9" width="14" customWidth="1"/>
    <col min="17" max="17" width="12.88671875" bestFit="1" customWidth="1"/>
  </cols>
  <sheetData>
    <row r="1" spans="1:17" x14ac:dyDescent="0.3">
      <c r="A1" s="348"/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50"/>
    </row>
    <row r="2" spans="1:17" x14ac:dyDescent="0.3">
      <c r="A2" s="351" t="s">
        <v>0</v>
      </c>
      <c r="B2" s="352" t="s">
        <v>37</v>
      </c>
      <c r="C2" s="353"/>
      <c r="D2" s="353"/>
      <c r="E2" s="353"/>
      <c r="F2" s="353"/>
      <c r="G2" s="354" t="s">
        <v>126</v>
      </c>
      <c r="H2" s="353"/>
      <c r="I2" s="353"/>
      <c r="J2" s="355" t="s">
        <v>1</v>
      </c>
      <c r="K2" s="356">
        <v>81</v>
      </c>
      <c r="L2" s="353"/>
      <c r="M2" s="351" t="s">
        <v>16</v>
      </c>
      <c r="N2" s="357">
        <f>N12+I18</f>
        <v>1.0750440160000001</v>
      </c>
      <c r="O2" s="358"/>
    </row>
    <row r="3" spans="1:17" x14ac:dyDescent="0.3">
      <c r="A3" s="351" t="s">
        <v>3</v>
      </c>
      <c r="B3" s="352" t="str">
        <f>'SU A0100'!B3</f>
        <v>Suspension &amp; Shocks</v>
      </c>
      <c r="C3" s="353"/>
      <c r="D3" s="351" t="s">
        <v>6</v>
      </c>
      <c r="E3" s="395" t="s">
        <v>86</v>
      </c>
      <c r="F3" s="353"/>
      <c r="G3" s="353"/>
      <c r="H3" s="353"/>
      <c r="I3" s="353"/>
      <c r="J3" s="353"/>
      <c r="K3" s="353"/>
      <c r="L3" s="353"/>
      <c r="M3" s="351" t="s">
        <v>4</v>
      </c>
      <c r="N3" s="360">
        <v>2</v>
      </c>
      <c r="O3" s="358"/>
    </row>
    <row r="4" spans="1:17" x14ac:dyDescent="0.3">
      <c r="A4" s="351" t="s">
        <v>5</v>
      </c>
      <c r="B4" s="354" t="str">
        <f>'SU A0100'!B4</f>
        <v>Upper Front A-arm</v>
      </c>
      <c r="C4" s="353"/>
      <c r="D4" s="351" t="s">
        <v>8</v>
      </c>
      <c r="E4" s="353"/>
      <c r="F4" s="353"/>
      <c r="G4" s="353"/>
      <c r="H4" s="353"/>
      <c r="I4" s="353"/>
      <c r="J4" s="361" t="s">
        <v>6</v>
      </c>
      <c r="K4" s="353"/>
      <c r="L4" s="353"/>
      <c r="M4" s="353"/>
      <c r="N4" s="353"/>
      <c r="O4" s="358"/>
    </row>
    <row r="5" spans="1:17" x14ac:dyDescent="0.3">
      <c r="A5" s="351" t="s">
        <v>15</v>
      </c>
      <c r="B5" s="396" t="s">
        <v>193</v>
      </c>
      <c r="C5" s="353"/>
      <c r="D5" s="351" t="s">
        <v>12</v>
      </c>
      <c r="E5" s="353"/>
      <c r="F5" s="353"/>
      <c r="G5" s="353"/>
      <c r="H5" s="353"/>
      <c r="I5" s="353"/>
      <c r="J5" s="361" t="s">
        <v>8</v>
      </c>
      <c r="K5" s="353"/>
      <c r="L5" s="353"/>
      <c r="M5" s="351" t="s">
        <v>9</v>
      </c>
      <c r="N5" s="357">
        <f>N3*N2</f>
        <v>2.1500880320000002</v>
      </c>
      <c r="O5" s="358"/>
    </row>
    <row r="6" spans="1:17" x14ac:dyDescent="0.3">
      <c r="A6" s="351" t="s">
        <v>7</v>
      </c>
      <c r="B6" s="363" t="s">
        <v>172</v>
      </c>
      <c r="C6" s="353"/>
      <c r="D6" s="353"/>
      <c r="E6" s="353"/>
      <c r="F6" s="353"/>
      <c r="G6" s="353"/>
      <c r="H6" s="353"/>
      <c r="I6" s="353"/>
      <c r="J6" s="361" t="s">
        <v>12</v>
      </c>
      <c r="K6" s="353"/>
      <c r="L6" s="353"/>
      <c r="M6" s="353"/>
      <c r="N6" s="353"/>
      <c r="O6" s="358"/>
    </row>
    <row r="7" spans="1:17" x14ac:dyDescent="0.3">
      <c r="A7" s="351" t="s">
        <v>10</v>
      </c>
      <c r="B7" s="352" t="s">
        <v>11</v>
      </c>
      <c r="C7" s="353"/>
      <c r="D7" s="353"/>
      <c r="E7" s="353"/>
      <c r="F7" s="353"/>
      <c r="G7" s="353"/>
      <c r="H7" s="353"/>
      <c r="I7" s="353"/>
      <c r="J7" s="353"/>
      <c r="K7" s="353"/>
      <c r="L7" s="353"/>
      <c r="M7" s="353"/>
      <c r="N7" s="353"/>
      <c r="O7" s="358"/>
    </row>
    <row r="8" spans="1:17" x14ac:dyDescent="0.3">
      <c r="A8" s="351" t="s">
        <v>13</v>
      </c>
      <c r="B8" s="352"/>
      <c r="C8" s="353"/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8"/>
    </row>
    <row r="9" spans="1:17" x14ac:dyDescent="0.3">
      <c r="A9" s="364"/>
      <c r="B9" s="365"/>
      <c r="C9" s="365"/>
      <c r="D9" s="365"/>
      <c r="E9" s="365"/>
      <c r="F9" s="353"/>
      <c r="G9" s="353"/>
      <c r="H9" s="353"/>
      <c r="I9" s="353"/>
      <c r="J9" s="353"/>
      <c r="K9" s="353"/>
      <c r="L9" s="353"/>
      <c r="M9" s="353"/>
      <c r="N9" s="353"/>
      <c r="O9" s="358"/>
    </row>
    <row r="10" spans="1:17" x14ac:dyDescent="0.3">
      <c r="A10" s="366" t="s">
        <v>14</v>
      </c>
      <c r="B10" s="367" t="s">
        <v>19</v>
      </c>
      <c r="C10" s="367" t="s">
        <v>20</v>
      </c>
      <c r="D10" s="367" t="s">
        <v>21</v>
      </c>
      <c r="E10" s="367" t="s">
        <v>22</v>
      </c>
      <c r="F10" s="368" t="s">
        <v>23</v>
      </c>
      <c r="G10" s="368" t="s">
        <v>24</v>
      </c>
      <c r="H10" s="368" t="s">
        <v>25</v>
      </c>
      <c r="I10" s="368" t="s">
        <v>26</v>
      </c>
      <c r="J10" s="368" t="s">
        <v>27</v>
      </c>
      <c r="K10" s="368" t="s">
        <v>28</v>
      </c>
      <c r="L10" s="368" t="s">
        <v>29</v>
      </c>
      <c r="M10" s="368" t="s">
        <v>17</v>
      </c>
      <c r="N10" s="368" t="s">
        <v>18</v>
      </c>
      <c r="O10" s="358"/>
    </row>
    <row r="11" spans="1:17" x14ac:dyDescent="0.3">
      <c r="A11" s="369">
        <v>10</v>
      </c>
      <c r="B11" s="397" t="s">
        <v>166</v>
      </c>
      <c r="C11" s="373" t="s">
        <v>38</v>
      </c>
      <c r="D11" s="380">
        <v>2.25</v>
      </c>
      <c r="E11" s="375">
        <f>J11*K11*L11</f>
        <v>1.7352896E-2</v>
      </c>
      <c r="F11" s="373" t="s">
        <v>162</v>
      </c>
      <c r="G11" s="373"/>
      <c r="H11" s="374"/>
      <c r="I11" s="375" t="s">
        <v>165</v>
      </c>
      <c r="J11" s="376">
        <f>3.14*8*8/1000000</f>
        <v>2.0096E-4</v>
      </c>
      <c r="K11" s="376">
        <v>1.0999999999999999E-2</v>
      </c>
      <c r="L11" s="378">
        <v>7850</v>
      </c>
      <c r="M11" s="379">
        <v>1</v>
      </c>
      <c r="N11" s="380">
        <f>D11*E11*M11</f>
        <v>3.9044016000000001E-2</v>
      </c>
      <c r="O11" s="381"/>
      <c r="Q11" s="135"/>
    </row>
    <row r="12" spans="1:17" x14ac:dyDescent="0.3">
      <c r="A12" s="382"/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4" t="s">
        <v>18</v>
      </c>
      <c r="N12" s="385">
        <f>SUM(N11:N11)</f>
        <v>3.9044016000000001E-2</v>
      </c>
      <c r="O12" s="358"/>
    </row>
    <row r="13" spans="1:17" x14ac:dyDescent="0.3">
      <c r="A13" s="386"/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3"/>
      <c r="M13" s="353"/>
      <c r="N13" s="353"/>
      <c r="O13" s="358"/>
    </row>
    <row r="14" spans="1:17" x14ac:dyDescent="0.3">
      <c r="A14" s="387" t="s">
        <v>14</v>
      </c>
      <c r="B14" s="368" t="s">
        <v>31</v>
      </c>
      <c r="C14" s="368" t="s">
        <v>20</v>
      </c>
      <c r="D14" s="368" t="s">
        <v>21</v>
      </c>
      <c r="E14" s="368" t="s">
        <v>32</v>
      </c>
      <c r="F14" s="368" t="s">
        <v>17</v>
      </c>
      <c r="G14" s="368" t="s">
        <v>33</v>
      </c>
      <c r="H14" s="368" t="s">
        <v>34</v>
      </c>
      <c r="I14" s="368" t="s">
        <v>18</v>
      </c>
      <c r="J14" s="383"/>
      <c r="K14" s="383"/>
      <c r="L14" s="383"/>
      <c r="M14" s="383"/>
      <c r="N14" s="383"/>
      <c r="O14" s="358"/>
    </row>
    <row r="15" spans="1:17" ht="28.8" x14ac:dyDescent="0.3">
      <c r="A15" s="340">
        <v>10</v>
      </c>
      <c r="B15" s="340" t="s">
        <v>39</v>
      </c>
      <c r="C15" s="340" t="s">
        <v>134</v>
      </c>
      <c r="D15" s="345">
        <v>1.3</v>
      </c>
      <c r="E15" s="340" t="s">
        <v>32</v>
      </c>
      <c r="F15" s="237">
        <v>1</v>
      </c>
      <c r="G15" s="339" t="s">
        <v>295</v>
      </c>
      <c r="H15" s="339">
        <v>0.5</v>
      </c>
      <c r="I15" s="347">
        <f>IF(H15="",D15*F15,D15*F15*H15)</f>
        <v>0.65</v>
      </c>
      <c r="J15" s="389"/>
      <c r="K15" s="389"/>
      <c r="L15" s="389"/>
      <c r="M15" s="389"/>
      <c r="N15" s="389"/>
      <c r="O15" s="390"/>
    </row>
    <row r="16" spans="1:17" x14ac:dyDescent="0.3">
      <c r="A16" s="398">
        <v>20</v>
      </c>
      <c r="B16" s="398" t="s">
        <v>159</v>
      </c>
      <c r="C16" s="398" t="s">
        <v>267</v>
      </c>
      <c r="D16" s="399">
        <v>0.04</v>
      </c>
      <c r="E16" s="398" t="s">
        <v>161</v>
      </c>
      <c r="F16" s="398">
        <v>0.3</v>
      </c>
      <c r="G16" s="398" t="s">
        <v>268</v>
      </c>
      <c r="H16" s="398">
        <v>3</v>
      </c>
      <c r="I16" s="347">
        <f>IF(H16="",D16*F16,D16*F16*H16)</f>
        <v>3.6000000000000004E-2</v>
      </c>
      <c r="J16" s="353"/>
      <c r="K16" s="353"/>
      <c r="L16" s="353"/>
      <c r="M16" s="353"/>
      <c r="N16" s="353"/>
      <c r="O16" s="358"/>
    </row>
    <row r="17" spans="1:15" x14ac:dyDescent="0.3">
      <c r="A17" s="400">
        <v>30</v>
      </c>
      <c r="B17" s="400" t="s">
        <v>269</v>
      </c>
      <c r="C17" s="400" t="s">
        <v>270</v>
      </c>
      <c r="D17" s="401">
        <v>0.35</v>
      </c>
      <c r="E17" s="400" t="s">
        <v>271</v>
      </c>
      <c r="F17" s="400">
        <v>1</v>
      </c>
      <c r="G17" s="400"/>
      <c r="H17" s="400"/>
      <c r="I17" s="401">
        <f>D17*F17</f>
        <v>0.35</v>
      </c>
      <c r="J17" s="353"/>
      <c r="K17" s="353"/>
      <c r="L17" s="353"/>
      <c r="M17" s="353"/>
      <c r="N17" s="353"/>
      <c r="O17" s="358"/>
    </row>
    <row r="18" spans="1:15" x14ac:dyDescent="0.3">
      <c r="A18" s="382"/>
      <c r="B18" s="383"/>
      <c r="C18" s="383"/>
      <c r="D18" s="383"/>
      <c r="E18" s="383"/>
      <c r="F18" s="383"/>
      <c r="G18" s="383"/>
      <c r="H18" s="391" t="s">
        <v>18</v>
      </c>
      <c r="I18" s="385">
        <f>SUM(I15:I17)</f>
        <v>1.036</v>
      </c>
      <c r="J18" s="383"/>
      <c r="K18" s="383"/>
      <c r="L18" s="383"/>
      <c r="M18" s="383"/>
      <c r="N18" s="383"/>
      <c r="O18" s="358"/>
    </row>
    <row r="19" spans="1:15" ht="15" thickBot="1" x14ac:dyDescent="0.35">
      <c r="A19" s="392"/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4"/>
    </row>
  </sheetData>
  <hyperlinks>
    <hyperlink ref="B4" location="'SU A0100'!A1" display="'SU A0100'!A1"/>
    <hyperlink ref="E3" location="dSU_01005" display="Drawing"/>
    <hyperlink ref="G2" location="SU_A0100_BOM" display="Back to BOM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A2" sqref="A2"/>
    </sheetView>
  </sheetViews>
  <sheetFormatPr baseColWidth="10" defaultRowHeight="14.4" x14ac:dyDescent="0.3"/>
  <cols>
    <col min="1" max="1" width="22.5546875" customWidth="1"/>
  </cols>
  <sheetData>
    <row r="1" spans="1:2" x14ac:dyDescent="0.3">
      <c r="A1" t="s">
        <v>170</v>
      </c>
      <c r="B1" s="89" t="s">
        <v>172</v>
      </c>
    </row>
  </sheetData>
  <hyperlinks>
    <hyperlink ref="B1" location="SU_01005" display="SU_01005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9"/>
  <sheetViews>
    <sheetView workbookViewId="0">
      <selection activeCell="G2" sqref="G2"/>
    </sheetView>
  </sheetViews>
  <sheetFormatPr baseColWidth="10" defaultRowHeight="14.4" x14ac:dyDescent="0.3"/>
  <cols>
    <col min="2" max="2" width="18.6640625" customWidth="1"/>
    <col min="3" max="3" width="20" customWidth="1"/>
    <col min="5" max="5" width="9.109375" customWidth="1"/>
    <col min="7" max="7" width="12.6640625" customWidth="1"/>
    <col min="11" max="11" width="8.6640625" customWidth="1"/>
    <col min="14" max="14" width="9.44140625" customWidth="1"/>
  </cols>
  <sheetData>
    <row r="1" spans="1:15" x14ac:dyDescent="0.3">
      <c r="A1" s="348"/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50"/>
    </row>
    <row r="2" spans="1:15" x14ac:dyDescent="0.3">
      <c r="A2" s="351" t="s">
        <v>0</v>
      </c>
      <c r="B2" s="352" t="s">
        <v>37</v>
      </c>
      <c r="C2" s="353"/>
      <c r="D2" s="353"/>
      <c r="E2" s="353"/>
      <c r="F2" s="353"/>
      <c r="G2" s="354" t="s">
        <v>126</v>
      </c>
      <c r="H2" s="353"/>
      <c r="I2" s="353"/>
      <c r="J2" s="355" t="s">
        <v>1</v>
      </c>
      <c r="K2" s="356">
        <v>81</v>
      </c>
      <c r="L2" s="353"/>
      <c r="M2" s="351" t="s">
        <v>16</v>
      </c>
      <c r="N2" s="357">
        <f>N12+I18</f>
        <v>1.1551782399999999</v>
      </c>
      <c r="O2" s="358"/>
    </row>
    <row r="3" spans="1:15" x14ac:dyDescent="0.3">
      <c r="A3" s="351" t="s">
        <v>3</v>
      </c>
      <c r="B3" s="352" t="str">
        <f>'SU A0100'!B3</f>
        <v>Suspension &amp; Shocks</v>
      </c>
      <c r="C3" s="353"/>
      <c r="D3" s="351" t="s">
        <v>6</v>
      </c>
      <c r="E3" s="395" t="s">
        <v>86</v>
      </c>
      <c r="F3" s="353"/>
      <c r="G3" s="353"/>
      <c r="H3" s="353"/>
      <c r="I3" s="353"/>
      <c r="J3" s="353"/>
      <c r="K3" s="353"/>
      <c r="L3" s="353"/>
      <c r="M3" s="351" t="s">
        <v>4</v>
      </c>
      <c r="N3" s="360">
        <v>4</v>
      </c>
      <c r="O3" s="358"/>
    </row>
    <row r="4" spans="1:15" x14ac:dyDescent="0.3">
      <c r="A4" s="351" t="s">
        <v>5</v>
      </c>
      <c r="B4" s="354" t="str">
        <f>'SU A0100'!B4</f>
        <v>Upper Front A-arm</v>
      </c>
      <c r="C4" s="353"/>
      <c r="D4" s="351" t="s">
        <v>8</v>
      </c>
      <c r="E4" s="353"/>
      <c r="F4" s="353"/>
      <c r="G4" s="353"/>
      <c r="H4" s="353"/>
      <c r="I4" s="353"/>
      <c r="J4" s="361" t="s">
        <v>6</v>
      </c>
      <c r="K4" s="353"/>
      <c r="L4" s="353"/>
      <c r="M4" s="353"/>
      <c r="N4" s="353"/>
      <c r="O4" s="358"/>
    </row>
    <row r="5" spans="1:15" x14ac:dyDescent="0.3">
      <c r="A5" s="351" t="s">
        <v>15</v>
      </c>
      <c r="B5" s="396" t="s">
        <v>192</v>
      </c>
      <c r="C5" s="353"/>
      <c r="D5" s="351" t="s">
        <v>12</v>
      </c>
      <c r="E5" s="353"/>
      <c r="F5" s="353"/>
      <c r="G5" s="353"/>
      <c r="H5" s="353"/>
      <c r="I5" s="353"/>
      <c r="J5" s="361" t="s">
        <v>8</v>
      </c>
      <c r="K5" s="353"/>
      <c r="L5" s="353"/>
      <c r="M5" s="351" t="s">
        <v>9</v>
      </c>
      <c r="N5" s="357">
        <f>N3*N2</f>
        <v>4.6207129599999996</v>
      </c>
      <c r="O5" s="358"/>
    </row>
    <row r="6" spans="1:15" x14ac:dyDescent="0.3">
      <c r="A6" s="351" t="s">
        <v>7</v>
      </c>
      <c r="B6" s="363" t="s">
        <v>194</v>
      </c>
      <c r="C6" s="353"/>
      <c r="D6" s="353"/>
      <c r="E6" s="353"/>
      <c r="F6" s="353"/>
      <c r="G6" s="353"/>
      <c r="H6" s="353"/>
      <c r="I6" s="353"/>
      <c r="J6" s="361" t="s">
        <v>12</v>
      </c>
      <c r="K6" s="353"/>
      <c r="L6" s="353"/>
      <c r="M6" s="353"/>
      <c r="N6" s="353"/>
      <c r="O6" s="358"/>
    </row>
    <row r="7" spans="1:15" x14ac:dyDescent="0.3">
      <c r="A7" s="351" t="s">
        <v>10</v>
      </c>
      <c r="B7" s="352" t="s">
        <v>11</v>
      </c>
      <c r="C7" s="353"/>
      <c r="D7" s="353"/>
      <c r="E7" s="353"/>
      <c r="F7" s="353"/>
      <c r="G7" s="353"/>
      <c r="H7" s="353"/>
      <c r="I7" s="353"/>
      <c r="J7" s="353"/>
      <c r="K7" s="353"/>
      <c r="L7" s="353"/>
      <c r="M7" s="353"/>
      <c r="N7" s="353"/>
      <c r="O7" s="358"/>
    </row>
    <row r="8" spans="1:15" x14ac:dyDescent="0.3">
      <c r="A8" s="351" t="s">
        <v>13</v>
      </c>
      <c r="B8" s="352"/>
      <c r="C8" s="353"/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8"/>
    </row>
    <row r="9" spans="1:15" x14ac:dyDescent="0.3">
      <c r="A9" s="364"/>
      <c r="B9" s="365"/>
      <c r="C9" s="365"/>
      <c r="D9" s="365"/>
      <c r="E9" s="365"/>
      <c r="F9" s="353"/>
      <c r="G9" s="353"/>
      <c r="H9" s="353"/>
      <c r="I9" s="353"/>
      <c r="J9" s="353"/>
      <c r="K9" s="353"/>
      <c r="L9" s="353"/>
      <c r="M9" s="353"/>
      <c r="N9" s="353"/>
      <c r="O9" s="358"/>
    </row>
    <row r="10" spans="1:15" x14ac:dyDescent="0.3">
      <c r="A10" s="366" t="s">
        <v>14</v>
      </c>
      <c r="B10" s="367" t="s">
        <v>19</v>
      </c>
      <c r="C10" s="367" t="s">
        <v>20</v>
      </c>
      <c r="D10" s="367" t="s">
        <v>21</v>
      </c>
      <c r="E10" s="367" t="s">
        <v>22</v>
      </c>
      <c r="F10" s="368" t="s">
        <v>23</v>
      </c>
      <c r="G10" s="368" t="s">
        <v>24</v>
      </c>
      <c r="H10" s="368" t="s">
        <v>25</v>
      </c>
      <c r="I10" s="368" t="s">
        <v>26</v>
      </c>
      <c r="J10" s="368" t="s">
        <v>27</v>
      </c>
      <c r="K10" s="368" t="s">
        <v>28</v>
      </c>
      <c r="L10" s="368" t="s">
        <v>29</v>
      </c>
      <c r="M10" s="368" t="s">
        <v>17</v>
      </c>
      <c r="N10" s="368" t="s">
        <v>18</v>
      </c>
      <c r="O10" s="358"/>
    </row>
    <row r="11" spans="1:15" x14ac:dyDescent="0.3">
      <c r="A11" s="323">
        <v>10</v>
      </c>
      <c r="B11" s="524" t="s">
        <v>278</v>
      </c>
      <c r="C11" s="574"/>
      <c r="D11" s="575">
        <v>2.25</v>
      </c>
      <c r="E11" s="375">
        <f>J11*K11*L11</f>
        <v>6.3101440000000009E-2</v>
      </c>
      <c r="F11" s="373" t="s">
        <v>162</v>
      </c>
      <c r="G11" s="373"/>
      <c r="H11" s="374"/>
      <c r="I11" s="375" t="s">
        <v>165</v>
      </c>
      <c r="J11" s="376">
        <f>3.14*8*8/1000000</f>
        <v>2.0096E-4</v>
      </c>
      <c r="K11" s="402">
        <v>0.04</v>
      </c>
      <c r="L11" s="378">
        <v>7850</v>
      </c>
      <c r="M11" s="379">
        <v>1</v>
      </c>
      <c r="N11" s="380">
        <f>D11*E11*M11</f>
        <v>0.14197824000000003</v>
      </c>
      <c r="O11" s="381"/>
    </row>
    <row r="12" spans="1:15" x14ac:dyDescent="0.3">
      <c r="A12" s="382"/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4" t="s">
        <v>18</v>
      </c>
      <c r="N12" s="385">
        <f>SUM(N11:N11)</f>
        <v>0.14197824000000003</v>
      </c>
      <c r="O12" s="358"/>
    </row>
    <row r="13" spans="1:15" x14ac:dyDescent="0.3">
      <c r="A13" s="386"/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3"/>
      <c r="M13" s="353"/>
      <c r="N13" s="353"/>
      <c r="O13" s="358"/>
    </row>
    <row r="14" spans="1:15" x14ac:dyDescent="0.3">
      <c r="A14" s="387" t="s">
        <v>14</v>
      </c>
      <c r="B14" s="368" t="s">
        <v>31</v>
      </c>
      <c r="C14" s="368" t="s">
        <v>20</v>
      </c>
      <c r="D14" s="368" t="s">
        <v>21</v>
      </c>
      <c r="E14" s="368" t="s">
        <v>32</v>
      </c>
      <c r="F14" s="368" t="s">
        <v>17</v>
      </c>
      <c r="G14" s="368" t="s">
        <v>33</v>
      </c>
      <c r="H14" s="368" t="s">
        <v>34</v>
      </c>
      <c r="I14" s="368" t="s">
        <v>18</v>
      </c>
      <c r="J14" s="383"/>
      <c r="K14" s="383"/>
      <c r="L14" s="383"/>
      <c r="M14" s="383"/>
      <c r="N14" s="383"/>
      <c r="O14" s="358"/>
    </row>
    <row r="15" spans="1:15" ht="29.4" customHeight="1" x14ac:dyDescent="0.3">
      <c r="A15" s="340">
        <v>10</v>
      </c>
      <c r="B15" s="340" t="s">
        <v>39</v>
      </c>
      <c r="C15" s="340" t="s">
        <v>134</v>
      </c>
      <c r="D15" s="345">
        <v>1.3</v>
      </c>
      <c r="E15" s="340" t="s">
        <v>32</v>
      </c>
      <c r="F15" s="237">
        <v>1</v>
      </c>
      <c r="G15" s="339" t="s">
        <v>295</v>
      </c>
      <c r="H15" s="339">
        <v>0.5</v>
      </c>
      <c r="I15" s="347">
        <f>IF(H15="",D15*F15,D15*F15*H15)</f>
        <v>0.65</v>
      </c>
      <c r="J15" s="389"/>
      <c r="K15" s="389"/>
      <c r="L15" s="389"/>
      <c r="M15" s="389"/>
      <c r="N15" s="389"/>
      <c r="O15" s="390"/>
    </row>
    <row r="16" spans="1:15" x14ac:dyDescent="0.3">
      <c r="A16" s="398">
        <v>20</v>
      </c>
      <c r="B16" s="398" t="s">
        <v>159</v>
      </c>
      <c r="C16" s="398" t="s">
        <v>267</v>
      </c>
      <c r="D16" s="399">
        <v>0.04</v>
      </c>
      <c r="E16" s="398" t="s">
        <v>161</v>
      </c>
      <c r="F16" s="398">
        <v>0.11</v>
      </c>
      <c r="G16" s="398" t="s">
        <v>268</v>
      </c>
      <c r="H16" s="398">
        <v>3</v>
      </c>
      <c r="I16" s="347">
        <f>IF(H16="",D16*F16,D16*F16*H16)</f>
        <v>1.32E-2</v>
      </c>
      <c r="J16" s="353"/>
      <c r="K16" s="353"/>
      <c r="L16" s="353"/>
      <c r="M16" s="353"/>
      <c r="N16" s="353"/>
      <c r="O16" s="358"/>
    </row>
    <row r="17" spans="1:15" x14ac:dyDescent="0.3">
      <c r="A17" s="400">
        <v>30</v>
      </c>
      <c r="B17" s="400" t="s">
        <v>269</v>
      </c>
      <c r="C17" s="400" t="s">
        <v>270</v>
      </c>
      <c r="D17" s="401">
        <v>0.35</v>
      </c>
      <c r="E17" s="400" t="s">
        <v>271</v>
      </c>
      <c r="F17" s="400">
        <v>1</v>
      </c>
      <c r="G17" s="400"/>
      <c r="H17" s="400"/>
      <c r="I17" s="401">
        <f>D17*F17</f>
        <v>0.35</v>
      </c>
      <c r="J17" s="353"/>
      <c r="K17" s="353"/>
      <c r="L17" s="353"/>
      <c r="M17" s="353"/>
      <c r="N17" s="353"/>
      <c r="O17" s="358"/>
    </row>
    <row r="18" spans="1:15" x14ac:dyDescent="0.3">
      <c r="A18" s="382"/>
      <c r="B18" s="383"/>
      <c r="C18" s="383"/>
      <c r="D18" s="383"/>
      <c r="E18" s="383"/>
      <c r="F18" s="383"/>
      <c r="G18" s="383"/>
      <c r="H18" s="391" t="s">
        <v>18</v>
      </c>
      <c r="I18" s="385">
        <f>SUM(I15:I17)</f>
        <v>1.0131999999999999</v>
      </c>
      <c r="J18" s="383"/>
      <c r="K18" s="383"/>
      <c r="L18" s="383"/>
      <c r="M18" s="383"/>
      <c r="N18" s="383"/>
      <c r="O18" s="358"/>
    </row>
    <row r="19" spans="1:15" ht="15" thickBot="1" x14ac:dyDescent="0.35">
      <c r="A19" s="392"/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4"/>
    </row>
  </sheetData>
  <hyperlinks>
    <hyperlink ref="B4" location="'SU A0100'!A1" display="'SU A0100'!A1"/>
    <hyperlink ref="E3" location="dSU_01006" display="Drawing"/>
    <hyperlink ref="G2" location="SU_A0100_BOM" display="Back to BOM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topLeftCell="A7" workbookViewId="0">
      <selection activeCell="B1" sqref="B1"/>
    </sheetView>
  </sheetViews>
  <sheetFormatPr baseColWidth="10" defaultRowHeight="14.4" x14ac:dyDescent="0.3"/>
  <cols>
    <col min="1" max="1" width="15" customWidth="1"/>
  </cols>
  <sheetData>
    <row r="1" spans="1:2" x14ac:dyDescent="0.3">
      <c r="A1" t="s">
        <v>170</v>
      </c>
      <c r="B1" s="89" t="str">
        <f>SU_01006</f>
        <v>SU_01006</v>
      </c>
    </row>
  </sheetData>
  <hyperlinks>
    <hyperlink ref="B1" location="SU_01006" display="SU_01006"/>
  </hyperlink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17"/>
  <sheetViews>
    <sheetView zoomScale="80" zoomScaleNormal="80" workbookViewId="0">
      <selection activeCell="G2" sqref="G2"/>
    </sheetView>
  </sheetViews>
  <sheetFormatPr baseColWidth="10" defaultRowHeight="14.4" x14ac:dyDescent="0.3"/>
  <cols>
    <col min="2" max="2" width="28.6640625" customWidth="1"/>
    <col min="3" max="3" width="24.33203125" customWidth="1"/>
    <col min="9" max="9" width="15.33203125" customWidth="1"/>
    <col min="10" max="10" width="13.77734375" customWidth="1"/>
    <col min="17" max="17" width="12.88671875" bestFit="1" customWidth="1"/>
  </cols>
  <sheetData>
    <row r="1" spans="1:17" x14ac:dyDescent="0.3">
      <c r="A1" s="348"/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50"/>
    </row>
    <row r="2" spans="1:17" x14ac:dyDescent="0.3">
      <c r="A2" s="351" t="s">
        <v>0</v>
      </c>
      <c r="B2" s="352" t="s">
        <v>37</v>
      </c>
      <c r="C2" s="353"/>
      <c r="D2" s="353"/>
      <c r="E2" s="353"/>
      <c r="F2" s="353"/>
      <c r="G2" s="354" t="s">
        <v>126</v>
      </c>
      <c r="H2" s="353"/>
      <c r="I2" s="353"/>
      <c r="J2" s="355" t="s">
        <v>1</v>
      </c>
      <c r="K2" s="356">
        <v>81</v>
      </c>
      <c r="L2" s="353"/>
      <c r="M2" s="351" t="s">
        <v>16</v>
      </c>
      <c r="N2" s="357">
        <f>N12+I16</f>
        <v>0.47719727680000001</v>
      </c>
      <c r="O2" s="358"/>
    </row>
    <row r="3" spans="1:17" x14ac:dyDescent="0.3">
      <c r="A3" s="351" t="s">
        <v>3</v>
      </c>
      <c r="B3" s="352" t="str">
        <f>'SU A0100'!B3</f>
        <v>Suspension &amp; Shocks</v>
      </c>
      <c r="C3" s="353"/>
      <c r="D3" s="351" t="s">
        <v>6</v>
      </c>
      <c r="E3" s="395" t="s">
        <v>86</v>
      </c>
      <c r="F3" s="353"/>
      <c r="G3" s="353"/>
      <c r="H3" s="353"/>
      <c r="I3" s="353"/>
      <c r="J3" s="353"/>
      <c r="K3" s="353"/>
      <c r="L3" s="353"/>
      <c r="M3" s="351" t="s">
        <v>4</v>
      </c>
      <c r="N3" s="360">
        <v>2</v>
      </c>
      <c r="O3" s="358"/>
    </row>
    <row r="4" spans="1:17" x14ac:dyDescent="0.3">
      <c r="A4" s="351" t="s">
        <v>5</v>
      </c>
      <c r="B4" s="354" t="str">
        <f>'SU A0100'!B4</f>
        <v>Upper Front A-arm</v>
      </c>
      <c r="C4" s="353"/>
      <c r="D4" s="351" t="s">
        <v>8</v>
      </c>
      <c r="E4" s="353"/>
      <c r="F4" s="353"/>
      <c r="G4" s="353"/>
      <c r="H4" s="353"/>
      <c r="I4" s="353"/>
      <c r="J4" s="361" t="s">
        <v>6</v>
      </c>
      <c r="K4" s="353"/>
      <c r="L4" s="353"/>
      <c r="M4" s="353"/>
      <c r="N4" s="353"/>
      <c r="O4" s="358"/>
    </row>
    <row r="5" spans="1:17" x14ac:dyDescent="0.3">
      <c r="A5" s="351" t="s">
        <v>15</v>
      </c>
      <c r="B5" s="403" t="s">
        <v>135</v>
      </c>
      <c r="C5" s="353"/>
      <c r="D5" s="351" t="s">
        <v>12</v>
      </c>
      <c r="E5" s="353"/>
      <c r="F5" s="353"/>
      <c r="G5" s="353"/>
      <c r="H5" s="353"/>
      <c r="I5" s="353"/>
      <c r="J5" s="361" t="s">
        <v>8</v>
      </c>
      <c r="K5" s="353"/>
      <c r="L5" s="353"/>
      <c r="M5" s="351" t="s">
        <v>9</v>
      </c>
      <c r="N5" s="357">
        <f>N3*N2</f>
        <v>0.95439455360000003</v>
      </c>
      <c r="O5" s="358"/>
    </row>
    <row r="6" spans="1:17" x14ac:dyDescent="0.3">
      <c r="A6" s="351" t="s">
        <v>7</v>
      </c>
      <c r="B6" s="363" t="s">
        <v>191</v>
      </c>
      <c r="C6" s="353"/>
      <c r="D6" s="353"/>
      <c r="E6" s="353"/>
      <c r="F6" s="353"/>
      <c r="G6" s="353"/>
      <c r="H6" s="353"/>
      <c r="I6" s="353"/>
      <c r="J6" s="361" t="s">
        <v>12</v>
      </c>
      <c r="K6" s="353"/>
      <c r="L6" s="353"/>
      <c r="M6" s="353"/>
      <c r="N6" s="353"/>
      <c r="O6" s="358"/>
    </row>
    <row r="7" spans="1:17" x14ac:dyDescent="0.3">
      <c r="A7" s="351" t="s">
        <v>10</v>
      </c>
      <c r="B7" s="352" t="s">
        <v>11</v>
      </c>
      <c r="C7" s="353"/>
      <c r="D7" s="353"/>
      <c r="E7" s="353"/>
      <c r="F7" s="353"/>
      <c r="G7" s="353"/>
      <c r="H7" s="353"/>
      <c r="I7" s="353"/>
      <c r="J7" s="353"/>
      <c r="K7" s="353"/>
      <c r="L7" s="353"/>
      <c r="M7" s="353"/>
      <c r="N7" s="353"/>
      <c r="O7" s="358"/>
    </row>
    <row r="8" spans="1:17" x14ac:dyDescent="0.3">
      <c r="A8" s="351" t="s">
        <v>13</v>
      </c>
      <c r="B8" s="352"/>
      <c r="C8" s="353"/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8"/>
    </row>
    <row r="9" spans="1:17" x14ac:dyDescent="0.3">
      <c r="A9" s="364"/>
      <c r="B9" s="365"/>
      <c r="C9" s="365"/>
      <c r="D9" s="365"/>
      <c r="E9" s="365"/>
      <c r="F9" s="353"/>
      <c r="G9" s="353"/>
      <c r="H9" s="353"/>
      <c r="I9" s="353"/>
      <c r="J9" s="353"/>
      <c r="K9" s="353"/>
      <c r="L9" s="353"/>
      <c r="M9" s="353"/>
      <c r="N9" s="353"/>
      <c r="O9" s="358"/>
    </row>
    <row r="10" spans="1:17" x14ac:dyDescent="0.3">
      <c r="A10" s="366" t="s">
        <v>14</v>
      </c>
      <c r="B10" s="367" t="s">
        <v>19</v>
      </c>
      <c r="C10" s="367" t="s">
        <v>20</v>
      </c>
      <c r="D10" s="367" t="s">
        <v>21</v>
      </c>
      <c r="E10" s="367" t="s">
        <v>22</v>
      </c>
      <c r="F10" s="368" t="s">
        <v>23</v>
      </c>
      <c r="G10" s="368" t="s">
        <v>24</v>
      </c>
      <c r="H10" s="368" t="s">
        <v>25</v>
      </c>
      <c r="I10" s="368" t="s">
        <v>26</v>
      </c>
      <c r="J10" s="368" t="s">
        <v>27</v>
      </c>
      <c r="K10" s="368" t="s">
        <v>28</v>
      </c>
      <c r="L10" s="368" t="s">
        <v>29</v>
      </c>
      <c r="M10" s="368" t="s">
        <v>17</v>
      </c>
      <c r="N10" s="368" t="s">
        <v>18</v>
      </c>
      <c r="O10" s="358"/>
    </row>
    <row r="11" spans="1:17" s="184" customFormat="1" ht="17.399999999999999" customHeight="1" x14ac:dyDescent="0.3">
      <c r="A11" s="404">
        <v>10</v>
      </c>
      <c r="B11" s="405" t="s">
        <v>273</v>
      </c>
      <c r="C11" s="404" t="s">
        <v>274</v>
      </c>
      <c r="D11" s="406">
        <v>4.2</v>
      </c>
      <c r="E11" s="407">
        <v>12</v>
      </c>
      <c r="F11" s="404" t="s">
        <v>30</v>
      </c>
      <c r="G11" s="404"/>
      <c r="H11" s="408"/>
      <c r="I11" s="409" t="s">
        <v>275</v>
      </c>
      <c r="J11" s="410">
        <f>3.14*0.006^2</f>
        <v>1.1304E-4</v>
      </c>
      <c r="K11" s="411">
        <v>0.06</v>
      </c>
      <c r="L11" s="416">
        <v>2710</v>
      </c>
      <c r="M11" s="412">
        <v>1</v>
      </c>
      <c r="N11" s="347">
        <f>IF(J11="",D11*M11,D11*J11*K11*L11*M11)</f>
        <v>7.7197276800000006E-2</v>
      </c>
      <c r="O11" s="417"/>
    </row>
    <row r="12" spans="1:17" x14ac:dyDescent="0.3">
      <c r="A12" s="382"/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4" t="s">
        <v>18</v>
      </c>
      <c r="N12" s="385">
        <f>SUM(N11:N11)</f>
        <v>7.7197276800000006E-2</v>
      </c>
      <c r="O12" s="358"/>
    </row>
    <row r="13" spans="1:17" x14ac:dyDescent="0.3">
      <c r="A13" s="386"/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3"/>
      <c r="M13" s="353"/>
      <c r="N13" s="353"/>
      <c r="O13" s="358"/>
      <c r="Q13" s="135"/>
    </row>
    <row r="14" spans="1:17" x14ac:dyDescent="0.3">
      <c r="A14" s="387" t="s">
        <v>14</v>
      </c>
      <c r="B14" s="368" t="s">
        <v>31</v>
      </c>
      <c r="C14" s="368" t="s">
        <v>20</v>
      </c>
      <c r="D14" s="368" t="s">
        <v>21</v>
      </c>
      <c r="E14" s="368" t="s">
        <v>32</v>
      </c>
      <c r="F14" s="368" t="s">
        <v>17</v>
      </c>
      <c r="G14" s="368" t="s">
        <v>33</v>
      </c>
      <c r="H14" s="368" t="s">
        <v>34</v>
      </c>
      <c r="I14" s="368" t="s">
        <v>18</v>
      </c>
      <c r="J14" s="383"/>
      <c r="K14" s="383"/>
      <c r="L14" s="383"/>
      <c r="M14" s="383"/>
      <c r="N14" s="383"/>
      <c r="O14" s="358"/>
    </row>
    <row r="15" spans="1:17" x14ac:dyDescent="0.3">
      <c r="A15" s="343">
        <v>10</v>
      </c>
      <c r="B15" s="340" t="s">
        <v>272</v>
      </c>
      <c r="C15" s="413"/>
      <c r="D15" s="414">
        <v>0.4</v>
      </c>
      <c r="E15" s="343" t="s">
        <v>40</v>
      </c>
      <c r="F15" s="343">
        <v>1</v>
      </c>
      <c r="G15" s="343"/>
      <c r="H15" s="343"/>
      <c r="I15" s="415">
        <f>IF(H15="",D15*F15,D15*F15*H15)</f>
        <v>0.4</v>
      </c>
      <c r="J15" s="389"/>
      <c r="K15" s="389"/>
      <c r="L15" s="389"/>
      <c r="M15" s="389"/>
      <c r="N15" s="389"/>
      <c r="O15" s="390"/>
    </row>
    <row r="16" spans="1:17" x14ac:dyDescent="0.3">
      <c r="A16" s="382"/>
      <c r="B16" s="383"/>
      <c r="C16" s="383"/>
      <c r="D16" s="383"/>
      <c r="E16" s="383"/>
      <c r="F16" s="383"/>
      <c r="G16" s="383"/>
      <c r="H16" s="391" t="s">
        <v>18</v>
      </c>
      <c r="I16" s="385">
        <f>SUM(I15:I15)</f>
        <v>0.4</v>
      </c>
      <c r="J16" s="383"/>
      <c r="K16" s="383"/>
      <c r="L16" s="383"/>
      <c r="M16" s="383"/>
      <c r="N16" s="383"/>
      <c r="O16" s="358"/>
    </row>
    <row r="17" spans="1:15" ht="15" thickBot="1" x14ac:dyDescent="0.35">
      <c r="A17" s="392"/>
      <c r="B17" s="393"/>
      <c r="C17" s="393"/>
      <c r="D17" s="393"/>
      <c r="E17" s="393"/>
      <c r="F17" s="393"/>
      <c r="G17" s="393"/>
      <c r="H17" s="393"/>
      <c r="I17" s="393"/>
      <c r="J17" s="393"/>
      <c r="K17" s="393"/>
      <c r="L17" s="393"/>
      <c r="M17" s="393"/>
      <c r="N17" s="393"/>
      <c r="O17" s="394"/>
    </row>
  </sheetData>
  <hyperlinks>
    <hyperlink ref="B4" location="'SU A0100'!A1" display="'SU A0100'!A1"/>
    <hyperlink ref="E3" location="dSU_01007" display="Drawing"/>
    <hyperlink ref="G2" location="SU_A0100_BOM" display="Back to BOM"/>
  </hyperlink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L58"/>
  <sheetViews>
    <sheetView workbookViewId="0">
      <selection activeCell="B1" sqref="B1"/>
    </sheetView>
  </sheetViews>
  <sheetFormatPr baseColWidth="10" defaultRowHeight="14.4" x14ac:dyDescent="0.3"/>
  <cols>
    <col min="1" max="1" width="20" customWidth="1"/>
  </cols>
  <sheetData>
    <row r="1" spans="1:2" x14ac:dyDescent="0.3">
      <c r="A1" t="s">
        <v>170</v>
      </c>
      <c r="B1" s="89" t="str">
        <f>SU_01007</f>
        <v>SU_01007</v>
      </c>
    </row>
    <row r="58" spans="12:12" x14ac:dyDescent="0.3">
      <c r="L58" s="86">
        <f>'SU 01002'!L52</f>
        <v>0</v>
      </c>
    </row>
  </sheetData>
  <hyperlinks>
    <hyperlink ref="B1" location="SU_01007" display="SU_01007"/>
    <hyperlink ref="L58" location="BR_01001" display="BR_01001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F18" sqref="F18"/>
    </sheetView>
  </sheetViews>
  <sheetFormatPr baseColWidth="10" defaultRowHeight="14.4" x14ac:dyDescent="0.3"/>
  <cols>
    <col min="2" max="2" width="21.21875" customWidth="1"/>
    <col min="3" max="3" width="17.44140625" customWidth="1"/>
    <col min="4" max="4" width="9.5546875" customWidth="1"/>
    <col min="5" max="5" width="8" customWidth="1"/>
    <col min="7" max="7" width="16.33203125" customWidth="1"/>
    <col min="8" max="8" width="8.6640625" customWidth="1"/>
    <col min="13" max="13" width="12.6640625" customWidth="1"/>
  </cols>
  <sheetData>
    <row r="1" spans="1:15" x14ac:dyDescent="0.3">
      <c r="A1" s="431"/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3"/>
    </row>
    <row r="2" spans="1:15" x14ac:dyDescent="0.3">
      <c r="A2" s="434" t="s">
        <v>0</v>
      </c>
      <c r="B2" s="435" t="s">
        <v>37</v>
      </c>
      <c r="C2" s="418"/>
      <c r="D2" s="418"/>
      <c r="E2" s="418"/>
      <c r="F2" s="283" t="s">
        <v>126</v>
      </c>
      <c r="G2" s="418"/>
      <c r="H2" s="418"/>
      <c r="I2" s="418"/>
      <c r="J2" s="436" t="s">
        <v>1</v>
      </c>
      <c r="K2" s="419">
        <v>81</v>
      </c>
      <c r="L2" s="418"/>
      <c r="M2" s="420" t="s">
        <v>16</v>
      </c>
      <c r="N2" s="421">
        <f>SU_01008_m+SU_01008_p</f>
        <v>1.3858992499999998</v>
      </c>
      <c r="O2" s="437"/>
    </row>
    <row r="3" spans="1:15" x14ac:dyDescent="0.3">
      <c r="A3" s="434" t="s">
        <v>3</v>
      </c>
      <c r="B3" s="435" t="str">
        <f>'SU A0100'!B3</f>
        <v>Suspension &amp; Shocks</v>
      </c>
      <c r="C3" s="419"/>
      <c r="D3" s="351" t="s">
        <v>6</v>
      </c>
      <c r="E3" s="287" t="s">
        <v>86</v>
      </c>
      <c r="F3" s="418"/>
      <c r="G3" s="418"/>
      <c r="H3" s="418"/>
      <c r="I3" s="418"/>
      <c r="J3" s="418"/>
      <c r="K3" s="418"/>
      <c r="L3" s="418"/>
      <c r="M3" s="420" t="s">
        <v>4</v>
      </c>
      <c r="N3" s="422">
        <v>2</v>
      </c>
      <c r="O3" s="437"/>
    </row>
    <row r="4" spans="1:15" x14ac:dyDescent="0.3">
      <c r="A4" s="434" t="s">
        <v>5</v>
      </c>
      <c r="B4" s="438" t="str">
        <f>'SU A0100'!B4</f>
        <v>Upper Front A-arm</v>
      </c>
      <c r="C4" s="418"/>
      <c r="D4" s="351" t="s">
        <v>8</v>
      </c>
      <c r="E4" s="353"/>
      <c r="F4" s="418"/>
      <c r="G4" s="418"/>
      <c r="H4" s="418"/>
      <c r="I4" s="418"/>
      <c r="J4" s="436" t="s">
        <v>6</v>
      </c>
      <c r="K4" s="418"/>
      <c r="L4" s="418"/>
      <c r="M4" s="418"/>
      <c r="N4" s="418"/>
      <c r="O4" s="437"/>
    </row>
    <row r="5" spans="1:15" x14ac:dyDescent="0.3">
      <c r="A5" s="434" t="s">
        <v>15</v>
      </c>
      <c r="B5" s="439" t="s">
        <v>289</v>
      </c>
      <c r="C5" s="418"/>
      <c r="D5" s="351" t="s">
        <v>12</v>
      </c>
      <c r="E5" s="353"/>
      <c r="F5" s="418"/>
      <c r="G5" s="418"/>
      <c r="H5" s="418"/>
      <c r="I5" s="418"/>
      <c r="J5" s="436" t="s">
        <v>8</v>
      </c>
      <c r="K5" s="418"/>
      <c r="L5" s="418"/>
      <c r="M5" s="420" t="s">
        <v>9</v>
      </c>
      <c r="N5" s="421">
        <v>1.5188994999999998</v>
      </c>
      <c r="O5" s="437"/>
    </row>
    <row r="6" spans="1:15" x14ac:dyDescent="0.3">
      <c r="A6" s="434" t="s">
        <v>7</v>
      </c>
      <c r="B6" s="440" t="s">
        <v>285</v>
      </c>
      <c r="C6" s="418"/>
      <c r="D6" s="418"/>
      <c r="E6" s="418"/>
      <c r="F6" s="418"/>
      <c r="G6" s="418"/>
      <c r="H6" s="418"/>
      <c r="I6" s="418"/>
      <c r="J6" s="436" t="s">
        <v>12</v>
      </c>
      <c r="K6" s="418"/>
      <c r="L6" s="418"/>
      <c r="M6" s="418"/>
      <c r="N6" s="418"/>
      <c r="O6" s="437"/>
    </row>
    <row r="7" spans="1:15" x14ac:dyDescent="0.3">
      <c r="A7" s="434" t="s">
        <v>10</v>
      </c>
      <c r="B7" s="435" t="s">
        <v>11</v>
      </c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  <c r="N7" s="418"/>
      <c r="O7" s="437"/>
    </row>
    <row r="8" spans="1:15" x14ac:dyDescent="0.3">
      <c r="A8" s="434" t="s">
        <v>13</v>
      </c>
      <c r="B8" s="418" t="s">
        <v>277</v>
      </c>
      <c r="C8" s="418"/>
      <c r="D8" s="418"/>
      <c r="E8" s="418"/>
      <c r="F8" s="418"/>
      <c r="G8" s="418"/>
      <c r="H8" s="418"/>
      <c r="I8" s="418"/>
      <c r="J8" s="418"/>
      <c r="K8" s="418"/>
      <c r="L8" s="418"/>
      <c r="M8" s="418"/>
      <c r="N8" s="418"/>
      <c r="O8" s="437"/>
    </row>
    <row r="9" spans="1:15" x14ac:dyDescent="0.3">
      <c r="A9" s="423"/>
      <c r="B9" s="418"/>
      <c r="C9" s="418"/>
      <c r="D9" s="418"/>
      <c r="E9" s="418"/>
      <c r="F9" s="418"/>
      <c r="G9" s="418"/>
      <c r="H9" s="418"/>
      <c r="I9" s="418"/>
      <c r="J9" s="418"/>
      <c r="K9" s="418"/>
      <c r="L9" s="418"/>
      <c r="M9" s="418"/>
      <c r="N9" s="418"/>
      <c r="O9" s="437"/>
    </row>
    <row r="10" spans="1:15" x14ac:dyDescent="0.3">
      <c r="A10" s="424" t="s">
        <v>14</v>
      </c>
      <c r="B10" s="425" t="s">
        <v>19</v>
      </c>
      <c r="C10" s="425" t="s">
        <v>20</v>
      </c>
      <c r="D10" s="425" t="s">
        <v>21</v>
      </c>
      <c r="E10" s="425" t="s">
        <v>22</v>
      </c>
      <c r="F10" s="425" t="s">
        <v>23</v>
      </c>
      <c r="G10" s="425" t="s">
        <v>24</v>
      </c>
      <c r="H10" s="425" t="s">
        <v>25</v>
      </c>
      <c r="I10" s="425" t="s">
        <v>26</v>
      </c>
      <c r="J10" s="425" t="s">
        <v>27</v>
      </c>
      <c r="K10" s="425" t="s">
        <v>28</v>
      </c>
      <c r="L10" s="425" t="s">
        <v>29</v>
      </c>
      <c r="M10" s="425" t="s">
        <v>17</v>
      </c>
      <c r="N10" s="425" t="s">
        <v>18</v>
      </c>
      <c r="O10" s="437"/>
    </row>
    <row r="11" spans="1:15" ht="28.8" customHeight="1" x14ac:dyDescent="0.3">
      <c r="A11" s="441">
        <v>10</v>
      </c>
      <c r="B11" s="442" t="s">
        <v>278</v>
      </c>
      <c r="C11" s="443" t="s">
        <v>279</v>
      </c>
      <c r="D11" s="444">
        <v>2.25</v>
      </c>
      <c r="E11" s="445">
        <f>J11*K11*L11</f>
        <v>5.3537000000000001E-2</v>
      </c>
      <c r="F11" s="446" t="s">
        <v>212</v>
      </c>
      <c r="G11" s="446"/>
      <c r="H11" s="447"/>
      <c r="I11" s="448" t="s">
        <v>280</v>
      </c>
      <c r="J11" s="449">
        <f>0.062*0.022</f>
        <v>1.364E-3</v>
      </c>
      <c r="K11" s="449">
        <v>5.0000000000000001E-3</v>
      </c>
      <c r="L11" s="450">
        <v>7850</v>
      </c>
      <c r="M11" s="450">
        <v>1</v>
      </c>
      <c r="N11" s="451">
        <f>IF(J11="",D11*M11,D11*J11*K11*L11*M11)</f>
        <v>0.12045825</v>
      </c>
      <c r="O11" s="437"/>
    </row>
    <row r="12" spans="1:15" x14ac:dyDescent="0.3">
      <c r="A12" s="441">
        <v>20</v>
      </c>
      <c r="B12" s="442" t="s">
        <v>281</v>
      </c>
      <c r="C12" s="443"/>
      <c r="D12" s="426">
        <v>10</v>
      </c>
      <c r="E12" s="427">
        <f>2*J11</f>
        <v>2.728E-3</v>
      </c>
      <c r="F12" s="452" t="s">
        <v>276</v>
      </c>
      <c r="G12" s="446"/>
      <c r="H12" s="447"/>
      <c r="I12" s="448"/>
      <c r="J12" s="449"/>
      <c r="K12" s="447"/>
      <c r="L12" s="450"/>
      <c r="M12" s="450"/>
      <c r="N12" s="451">
        <f>E12*D12</f>
        <v>2.7279999999999999E-2</v>
      </c>
      <c r="O12" s="437"/>
    </row>
    <row r="13" spans="1:15" x14ac:dyDescent="0.3">
      <c r="A13" s="428"/>
      <c r="B13" s="429"/>
      <c r="C13" s="429"/>
      <c r="D13" s="429"/>
      <c r="E13" s="429"/>
      <c r="F13" s="429"/>
      <c r="G13" s="429"/>
      <c r="H13" s="429"/>
      <c r="I13" s="429"/>
      <c r="J13" s="429"/>
      <c r="K13" s="429"/>
      <c r="L13" s="429"/>
      <c r="M13" s="430" t="s">
        <v>18</v>
      </c>
      <c r="N13" s="300">
        <f>SUM(N11:N12)</f>
        <v>0.14773825000000002</v>
      </c>
      <c r="O13" s="437"/>
    </row>
    <row r="14" spans="1:15" x14ac:dyDescent="0.3">
      <c r="A14" s="423"/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8"/>
      <c r="M14" s="418"/>
      <c r="N14" s="418"/>
      <c r="O14" s="437"/>
    </row>
    <row r="15" spans="1:15" x14ac:dyDescent="0.3">
      <c r="A15" s="424" t="s">
        <v>14</v>
      </c>
      <c r="B15" s="425" t="s">
        <v>31</v>
      </c>
      <c r="C15" s="425" t="s">
        <v>20</v>
      </c>
      <c r="D15" s="425" t="s">
        <v>21</v>
      </c>
      <c r="E15" s="425" t="s">
        <v>32</v>
      </c>
      <c r="F15" s="425" t="s">
        <v>17</v>
      </c>
      <c r="G15" s="425" t="s">
        <v>33</v>
      </c>
      <c r="H15" s="425" t="s">
        <v>34</v>
      </c>
      <c r="I15" s="425" t="s">
        <v>18</v>
      </c>
      <c r="J15" s="429"/>
      <c r="K15" s="429"/>
      <c r="L15" s="429"/>
      <c r="M15" s="429"/>
      <c r="N15" s="429"/>
      <c r="O15" s="437"/>
    </row>
    <row r="16" spans="1:15" ht="34.200000000000003" customHeight="1" x14ac:dyDescent="0.3">
      <c r="A16" s="453">
        <v>10</v>
      </c>
      <c r="B16" s="454" t="s">
        <v>39</v>
      </c>
      <c r="C16" s="455" t="s">
        <v>282</v>
      </c>
      <c r="D16" s="456">
        <v>1.3</v>
      </c>
      <c r="E16" s="454" t="s">
        <v>32</v>
      </c>
      <c r="F16" s="311">
        <v>1</v>
      </c>
      <c r="G16" s="455" t="s">
        <v>294</v>
      </c>
      <c r="H16" s="457">
        <v>0.5</v>
      </c>
      <c r="I16" s="458">
        <f>H16*D16</f>
        <v>0.65</v>
      </c>
      <c r="J16" s="311"/>
      <c r="K16" s="418"/>
      <c r="L16" s="418"/>
      <c r="M16" s="418"/>
      <c r="N16" s="418"/>
      <c r="O16" s="437"/>
    </row>
    <row r="17" spans="1:15" x14ac:dyDescent="0.3">
      <c r="A17" s="459">
        <v>20</v>
      </c>
      <c r="B17" s="460" t="s">
        <v>283</v>
      </c>
      <c r="C17" s="308"/>
      <c r="D17" s="456">
        <v>0.01</v>
      </c>
      <c r="E17" s="460" t="s">
        <v>40</v>
      </c>
      <c r="F17" s="461">
        <v>13.6</v>
      </c>
      <c r="G17" s="454"/>
      <c r="H17" s="457"/>
      <c r="I17" s="458">
        <f>IF(H17="",D17*F17,D17*F17*H17)</f>
        <v>0.13600000000000001</v>
      </c>
      <c r="J17" s="311"/>
      <c r="K17" s="418"/>
      <c r="L17" s="418"/>
      <c r="M17" s="418"/>
      <c r="N17" s="418"/>
      <c r="O17" s="437"/>
    </row>
    <row r="18" spans="1:15" ht="29.4" customHeight="1" x14ac:dyDescent="0.3">
      <c r="A18" s="453">
        <v>30</v>
      </c>
      <c r="B18" s="462" t="s">
        <v>39</v>
      </c>
      <c r="C18" s="463"/>
      <c r="D18" s="464">
        <v>0.65</v>
      </c>
      <c r="E18" s="463" t="s">
        <v>32</v>
      </c>
      <c r="F18" s="463">
        <v>1</v>
      </c>
      <c r="G18" s="455" t="s">
        <v>294</v>
      </c>
      <c r="H18" s="463">
        <v>0.5</v>
      </c>
      <c r="I18" s="465">
        <f t="shared" ref="I18:I19" si="0">IF(H18="",D18*F18,D18*F18*H18)</f>
        <v>0.32500000000000001</v>
      </c>
      <c r="J18" s="311"/>
      <c r="K18" s="418"/>
      <c r="L18" s="418"/>
      <c r="M18" s="418"/>
      <c r="N18" s="418"/>
      <c r="O18" s="437"/>
    </row>
    <row r="19" spans="1:15" x14ac:dyDescent="0.3">
      <c r="A19" s="459">
        <v>40</v>
      </c>
      <c r="B19" s="463" t="s">
        <v>159</v>
      </c>
      <c r="C19" s="463" t="s">
        <v>293</v>
      </c>
      <c r="D19" s="464">
        <v>0.04</v>
      </c>
      <c r="E19" s="463" t="s">
        <v>161</v>
      </c>
      <c r="F19" s="463">
        <v>1</v>
      </c>
      <c r="G19" s="463" t="s">
        <v>268</v>
      </c>
      <c r="H19" s="463">
        <v>3</v>
      </c>
      <c r="I19" s="465">
        <f t="shared" si="0"/>
        <v>0.12</v>
      </c>
      <c r="J19" s="314"/>
      <c r="K19" s="429"/>
      <c r="L19" s="429"/>
      <c r="M19" s="429"/>
      <c r="N19" s="429"/>
      <c r="O19" s="437"/>
    </row>
    <row r="20" spans="1:15" x14ac:dyDescent="0.3">
      <c r="A20" s="453">
        <v>50</v>
      </c>
      <c r="B20" s="454" t="s">
        <v>233</v>
      </c>
      <c r="C20" s="308" t="s">
        <v>284</v>
      </c>
      <c r="D20" s="315">
        <v>5.25</v>
      </c>
      <c r="E20" s="454" t="s">
        <v>276</v>
      </c>
      <c r="F20" s="466">
        <f>J11</f>
        <v>1.364E-3</v>
      </c>
      <c r="G20" s="454"/>
      <c r="H20" s="457"/>
      <c r="I20" s="465">
        <f>F20*D20</f>
        <v>7.1609999999999998E-3</v>
      </c>
      <c r="J20" s="467"/>
      <c r="K20" s="468"/>
      <c r="L20" s="468"/>
      <c r="M20" s="468"/>
      <c r="N20" s="468"/>
      <c r="O20" s="437"/>
    </row>
    <row r="21" spans="1:15" x14ac:dyDescent="0.3">
      <c r="A21" s="428"/>
      <c r="B21" s="429"/>
      <c r="C21" s="429"/>
      <c r="D21" s="429"/>
      <c r="E21" s="429"/>
      <c r="F21" s="429"/>
      <c r="G21" s="429"/>
      <c r="H21" s="430" t="s">
        <v>18</v>
      </c>
      <c r="I21" s="302">
        <f>SUM(I16:I20)</f>
        <v>1.2381609999999998</v>
      </c>
      <c r="J21" s="468"/>
      <c r="K21" s="468"/>
      <c r="L21" s="468"/>
      <c r="M21" s="468"/>
      <c r="N21" s="468"/>
      <c r="O21" s="437"/>
    </row>
    <row r="22" spans="1:15" ht="15" thickBot="1" x14ac:dyDescent="0.35">
      <c r="A22" s="469"/>
      <c r="B22" s="470"/>
      <c r="C22" s="470"/>
      <c r="D22" s="470"/>
      <c r="E22" s="470"/>
      <c r="F22" s="470"/>
      <c r="G22" s="470"/>
      <c r="H22" s="470"/>
      <c r="I22" s="470"/>
      <c r="J22" s="470"/>
      <c r="K22" s="470"/>
      <c r="L22" s="470"/>
      <c r="M22" s="470"/>
      <c r="N22" s="470"/>
      <c r="O22" s="471"/>
    </row>
  </sheetData>
  <hyperlinks>
    <hyperlink ref="F2" location="SU_A0100_BOM" display="Back to BOM"/>
    <hyperlink ref="B4" location="'SU A0100'!A1" display="'SU A0100'!A1"/>
    <hyperlink ref="E3" location="dSU_01008" display="Drawing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L5"/>
  <sheetViews>
    <sheetView workbookViewId="0">
      <selection activeCell="B1" sqref="B1"/>
    </sheetView>
  </sheetViews>
  <sheetFormatPr baseColWidth="10" defaultRowHeight="14.4" x14ac:dyDescent="0.3"/>
  <cols>
    <col min="1" max="1" width="13.33203125" customWidth="1"/>
  </cols>
  <sheetData>
    <row r="1" spans="1:12" x14ac:dyDescent="0.3">
      <c r="A1" t="s">
        <v>195</v>
      </c>
      <c r="B1" s="287" t="s">
        <v>285</v>
      </c>
    </row>
    <row r="5" spans="1:12" x14ac:dyDescent="0.3">
      <c r="L5" s="304"/>
    </row>
  </sheetData>
  <hyperlinks>
    <hyperlink ref="B1" location="SU_01008" display="SU_01008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F18" sqref="F18"/>
    </sheetView>
  </sheetViews>
  <sheetFormatPr baseColWidth="10" defaultRowHeight="14.4" x14ac:dyDescent="0.3"/>
  <cols>
    <col min="3" max="3" width="18.33203125" customWidth="1"/>
  </cols>
  <sheetData>
    <row r="1" spans="1:15" x14ac:dyDescent="0.3">
      <c r="A1" s="282"/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78"/>
    </row>
    <row r="2" spans="1:15" x14ac:dyDescent="0.3">
      <c r="A2" s="318" t="s">
        <v>0</v>
      </c>
      <c r="B2" s="16" t="s">
        <v>37</v>
      </c>
      <c r="C2" s="275"/>
      <c r="D2" s="275"/>
      <c r="E2" s="275"/>
      <c r="F2" s="283" t="s">
        <v>126</v>
      </c>
      <c r="G2" s="275"/>
      <c r="H2" s="275"/>
      <c r="I2" s="275"/>
      <c r="J2" s="102" t="s">
        <v>1</v>
      </c>
      <c r="K2" s="279">
        <v>81</v>
      </c>
      <c r="L2" s="275"/>
      <c r="M2" s="303" t="s">
        <v>16</v>
      </c>
      <c r="N2" s="421">
        <f>SU_01009_m+SU_01009_p</f>
        <v>1.3520601875</v>
      </c>
      <c r="O2" s="276"/>
    </row>
    <row r="3" spans="1:15" x14ac:dyDescent="0.3">
      <c r="A3" s="318" t="s">
        <v>3</v>
      </c>
      <c r="B3" s="16" t="str">
        <f>'SU A0100'!B3</f>
        <v>Suspension &amp; Shocks</v>
      </c>
      <c r="C3" s="279"/>
      <c r="D3" s="351" t="s">
        <v>6</v>
      </c>
      <c r="E3" s="287" t="s">
        <v>86</v>
      </c>
      <c r="F3" s="275"/>
      <c r="G3" s="275"/>
      <c r="H3" s="275"/>
      <c r="I3" s="275"/>
      <c r="J3" s="275"/>
      <c r="K3" s="275"/>
      <c r="L3" s="275"/>
      <c r="M3" s="303" t="s">
        <v>4</v>
      </c>
      <c r="N3" s="280">
        <v>2</v>
      </c>
      <c r="O3" s="276"/>
    </row>
    <row r="4" spans="1:15" x14ac:dyDescent="0.3">
      <c r="A4" s="318" t="s">
        <v>5</v>
      </c>
      <c r="B4" s="88" t="str">
        <f>'SU A0100'!B4</f>
        <v>Upper Front A-arm</v>
      </c>
      <c r="C4" s="275"/>
      <c r="D4" s="351" t="s">
        <v>8</v>
      </c>
      <c r="E4" s="353"/>
      <c r="F4" s="275"/>
      <c r="G4" s="275"/>
      <c r="H4" s="275"/>
      <c r="I4" s="275"/>
      <c r="J4" s="102" t="s">
        <v>6</v>
      </c>
      <c r="K4" s="275"/>
      <c r="L4" s="275"/>
      <c r="M4" s="275"/>
      <c r="N4" s="275"/>
      <c r="O4" s="276"/>
    </row>
    <row r="5" spans="1:15" x14ac:dyDescent="0.3">
      <c r="A5" s="318" t="s">
        <v>15</v>
      </c>
      <c r="B5" s="72" t="s">
        <v>290</v>
      </c>
      <c r="C5" s="275"/>
      <c r="D5" s="351" t="s">
        <v>12</v>
      </c>
      <c r="E5" s="353"/>
      <c r="F5" s="275"/>
      <c r="G5" s="275"/>
      <c r="H5" s="275"/>
      <c r="I5" s="275"/>
      <c r="J5" s="102" t="s">
        <v>8</v>
      </c>
      <c r="K5" s="275"/>
      <c r="L5" s="275"/>
      <c r="M5" s="303" t="s">
        <v>9</v>
      </c>
      <c r="N5" s="277">
        <v>1.5188994999999998</v>
      </c>
      <c r="O5" s="276"/>
    </row>
    <row r="6" spans="1:15" x14ac:dyDescent="0.3">
      <c r="A6" s="318" t="s">
        <v>7</v>
      </c>
      <c r="B6" s="28" t="s">
        <v>286</v>
      </c>
      <c r="C6" s="275"/>
      <c r="D6" s="275"/>
      <c r="E6" s="275"/>
      <c r="F6" s="275"/>
      <c r="G6" s="275"/>
      <c r="H6" s="275"/>
      <c r="I6" s="275"/>
      <c r="J6" s="102" t="s">
        <v>12</v>
      </c>
      <c r="K6" s="275"/>
      <c r="L6" s="275"/>
      <c r="M6" s="275"/>
      <c r="N6" s="275"/>
      <c r="O6" s="276"/>
    </row>
    <row r="7" spans="1:15" x14ac:dyDescent="0.3">
      <c r="A7" s="318" t="s">
        <v>10</v>
      </c>
      <c r="B7" s="16" t="s">
        <v>11</v>
      </c>
      <c r="C7" s="275"/>
      <c r="D7" s="275"/>
      <c r="E7" s="275"/>
      <c r="F7" s="275"/>
      <c r="G7" s="275"/>
      <c r="H7" s="275"/>
      <c r="I7" s="275"/>
      <c r="J7" s="275"/>
      <c r="K7" s="275"/>
      <c r="L7" s="275"/>
      <c r="M7" s="275"/>
      <c r="N7" s="275"/>
      <c r="O7" s="276"/>
    </row>
    <row r="8" spans="1:15" x14ac:dyDescent="0.3">
      <c r="A8" s="318" t="s">
        <v>13</v>
      </c>
      <c r="B8" s="275" t="s">
        <v>277</v>
      </c>
      <c r="C8" s="275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275"/>
      <c r="O8" s="276"/>
    </row>
    <row r="9" spans="1:15" x14ac:dyDescent="0.3">
      <c r="A9" s="291"/>
      <c r="B9" s="275"/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6"/>
    </row>
    <row r="10" spans="1:15" x14ac:dyDescent="0.3">
      <c r="A10" s="319" t="s">
        <v>14</v>
      </c>
      <c r="B10" s="299" t="s">
        <v>19</v>
      </c>
      <c r="C10" s="299" t="s">
        <v>20</v>
      </c>
      <c r="D10" s="299" t="s">
        <v>21</v>
      </c>
      <c r="E10" s="299" t="s">
        <v>22</v>
      </c>
      <c r="F10" s="299" t="s">
        <v>23</v>
      </c>
      <c r="G10" s="299" t="s">
        <v>24</v>
      </c>
      <c r="H10" s="299" t="s">
        <v>25</v>
      </c>
      <c r="I10" s="299" t="s">
        <v>26</v>
      </c>
      <c r="J10" s="299" t="s">
        <v>27</v>
      </c>
      <c r="K10" s="299" t="s">
        <v>28</v>
      </c>
      <c r="L10" s="299" t="s">
        <v>29</v>
      </c>
      <c r="M10" s="299" t="s">
        <v>17</v>
      </c>
      <c r="N10" s="299" t="s">
        <v>18</v>
      </c>
      <c r="O10" s="276"/>
    </row>
    <row r="11" spans="1:15" ht="28.8" x14ac:dyDescent="0.3">
      <c r="A11" s="295">
        <v>10</v>
      </c>
      <c r="B11" s="320" t="s">
        <v>278</v>
      </c>
      <c r="C11" s="321" t="s">
        <v>279</v>
      </c>
      <c r="D11" s="305">
        <v>2.25</v>
      </c>
      <c r="E11" s="322">
        <f>J11*K11*L11</f>
        <v>5.2555749999999998E-2</v>
      </c>
      <c r="F11" s="323" t="s">
        <v>212</v>
      </c>
      <c r="G11" s="323"/>
      <c r="H11" s="324"/>
      <c r="I11" s="325" t="s">
        <v>280</v>
      </c>
      <c r="J11" s="326">
        <v>1.3389999999999999E-3</v>
      </c>
      <c r="K11" s="326">
        <v>5.0000000000000001E-3</v>
      </c>
      <c r="L11" s="327">
        <v>7850</v>
      </c>
      <c r="M11" s="327">
        <v>1</v>
      </c>
      <c r="N11" s="328">
        <f>IF(J11="",D11*M11,D11*J11*K11*L11*M11)</f>
        <v>0.1182504375</v>
      </c>
      <c r="O11" s="276"/>
    </row>
    <row r="12" spans="1:15" x14ac:dyDescent="0.3">
      <c r="A12" s="295">
        <v>20</v>
      </c>
      <c r="B12" s="320" t="s">
        <v>281</v>
      </c>
      <c r="C12" s="321"/>
      <c r="D12" s="329">
        <v>10</v>
      </c>
      <c r="E12" s="330">
        <f>2*J11</f>
        <v>2.6779999999999998E-3</v>
      </c>
      <c r="F12" s="331" t="s">
        <v>276</v>
      </c>
      <c r="G12" s="323"/>
      <c r="H12" s="324"/>
      <c r="I12" s="325"/>
      <c r="J12" s="326"/>
      <c r="K12" s="324"/>
      <c r="L12" s="327"/>
      <c r="M12" s="327"/>
      <c r="N12" s="328">
        <f>E12*D12</f>
        <v>2.6779999999999998E-2</v>
      </c>
      <c r="O12" s="276"/>
    </row>
    <row r="13" spans="1:15" x14ac:dyDescent="0.3">
      <c r="A13" s="292"/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3"/>
      <c r="M13" s="301" t="s">
        <v>18</v>
      </c>
      <c r="N13" s="300">
        <f>SUM(N11:N12)</f>
        <v>0.1450304375</v>
      </c>
      <c r="O13" s="276"/>
    </row>
    <row r="14" spans="1:15" x14ac:dyDescent="0.3">
      <c r="A14" s="291"/>
      <c r="B14" s="275"/>
      <c r="C14" s="275"/>
      <c r="D14" s="275"/>
      <c r="E14" s="275"/>
      <c r="F14" s="275"/>
      <c r="G14" s="275"/>
      <c r="H14" s="275"/>
      <c r="I14" s="275"/>
      <c r="J14" s="275"/>
      <c r="K14" s="275"/>
      <c r="L14" s="275"/>
      <c r="M14" s="275"/>
      <c r="N14" s="275"/>
      <c r="O14" s="276"/>
    </row>
    <row r="15" spans="1:15" x14ac:dyDescent="0.3">
      <c r="A15" s="319" t="s">
        <v>14</v>
      </c>
      <c r="B15" s="299" t="s">
        <v>31</v>
      </c>
      <c r="C15" s="299" t="s">
        <v>20</v>
      </c>
      <c r="D15" s="299" t="s">
        <v>21</v>
      </c>
      <c r="E15" s="299" t="s">
        <v>32</v>
      </c>
      <c r="F15" s="299" t="s">
        <v>17</v>
      </c>
      <c r="G15" s="299" t="s">
        <v>33</v>
      </c>
      <c r="H15" s="299" t="s">
        <v>34</v>
      </c>
      <c r="I15" s="299" t="s">
        <v>18</v>
      </c>
      <c r="J15" s="293"/>
      <c r="K15" s="293"/>
      <c r="L15" s="293"/>
      <c r="M15" s="293"/>
      <c r="N15" s="293"/>
      <c r="O15" s="276"/>
    </row>
    <row r="16" spans="1:15" ht="41.4" customHeight="1" x14ac:dyDescent="0.3">
      <c r="A16" s="332">
        <v>10</v>
      </c>
      <c r="B16" s="310" t="s">
        <v>39</v>
      </c>
      <c r="C16" s="333" t="s">
        <v>282</v>
      </c>
      <c r="D16" s="334">
        <v>1.3</v>
      </c>
      <c r="E16" s="310" t="s">
        <v>32</v>
      </c>
      <c r="F16" s="311">
        <v>1</v>
      </c>
      <c r="G16" s="333" t="s">
        <v>294</v>
      </c>
      <c r="H16" s="335">
        <v>0.5</v>
      </c>
      <c r="I16" s="306">
        <f>H16*D16</f>
        <v>0.65</v>
      </c>
      <c r="J16" s="311"/>
      <c r="K16" s="275"/>
      <c r="L16" s="275"/>
      <c r="M16" s="275"/>
      <c r="N16" s="275"/>
      <c r="O16" s="276"/>
    </row>
    <row r="17" spans="1:15" x14ac:dyDescent="0.3">
      <c r="A17" s="336">
        <v>20</v>
      </c>
      <c r="B17" s="307" t="s">
        <v>283</v>
      </c>
      <c r="C17" s="308"/>
      <c r="D17" s="334">
        <v>0.01</v>
      </c>
      <c r="E17" s="307" t="s">
        <v>40</v>
      </c>
      <c r="F17" s="338">
        <v>13.8</v>
      </c>
      <c r="G17" s="310"/>
      <c r="H17" s="335"/>
      <c r="I17" s="306">
        <f>IF(H17="",D17*F17,D17*F17*H17)</f>
        <v>0.13800000000000001</v>
      </c>
      <c r="J17" s="311"/>
      <c r="K17" s="275"/>
      <c r="L17" s="275"/>
      <c r="M17" s="275"/>
      <c r="N17" s="275"/>
      <c r="O17" s="276"/>
    </row>
    <row r="18" spans="1:15" ht="43.2" x14ac:dyDescent="0.3">
      <c r="A18" s="332">
        <v>30</v>
      </c>
      <c r="B18" s="337" t="s">
        <v>39</v>
      </c>
      <c r="C18" s="309"/>
      <c r="D18" s="312">
        <v>0.65</v>
      </c>
      <c r="E18" s="309" t="s">
        <v>32</v>
      </c>
      <c r="F18" s="309">
        <v>1</v>
      </c>
      <c r="G18" s="333" t="s">
        <v>294</v>
      </c>
      <c r="H18" s="309">
        <v>0.5</v>
      </c>
      <c r="I18" s="313">
        <f t="shared" ref="I18:I19" si="0">IF(H18="",D18*F18,D18*F18*H18)</f>
        <v>0.32500000000000001</v>
      </c>
      <c r="J18" s="311"/>
      <c r="K18" s="275"/>
      <c r="L18" s="275"/>
      <c r="M18" s="275"/>
      <c r="N18" s="275"/>
      <c r="O18" s="276"/>
    </row>
    <row r="19" spans="1:15" x14ac:dyDescent="0.3">
      <c r="A19" s="336">
        <v>40</v>
      </c>
      <c r="B19" s="309" t="s">
        <v>159</v>
      </c>
      <c r="C19" s="309" t="s">
        <v>293</v>
      </c>
      <c r="D19" s="312">
        <v>2.9000000000000001E-2</v>
      </c>
      <c r="E19" s="309" t="s">
        <v>161</v>
      </c>
      <c r="F19" s="309">
        <v>1</v>
      </c>
      <c r="G19" s="309" t="s">
        <v>268</v>
      </c>
      <c r="H19" s="309">
        <v>3</v>
      </c>
      <c r="I19" s="313">
        <f t="shared" si="0"/>
        <v>8.7000000000000008E-2</v>
      </c>
      <c r="J19" s="314"/>
      <c r="K19" s="293"/>
      <c r="L19" s="293"/>
      <c r="M19" s="293"/>
      <c r="N19" s="293"/>
      <c r="O19" s="276"/>
    </row>
    <row r="20" spans="1:15" ht="28.8" x14ac:dyDescent="0.3">
      <c r="A20" s="332">
        <v>50</v>
      </c>
      <c r="B20" s="310" t="s">
        <v>233</v>
      </c>
      <c r="C20" s="308" t="s">
        <v>284</v>
      </c>
      <c r="D20" s="315">
        <v>5.25</v>
      </c>
      <c r="E20" s="310" t="s">
        <v>276</v>
      </c>
      <c r="F20" s="316">
        <f>J11</f>
        <v>1.3389999999999999E-3</v>
      </c>
      <c r="G20" s="310"/>
      <c r="H20" s="335"/>
      <c r="I20" s="313">
        <f>F20*D20</f>
        <v>7.0297499999999995E-3</v>
      </c>
      <c r="J20" s="317"/>
      <c r="K20" s="56"/>
      <c r="L20" s="56"/>
      <c r="M20" s="56"/>
      <c r="N20" s="56"/>
      <c r="O20" s="276"/>
    </row>
    <row r="21" spans="1:15" x14ac:dyDescent="0.3">
      <c r="A21" s="292"/>
      <c r="B21" s="293"/>
      <c r="C21" s="293"/>
      <c r="D21" s="293"/>
      <c r="E21" s="293"/>
      <c r="F21" s="293"/>
      <c r="G21" s="293"/>
      <c r="H21" s="301" t="s">
        <v>18</v>
      </c>
      <c r="I21" s="302">
        <f>SUM(I16:I20)</f>
        <v>1.20702975</v>
      </c>
      <c r="J21" s="56"/>
      <c r="K21" s="56"/>
      <c r="L21" s="56"/>
      <c r="M21" s="56"/>
      <c r="N21" s="56"/>
      <c r="O21" s="276"/>
    </row>
    <row r="22" spans="1:15" ht="15" thickBot="1" x14ac:dyDescent="0.35">
      <c r="A22" s="296"/>
      <c r="B22" s="297"/>
      <c r="C22" s="297"/>
      <c r="D22" s="297"/>
      <c r="E22" s="297"/>
      <c r="F22" s="297"/>
      <c r="G22" s="297"/>
      <c r="H22" s="297"/>
      <c r="I22" s="297"/>
      <c r="J22" s="297"/>
      <c r="K22" s="297"/>
      <c r="L22" s="297"/>
      <c r="M22" s="297"/>
      <c r="N22" s="297"/>
      <c r="O22" s="298"/>
    </row>
  </sheetData>
  <hyperlinks>
    <hyperlink ref="B4" location="'SU A0100'!A1" display="'SU A0100'!A1"/>
    <hyperlink ref="F2" location="SU_A0100_BOM" display="Back to BOM"/>
    <hyperlink ref="E3" location="dSU_01009" display="Drawing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77734375" customWidth="1"/>
  </cols>
  <sheetData>
    <row r="1" spans="1:2" x14ac:dyDescent="0.3">
      <c r="A1" t="s">
        <v>195</v>
      </c>
      <c r="B1" s="287" t="s">
        <v>286</v>
      </c>
    </row>
  </sheetData>
  <hyperlinks>
    <hyperlink ref="B1" location="SU_01009" display="SU_01009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11"/>
  <sheetViews>
    <sheetView zoomScale="90" zoomScaleNormal="90" workbookViewId="0">
      <pane xSplit="3" ySplit="6" topLeftCell="D40" activePane="bottomRight" state="frozen"/>
      <selection activeCell="H10" sqref="H10"/>
      <selection pane="topRight" activeCell="H10" sqref="H10"/>
      <selection pane="bottomLeft" activeCell="H10" sqref="H10"/>
      <selection pane="bottomRight" activeCell="F50" sqref="F50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13.5546875" style="9" customWidth="1"/>
    <col min="4" max="4" width="10" style="9" bestFit="1" customWidth="1"/>
    <col min="5" max="5" width="23" style="9" customWidth="1"/>
    <col min="6" max="6" width="39.109375" style="42" customWidth="1"/>
    <col min="7" max="7" width="14" style="9" customWidth="1"/>
    <col min="8" max="8" width="11" style="9" bestFit="1" customWidth="1"/>
    <col min="9" max="13" width="10.44140625" style="6" customWidth="1"/>
    <col min="14" max="14" width="12.33203125" style="9" customWidth="1"/>
    <col min="15" max="15" width="11.109375" style="13" customWidth="1"/>
    <col min="16" max="16384" width="9.109375" style="13"/>
  </cols>
  <sheetData>
    <row r="1" spans="1:15" ht="15" thickBot="1" x14ac:dyDescent="0.35">
      <c r="A1" s="52" t="s">
        <v>0</v>
      </c>
      <c r="B1" s="94" t="s">
        <v>37</v>
      </c>
      <c r="D1" s="43"/>
      <c r="M1" s="55" t="s">
        <v>41</v>
      </c>
      <c r="N1" s="44"/>
      <c r="O1" s="54" t="e">
        <f>#REF!</f>
        <v>#REF!</v>
      </c>
    </row>
    <row r="2" spans="1:15" s="15" customFormat="1" ht="15" thickBot="1" x14ac:dyDescent="0.35">
      <c r="A2" s="50" t="s">
        <v>42</v>
      </c>
      <c r="B2" s="93" t="s">
        <v>125</v>
      </c>
      <c r="C2" s="14"/>
      <c r="F2" s="38"/>
    </row>
    <row r="3" spans="1:15" s="15" customFormat="1" ht="15.6" thickTop="1" thickBot="1" x14ac:dyDescent="0.35">
      <c r="A3" s="51" t="s">
        <v>43</v>
      </c>
      <c r="B3" s="53">
        <v>2018</v>
      </c>
      <c r="C3" s="14"/>
      <c r="F3" s="38"/>
    </row>
    <row r="4" spans="1:15" s="15" customFormat="1" ht="15.6" thickTop="1" thickBot="1" x14ac:dyDescent="0.35">
      <c r="A4" s="49" t="s">
        <v>1</v>
      </c>
      <c r="B4" s="92">
        <v>81</v>
      </c>
      <c r="C4" s="14"/>
      <c r="D4" s="43" t="s">
        <v>44</v>
      </c>
      <c r="F4" s="38"/>
    </row>
    <row r="5" spans="1:15" s="36" customFormat="1" ht="15" thickTop="1" x14ac:dyDescent="0.3">
      <c r="A5" s="35"/>
      <c r="B5" s="39"/>
      <c r="C5" s="37"/>
      <c r="F5" s="40"/>
    </row>
    <row r="6" spans="1:15" s="34" customFormat="1" ht="49.5" customHeight="1" x14ac:dyDescent="0.25">
      <c r="A6" s="33" t="s">
        <v>45</v>
      </c>
      <c r="B6" s="46" t="s">
        <v>46</v>
      </c>
      <c r="C6" s="46" t="s">
        <v>47</v>
      </c>
      <c r="D6" s="46" t="s">
        <v>48</v>
      </c>
      <c r="E6" s="46" t="s">
        <v>49</v>
      </c>
      <c r="F6" s="46" t="s">
        <v>50</v>
      </c>
      <c r="G6" s="46" t="s">
        <v>51</v>
      </c>
      <c r="H6" s="48" t="s">
        <v>52</v>
      </c>
      <c r="I6" s="46" t="s">
        <v>17</v>
      </c>
      <c r="J6" s="46" t="s">
        <v>53</v>
      </c>
      <c r="K6" s="46" t="s">
        <v>54</v>
      </c>
      <c r="L6" s="46" t="s">
        <v>55</v>
      </c>
      <c r="M6" s="46" t="s">
        <v>56</v>
      </c>
      <c r="N6" s="47" t="s">
        <v>57</v>
      </c>
      <c r="O6" s="46" t="s">
        <v>58</v>
      </c>
    </row>
    <row r="7" spans="1:15" ht="14.4" x14ac:dyDescent="0.3">
      <c r="A7" s="112"/>
      <c r="B7" s="113" t="s">
        <v>129</v>
      </c>
      <c r="C7" s="114" t="str">
        <f>SU_A0100</f>
        <v>SU A0100</v>
      </c>
      <c r="D7" s="114" t="s">
        <v>11</v>
      </c>
      <c r="E7" s="114"/>
      <c r="F7" s="144" t="str">
        <f>'SU A0100'!B4</f>
        <v>Upper Front A-arm</v>
      </c>
      <c r="G7" s="114"/>
      <c r="H7" s="115">
        <f t="shared" ref="H7:H14" si="0">SUM(J7:M7)</f>
        <v>38.908909427520669</v>
      </c>
      <c r="I7" s="151">
        <f>SU_A0100_q</f>
        <v>2</v>
      </c>
      <c r="J7" s="116">
        <f>SU_A0100_m</f>
        <v>20.759999999999998</v>
      </c>
      <c r="K7" s="116">
        <f>SU_A0100_p</f>
        <v>16.033700000000003</v>
      </c>
      <c r="L7" s="116">
        <f>SU_A0100_f</f>
        <v>0.78187609418733417</v>
      </c>
      <c r="M7" s="116">
        <f>SU_A0100_t</f>
        <v>1.3333333333333333</v>
      </c>
      <c r="N7" s="117">
        <f t="shared" ref="N7:N14" si="1">H7*I7</f>
        <v>77.817818855041338</v>
      </c>
      <c r="O7" s="118"/>
    </row>
    <row r="8" spans="1:15" ht="14.4" x14ac:dyDescent="0.3">
      <c r="A8" s="119"/>
      <c r="B8" s="119" t="s">
        <v>129</v>
      </c>
      <c r="C8" s="120" t="str">
        <f>SU_01001</f>
        <v>SU_01001</v>
      </c>
      <c r="D8" s="120" t="s">
        <v>11</v>
      </c>
      <c r="E8" s="120" t="str">
        <f>$F$7</f>
        <v>Upper Front A-arm</v>
      </c>
      <c r="F8" s="121" t="str">
        <f>'SU 01001'!B5</f>
        <v>Upper Front Bearing Support</v>
      </c>
      <c r="G8" s="120"/>
      <c r="H8" s="122">
        <f t="shared" si="0"/>
        <v>15.090551905600002</v>
      </c>
      <c r="I8" s="126">
        <f>SU_A0100_q*SU_01001_q</f>
        <v>2</v>
      </c>
      <c r="J8" s="123">
        <f>SU_01001_m</f>
        <v>2.6965519055999998</v>
      </c>
      <c r="K8" s="123">
        <f>SU_01001_p</f>
        <v>12.394000000000002</v>
      </c>
      <c r="L8" s="123">
        <v>0</v>
      </c>
      <c r="M8" s="123">
        <v>0</v>
      </c>
      <c r="N8" s="124">
        <f t="shared" si="1"/>
        <v>30.181103811200003</v>
      </c>
      <c r="O8" s="125"/>
    </row>
    <row r="9" spans="1:15" ht="14.4" x14ac:dyDescent="0.3">
      <c r="A9" s="119"/>
      <c r="B9" s="119" t="s">
        <v>129</v>
      </c>
      <c r="C9" s="120" t="str">
        <f>SU_01002</f>
        <v>SU_01002</v>
      </c>
      <c r="D9" s="120" t="s">
        <v>11</v>
      </c>
      <c r="E9" s="120" t="str">
        <f t="shared" ref="E9:E18" si="2">$F$7</f>
        <v>Upper Front A-arm</v>
      </c>
      <c r="F9" s="121" t="str">
        <f>'SU 01002'!B5</f>
        <v>Inner Bearing Support</v>
      </c>
      <c r="G9" s="120"/>
      <c r="H9" s="122">
        <f t="shared" si="0"/>
        <v>3.3353805440000004</v>
      </c>
      <c r="I9" s="126">
        <f>SU_A0100_q*SU_01002_q</f>
        <v>4</v>
      </c>
      <c r="J9" s="123">
        <f>SU_01002_m</f>
        <v>0.85838054400000008</v>
      </c>
      <c r="K9" s="123">
        <f>SU_01002_p</f>
        <v>2.4770000000000003</v>
      </c>
      <c r="L9" s="123">
        <v>0</v>
      </c>
      <c r="M9" s="123">
        <v>0</v>
      </c>
      <c r="N9" s="124">
        <f t="shared" si="1"/>
        <v>13.341522176000002</v>
      </c>
      <c r="O9" s="125"/>
    </row>
    <row r="10" spans="1:15" ht="14.4" x14ac:dyDescent="0.3">
      <c r="A10" s="119"/>
      <c r="B10" s="119" t="s">
        <v>129</v>
      </c>
      <c r="C10" s="120" t="str">
        <f>SU_01003</f>
        <v>SU_01003</v>
      </c>
      <c r="D10" s="120" t="s">
        <v>11</v>
      </c>
      <c r="E10" s="120" t="str">
        <f t="shared" si="2"/>
        <v>Upper Front A-arm</v>
      </c>
      <c r="F10" s="121" t="str">
        <f>'SU 01003'!B5</f>
        <v>Upper Front A-arm tube (Front)  Carbon Fiber Tube</v>
      </c>
      <c r="G10" s="120"/>
      <c r="H10" s="122">
        <f t="shared" si="0"/>
        <v>8.8765790399999975</v>
      </c>
      <c r="I10" s="126">
        <f>SU_A0100_q*SU_01003_q</f>
        <v>2</v>
      </c>
      <c r="J10" s="123">
        <f>SU_01003_m</f>
        <v>7.8902924799999985</v>
      </c>
      <c r="K10" s="123">
        <f>SU_01003_p</f>
        <v>0.98628655999999981</v>
      </c>
      <c r="L10" s="123">
        <v>0</v>
      </c>
      <c r="M10" s="123">
        <v>0</v>
      </c>
      <c r="N10" s="124">
        <f t="shared" si="1"/>
        <v>17.753158079999995</v>
      </c>
      <c r="O10" s="125"/>
    </row>
    <row r="11" spans="1:15" ht="14.4" x14ac:dyDescent="0.3">
      <c r="A11" s="119"/>
      <c r="B11" s="119" t="s">
        <v>129</v>
      </c>
      <c r="C11" s="120" t="str">
        <f>SU_01004</f>
        <v>SU_01004</v>
      </c>
      <c r="D11" s="120" t="s">
        <v>11</v>
      </c>
      <c r="E11" s="120" t="str">
        <f t="shared" si="2"/>
        <v>Upper Front A-arm</v>
      </c>
      <c r="F11" s="121" t="str">
        <f>'SU 01004'!B5</f>
        <v>Upper Front A-arm tube (Back)  Carbon Fiber Tube</v>
      </c>
      <c r="G11" s="120"/>
      <c r="H11" s="122">
        <f t="shared" si="0"/>
        <v>7.1887787999999988</v>
      </c>
      <c r="I11" s="126">
        <f>SU_A0100_q*SU_01004_q</f>
        <v>2</v>
      </c>
      <c r="J11" s="123">
        <f>SU_01004_m</f>
        <v>6.3900255999999986</v>
      </c>
      <c r="K11" s="123">
        <f>SU_01004_p</f>
        <v>0.79875319999999983</v>
      </c>
      <c r="L11" s="123">
        <v>0</v>
      </c>
      <c r="M11" s="123">
        <v>0</v>
      </c>
      <c r="N11" s="124">
        <f t="shared" si="1"/>
        <v>14.377557599999998</v>
      </c>
      <c r="O11" s="125"/>
    </row>
    <row r="12" spans="1:15" ht="14.4" x14ac:dyDescent="0.3">
      <c r="A12" s="119"/>
      <c r="B12" s="119" t="s">
        <v>129</v>
      </c>
      <c r="C12" s="120" t="str">
        <f>SU_01005</f>
        <v>SU_01005</v>
      </c>
      <c r="D12" s="120" t="s">
        <v>11</v>
      </c>
      <c r="E12" s="120" t="str">
        <f t="shared" si="2"/>
        <v>Upper Front A-arm</v>
      </c>
      <c r="F12" s="121" t="str">
        <f>'SU 01005'!B5</f>
        <v>Spacer 1</v>
      </c>
      <c r="G12" s="120"/>
      <c r="H12" s="122">
        <f t="shared" si="0"/>
        <v>1.0750440160000001</v>
      </c>
      <c r="I12" s="126">
        <f>SU_A0100_q*SU_01005_q</f>
        <v>4</v>
      </c>
      <c r="J12" s="123">
        <f>SU_01005_m</f>
        <v>3.9044016000000001E-2</v>
      </c>
      <c r="K12" s="123">
        <f>SU_01005_p</f>
        <v>1.036</v>
      </c>
      <c r="L12" s="123">
        <v>0</v>
      </c>
      <c r="M12" s="123">
        <v>0</v>
      </c>
      <c r="N12" s="124">
        <f t="shared" si="1"/>
        <v>4.3001760640000004</v>
      </c>
      <c r="O12" s="125"/>
    </row>
    <row r="13" spans="1:15" ht="14.4" x14ac:dyDescent="0.3">
      <c r="A13" s="119"/>
      <c r="B13" s="119" t="s">
        <v>129</v>
      </c>
      <c r="C13" s="120" t="str">
        <f>SU_01006</f>
        <v>SU_01006</v>
      </c>
      <c r="D13" s="120" t="s">
        <v>11</v>
      </c>
      <c r="E13" s="120" t="str">
        <f t="shared" si="2"/>
        <v>Upper Front A-arm</v>
      </c>
      <c r="F13" s="121" t="str">
        <f>'SU 01006'!B5</f>
        <v>Spacer 2</v>
      </c>
      <c r="G13" s="120"/>
      <c r="H13" s="122">
        <f t="shared" ref="H13" si="3">SUM(J13:M13)</f>
        <v>1.1551782399999999</v>
      </c>
      <c r="I13" s="126">
        <f>SU_A0100_q*SU_01006_q</f>
        <v>8</v>
      </c>
      <c r="J13" s="123">
        <f>SU_01006_m</f>
        <v>0.14197824000000003</v>
      </c>
      <c r="K13" s="123">
        <f>SU_01006_p</f>
        <v>1.0131999999999999</v>
      </c>
      <c r="L13" s="123">
        <v>0</v>
      </c>
      <c r="M13" s="123">
        <v>0</v>
      </c>
      <c r="N13" s="124">
        <f t="shared" ref="N13" si="4">H13*I13</f>
        <v>9.2414259199999993</v>
      </c>
      <c r="O13" s="125"/>
    </row>
    <row r="14" spans="1:15" ht="14.4" x14ac:dyDescent="0.3">
      <c r="A14" s="119"/>
      <c r="B14" s="119" t="s">
        <v>129</v>
      </c>
      <c r="C14" s="120" t="str">
        <f>SU_01007</f>
        <v>SU_01007</v>
      </c>
      <c r="D14" s="120" t="s">
        <v>11</v>
      </c>
      <c r="E14" s="120" t="str">
        <f t="shared" si="2"/>
        <v>Upper Front A-arm</v>
      </c>
      <c r="F14" s="121" t="str">
        <f>'SU 01007'!$B$5</f>
        <v>Outboard A-arm Insert</v>
      </c>
      <c r="G14" s="120"/>
      <c r="H14" s="122">
        <f t="shared" si="0"/>
        <v>0.47719727680000001</v>
      </c>
      <c r="I14" s="126">
        <f>SU_A0100_q*SU_01007_q</f>
        <v>4</v>
      </c>
      <c r="J14" s="123">
        <f>SU_01007_m</f>
        <v>7.7197276800000006E-2</v>
      </c>
      <c r="K14" s="123">
        <f>SU_01007_p</f>
        <v>0.4</v>
      </c>
      <c r="L14" s="123">
        <v>0</v>
      </c>
      <c r="M14" s="123">
        <v>0</v>
      </c>
      <c r="N14" s="124">
        <f t="shared" si="1"/>
        <v>1.9087891072000001</v>
      </c>
      <c r="O14" s="125"/>
    </row>
    <row r="15" spans="1:15" ht="14.4" x14ac:dyDescent="0.3">
      <c r="A15" s="119"/>
      <c r="B15" s="119" t="s">
        <v>129</v>
      </c>
      <c r="C15" s="120" t="str">
        <f>SU_01008</f>
        <v>SU_01008</v>
      </c>
      <c r="D15" s="120" t="s">
        <v>11</v>
      </c>
      <c r="E15" s="120" t="str">
        <f t="shared" si="2"/>
        <v>Upper Front A-arm</v>
      </c>
      <c r="F15" s="121" t="str">
        <f>'SU 01008'!$B$5</f>
        <v>Front up bracket</v>
      </c>
      <c r="G15" s="120"/>
      <c r="H15" s="122">
        <f t="shared" ref="H15:H18" si="5">SUM(J15:M15)</f>
        <v>1.3858992499999998</v>
      </c>
      <c r="I15" s="126">
        <f>SU_A0100_q*SU_01008_q</f>
        <v>4</v>
      </c>
      <c r="J15" s="123">
        <f>SU_01008_m</f>
        <v>0.14773825000000002</v>
      </c>
      <c r="K15" s="123">
        <f>SU_01008_p</f>
        <v>1.2381609999999998</v>
      </c>
      <c r="L15" s="123">
        <v>0</v>
      </c>
      <c r="M15" s="123">
        <v>0</v>
      </c>
      <c r="N15" s="124">
        <f t="shared" ref="N15:N18" si="6">H15*I15</f>
        <v>5.5435969999999992</v>
      </c>
      <c r="O15" s="125"/>
    </row>
    <row r="16" spans="1:15" ht="14.4" x14ac:dyDescent="0.3">
      <c r="A16" s="119"/>
      <c r="B16" s="119" t="s">
        <v>129</v>
      </c>
      <c r="C16" s="120" t="str">
        <f>SU_01009</f>
        <v>SU_01009</v>
      </c>
      <c r="D16" s="120" t="s">
        <v>11</v>
      </c>
      <c r="E16" s="120" t="str">
        <f t="shared" si="2"/>
        <v>Upper Front A-arm</v>
      </c>
      <c r="F16" s="121" t="str">
        <f>'SU 01009'!$B$5</f>
        <v>Front down bracket</v>
      </c>
      <c r="G16" s="120"/>
      <c r="H16" s="122">
        <f t="shared" si="5"/>
        <v>1.3520601875</v>
      </c>
      <c r="I16" s="126">
        <f>SU_A0100_q*SU_01009_q</f>
        <v>4</v>
      </c>
      <c r="J16" s="123">
        <f>SU_01009_m</f>
        <v>0.1450304375</v>
      </c>
      <c r="K16" s="123">
        <f>SU_01009_p</f>
        <v>1.20702975</v>
      </c>
      <c r="L16" s="123">
        <v>0</v>
      </c>
      <c r="M16" s="123">
        <v>0</v>
      </c>
      <c r="N16" s="124">
        <f t="shared" si="6"/>
        <v>5.40824075</v>
      </c>
      <c r="O16" s="125"/>
    </row>
    <row r="17" spans="1:15" ht="14.4" x14ac:dyDescent="0.3">
      <c r="A17" s="119"/>
      <c r="B17" s="119" t="s">
        <v>129</v>
      </c>
      <c r="C17" s="120" t="str">
        <f>SU_01010</f>
        <v>SU_01010</v>
      </c>
      <c r="D17" s="120" t="s">
        <v>11</v>
      </c>
      <c r="E17" s="120" t="str">
        <f t="shared" si="2"/>
        <v>Upper Front A-arm</v>
      </c>
      <c r="F17" s="121" t="str">
        <f>'SU 01010'!$B$5</f>
        <v>Rear up bracket</v>
      </c>
      <c r="G17" s="120"/>
      <c r="H17" s="122">
        <f t="shared" si="5"/>
        <v>1.3083476875000002</v>
      </c>
      <c r="I17" s="126">
        <f>SU_A0100_q*SU_01010_q</f>
        <v>4</v>
      </c>
      <c r="J17" s="123">
        <f>SU_01010_m</f>
        <v>0.1233679375</v>
      </c>
      <c r="K17" s="123">
        <f>SU_01010_p</f>
        <v>1.1849797500000001</v>
      </c>
      <c r="L17" s="123">
        <v>0</v>
      </c>
      <c r="M17" s="123">
        <v>0</v>
      </c>
      <c r="N17" s="124">
        <f t="shared" si="6"/>
        <v>5.2333907500000008</v>
      </c>
      <c r="O17" s="125"/>
    </row>
    <row r="18" spans="1:15" ht="14.4" x14ac:dyDescent="0.3">
      <c r="A18" s="119"/>
      <c r="B18" s="119" t="s">
        <v>129</v>
      </c>
      <c r="C18" s="120" t="str">
        <f>SU_01011</f>
        <v>SU_01011</v>
      </c>
      <c r="D18" s="120" t="s">
        <v>11</v>
      </c>
      <c r="E18" s="120" t="str">
        <f t="shared" si="2"/>
        <v>Upper Front A-arm</v>
      </c>
      <c r="F18" s="121" t="str">
        <f>'SU 01011'!$B$5</f>
        <v>Rear down bracket</v>
      </c>
      <c r="G18" s="120"/>
      <c r="H18" s="122">
        <f t="shared" si="5"/>
        <v>1.3212243750000001</v>
      </c>
      <c r="I18" s="126">
        <f>SU_A0100_q*SU_01011_q</f>
        <v>4</v>
      </c>
      <c r="J18" s="123">
        <f>SU_01011_m</f>
        <v>0.13755687500000002</v>
      </c>
      <c r="K18" s="123">
        <f>SU_01011_p</f>
        <v>1.1836675000000001</v>
      </c>
      <c r="L18" s="123">
        <v>0</v>
      </c>
      <c r="M18" s="123">
        <v>0</v>
      </c>
      <c r="N18" s="124">
        <f t="shared" si="6"/>
        <v>5.2848975000000005</v>
      </c>
      <c r="O18" s="125"/>
    </row>
    <row r="19" spans="1:15" ht="14.4" x14ac:dyDescent="0.3">
      <c r="A19" s="112"/>
      <c r="B19" s="113" t="s">
        <v>129</v>
      </c>
      <c r="C19" s="114" t="str">
        <f>SU_A0200</f>
        <v>SU A0200</v>
      </c>
      <c r="D19" s="114" t="s">
        <v>11</v>
      </c>
      <c r="E19" s="114"/>
      <c r="F19" s="144" t="str">
        <f>'SU A0200'!B4</f>
        <v>Lower Front A-arm</v>
      </c>
      <c r="G19" s="114"/>
      <c r="H19" s="115">
        <f t="shared" ref="H19:H26" si="7">SUM(J19:M19)</f>
        <v>38.908909427520669</v>
      </c>
      <c r="I19" s="151">
        <f>SU_A0200_q</f>
        <v>2</v>
      </c>
      <c r="J19" s="116">
        <f>SU_A0200_m</f>
        <v>20.759999999999998</v>
      </c>
      <c r="K19" s="116">
        <f>SU_A0200_p</f>
        <v>16.033700000000003</v>
      </c>
      <c r="L19" s="116">
        <f>SU_A0200_f</f>
        <v>0.78187609418733417</v>
      </c>
      <c r="M19" s="116">
        <f>SU_A0200_t</f>
        <v>1.3333333333333333</v>
      </c>
      <c r="N19" s="117">
        <f t="shared" ref="N19:N26" si="8">H19*I19</f>
        <v>77.817818855041338</v>
      </c>
      <c r="O19" s="118"/>
    </row>
    <row r="20" spans="1:15" ht="14.4" x14ac:dyDescent="0.3">
      <c r="A20" s="119"/>
      <c r="B20" s="119" t="s">
        <v>129</v>
      </c>
      <c r="C20" s="120" t="str">
        <f>SU_02001</f>
        <v>SU 02001</v>
      </c>
      <c r="D20" s="120" t="s">
        <v>11</v>
      </c>
      <c r="E20" s="120" t="str">
        <f>$F$19</f>
        <v>Lower Front A-arm</v>
      </c>
      <c r="F20" s="121" t="str">
        <f>'SU 02001'!B5</f>
        <v>Lower Front Bearing Support</v>
      </c>
      <c r="G20" s="120"/>
      <c r="H20" s="122">
        <f t="shared" si="7"/>
        <v>9.1140000000000008</v>
      </c>
      <c r="I20" s="126">
        <f>SU_A0200_q*SU_02001_q</f>
        <v>2</v>
      </c>
      <c r="J20" s="123">
        <f>SU_02001_m</f>
        <v>4.2</v>
      </c>
      <c r="K20" s="123">
        <f>SU_02001_p</f>
        <v>4.9140000000000006</v>
      </c>
      <c r="L20" s="123">
        <v>0</v>
      </c>
      <c r="M20" s="123">
        <v>0</v>
      </c>
      <c r="N20" s="124">
        <f t="shared" si="8"/>
        <v>18.228000000000002</v>
      </c>
      <c r="O20" s="125"/>
    </row>
    <row r="21" spans="1:15" ht="14.4" x14ac:dyDescent="0.3">
      <c r="A21" s="119"/>
      <c r="B21" s="119" t="s">
        <v>129</v>
      </c>
      <c r="C21" s="120" t="str">
        <f>SU_02002</f>
        <v>SU 02002</v>
      </c>
      <c r="D21" s="120" t="s">
        <v>11</v>
      </c>
      <c r="E21" s="120" t="str">
        <f t="shared" ref="E21:E30" si="9">$F$19</f>
        <v>Lower Front A-arm</v>
      </c>
      <c r="F21" s="121" t="str">
        <f>'SU 02002'!B5</f>
        <v>Inner Bearing Support</v>
      </c>
      <c r="G21" s="120"/>
      <c r="H21" s="122">
        <f t="shared" si="7"/>
        <v>3.3353805440000004</v>
      </c>
      <c r="I21" s="126">
        <f>SU_A0200_q*SU_02002_q</f>
        <v>4</v>
      </c>
      <c r="J21" s="123">
        <f>SU_02002_m</f>
        <v>0.85838054400000008</v>
      </c>
      <c r="K21" s="123">
        <f>SU_02002_p</f>
        <v>2.4770000000000003</v>
      </c>
      <c r="L21" s="123">
        <v>0</v>
      </c>
      <c r="M21" s="123">
        <v>0</v>
      </c>
      <c r="N21" s="124">
        <f t="shared" si="8"/>
        <v>13.341522176000002</v>
      </c>
      <c r="O21" s="125"/>
    </row>
    <row r="22" spans="1:15" ht="14.4" x14ac:dyDescent="0.3">
      <c r="A22" s="119"/>
      <c r="B22" s="119" t="s">
        <v>129</v>
      </c>
      <c r="C22" s="120" t="str">
        <f>SU_02003</f>
        <v>SU_02003</v>
      </c>
      <c r="D22" s="120" t="s">
        <v>11</v>
      </c>
      <c r="E22" s="120" t="str">
        <f t="shared" si="9"/>
        <v>Lower Front A-arm</v>
      </c>
      <c r="F22" s="121" t="str">
        <f>'SU 02003'!B5</f>
        <v>Lower Front A-arm tube (Front)  Carbon Fiber Tube</v>
      </c>
      <c r="G22" s="120"/>
      <c r="H22" s="122">
        <f t="shared" si="7"/>
        <v>11.220746039999998</v>
      </c>
      <c r="I22" s="126">
        <f>SU_A0200_q*SU_02003_q</f>
        <v>2</v>
      </c>
      <c r="J22" s="123">
        <f>SU_02003_m</f>
        <v>9.9739964799999985</v>
      </c>
      <c r="K22" s="123">
        <f>SU_02003_p</f>
        <v>1.2467495599999998</v>
      </c>
      <c r="L22" s="123">
        <v>0</v>
      </c>
      <c r="M22" s="123">
        <v>0</v>
      </c>
      <c r="N22" s="124">
        <f t="shared" si="8"/>
        <v>22.441492079999996</v>
      </c>
      <c r="O22" s="125"/>
    </row>
    <row r="23" spans="1:15" ht="14.4" x14ac:dyDescent="0.3">
      <c r="A23" s="119"/>
      <c r="B23" s="119" t="s">
        <v>129</v>
      </c>
      <c r="C23" s="120" t="str">
        <f>SU_02004</f>
        <v>SU_02004</v>
      </c>
      <c r="D23" s="120" t="s">
        <v>11</v>
      </c>
      <c r="E23" s="120" t="str">
        <f t="shared" si="9"/>
        <v>Lower Front A-arm</v>
      </c>
      <c r="F23" s="121" t="str">
        <f>'SU 02004'!B5</f>
        <v>Lower Front A-arm tube (Back)  Carbon Fiber Tube</v>
      </c>
      <c r="G23" s="120"/>
      <c r="H23" s="122">
        <f t="shared" si="7"/>
        <v>10.001779199999998</v>
      </c>
      <c r="I23" s="126">
        <f>SU_A0200_q*SU_02004_q</f>
        <v>2</v>
      </c>
      <c r="J23" s="123">
        <f>SU_02004_m</f>
        <v>8.8904703999999981</v>
      </c>
      <c r="K23" s="123">
        <f>SU_02004_p</f>
        <v>1.1113087999999998</v>
      </c>
      <c r="L23" s="123">
        <v>0</v>
      </c>
      <c r="M23" s="123">
        <v>0</v>
      </c>
      <c r="N23" s="124">
        <f t="shared" si="8"/>
        <v>20.003558399999996</v>
      </c>
      <c r="O23" s="125"/>
    </row>
    <row r="24" spans="1:15" ht="14.4" x14ac:dyDescent="0.3">
      <c r="A24" s="119"/>
      <c r="B24" s="119" t="s">
        <v>129</v>
      </c>
      <c r="C24" s="120" t="str">
        <f>SU_02005</f>
        <v>SU_02005</v>
      </c>
      <c r="D24" s="120" t="s">
        <v>11</v>
      </c>
      <c r="E24" s="120" t="str">
        <f t="shared" si="9"/>
        <v>Lower Front A-arm</v>
      </c>
      <c r="F24" s="121" t="str">
        <f>'SU 02005'!B5</f>
        <v>Spacer 1</v>
      </c>
      <c r="G24" s="120"/>
      <c r="H24" s="122">
        <f t="shared" si="7"/>
        <v>1.0541703760000001</v>
      </c>
      <c r="I24" s="126">
        <f>SU_A0200_q*SU_02005_q</f>
        <v>4</v>
      </c>
      <c r="J24" s="123">
        <f>SU_02005_m</f>
        <v>3.0170376000000002E-2</v>
      </c>
      <c r="K24" s="123">
        <f>SU_02005_p</f>
        <v>1.024</v>
      </c>
      <c r="L24" s="123">
        <v>0</v>
      </c>
      <c r="M24" s="123">
        <v>0</v>
      </c>
      <c r="N24" s="124">
        <f t="shared" si="8"/>
        <v>4.2166815040000003</v>
      </c>
      <c r="O24" s="125"/>
    </row>
    <row r="25" spans="1:15" ht="14.4" x14ac:dyDescent="0.3">
      <c r="A25" s="119"/>
      <c r="B25" s="119" t="s">
        <v>129</v>
      </c>
      <c r="C25" s="120" t="str">
        <f>SU_02006</f>
        <v>SU_02006</v>
      </c>
      <c r="D25" s="120" t="s">
        <v>11</v>
      </c>
      <c r="E25" s="120" t="str">
        <f t="shared" si="9"/>
        <v>Lower Front A-arm</v>
      </c>
      <c r="F25" s="121" t="str">
        <f>'SU 02006'!B5</f>
        <v>Spacer 2</v>
      </c>
      <c r="G25" s="120"/>
      <c r="H25" s="122">
        <f t="shared" ref="H25" si="10">SUM(J25:M25)</f>
        <v>1.1551782399999999</v>
      </c>
      <c r="I25" s="126">
        <f>SU_A0200_q*SU_02006_q</f>
        <v>8</v>
      </c>
      <c r="J25" s="123">
        <f>SU_02006_m</f>
        <v>0.14197824000000003</v>
      </c>
      <c r="K25" s="123">
        <f>SU_02006_p</f>
        <v>1.0131999999999999</v>
      </c>
      <c r="L25" s="123">
        <v>0</v>
      </c>
      <c r="M25" s="123">
        <v>0</v>
      </c>
      <c r="N25" s="124">
        <f t="shared" ref="N25" si="11">H25*I25</f>
        <v>9.2414259199999993</v>
      </c>
      <c r="O25" s="125"/>
    </row>
    <row r="26" spans="1:15" ht="14.4" x14ac:dyDescent="0.3">
      <c r="A26" s="119"/>
      <c r="B26" s="119" t="s">
        <v>129</v>
      </c>
      <c r="C26" s="120" t="str">
        <f>SU_02007</f>
        <v>SU_02007</v>
      </c>
      <c r="D26" s="120" t="s">
        <v>11</v>
      </c>
      <c r="E26" s="120" t="str">
        <f t="shared" si="9"/>
        <v>Lower Front A-arm</v>
      </c>
      <c r="F26" s="121" t="str">
        <f>'SU 02007'!B5</f>
        <v>Outboard A-arm Insert</v>
      </c>
      <c r="G26" s="120"/>
      <c r="H26" s="122">
        <f t="shared" si="7"/>
        <v>0.47719727680000001</v>
      </c>
      <c r="I26" s="126">
        <f>SU_A0200_q*SU_02007_q</f>
        <v>4</v>
      </c>
      <c r="J26" s="123">
        <f>SU_02007_m</f>
        <v>7.7197276800000006E-2</v>
      </c>
      <c r="K26" s="123">
        <f>SU_02007_p</f>
        <v>0.4</v>
      </c>
      <c r="L26" s="123">
        <v>0</v>
      </c>
      <c r="M26" s="123">
        <v>0</v>
      </c>
      <c r="N26" s="124">
        <f t="shared" si="8"/>
        <v>1.9087891072000001</v>
      </c>
      <c r="O26" s="125"/>
    </row>
    <row r="27" spans="1:15" ht="14.4" x14ac:dyDescent="0.3">
      <c r="A27" s="477"/>
      <c r="B27" s="119" t="s">
        <v>129</v>
      </c>
      <c r="C27" s="120" t="str">
        <f>SU_02008</f>
        <v>SU_02008</v>
      </c>
      <c r="D27" s="120" t="s">
        <v>11</v>
      </c>
      <c r="E27" s="120" t="str">
        <f t="shared" si="9"/>
        <v>Lower Front A-arm</v>
      </c>
      <c r="F27" s="121" t="str">
        <f>'SU 02008'!B5</f>
        <v>Front up bracket</v>
      </c>
      <c r="G27" s="478"/>
      <c r="H27" s="122">
        <f t="shared" ref="H27:H30" si="12">SUM(J27:M27)</f>
        <v>1.3808240000000001</v>
      </c>
      <c r="I27" s="126">
        <f>SU_A0200_q*SU_02008_q</f>
        <v>4</v>
      </c>
      <c r="J27" s="123">
        <f>SU_02008_m</f>
        <v>0.12477600000000001</v>
      </c>
      <c r="K27" s="123">
        <f>SU_02008_p</f>
        <v>1.2560480000000001</v>
      </c>
      <c r="L27" s="123">
        <v>0</v>
      </c>
      <c r="M27" s="123">
        <v>0</v>
      </c>
      <c r="N27" s="124">
        <f t="shared" ref="N27:N30" si="13">H27*I27</f>
        <v>5.5232960000000002</v>
      </c>
      <c r="O27" s="480"/>
    </row>
    <row r="28" spans="1:15" ht="14.4" x14ac:dyDescent="0.3">
      <c r="A28" s="477"/>
      <c r="B28" s="119" t="s">
        <v>129</v>
      </c>
      <c r="C28" s="120" t="str">
        <f>SU_02009</f>
        <v>SU_02009</v>
      </c>
      <c r="D28" s="120" t="s">
        <v>11</v>
      </c>
      <c r="E28" s="120" t="str">
        <f t="shared" si="9"/>
        <v>Lower Front A-arm</v>
      </c>
      <c r="F28" s="479" t="str">
        <f>'SU 02009'!B5</f>
        <v>Front down bracket</v>
      </c>
      <c r="G28" s="478"/>
      <c r="H28" s="122">
        <f t="shared" si="12"/>
        <v>1.4278895</v>
      </c>
      <c r="I28" s="126">
        <f>SU_A0200_q*SU_02009_q</f>
        <v>4</v>
      </c>
      <c r="J28" s="123">
        <f>SU_02009_m</f>
        <v>0.1620355</v>
      </c>
      <c r="K28" s="123">
        <f>SU_02009_p</f>
        <v>1.265854</v>
      </c>
      <c r="L28" s="123">
        <v>0</v>
      </c>
      <c r="M28" s="123">
        <v>0</v>
      </c>
      <c r="N28" s="124">
        <f t="shared" si="13"/>
        <v>5.7115580000000001</v>
      </c>
      <c r="O28" s="480"/>
    </row>
    <row r="29" spans="1:15" ht="14.4" x14ac:dyDescent="0.3">
      <c r="A29" s="477"/>
      <c r="B29" s="119" t="s">
        <v>129</v>
      </c>
      <c r="C29" s="120" t="str">
        <f>SU_02010</f>
        <v>SU_02010</v>
      </c>
      <c r="D29" s="120" t="s">
        <v>11</v>
      </c>
      <c r="E29" s="120" t="str">
        <f t="shared" si="9"/>
        <v>Lower Front A-arm</v>
      </c>
      <c r="F29" s="479" t="str">
        <f>'SU 02010'!B5</f>
        <v>Rear Up bracket</v>
      </c>
      <c r="G29" s="478"/>
      <c r="H29" s="122">
        <f t="shared" si="12"/>
        <v>1.326935</v>
      </c>
      <c r="I29" s="126">
        <f>SU_A0200_q*SU_02010_q</f>
        <v>4</v>
      </c>
      <c r="J29" s="123">
        <f>SU_02010_m</f>
        <v>9.5315000000000011E-2</v>
      </c>
      <c r="K29" s="123">
        <f>SU_02010_p</f>
        <v>1.2316199999999999</v>
      </c>
      <c r="L29" s="123">
        <v>0</v>
      </c>
      <c r="M29" s="123">
        <v>0</v>
      </c>
      <c r="N29" s="124">
        <f t="shared" si="13"/>
        <v>5.3077399999999999</v>
      </c>
      <c r="O29" s="480"/>
    </row>
    <row r="30" spans="1:15" ht="14.4" x14ac:dyDescent="0.3">
      <c r="A30" s="477"/>
      <c r="B30" s="119" t="s">
        <v>129</v>
      </c>
      <c r="C30" s="120" t="str">
        <f>SU_02011</f>
        <v>SU_02011</v>
      </c>
      <c r="D30" s="120" t="s">
        <v>11</v>
      </c>
      <c r="E30" s="120" t="str">
        <f t="shared" si="9"/>
        <v>Lower Front A-arm</v>
      </c>
      <c r="F30" s="479" t="str">
        <f>'SU 02011'!B5</f>
        <v>Rear down bracket</v>
      </c>
      <c r="G30" s="478"/>
      <c r="H30" s="122">
        <f t="shared" si="12"/>
        <v>1.40789925</v>
      </c>
      <c r="I30" s="126">
        <f>SU_A0200_q*SU_02011_q</f>
        <v>4</v>
      </c>
      <c r="J30" s="123">
        <f>SU_02011_m</f>
        <v>0.14773825000000002</v>
      </c>
      <c r="K30" s="123">
        <f>SU_02011_p</f>
        <v>1.2601610000000001</v>
      </c>
      <c r="L30" s="123">
        <v>0</v>
      </c>
      <c r="M30" s="123">
        <v>0</v>
      </c>
      <c r="N30" s="124">
        <f t="shared" si="13"/>
        <v>5.6315970000000002</v>
      </c>
      <c r="O30" s="480"/>
    </row>
    <row r="31" spans="1:15" ht="14.4" x14ac:dyDescent="0.3">
      <c r="A31" s="112"/>
      <c r="B31" s="113" t="s">
        <v>129</v>
      </c>
      <c r="C31" s="114" t="str">
        <f>SU_A0300</f>
        <v>SU A0300</v>
      </c>
      <c r="D31" s="114" t="s">
        <v>11</v>
      </c>
      <c r="E31" s="114"/>
      <c r="F31" s="144" t="str">
        <f>'SU A0300'!B4</f>
        <v>Upper Back A-arm</v>
      </c>
      <c r="G31" s="114"/>
      <c r="H31" s="115">
        <f t="shared" ref="H31:H38" si="14">SUM(J31:M31)</f>
        <v>38.908909427520669</v>
      </c>
      <c r="I31" s="151">
        <f>SU_A0300_q</f>
        <v>2</v>
      </c>
      <c r="J31" s="116">
        <f>SU_A0300_m</f>
        <v>20.759999999999998</v>
      </c>
      <c r="K31" s="116">
        <f>SU_A0300_p</f>
        <v>16.033700000000003</v>
      </c>
      <c r="L31" s="116">
        <f>SU_A0300_f</f>
        <v>0.78187609418733417</v>
      </c>
      <c r="M31" s="116">
        <f>SU_A0300_t</f>
        <v>1.3333333333333333</v>
      </c>
      <c r="N31" s="117">
        <f t="shared" ref="N31:N38" si="15">H31*I31</f>
        <v>77.817818855041338</v>
      </c>
      <c r="O31" s="118"/>
    </row>
    <row r="32" spans="1:15" ht="14.4" x14ac:dyDescent="0.3">
      <c r="A32" s="119"/>
      <c r="B32" s="119" t="s">
        <v>129</v>
      </c>
      <c r="C32" s="120" t="str">
        <f>SU_03001</f>
        <v>SU 03001</v>
      </c>
      <c r="D32" s="120" t="s">
        <v>11</v>
      </c>
      <c r="E32" s="120" t="str">
        <f>$F$31</f>
        <v>Upper Back A-arm</v>
      </c>
      <c r="F32" s="121" t="str">
        <f>'SU 03001'!$B$5</f>
        <v>Upper Back Bearing Support</v>
      </c>
      <c r="G32" s="120"/>
      <c r="H32" s="122">
        <f t="shared" si="14"/>
        <v>16.4854905344</v>
      </c>
      <c r="I32" s="126">
        <f>SU_A0300_q*SU_03001_q</f>
        <v>2</v>
      </c>
      <c r="J32" s="123">
        <f>SU_03001_m</f>
        <v>2.4914905344</v>
      </c>
      <c r="K32" s="123">
        <f>SU_03001_p</f>
        <v>13.994000000000002</v>
      </c>
      <c r="L32" s="123">
        <v>0</v>
      </c>
      <c r="M32" s="123">
        <v>0</v>
      </c>
      <c r="N32" s="124">
        <f t="shared" si="15"/>
        <v>32.9709810688</v>
      </c>
      <c r="O32" s="125"/>
    </row>
    <row r="33" spans="1:15" ht="14.4" x14ac:dyDescent="0.3">
      <c r="A33" s="119"/>
      <c r="B33" s="119" t="s">
        <v>129</v>
      </c>
      <c r="C33" s="120" t="str">
        <f>SU_03002</f>
        <v>SU 03002</v>
      </c>
      <c r="D33" s="120" t="s">
        <v>11</v>
      </c>
      <c r="E33" s="120" t="str">
        <f t="shared" ref="E33:E42" si="16">$F$31</f>
        <v>Upper Back A-arm</v>
      </c>
      <c r="F33" s="121" t="str">
        <f>'SU 03002'!$B$5</f>
        <v>Inner Bearing Support</v>
      </c>
      <c r="G33" s="120"/>
      <c r="H33" s="122">
        <f t="shared" si="14"/>
        <v>3.3353805440000004</v>
      </c>
      <c r="I33" s="126">
        <f>SU_A0300_q*SU_03002_q</f>
        <v>4</v>
      </c>
      <c r="J33" s="123">
        <f>SU_03002_m</f>
        <v>0.85838054400000008</v>
      </c>
      <c r="K33" s="123">
        <f>SU_03002_p</f>
        <v>2.4770000000000003</v>
      </c>
      <c r="L33" s="123">
        <v>0</v>
      </c>
      <c r="M33" s="123">
        <v>0</v>
      </c>
      <c r="N33" s="124">
        <f t="shared" si="15"/>
        <v>13.341522176000002</v>
      </c>
      <c r="O33" s="125"/>
    </row>
    <row r="34" spans="1:15" ht="14.4" x14ac:dyDescent="0.3">
      <c r="A34" s="119"/>
      <c r="B34" s="119" t="s">
        <v>129</v>
      </c>
      <c r="C34" s="120" t="str">
        <f>SU_03003</f>
        <v>SU 03003</v>
      </c>
      <c r="D34" s="120" t="s">
        <v>11</v>
      </c>
      <c r="E34" s="120" t="str">
        <f t="shared" si="16"/>
        <v>Upper Back A-arm</v>
      </c>
      <c r="F34" s="121" t="str">
        <f>'SU 03003'!$B$5</f>
        <v>Upper Back A-arm tube (Front)  Carbon Fiber Tube</v>
      </c>
      <c r="G34" s="120"/>
      <c r="H34" s="122">
        <f t="shared" si="14"/>
        <v>10.876934879999999</v>
      </c>
      <c r="I34" s="126">
        <f>SU_A0300_q*SU_03003_q</f>
        <v>2</v>
      </c>
      <c r="J34" s="123">
        <f>SU_03003_m</f>
        <v>9.6683865599999983</v>
      </c>
      <c r="K34" s="123">
        <f>SU_03003_p</f>
        <v>1.2085483199999998</v>
      </c>
      <c r="L34" s="123">
        <v>0</v>
      </c>
      <c r="M34" s="123">
        <v>0</v>
      </c>
      <c r="N34" s="124">
        <f t="shared" si="15"/>
        <v>21.753869759999997</v>
      </c>
      <c r="O34" s="125"/>
    </row>
    <row r="35" spans="1:15" ht="14.4" x14ac:dyDescent="0.3">
      <c r="A35" s="119"/>
      <c r="B35" s="119" t="s">
        <v>129</v>
      </c>
      <c r="C35" s="120" t="str">
        <f>SU_03004</f>
        <v>SU 03004</v>
      </c>
      <c r="D35" s="120" t="s">
        <v>11</v>
      </c>
      <c r="E35" s="120" t="str">
        <f t="shared" si="16"/>
        <v>Upper Back A-arm</v>
      </c>
      <c r="F35" s="121" t="str">
        <f>'SU 03004'!$B$5</f>
        <v>Upper Back A-arm tube (Back)  Carbon Fiber Tube</v>
      </c>
      <c r="G35" s="120"/>
      <c r="H35" s="122">
        <f t="shared" si="14"/>
        <v>4.3445228399999989</v>
      </c>
      <c r="I35" s="126">
        <f>SU_A0300_q*SU_03004_q</f>
        <v>2</v>
      </c>
      <c r="J35" s="123">
        <f>SU_03004_m</f>
        <v>3.8617980799999994</v>
      </c>
      <c r="K35" s="123">
        <f>SU_03004_p</f>
        <v>0.48272475999999992</v>
      </c>
      <c r="L35" s="123">
        <v>0</v>
      </c>
      <c r="M35" s="123">
        <v>0</v>
      </c>
      <c r="N35" s="124">
        <f t="shared" si="15"/>
        <v>8.6890456799999978</v>
      </c>
      <c r="O35" s="125"/>
    </row>
    <row r="36" spans="1:15" ht="14.4" x14ac:dyDescent="0.3">
      <c r="A36" s="119"/>
      <c r="B36" s="119" t="s">
        <v>129</v>
      </c>
      <c r="C36" s="120" t="str">
        <f>SU_03005</f>
        <v>SU 03005</v>
      </c>
      <c r="D36" s="120" t="s">
        <v>11</v>
      </c>
      <c r="E36" s="120" t="str">
        <f t="shared" si="16"/>
        <v>Upper Back A-arm</v>
      </c>
      <c r="F36" s="121" t="str">
        <f>'SU 03005'!$B$5</f>
        <v>Spacer 1</v>
      </c>
      <c r="G36" s="120"/>
      <c r="H36" s="122">
        <f t="shared" si="14"/>
        <v>2.6577472800000002</v>
      </c>
      <c r="I36" s="126">
        <f>SU_A0300_q*SU_03005_q</f>
        <v>4</v>
      </c>
      <c r="J36" s="123">
        <f>SU_03005_m</f>
        <v>1.7747280000000004E-2</v>
      </c>
      <c r="K36" s="123">
        <f>SU_03005_p</f>
        <v>2.64</v>
      </c>
      <c r="L36" s="123">
        <v>0</v>
      </c>
      <c r="M36" s="123">
        <v>0</v>
      </c>
      <c r="N36" s="124">
        <f t="shared" si="15"/>
        <v>10.630989120000001</v>
      </c>
      <c r="O36" s="125"/>
    </row>
    <row r="37" spans="1:15" ht="14.4" x14ac:dyDescent="0.3">
      <c r="A37" s="119"/>
      <c r="B37" s="119" t="s">
        <v>129</v>
      </c>
      <c r="C37" s="120" t="str">
        <f>SU_03006</f>
        <v>SU 03006</v>
      </c>
      <c r="D37" s="120" t="s">
        <v>11</v>
      </c>
      <c r="E37" s="120" t="str">
        <f t="shared" si="16"/>
        <v>Upper Back A-arm</v>
      </c>
      <c r="F37" s="121" t="str">
        <f>'SU 03006'!$B$5</f>
        <v>Spacer 2</v>
      </c>
      <c r="G37" s="120"/>
      <c r="H37" s="122">
        <f t="shared" si="14"/>
        <v>1.1551782399999999</v>
      </c>
      <c r="I37" s="126">
        <f>SU_A0300_q*SU_03006_q</f>
        <v>8</v>
      </c>
      <c r="J37" s="123">
        <f>SU_03006_m</f>
        <v>0.14197824000000003</v>
      </c>
      <c r="K37" s="123">
        <f>SU_03006_p</f>
        <v>1.0131999999999999</v>
      </c>
      <c r="L37" s="123">
        <v>0</v>
      </c>
      <c r="M37" s="123">
        <v>0</v>
      </c>
      <c r="N37" s="124">
        <f t="shared" si="15"/>
        <v>9.2414259199999993</v>
      </c>
      <c r="O37" s="125"/>
    </row>
    <row r="38" spans="1:15" ht="14.4" x14ac:dyDescent="0.3">
      <c r="A38" s="119"/>
      <c r="B38" s="119" t="s">
        <v>129</v>
      </c>
      <c r="C38" s="120" t="str">
        <f>SU_03007</f>
        <v>SU 03007</v>
      </c>
      <c r="D38" s="120" t="s">
        <v>11</v>
      </c>
      <c r="E38" s="120" t="str">
        <f t="shared" si="16"/>
        <v>Upper Back A-arm</v>
      </c>
      <c r="F38" s="121" t="str">
        <f>'SU 03007'!$B$5</f>
        <v>Outboard A-arm Insert</v>
      </c>
      <c r="G38" s="120"/>
      <c r="H38" s="122">
        <f t="shared" si="14"/>
        <v>0.47719727680000001</v>
      </c>
      <c r="I38" s="126">
        <f>SU_A0300_q*SU_03007_q</f>
        <v>4</v>
      </c>
      <c r="J38" s="123">
        <f>SU_03007_m</f>
        <v>7.7197276800000006E-2</v>
      </c>
      <c r="K38" s="123">
        <f>SU_03007_p</f>
        <v>0.4</v>
      </c>
      <c r="L38" s="123">
        <v>0</v>
      </c>
      <c r="M38" s="123">
        <v>0</v>
      </c>
      <c r="N38" s="124">
        <f t="shared" si="15"/>
        <v>1.9087891072000001</v>
      </c>
      <c r="O38" s="125"/>
    </row>
    <row r="39" spans="1:15" ht="14.4" x14ac:dyDescent="0.3">
      <c r="A39" s="477"/>
      <c r="B39" s="119" t="s">
        <v>129</v>
      </c>
      <c r="C39" s="120" t="str">
        <f>SU_03008</f>
        <v>SU_03008</v>
      </c>
      <c r="D39" s="120" t="s">
        <v>11</v>
      </c>
      <c r="E39" s="120" t="str">
        <f t="shared" si="16"/>
        <v>Upper Back A-arm</v>
      </c>
      <c r="F39" s="479" t="str">
        <f>'SU 03008'!$B$5</f>
        <v>Front up bracket</v>
      </c>
      <c r="G39" s="478"/>
      <c r="H39" s="122">
        <f t="shared" ref="H39:H50" si="17">SUM(J39:M39)</f>
        <v>1.3808240000000001</v>
      </c>
      <c r="I39" s="126">
        <f>SU_A0300_q*SU_03008_q</f>
        <v>4</v>
      </c>
      <c r="J39" s="123">
        <f>SU_03008_m</f>
        <v>0.12477600000000001</v>
      </c>
      <c r="K39" s="123">
        <f>SU_03008_p</f>
        <v>1.2560480000000001</v>
      </c>
      <c r="L39" s="123">
        <v>0</v>
      </c>
      <c r="M39" s="123">
        <v>0</v>
      </c>
      <c r="N39" s="124">
        <f t="shared" ref="N39:N50" si="18">H39*I39</f>
        <v>5.5232960000000002</v>
      </c>
      <c r="O39" s="480"/>
    </row>
    <row r="40" spans="1:15" ht="14.4" x14ac:dyDescent="0.3">
      <c r="A40" s="477"/>
      <c r="B40" s="119" t="s">
        <v>129</v>
      </c>
      <c r="C40" s="120" t="str">
        <f>SU_03009</f>
        <v>SU_03009</v>
      </c>
      <c r="D40" s="120" t="s">
        <v>11</v>
      </c>
      <c r="E40" s="120" t="str">
        <f t="shared" si="16"/>
        <v>Upper Back A-arm</v>
      </c>
      <c r="F40" s="479" t="str">
        <f>'SU 03009'!$B$5</f>
        <v>Front down bracket</v>
      </c>
      <c r="G40" s="478"/>
      <c r="H40" s="122">
        <f t="shared" si="17"/>
        <v>1.3808240000000001</v>
      </c>
      <c r="I40" s="126">
        <f>SU_A0300_q*SU_03009_q</f>
        <v>4</v>
      </c>
      <c r="J40" s="123">
        <f>SU_03009_m</f>
        <v>0.12477600000000001</v>
      </c>
      <c r="K40" s="123">
        <f>SU_03009_p</f>
        <v>1.2560480000000001</v>
      </c>
      <c r="L40" s="123">
        <v>0</v>
      </c>
      <c r="M40" s="123">
        <v>0</v>
      </c>
      <c r="N40" s="124">
        <f t="shared" si="18"/>
        <v>5.5232960000000002</v>
      </c>
      <c r="O40" s="480"/>
    </row>
    <row r="41" spans="1:15" ht="14.4" x14ac:dyDescent="0.3">
      <c r="A41" s="477"/>
      <c r="B41" s="119" t="s">
        <v>129</v>
      </c>
      <c r="C41" s="120" t="str">
        <f>SU_03010</f>
        <v>SU_03010</v>
      </c>
      <c r="D41" s="120" t="s">
        <v>11</v>
      </c>
      <c r="E41" s="120" t="str">
        <f t="shared" si="16"/>
        <v>Upper Back A-arm</v>
      </c>
      <c r="F41" s="479" t="str">
        <f>'SU 03010'!$B$5</f>
        <v>Rear up bracket</v>
      </c>
      <c r="G41" s="478"/>
      <c r="H41" s="122">
        <f t="shared" si="17"/>
        <v>1.3808240000000001</v>
      </c>
      <c r="I41" s="126">
        <f>SU_A0300_q*SU_03010_q</f>
        <v>4</v>
      </c>
      <c r="J41" s="123">
        <f>SU_03010_m</f>
        <v>0.12477600000000001</v>
      </c>
      <c r="K41" s="123">
        <f>SU_03010_p</f>
        <v>1.2560480000000001</v>
      </c>
      <c r="L41" s="123">
        <v>0</v>
      </c>
      <c r="M41" s="123">
        <v>0</v>
      </c>
      <c r="N41" s="124">
        <f t="shared" si="18"/>
        <v>5.5232960000000002</v>
      </c>
      <c r="O41" s="480"/>
    </row>
    <row r="42" spans="1:15" ht="14.4" x14ac:dyDescent="0.3">
      <c r="A42" s="477"/>
      <c r="B42" s="119" t="s">
        <v>129</v>
      </c>
      <c r="C42" s="120" t="str">
        <f>SU_03011</f>
        <v>SU_03011</v>
      </c>
      <c r="D42" s="120" t="s">
        <v>11</v>
      </c>
      <c r="E42" s="120" t="str">
        <f t="shared" si="16"/>
        <v>Upper Back A-arm</v>
      </c>
      <c r="F42" s="479" t="str">
        <f>'SU 03011'!$B$5</f>
        <v>Rear down bracket</v>
      </c>
      <c r="G42" s="478"/>
      <c r="H42" s="122">
        <f t="shared" si="17"/>
        <v>1.3808240000000001</v>
      </c>
      <c r="I42" s="126">
        <f>SU_A0300_q*SU_03011_q</f>
        <v>4</v>
      </c>
      <c r="J42" s="123">
        <f>SU_03011_m</f>
        <v>0.12477600000000001</v>
      </c>
      <c r="K42" s="123">
        <f>SU_03011_p</f>
        <v>1.2560480000000001</v>
      </c>
      <c r="L42" s="123">
        <v>0</v>
      </c>
      <c r="M42" s="123">
        <v>0</v>
      </c>
      <c r="N42" s="124">
        <f t="shared" si="18"/>
        <v>5.5232960000000002</v>
      </c>
      <c r="O42" s="480"/>
    </row>
    <row r="43" spans="1:15" ht="14.4" x14ac:dyDescent="0.3">
      <c r="A43" s="112"/>
      <c r="B43" s="113" t="s">
        <v>129</v>
      </c>
      <c r="C43" s="114" t="str">
        <f>SU_A0400</f>
        <v>SU A0400</v>
      </c>
      <c r="D43" s="114" t="s">
        <v>11</v>
      </c>
      <c r="E43" s="114"/>
      <c r="F43" s="144" t="str">
        <f>'SU A0400'!B4</f>
        <v>Lower Back A-arm</v>
      </c>
      <c r="G43" s="114"/>
      <c r="H43" s="115">
        <f t="shared" si="17"/>
        <v>38.908909427520669</v>
      </c>
      <c r="I43" s="151">
        <f>SU_A0400_q</f>
        <v>2</v>
      </c>
      <c r="J43" s="116">
        <f>SU_A0400_m</f>
        <v>20.759999999999998</v>
      </c>
      <c r="K43" s="116">
        <f>SU_A0400_p</f>
        <v>16.033700000000003</v>
      </c>
      <c r="L43" s="116">
        <f>SU_A0400_f</f>
        <v>0.78187609418733417</v>
      </c>
      <c r="M43" s="116">
        <f>SU_A0400_t</f>
        <v>1.3333333333333333</v>
      </c>
      <c r="N43" s="117">
        <f t="shared" si="18"/>
        <v>77.817818855041338</v>
      </c>
      <c r="O43" s="118"/>
    </row>
    <row r="44" spans="1:15" ht="14.4" x14ac:dyDescent="0.3">
      <c r="A44" s="119"/>
      <c r="B44" s="119" t="s">
        <v>129</v>
      </c>
      <c r="C44" s="120" t="str">
        <f>SU_04001</f>
        <v>SU 04001</v>
      </c>
      <c r="D44" s="120" t="s">
        <v>11</v>
      </c>
      <c r="E44" s="120" t="str">
        <f>$F$43</f>
        <v>Lower Back A-arm</v>
      </c>
      <c r="F44" s="121" t="str">
        <f>'SU 04001'!$B$5</f>
        <v>Lower Back Bearing Support</v>
      </c>
      <c r="G44" s="120"/>
      <c r="H44" s="122">
        <f t="shared" si="17"/>
        <v>8.9540000000000006</v>
      </c>
      <c r="I44" s="126">
        <f>SU_A0400_q*SU_04001_q</f>
        <v>4</v>
      </c>
      <c r="J44" s="123">
        <f>SU_04001_m</f>
        <v>4.2</v>
      </c>
      <c r="K44" s="123">
        <f>SU_04001_p</f>
        <v>4.7540000000000004</v>
      </c>
      <c r="L44" s="123">
        <v>0</v>
      </c>
      <c r="M44" s="123">
        <v>0</v>
      </c>
      <c r="N44" s="124">
        <f t="shared" si="18"/>
        <v>35.816000000000003</v>
      </c>
      <c r="O44" s="125"/>
    </row>
    <row r="45" spans="1:15" ht="14.4" x14ac:dyDescent="0.3">
      <c r="A45" s="119"/>
      <c r="B45" s="119" t="s">
        <v>129</v>
      </c>
      <c r="C45" s="120" t="str">
        <f>SU_04002</f>
        <v>SU_04002</v>
      </c>
      <c r="D45" s="120" t="s">
        <v>11</v>
      </c>
      <c r="E45" s="120" t="str">
        <f t="shared" ref="E45:E54" si="19">$F$43</f>
        <v>Lower Back A-arm</v>
      </c>
      <c r="F45" s="121" t="str">
        <f>'SU 04002'!$B$5</f>
        <v>Inner Bearing Support</v>
      </c>
      <c r="G45" s="120"/>
      <c r="H45" s="122">
        <f t="shared" si="17"/>
        <v>3.3353805440000004</v>
      </c>
      <c r="I45" s="126">
        <f>SU_A0400_q*SU_04002_q</f>
        <v>8</v>
      </c>
      <c r="J45" s="123">
        <f>SU_04002_m</f>
        <v>0.85838054400000008</v>
      </c>
      <c r="K45" s="123">
        <f>SU_04002_p</f>
        <v>2.4770000000000003</v>
      </c>
      <c r="L45" s="123">
        <v>0</v>
      </c>
      <c r="M45" s="123">
        <v>0</v>
      </c>
      <c r="N45" s="124">
        <f t="shared" si="18"/>
        <v>26.683044352000003</v>
      </c>
      <c r="O45" s="125"/>
    </row>
    <row r="46" spans="1:15" ht="14.4" x14ac:dyDescent="0.3">
      <c r="A46" s="119"/>
      <c r="B46" s="119" t="s">
        <v>129</v>
      </c>
      <c r="C46" s="120" t="str">
        <f>SU_04003</f>
        <v>SU_04003</v>
      </c>
      <c r="D46" s="120" t="s">
        <v>11</v>
      </c>
      <c r="E46" s="120" t="str">
        <f t="shared" si="19"/>
        <v>Lower Back A-arm</v>
      </c>
      <c r="F46" s="121" t="str">
        <f>'SU 04003'!$B$5</f>
        <v>Lower Back A-arm tube (Front)  Carbon Fiber Tube</v>
      </c>
      <c r="G46" s="120"/>
      <c r="H46" s="122">
        <f t="shared" si="17"/>
        <v>12.033390599999997</v>
      </c>
      <c r="I46" s="126">
        <f>SU_A0400_q*SU_04003_q</f>
        <v>4</v>
      </c>
      <c r="J46" s="123">
        <f>SU_04003_m</f>
        <v>10.696347199999998</v>
      </c>
      <c r="K46" s="123">
        <f>SU_04003_p</f>
        <v>1.3370433999999998</v>
      </c>
      <c r="L46" s="123">
        <v>0</v>
      </c>
      <c r="M46" s="123">
        <v>0</v>
      </c>
      <c r="N46" s="124">
        <f t="shared" si="18"/>
        <v>48.133562399999988</v>
      </c>
      <c r="O46" s="125"/>
    </row>
    <row r="47" spans="1:15" ht="14.4" x14ac:dyDescent="0.3">
      <c r="A47" s="119"/>
      <c r="B47" s="119" t="s">
        <v>129</v>
      </c>
      <c r="C47" s="120" t="str">
        <f>SU_04004</f>
        <v>SU_04004</v>
      </c>
      <c r="D47" s="120" t="s">
        <v>11</v>
      </c>
      <c r="E47" s="120" t="str">
        <f t="shared" si="19"/>
        <v>Lower Back A-arm</v>
      </c>
      <c r="F47" s="121" t="str">
        <f>'SU 04004'!$B$5</f>
        <v>Lower Back A-arm tube (Back)  Carbon Fiber Tube</v>
      </c>
      <c r="G47" s="120"/>
      <c r="H47" s="122">
        <f t="shared" si="17"/>
        <v>7.4075677199999985</v>
      </c>
      <c r="I47" s="126">
        <f>SU_A0400_q*SU_04004_q</f>
        <v>4</v>
      </c>
      <c r="J47" s="123">
        <f>SU_04004_m</f>
        <v>6.5845046399999987</v>
      </c>
      <c r="K47" s="123">
        <f>SU_04004_p</f>
        <v>0.82306307999999995</v>
      </c>
      <c r="L47" s="123">
        <v>0</v>
      </c>
      <c r="M47" s="123">
        <v>0</v>
      </c>
      <c r="N47" s="124">
        <f t="shared" si="18"/>
        <v>29.630270879999994</v>
      </c>
      <c r="O47" s="125"/>
    </row>
    <row r="48" spans="1:15" ht="14.4" x14ac:dyDescent="0.3">
      <c r="A48" s="119"/>
      <c r="B48" s="119" t="s">
        <v>129</v>
      </c>
      <c r="C48" s="120" t="str">
        <f>SU_04005</f>
        <v>SU_04005</v>
      </c>
      <c r="D48" s="120" t="s">
        <v>11</v>
      </c>
      <c r="E48" s="120" t="str">
        <f t="shared" si="19"/>
        <v>Lower Back A-arm</v>
      </c>
      <c r="F48" s="121" t="str">
        <f>'SU 04005'!$B$5</f>
        <v>Spacer 1</v>
      </c>
      <c r="G48" s="120"/>
      <c r="H48" s="122">
        <f t="shared" si="17"/>
        <v>2.6676857568000001</v>
      </c>
      <c r="I48" s="126">
        <f>SU_A0400_q*SU_04005_q</f>
        <v>24</v>
      </c>
      <c r="J48" s="123">
        <f>SU_04005_m</f>
        <v>2.7685756800000003E-2</v>
      </c>
      <c r="K48" s="123">
        <f>SU_04005_p</f>
        <v>2.64</v>
      </c>
      <c r="L48" s="123">
        <v>0</v>
      </c>
      <c r="M48" s="123">
        <v>0</v>
      </c>
      <c r="N48" s="124">
        <f t="shared" si="18"/>
        <v>64.024458163199995</v>
      </c>
      <c r="O48" s="125"/>
    </row>
    <row r="49" spans="1:15" ht="14.4" x14ac:dyDescent="0.3">
      <c r="A49" s="119"/>
      <c r="B49" s="119" t="s">
        <v>129</v>
      </c>
      <c r="C49" s="120" t="str">
        <f>SU_04006</f>
        <v>SU_04006</v>
      </c>
      <c r="D49" s="120" t="s">
        <v>11</v>
      </c>
      <c r="E49" s="120" t="str">
        <f t="shared" si="19"/>
        <v>Lower Back A-arm</v>
      </c>
      <c r="F49" s="121" t="str">
        <f>'SU 04006'!$B$5</f>
        <v>Spacer 2</v>
      </c>
      <c r="G49" s="120"/>
      <c r="H49" s="122" t="e">
        <f t="shared" si="17"/>
        <v>#NAME?</v>
      </c>
      <c r="I49" s="126">
        <f>SU_A0400_q*SU_04006_q</f>
        <v>8</v>
      </c>
      <c r="J49" s="123">
        <f>SU_04006_m</f>
        <v>0.14197824000000003</v>
      </c>
      <c r="K49" s="123" t="e">
        <f>SU_043006_p</f>
        <v>#NAME?</v>
      </c>
      <c r="L49" s="123">
        <v>0</v>
      </c>
      <c r="M49" s="123">
        <v>0</v>
      </c>
      <c r="N49" s="124" t="e">
        <f t="shared" si="18"/>
        <v>#NAME?</v>
      </c>
      <c r="O49" s="125"/>
    </row>
    <row r="50" spans="1:15" ht="14.4" x14ac:dyDescent="0.3">
      <c r="A50" s="119"/>
      <c r="B50" s="119" t="s">
        <v>129</v>
      </c>
      <c r="C50" s="120" t="str">
        <f>SU_04007</f>
        <v>SU_04007</v>
      </c>
      <c r="D50" s="120" t="s">
        <v>11</v>
      </c>
      <c r="E50" s="120" t="str">
        <f t="shared" si="19"/>
        <v>Lower Back A-arm</v>
      </c>
      <c r="F50" s="121" t="str">
        <f>'SU 04007'!$B$5</f>
        <v>Outboard A-arm Insert</v>
      </c>
      <c r="G50" s="120"/>
      <c r="H50" s="122">
        <f t="shared" si="17"/>
        <v>0.47719727680000001</v>
      </c>
      <c r="I50" s="126">
        <f>SU_A0400_q*SU_04007_q</f>
        <v>8</v>
      </c>
      <c r="J50" s="123">
        <f>SU_04007_m</f>
        <v>7.7197276800000006E-2</v>
      </c>
      <c r="K50" s="123">
        <f>SU_04007_p</f>
        <v>0.4</v>
      </c>
      <c r="L50" s="123">
        <v>0</v>
      </c>
      <c r="M50" s="123">
        <v>0</v>
      </c>
      <c r="N50" s="124">
        <f t="shared" si="18"/>
        <v>3.8175782144000001</v>
      </c>
      <c r="O50" s="125"/>
    </row>
    <row r="51" spans="1:15" ht="14.4" x14ac:dyDescent="0.3">
      <c r="A51" s="477"/>
      <c r="B51" s="119" t="s">
        <v>129</v>
      </c>
      <c r="C51" s="120" t="e">
        <f>SU_04008</f>
        <v>#NAME?</v>
      </c>
      <c r="D51" s="120" t="s">
        <v>11</v>
      </c>
      <c r="E51" s="120" t="str">
        <f t="shared" si="19"/>
        <v>Lower Back A-arm</v>
      </c>
      <c r="F51" s="121" t="str">
        <f>'SU 04008'!$B$5</f>
        <v>Front up bracket</v>
      </c>
      <c r="G51" s="478"/>
      <c r="H51" s="122" t="e">
        <f t="shared" ref="H51:H54" si="20">SUM(J51:M51)</f>
        <v>#NAME?</v>
      </c>
      <c r="I51" s="126" t="e">
        <f>SU_A0400_q*SU_04008_q</f>
        <v>#NAME?</v>
      </c>
      <c r="J51" s="123" t="e">
        <f>SU_04008_m</f>
        <v>#NAME?</v>
      </c>
      <c r="K51" s="123" t="e">
        <f>SU_04008_p</f>
        <v>#NAME?</v>
      </c>
      <c r="L51" s="123">
        <v>0</v>
      </c>
      <c r="M51" s="123">
        <v>0</v>
      </c>
      <c r="N51" s="124" t="e">
        <f t="shared" ref="N51:N54" si="21">H51*I51</f>
        <v>#NAME?</v>
      </c>
      <c r="O51" s="480"/>
    </row>
    <row r="52" spans="1:15" ht="14.4" x14ac:dyDescent="0.3">
      <c r="A52" s="477"/>
      <c r="B52" s="119" t="s">
        <v>129</v>
      </c>
      <c r="C52" s="120" t="e">
        <f>SU_04009</f>
        <v>#NAME?</v>
      </c>
      <c r="D52" s="120" t="s">
        <v>11</v>
      </c>
      <c r="E52" s="120" t="str">
        <f t="shared" si="19"/>
        <v>Lower Back A-arm</v>
      </c>
      <c r="F52" s="479">
        <f>'SU 04009'!$B$5</f>
        <v>0</v>
      </c>
      <c r="G52" s="478"/>
      <c r="H52" s="122" t="e">
        <f t="shared" si="20"/>
        <v>#NAME?</v>
      </c>
      <c r="I52" s="126" t="e">
        <f>SU_A0400_q*SU_04009_q</f>
        <v>#NAME?</v>
      </c>
      <c r="J52" s="123" t="e">
        <f>SU_04009_m</f>
        <v>#NAME?</v>
      </c>
      <c r="K52" s="123" t="e">
        <f>SU_04009_p</f>
        <v>#NAME?</v>
      </c>
      <c r="L52" s="123">
        <v>0</v>
      </c>
      <c r="M52" s="123">
        <v>0</v>
      </c>
      <c r="N52" s="124" t="e">
        <f t="shared" si="21"/>
        <v>#NAME?</v>
      </c>
      <c r="O52" s="480"/>
    </row>
    <row r="53" spans="1:15" ht="14.4" x14ac:dyDescent="0.3">
      <c r="A53" s="477"/>
      <c r="B53" s="119" t="s">
        <v>129</v>
      </c>
      <c r="C53" s="120" t="e">
        <f>SU_04010</f>
        <v>#NAME?</v>
      </c>
      <c r="D53" s="120" t="s">
        <v>11</v>
      </c>
      <c r="E53" s="120" t="str">
        <f t="shared" si="19"/>
        <v>Lower Back A-arm</v>
      </c>
      <c r="F53" s="479">
        <f>'SU 04010'!$B$5</f>
        <v>0</v>
      </c>
      <c r="G53" s="478"/>
      <c r="H53" s="122" t="e">
        <f t="shared" si="20"/>
        <v>#NAME?</v>
      </c>
      <c r="I53" s="126" t="e">
        <f>SU_A0400_q*SU_04010_q</f>
        <v>#NAME?</v>
      </c>
      <c r="J53" s="123" t="e">
        <f>SU_04010_m</f>
        <v>#NAME?</v>
      </c>
      <c r="K53" s="123" t="e">
        <f>SU_04010_p</f>
        <v>#NAME?</v>
      </c>
      <c r="L53" s="123">
        <v>0</v>
      </c>
      <c r="M53" s="123">
        <v>0</v>
      </c>
      <c r="N53" s="124" t="e">
        <f t="shared" si="21"/>
        <v>#NAME?</v>
      </c>
      <c r="O53" s="480"/>
    </row>
    <row r="54" spans="1:15" ht="14.4" x14ac:dyDescent="0.3">
      <c r="A54" s="477"/>
      <c r="B54" s="119" t="s">
        <v>129</v>
      </c>
      <c r="C54" s="120" t="e">
        <f>SU_04011</f>
        <v>#NAME?</v>
      </c>
      <c r="D54" s="120" t="s">
        <v>11</v>
      </c>
      <c r="E54" s="120" t="str">
        <f t="shared" si="19"/>
        <v>Lower Back A-arm</v>
      </c>
      <c r="F54" s="479">
        <f>'SU 04011'!$B$5</f>
        <v>0</v>
      </c>
      <c r="G54" s="478"/>
      <c r="H54" s="122" t="e">
        <f t="shared" si="20"/>
        <v>#NAME?</v>
      </c>
      <c r="I54" s="126" t="e">
        <f>SU_A0400_q*SU_04011_q</f>
        <v>#NAME?</v>
      </c>
      <c r="J54" s="123" t="e">
        <f>SU_04011_m</f>
        <v>#NAME?</v>
      </c>
      <c r="K54" s="123" t="e">
        <f>SU_04011_p</f>
        <v>#NAME?</v>
      </c>
      <c r="L54" s="123">
        <v>0</v>
      </c>
      <c r="M54" s="123">
        <v>0</v>
      </c>
      <c r="N54" s="124" t="e">
        <f t="shared" si="21"/>
        <v>#NAME?</v>
      </c>
      <c r="O54" s="480"/>
    </row>
    <row r="55" spans="1:15" ht="14.4" x14ac:dyDescent="0.3">
      <c r="A55" s="112"/>
      <c r="B55" s="113"/>
      <c r="C55" s="114"/>
      <c r="D55" s="114"/>
      <c r="E55" s="114"/>
      <c r="F55" s="144"/>
      <c r="G55" s="114"/>
      <c r="H55" s="115"/>
      <c r="I55" s="151"/>
      <c r="J55" s="116"/>
      <c r="K55" s="116"/>
      <c r="L55" s="116"/>
      <c r="M55" s="116"/>
      <c r="N55" s="117"/>
      <c r="O55" s="118"/>
    </row>
    <row r="56" spans="1:15" ht="14.4" x14ac:dyDescent="0.3">
      <c r="A56" s="119"/>
      <c r="B56" s="119"/>
      <c r="C56" s="120"/>
      <c r="D56" s="120"/>
      <c r="E56" s="120"/>
      <c r="F56" s="121"/>
      <c r="G56" s="120"/>
      <c r="H56" s="122"/>
      <c r="I56" s="126"/>
      <c r="J56" s="123"/>
      <c r="K56" s="123"/>
      <c r="L56" s="123"/>
      <c r="M56" s="123"/>
      <c r="N56" s="124"/>
      <c r="O56" s="125"/>
    </row>
    <row r="57" spans="1:15" ht="14.4" x14ac:dyDescent="0.3">
      <c r="A57" s="119"/>
      <c r="B57" s="119"/>
      <c r="C57" s="120"/>
      <c r="D57" s="120"/>
      <c r="E57" s="120"/>
      <c r="F57" s="121"/>
      <c r="G57" s="120"/>
      <c r="H57" s="122"/>
      <c r="I57" s="126"/>
      <c r="J57" s="123"/>
      <c r="K57" s="123"/>
      <c r="L57" s="123"/>
      <c r="M57" s="123"/>
      <c r="N57" s="124"/>
      <c r="O57" s="125"/>
    </row>
    <row r="58" spans="1:15" ht="14.4" x14ac:dyDescent="0.3">
      <c r="A58" s="119"/>
      <c r="B58" s="119"/>
      <c r="C58" s="120"/>
      <c r="D58" s="120"/>
      <c r="E58" s="120"/>
      <c r="F58" s="121"/>
      <c r="G58" s="120"/>
      <c r="H58" s="122"/>
      <c r="I58" s="126"/>
      <c r="J58" s="123"/>
      <c r="K58" s="123"/>
      <c r="L58" s="123"/>
      <c r="M58" s="123"/>
      <c r="N58" s="124"/>
      <c r="O58" s="125"/>
    </row>
    <row r="59" spans="1:15" ht="14.4" x14ac:dyDescent="0.3">
      <c r="A59" s="119"/>
      <c r="B59" s="119"/>
      <c r="C59" s="120"/>
      <c r="D59" s="120"/>
      <c r="E59" s="120"/>
      <c r="F59" s="121"/>
      <c r="G59" s="120"/>
      <c r="H59" s="122"/>
      <c r="I59" s="126"/>
      <c r="J59" s="123"/>
      <c r="K59" s="123"/>
      <c r="L59" s="123"/>
      <c r="M59" s="123"/>
      <c r="N59" s="124"/>
      <c r="O59" s="125"/>
    </row>
    <row r="60" spans="1:15" ht="14.4" x14ac:dyDescent="0.3">
      <c r="A60" s="119"/>
      <c r="B60" s="119"/>
      <c r="C60" s="120"/>
      <c r="D60" s="120"/>
      <c r="E60" s="120"/>
      <c r="F60" s="121"/>
      <c r="G60" s="120"/>
      <c r="H60" s="122"/>
      <c r="I60" s="126"/>
      <c r="J60" s="123"/>
      <c r="K60" s="123"/>
      <c r="L60" s="123"/>
      <c r="M60" s="123"/>
      <c r="N60" s="124"/>
      <c r="O60" s="125"/>
    </row>
    <row r="61" spans="1:15" ht="14.4" x14ac:dyDescent="0.3">
      <c r="A61" s="119"/>
      <c r="B61" s="119"/>
      <c r="C61" s="120"/>
      <c r="D61" s="120"/>
      <c r="E61" s="120"/>
      <c r="F61" s="121"/>
      <c r="G61" s="120"/>
      <c r="H61" s="122"/>
      <c r="I61" s="126"/>
      <c r="J61" s="123"/>
      <c r="K61" s="123"/>
      <c r="L61" s="123"/>
      <c r="M61" s="123"/>
      <c r="N61" s="124"/>
      <c r="O61" s="125"/>
    </row>
    <row r="62" spans="1:15" ht="14.4" x14ac:dyDescent="0.3">
      <c r="A62" s="119"/>
      <c r="B62" s="119"/>
      <c r="C62" s="120"/>
      <c r="D62" s="120"/>
      <c r="E62" s="120"/>
      <c r="F62" s="121"/>
      <c r="G62" s="120"/>
      <c r="H62" s="122"/>
      <c r="I62" s="126"/>
      <c r="J62" s="123"/>
      <c r="K62" s="123"/>
      <c r="L62" s="123"/>
      <c r="M62" s="123"/>
      <c r="N62" s="124"/>
      <c r="O62" s="125"/>
    </row>
    <row r="63" spans="1:15" ht="14.4" x14ac:dyDescent="0.3">
      <c r="A63" s="112"/>
      <c r="B63" s="112"/>
      <c r="C63" s="114"/>
      <c r="D63" s="114"/>
      <c r="E63" s="114"/>
      <c r="F63" s="274"/>
      <c r="G63" s="114"/>
      <c r="H63" s="115"/>
      <c r="I63" s="151"/>
      <c r="J63" s="116"/>
      <c r="K63" s="116"/>
      <c r="L63" s="116"/>
      <c r="M63" s="116"/>
      <c r="N63" s="117"/>
      <c r="O63" s="118"/>
    </row>
    <row r="64" spans="1:15" ht="15" thickBot="1" x14ac:dyDescent="0.35">
      <c r="A64" s="273"/>
      <c r="B64" s="273" t="s">
        <v>129</v>
      </c>
      <c r="C64" s="266"/>
      <c r="D64" s="266"/>
      <c r="E64" s="266"/>
      <c r="F64" s="267"/>
      <c r="G64" s="266"/>
      <c r="H64" s="268"/>
      <c r="I64" s="269"/>
      <c r="J64" s="270"/>
      <c r="K64" s="270"/>
      <c r="L64" s="270"/>
      <c r="M64" s="270"/>
      <c r="N64" s="271"/>
      <c r="O64" s="272"/>
    </row>
    <row r="65" spans="1:15" s="12" customFormat="1" ht="15" thickTop="1" thickBot="1" x14ac:dyDescent="0.3">
      <c r="A65" s="5"/>
      <c r="B65" s="41" t="str">
        <f>[1]SU_A0200!B3</f>
        <v>Suspension &amp; Shocks</v>
      </c>
      <c r="C65" s="1"/>
      <c r="D65" s="1"/>
      <c r="E65" s="1"/>
      <c r="F65" s="41" t="s">
        <v>59</v>
      </c>
      <c r="G65" s="1"/>
      <c r="H65" s="3"/>
      <c r="I65" s="4"/>
      <c r="J65" s="96" t="e">
        <f>SUMPRODUCT($I7:$I62,J7:J62)</f>
        <v>#NAME?</v>
      </c>
      <c r="K65" s="96" t="e">
        <f>SUMPRODUCT($I7:$I62,K7:K62)</f>
        <v>#NAME?</v>
      </c>
      <c r="L65" s="96" t="e">
        <f>SUMPRODUCT($I7:$I62,L7:L62)</f>
        <v>#NAME?</v>
      </c>
      <c r="M65" s="96" t="e">
        <f>SUMPRODUCT($I7:$I62,M7:M62)</f>
        <v>#NAME?</v>
      </c>
      <c r="N65" s="96" t="e">
        <f>SUM(N7:N62)</f>
        <v>#NAME?</v>
      </c>
      <c r="O65" s="2"/>
    </row>
    <row r="66" spans="1:15" ht="13.8" thickTop="1" x14ac:dyDescent="0.25">
      <c r="A66" s="11"/>
      <c r="B66" s="42"/>
      <c r="C66" s="13"/>
      <c r="D66" s="13"/>
      <c r="E66" s="13"/>
      <c r="F66" s="13"/>
      <c r="G66" s="13"/>
      <c r="H66" s="8"/>
      <c r="I66" s="13"/>
      <c r="J66" s="13"/>
      <c r="K66" s="13"/>
      <c r="L66" s="13"/>
      <c r="M66" s="13"/>
      <c r="N66" s="13"/>
    </row>
    <row r="67" spans="1:15" x14ac:dyDescent="0.25">
      <c r="A67" s="11"/>
      <c r="B67" s="42"/>
      <c r="C67" s="13"/>
      <c r="D67" s="13"/>
      <c r="E67" s="13"/>
      <c r="F67" s="13"/>
      <c r="G67" s="13"/>
      <c r="H67" s="8"/>
      <c r="I67" s="13"/>
      <c r="J67" s="13"/>
      <c r="K67" s="13"/>
      <c r="L67" s="13"/>
      <c r="M67" s="13"/>
      <c r="N67" s="13"/>
    </row>
    <row r="68" spans="1:15" x14ac:dyDescent="0.25">
      <c r="A68" s="11"/>
      <c r="B68" s="11"/>
      <c r="D68" s="13"/>
      <c r="E68" s="13"/>
      <c r="G68" s="13"/>
      <c r="H68" s="13"/>
      <c r="I68" s="8"/>
      <c r="J68" s="8"/>
      <c r="K68" s="8"/>
      <c r="L68" s="8"/>
      <c r="M68" s="8"/>
      <c r="N68" s="13"/>
    </row>
    <row r="69" spans="1:15" x14ac:dyDescent="0.25">
      <c r="A69" s="11"/>
      <c r="B69" s="11"/>
      <c r="D69" s="13"/>
      <c r="E69" s="13"/>
      <c r="G69" s="13"/>
      <c r="H69" s="13"/>
      <c r="I69" s="8"/>
      <c r="J69" s="8"/>
      <c r="K69" s="8"/>
      <c r="L69" s="8"/>
      <c r="M69" s="8"/>
      <c r="N69" s="45"/>
    </row>
    <row r="70" spans="1:15" x14ac:dyDescent="0.25">
      <c r="A70" s="11"/>
      <c r="B70" s="11"/>
      <c r="D70" s="13"/>
      <c r="E70" s="13"/>
      <c r="G70" s="13"/>
      <c r="H70" s="13"/>
      <c r="I70" s="8"/>
      <c r="J70" s="8"/>
      <c r="K70" s="8"/>
      <c r="L70" s="8"/>
      <c r="M70" s="8"/>
      <c r="N70" s="13"/>
    </row>
    <row r="71" spans="1:15" x14ac:dyDescent="0.25">
      <c r="A71" s="11"/>
      <c r="B71" s="11"/>
      <c r="D71" s="13"/>
      <c r="E71" s="13"/>
      <c r="G71" s="13"/>
      <c r="H71" s="13"/>
      <c r="I71" s="8"/>
      <c r="J71" s="8"/>
      <c r="K71" s="8"/>
      <c r="L71" s="8"/>
      <c r="M71" s="8"/>
      <c r="N71" s="45"/>
    </row>
    <row r="72" spans="1:15" x14ac:dyDescent="0.25">
      <c r="A72" s="11"/>
      <c r="B72" s="11"/>
      <c r="D72" s="13"/>
      <c r="E72" s="13"/>
      <c r="G72" s="13"/>
      <c r="H72" s="13"/>
      <c r="I72" s="8"/>
      <c r="J72" s="8"/>
      <c r="K72" s="8"/>
      <c r="L72" s="8"/>
      <c r="M72" s="8"/>
      <c r="N72" s="13"/>
    </row>
    <row r="73" spans="1:15" x14ac:dyDescent="0.25">
      <c r="A73" s="11"/>
      <c r="B73" s="11"/>
      <c r="D73" s="13"/>
      <c r="E73" s="13"/>
      <c r="G73" s="13"/>
      <c r="H73" s="13"/>
      <c r="I73" s="8"/>
      <c r="J73" s="8"/>
      <c r="K73" s="8"/>
      <c r="L73" s="8"/>
      <c r="M73" s="8"/>
      <c r="N73" s="13"/>
    </row>
    <row r="74" spans="1:15" x14ac:dyDescent="0.25">
      <c r="A74" s="11"/>
      <c r="B74" s="11"/>
      <c r="D74" s="13"/>
      <c r="E74" s="13"/>
      <c r="G74" s="13"/>
      <c r="H74" s="13"/>
      <c r="I74" s="8"/>
      <c r="J74" s="8"/>
      <c r="K74" s="8"/>
      <c r="L74" s="8"/>
      <c r="M74" s="8"/>
      <c r="N74" s="13"/>
    </row>
    <row r="75" spans="1:15" x14ac:dyDescent="0.25">
      <c r="A75" s="11"/>
      <c r="B75" s="11"/>
      <c r="D75" s="13"/>
      <c r="E75" s="13"/>
      <c r="G75" s="13"/>
      <c r="H75" s="13"/>
      <c r="I75" s="8"/>
      <c r="J75" s="8"/>
      <c r="K75" s="8"/>
      <c r="L75" s="8"/>
      <c r="M75" s="8"/>
      <c r="N75" s="13"/>
    </row>
    <row r="76" spans="1:15" x14ac:dyDescent="0.25">
      <c r="A76" s="11"/>
      <c r="B76" s="11"/>
      <c r="D76" s="13"/>
      <c r="E76" s="13"/>
      <c r="G76" s="13"/>
      <c r="H76" s="13"/>
      <c r="I76" s="8"/>
      <c r="J76" s="8"/>
      <c r="K76" s="8"/>
      <c r="L76" s="8"/>
      <c r="M76" s="8"/>
      <c r="N76" s="13"/>
    </row>
    <row r="77" spans="1:15" x14ac:dyDescent="0.25">
      <c r="A77" s="11"/>
      <c r="B77" s="11"/>
      <c r="D77" s="13"/>
      <c r="E77" s="13"/>
      <c r="G77" s="13"/>
      <c r="H77" s="13"/>
      <c r="I77" s="8"/>
      <c r="J77" s="8"/>
      <c r="K77" s="8"/>
      <c r="L77" s="8"/>
      <c r="M77" s="8"/>
      <c r="N77" s="13"/>
    </row>
    <row r="78" spans="1:15" x14ac:dyDescent="0.25">
      <c r="A78" s="11"/>
      <c r="B78" s="11"/>
      <c r="D78" s="13"/>
      <c r="E78" s="13"/>
      <c r="G78" s="13"/>
      <c r="H78" s="13"/>
      <c r="I78" s="8"/>
      <c r="J78" s="8"/>
      <c r="K78" s="8"/>
      <c r="L78" s="8"/>
      <c r="M78" s="8"/>
      <c r="N78" s="13"/>
    </row>
    <row r="79" spans="1:15" x14ac:dyDescent="0.25">
      <c r="A79" s="11"/>
      <c r="B79" s="11"/>
      <c r="D79" s="13"/>
      <c r="E79" s="13"/>
      <c r="G79" s="13"/>
      <c r="H79" s="13"/>
      <c r="I79" s="8"/>
      <c r="J79" s="8"/>
      <c r="K79" s="8"/>
      <c r="L79" s="8"/>
      <c r="M79" s="8"/>
      <c r="N79" s="13"/>
    </row>
    <row r="80" spans="1:15" x14ac:dyDescent="0.25">
      <c r="A80" s="11"/>
      <c r="B80" s="11"/>
      <c r="D80" s="13"/>
      <c r="E80" s="13"/>
      <c r="G80" s="13"/>
      <c r="H80" s="13"/>
      <c r="I80" s="8"/>
      <c r="J80" s="8"/>
      <c r="K80" s="8"/>
      <c r="L80" s="8"/>
      <c r="M80" s="8"/>
      <c r="N80" s="13"/>
    </row>
    <row r="81" spans="1:14" x14ac:dyDescent="0.25">
      <c r="A81" s="11"/>
      <c r="B81" s="11"/>
      <c r="D81" s="13"/>
      <c r="E81" s="13"/>
      <c r="G81" s="13"/>
      <c r="H81" s="13"/>
      <c r="I81" s="8"/>
      <c r="J81" s="8"/>
      <c r="K81" s="8"/>
      <c r="L81" s="8"/>
      <c r="M81" s="8"/>
      <c r="N81" s="13"/>
    </row>
    <row r="82" spans="1:14" x14ac:dyDescent="0.25">
      <c r="A82" s="11"/>
      <c r="B82" s="11"/>
      <c r="D82" s="13"/>
      <c r="E82" s="13"/>
      <c r="G82" s="13"/>
      <c r="H82" s="13"/>
      <c r="I82" s="8"/>
      <c r="J82" s="8"/>
      <c r="K82" s="8"/>
      <c r="L82" s="8"/>
      <c r="M82" s="8"/>
      <c r="N82" s="13"/>
    </row>
    <row r="83" spans="1:14" x14ac:dyDescent="0.25">
      <c r="A83" s="11"/>
      <c r="B83" s="11"/>
      <c r="D83" s="13"/>
      <c r="E83" s="13"/>
      <c r="G83" s="13"/>
      <c r="H83" s="13"/>
      <c r="I83" s="8"/>
      <c r="J83" s="8"/>
      <c r="K83" s="8"/>
      <c r="L83" s="8"/>
      <c r="M83" s="8"/>
      <c r="N83" s="13"/>
    </row>
    <row r="84" spans="1:14" x14ac:dyDescent="0.25">
      <c r="A84" s="11"/>
      <c r="B84" s="11"/>
      <c r="D84" s="13"/>
      <c r="E84" s="13"/>
      <c r="G84" s="13"/>
      <c r="H84" s="13"/>
      <c r="I84" s="8"/>
      <c r="J84" s="8"/>
      <c r="K84" s="8"/>
      <c r="L84" s="8"/>
      <c r="M84" s="8"/>
      <c r="N84" s="13"/>
    </row>
    <row r="85" spans="1:14" x14ac:dyDescent="0.25">
      <c r="A85" s="11"/>
      <c r="B85" s="11"/>
      <c r="D85" s="13"/>
      <c r="E85" s="13"/>
      <c r="G85" s="13"/>
      <c r="H85" s="13"/>
      <c r="I85" s="8"/>
      <c r="J85" s="8"/>
      <c r="K85" s="8"/>
      <c r="L85" s="8"/>
      <c r="M85" s="8"/>
      <c r="N85" s="13"/>
    </row>
    <row r="86" spans="1:14" x14ac:dyDescent="0.25">
      <c r="A86" s="11"/>
      <c r="B86" s="11"/>
      <c r="D86" s="13"/>
      <c r="E86" s="13"/>
      <c r="G86" s="13"/>
      <c r="H86" s="13"/>
      <c r="I86" s="8"/>
      <c r="J86" s="8"/>
      <c r="K86" s="8"/>
      <c r="L86" s="8"/>
      <c r="M86" s="8"/>
      <c r="N86" s="13"/>
    </row>
    <row r="87" spans="1:14" x14ac:dyDescent="0.25">
      <c r="A87" s="11"/>
      <c r="B87" s="11"/>
      <c r="D87" s="13"/>
      <c r="E87" s="13"/>
      <c r="G87" s="13"/>
      <c r="H87" s="13"/>
      <c r="I87" s="8"/>
      <c r="J87" s="8"/>
      <c r="K87" s="8"/>
      <c r="L87" s="8"/>
      <c r="M87" s="8"/>
      <c r="N87" s="13"/>
    </row>
    <row r="88" spans="1:14" x14ac:dyDescent="0.25">
      <c r="A88" s="11"/>
      <c r="B88" s="11"/>
      <c r="D88" s="13"/>
      <c r="E88" s="13"/>
      <c r="G88" s="13"/>
      <c r="H88" s="13"/>
      <c r="I88" s="8"/>
      <c r="J88" s="8"/>
      <c r="K88" s="8"/>
      <c r="L88" s="8"/>
      <c r="M88" s="8"/>
      <c r="N88" s="13"/>
    </row>
    <row r="89" spans="1:14" x14ac:dyDescent="0.25">
      <c r="A89" s="11"/>
      <c r="B89" s="11"/>
      <c r="D89" s="13"/>
      <c r="E89" s="13"/>
      <c r="G89" s="13"/>
      <c r="H89" s="13"/>
      <c r="I89" s="8"/>
      <c r="J89" s="8"/>
      <c r="K89" s="8"/>
      <c r="L89" s="8"/>
      <c r="M89" s="8"/>
      <c r="N89" s="13"/>
    </row>
    <row r="90" spans="1:14" x14ac:dyDescent="0.25">
      <c r="A90" s="11"/>
      <c r="B90" s="11"/>
      <c r="D90" s="13"/>
      <c r="E90" s="13"/>
      <c r="G90" s="13"/>
      <c r="H90" s="13"/>
      <c r="I90" s="8"/>
      <c r="J90" s="8"/>
      <c r="K90" s="8"/>
      <c r="L90" s="8"/>
      <c r="M90" s="8"/>
      <c r="N90" s="13"/>
    </row>
    <row r="91" spans="1:14" x14ac:dyDescent="0.25">
      <c r="A91" s="11"/>
      <c r="B91" s="11"/>
      <c r="D91" s="13"/>
      <c r="E91" s="13"/>
      <c r="G91" s="13"/>
      <c r="H91" s="13"/>
      <c r="I91" s="8"/>
      <c r="J91" s="8"/>
      <c r="K91" s="8"/>
      <c r="L91" s="8"/>
      <c r="M91" s="8"/>
      <c r="N91" s="13"/>
    </row>
    <row r="92" spans="1:14" x14ac:dyDescent="0.25">
      <c r="A92" s="11"/>
      <c r="B92" s="11"/>
      <c r="D92" s="13"/>
      <c r="E92" s="13"/>
      <c r="G92" s="13"/>
      <c r="H92" s="13"/>
      <c r="I92" s="8"/>
      <c r="J92" s="8"/>
      <c r="K92" s="8"/>
      <c r="L92" s="8"/>
      <c r="M92" s="8"/>
      <c r="N92" s="13"/>
    </row>
    <row r="93" spans="1:14" x14ac:dyDescent="0.25">
      <c r="A93" s="11"/>
      <c r="B93" s="11"/>
      <c r="D93" s="13"/>
      <c r="E93" s="13"/>
      <c r="G93" s="13"/>
      <c r="H93" s="13"/>
      <c r="I93" s="8"/>
      <c r="J93" s="8"/>
      <c r="K93" s="8"/>
      <c r="L93" s="8"/>
      <c r="M93" s="8"/>
      <c r="N93" s="13"/>
    </row>
    <row r="94" spans="1:14" x14ac:dyDescent="0.25">
      <c r="A94" s="11"/>
      <c r="B94" s="11"/>
      <c r="D94" s="13"/>
      <c r="E94" s="13"/>
      <c r="G94" s="13"/>
      <c r="H94" s="13"/>
      <c r="I94" s="8"/>
      <c r="J94" s="8"/>
      <c r="K94" s="8"/>
      <c r="L94" s="8"/>
      <c r="M94" s="8"/>
      <c r="N94" s="13"/>
    </row>
    <row r="95" spans="1:14" x14ac:dyDescent="0.25">
      <c r="A95" s="11"/>
      <c r="B95" s="11"/>
      <c r="D95" s="13"/>
      <c r="E95" s="13"/>
      <c r="G95" s="13"/>
      <c r="H95" s="13"/>
      <c r="I95" s="8"/>
      <c r="J95" s="8"/>
      <c r="K95" s="8"/>
      <c r="L95" s="8"/>
      <c r="M95" s="8"/>
      <c r="N95" s="13"/>
    </row>
    <row r="96" spans="1:14" s="9" customFormat="1" x14ac:dyDescent="0.25">
      <c r="A96" s="7"/>
      <c r="B96" s="11"/>
      <c r="F96" s="42"/>
      <c r="I96" s="6"/>
      <c r="J96" s="6"/>
      <c r="K96" s="6"/>
      <c r="L96" s="6"/>
      <c r="M96" s="6"/>
    </row>
    <row r="97" spans="1:14" s="9" customFormat="1" x14ac:dyDescent="0.25">
      <c r="A97" s="7"/>
      <c r="B97" s="11"/>
      <c r="F97" s="42"/>
      <c r="I97" s="6"/>
      <c r="J97" s="6"/>
      <c r="K97" s="6"/>
      <c r="L97" s="6"/>
      <c r="M97" s="6"/>
    </row>
    <row r="98" spans="1:14" s="9" customFormat="1" x14ac:dyDescent="0.25">
      <c r="A98" s="7"/>
      <c r="B98" s="11"/>
      <c r="F98" s="42"/>
      <c r="I98" s="6"/>
      <c r="J98" s="6"/>
      <c r="K98" s="6"/>
      <c r="L98" s="6"/>
      <c r="M98" s="6"/>
    </row>
    <row r="99" spans="1:14" s="9" customFormat="1" x14ac:dyDescent="0.25">
      <c r="A99" s="7"/>
      <c r="B99" s="11"/>
      <c r="F99" s="42"/>
      <c r="I99" s="6"/>
      <c r="J99" s="6"/>
      <c r="K99" s="6"/>
      <c r="L99" s="6"/>
      <c r="M99" s="6"/>
    </row>
    <row r="100" spans="1:14" s="9" customFormat="1" x14ac:dyDescent="0.25">
      <c r="A100" s="7"/>
      <c r="B100" s="11"/>
      <c r="F100" s="42"/>
      <c r="I100" s="6"/>
      <c r="J100" s="6"/>
      <c r="K100" s="6"/>
      <c r="L100" s="6"/>
      <c r="M100" s="6"/>
    </row>
    <row r="101" spans="1:14" s="9" customFormat="1" x14ac:dyDescent="0.25">
      <c r="A101" s="7"/>
      <c r="B101" s="11"/>
      <c r="F101" s="42"/>
      <c r="I101" s="6"/>
      <c r="J101" s="6"/>
      <c r="K101" s="6"/>
      <c r="L101" s="6"/>
      <c r="M101" s="6"/>
    </row>
    <row r="102" spans="1:14" s="9" customFormat="1" x14ac:dyDescent="0.25">
      <c r="A102" s="7"/>
      <c r="B102" s="11"/>
      <c r="F102" s="42"/>
      <c r="I102" s="6"/>
      <c r="J102" s="6"/>
      <c r="K102" s="6"/>
      <c r="L102" s="6"/>
      <c r="M102" s="6"/>
    </row>
    <row r="103" spans="1:14" s="9" customFormat="1" x14ac:dyDescent="0.25">
      <c r="A103" s="7"/>
      <c r="B103" s="11"/>
      <c r="F103" s="42"/>
      <c r="I103" s="6"/>
      <c r="J103" s="6"/>
      <c r="K103" s="6"/>
      <c r="L103" s="6"/>
      <c r="M103" s="6"/>
    </row>
    <row r="104" spans="1:14" s="9" customFormat="1" x14ac:dyDescent="0.25">
      <c r="A104" s="7"/>
      <c r="B104" s="11"/>
      <c r="F104" s="42"/>
      <c r="I104" s="6"/>
      <c r="J104" s="6"/>
      <c r="K104" s="6"/>
      <c r="L104" s="6"/>
      <c r="M104" s="6"/>
    </row>
    <row r="105" spans="1:14" s="9" customFormat="1" x14ac:dyDescent="0.25">
      <c r="A105" s="7"/>
      <c r="B105" s="11"/>
      <c r="F105" s="42"/>
      <c r="I105" s="6"/>
      <c r="J105" s="6"/>
      <c r="K105" s="6"/>
      <c r="L105" s="6"/>
      <c r="M105" s="6"/>
    </row>
    <row r="106" spans="1:14" s="10" customFormat="1" x14ac:dyDescent="0.25">
      <c r="A106" s="7"/>
      <c r="B106" s="11"/>
      <c r="C106" s="9"/>
      <c r="D106" s="9"/>
      <c r="E106" s="9"/>
      <c r="F106" s="42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5">
      <c r="A107" s="7"/>
      <c r="B107" s="11"/>
      <c r="C107" s="9"/>
      <c r="D107" s="9"/>
      <c r="E107" s="9"/>
      <c r="F107" s="42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5">
      <c r="A108" s="7"/>
      <c r="B108" s="11"/>
      <c r="C108" s="9"/>
      <c r="D108" s="9"/>
      <c r="E108" s="9"/>
      <c r="F108" s="42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5">
      <c r="A109" s="7"/>
      <c r="B109" s="11"/>
      <c r="C109" s="9"/>
      <c r="D109" s="9"/>
      <c r="E109" s="9"/>
      <c r="F109" s="42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5">
      <c r="A110" s="7"/>
      <c r="B110" s="11"/>
      <c r="C110" s="9"/>
      <c r="D110" s="9"/>
      <c r="E110" s="9"/>
      <c r="F110" s="42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5">
      <c r="A111" s="7"/>
      <c r="B111" s="11"/>
      <c r="C111" s="9"/>
      <c r="D111" s="9"/>
      <c r="E111" s="9"/>
      <c r="F111" s="42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5">
      <c r="A112" s="7"/>
      <c r="B112" s="11"/>
      <c r="C112" s="9"/>
      <c r="D112" s="9"/>
      <c r="E112" s="9"/>
      <c r="F112" s="42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5">
      <c r="A113" s="7"/>
      <c r="B113" s="11"/>
      <c r="C113" s="9"/>
      <c r="D113" s="9"/>
      <c r="E113" s="9"/>
      <c r="F113" s="42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5">
      <c r="A114" s="7"/>
      <c r="B114" s="11"/>
      <c r="C114" s="9"/>
      <c r="D114" s="9"/>
      <c r="E114" s="9"/>
      <c r="F114" s="42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5">
      <c r="A115" s="7"/>
      <c r="B115" s="11"/>
      <c r="C115" s="9"/>
      <c r="D115" s="9"/>
      <c r="E115" s="9"/>
      <c r="F115" s="42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5">
      <c r="A116" s="7"/>
      <c r="B116" s="11"/>
      <c r="C116" s="9"/>
      <c r="D116" s="9"/>
      <c r="E116" s="9"/>
      <c r="F116" s="42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5">
      <c r="A117" s="7"/>
      <c r="B117" s="11"/>
      <c r="C117" s="9"/>
      <c r="D117" s="9"/>
      <c r="E117" s="9"/>
      <c r="F117" s="42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5">
      <c r="A118" s="7"/>
      <c r="B118" s="11"/>
      <c r="C118" s="9"/>
      <c r="D118" s="9"/>
      <c r="E118" s="9"/>
      <c r="F118" s="42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5">
      <c r="A119" s="7"/>
      <c r="B119" s="11"/>
      <c r="C119" s="9"/>
      <c r="D119" s="9"/>
      <c r="E119" s="9"/>
      <c r="F119" s="42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5">
      <c r="A120" s="7"/>
      <c r="B120" s="11"/>
      <c r="C120" s="9"/>
      <c r="D120" s="9"/>
      <c r="E120" s="9"/>
      <c r="F120" s="42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5">
      <c r="A121" s="7"/>
      <c r="B121" s="11"/>
      <c r="C121" s="9"/>
      <c r="D121" s="9"/>
      <c r="E121" s="9"/>
      <c r="F121" s="42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5">
      <c r="A122" s="7"/>
      <c r="B122" s="11"/>
      <c r="C122" s="9"/>
      <c r="D122" s="9"/>
      <c r="E122" s="9"/>
      <c r="F122" s="42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5">
      <c r="A123" s="7"/>
      <c r="B123" s="11"/>
      <c r="C123" s="9"/>
      <c r="D123" s="9"/>
      <c r="E123" s="9"/>
      <c r="F123" s="42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5">
      <c r="A124" s="7"/>
      <c r="B124" s="11"/>
      <c r="C124" s="9"/>
      <c r="D124" s="9"/>
      <c r="E124" s="9"/>
      <c r="F124" s="42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5">
      <c r="A125" s="7"/>
      <c r="B125" s="11"/>
      <c r="C125" s="9"/>
      <c r="D125" s="9"/>
      <c r="E125" s="9"/>
      <c r="F125" s="42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5">
      <c r="A126" s="7"/>
      <c r="B126" s="11"/>
      <c r="C126" s="9"/>
      <c r="D126" s="9"/>
      <c r="E126" s="9"/>
      <c r="F126" s="42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5">
      <c r="A127" s="7"/>
      <c r="B127" s="11"/>
      <c r="C127" s="9"/>
      <c r="D127" s="9"/>
      <c r="E127" s="9"/>
      <c r="F127" s="42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5">
      <c r="A128" s="7"/>
      <c r="B128" s="11"/>
      <c r="C128" s="9"/>
      <c r="D128" s="9"/>
      <c r="E128" s="9"/>
      <c r="F128" s="42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5">
      <c r="A129" s="7"/>
      <c r="B129" s="11"/>
      <c r="C129" s="9"/>
      <c r="D129" s="9"/>
      <c r="E129" s="9"/>
      <c r="F129" s="42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5">
      <c r="A130" s="7"/>
      <c r="B130" s="11"/>
      <c r="C130" s="9"/>
      <c r="D130" s="9"/>
      <c r="E130" s="9"/>
      <c r="F130" s="42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5">
      <c r="A131" s="7"/>
      <c r="B131" s="11"/>
      <c r="C131" s="9"/>
      <c r="D131" s="9"/>
      <c r="E131" s="9"/>
      <c r="F131" s="42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5">
      <c r="A132" s="7"/>
      <c r="B132" s="11"/>
      <c r="C132" s="9"/>
      <c r="D132" s="9"/>
      <c r="E132" s="9"/>
      <c r="F132" s="42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5">
      <c r="A133" s="7"/>
      <c r="B133" s="11"/>
      <c r="C133" s="9"/>
      <c r="D133" s="9"/>
      <c r="E133" s="9"/>
      <c r="F133" s="42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5">
      <c r="A134" s="7"/>
      <c r="B134" s="11"/>
      <c r="C134" s="9"/>
      <c r="D134" s="9"/>
      <c r="E134" s="9"/>
      <c r="F134" s="42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5">
      <c r="A135" s="7"/>
      <c r="B135" s="11"/>
      <c r="C135" s="9"/>
      <c r="D135" s="9"/>
      <c r="E135" s="9"/>
      <c r="F135" s="42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5">
      <c r="A136" s="7"/>
      <c r="B136" s="11"/>
      <c r="C136" s="9"/>
      <c r="D136" s="9"/>
      <c r="E136" s="9"/>
      <c r="F136" s="42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5">
      <c r="A137" s="7"/>
      <c r="B137" s="11"/>
      <c r="C137" s="9"/>
      <c r="D137" s="9"/>
      <c r="E137" s="9"/>
      <c r="F137" s="42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5">
      <c r="A138" s="7"/>
      <c r="B138" s="11"/>
      <c r="C138" s="9"/>
      <c r="D138" s="9"/>
      <c r="E138" s="9"/>
      <c r="F138" s="42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5">
      <c r="A139" s="7"/>
      <c r="B139" s="11"/>
      <c r="C139" s="9"/>
      <c r="D139" s="9"/>
      <c r="E139" s="9"/>
      <c r="F139" s="42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5">
      <c r="A140" s="7"/>
      <c r="B140" s="11"/>
      <c r="C140" s="9"/>
      <c r="D140" s="9"/>
      <c r="E140" s="9"/>
      <c r="F140" s="42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5">
      <c r="A141" s="7"/>
      <c r="B141" s="11"/>
      <c r="C141" s="9"/>
      <c r="D141" s="9"/>
      <c r="E141" s="9"/>
      <c r="F141" s="42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5">
      <c r="A142" s="7"/>
      <c r="B142" s="11"/>
      <c r="C142" s="9"/>
      <c r="D142" s="9"/>
      <c r="E142" s="9"/>
      <c r="F142" s="42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5">
      <c r="A143" s="7"/>
      <c r="B143" s="11"/>
      <c r="C143" s="9"/>
      <c r="D143" s="9"/>
      <c r="E143" s="9"/>
      <c r="F143" s="42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5">
      <c r="A144" s="7"/>
      <c r="B144" s="11"/>
      <c r="C144" s="9"/>
      <c r="D144" s="9"/>
      <c r="E144" s="9"/>
      <c r="F144" s="42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5">
      <c r="A145" s="7"/>
      <c r="B145" s="11"/>
      <c r="C145" s="9"/>
      <c r="D145" s="9"/>
      <c r="E145" s="9"/>
      <c r="F145" s="42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5">
      <c r="A146" s="7"/>
      <c r="B146" s="11"/>
      <c r="C146" s="9"/>
      <c r="D146" s="9"/>
      <c r="E146" s="9"/>
      <c r="F146" s="42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5">
      <c r="A147" s="7"/>
      <c r="B147" s="11"/>
      <c r="C147" s="9"/>
      <c r="D147" s="9"/>
      <c r="E147" s="9"/>
      <c r="F147" s="42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5">
      <c r="A148" s="7"/>
      <c r="B148" s="11"/>
      <c r="C148" s="9"/>
      <c r="D148" s="9"/>
      <c r="E148" s="9"/>
      <c r="F148" s="42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5">
      <c r="A149" s="7"/>
      <c r="B149" s="11"/>
      <c r="C149" s="9"/>
      <c r="D149" s="9"/>
      <c r="E149" s="9"/>
      <c r="F149" s="42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5">
      <c r="A150" s="7"/>
      <c r="B150" s="11"/>
      <c r="C150" s="9"/>
      <c r="D150" s="9"/>
      <c r="E150" s="9"/>
      <c r="F150" s="42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5">
      <c r="A151" s="7"/>
      <c r="B151" s="11"/>
      <c r="C151" s="9"/>
      <c r="D151" s="9"/>
      <c r="E151" s="9"/>
      <c r="F151" s="42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5">
      <c r="A152" s="7"/>
      <c r="B152" s="11"/>
      <c r="C152" s="9"/>
      <c r="D152" s="9"/>
      <c r="E152" s="9"/>
      <c r="F152" s="42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5">
      <c r="A153" s="7"/>
      <c r="B153" s="11"/>
      <c r="C153" s="9"/>
      <c r="D153" s="9"/>
      <c r="E153" s="9"/>
      <c r="F153" s="42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5">
      <c r="A154" s="7"/>
      <c r="B154" s="11"/>
      <c r="C154" s="9"/>
      <c r="D154" s="9"/>
      <c r="E154" s="9"/>
      <c r="F154" s="42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5">
      <c r="A155" s="7"/>
      <c r="B155" s="11"/>
      <c r="C155" s="9"/>
      <c r="D155" s="9"/>
      <c r="E155" s="9"/>
      <c r="F155" s="42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5">
      <c r="A156" s="7"/>
      <c r="B156" s="11"/>
      <c r="C156" s="9"/>
      <c r="D156" s="9"/>
      <c r="E156" s="9"/>
      <c r="F156" s="42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5">
      <c r="A157" s="7"/>
      <c r="B157" s="11"/>
      <c r="C157" s="9"/>
      <c r="D157" s="9"/>
      <c r="E157" s="9"/>
      <c r="F157" s="42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5">
      <c r="A158" s="7"/>
      <c r="B158" s="11"/>
      <c r="C158" s="9"/>
      <c r="D158" s="9"/>
      <c r="E158" s="9"/>
      <c r="F158" s="42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5">
      <c r="A159" s="7"/>
      <c r="B159" s="11"/>
      <c r="C159" s="9"/>
      <c r="D159" s="9"/>
      <c r="E159" s="9"/>
      <c r="F159" s="42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5">
      <c r="A160" s="7"/>
      <c r="B160" s="11"/>
      <c r="C160" s="9"/>
      <c r="D160" s="9"/>
      <c r="E160" s="9"/>
      <c r="F160" s="42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5">
      <c r="A161" s="7"/>
      <c r="B161" s="11"/>
      <c r="C161" s="9"/>
      <c r="D161" s="9"/>
      <c r="E161" s="9"/>
      <c r="F161" s="42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5">
      <c r="A162" s="7"/>
      <c r="B162" s="11"/>
      <c r="C162" s="9"/>
      <c r="D162" s="9"/>
      <c r="E162" s="9"/>
      <c r="F162" s="42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5">
      <c r="A163" s="7"/>
      <c r="B163" s="11"/>
      <c r="C163" s="9"/>
      <c r="D163" s="9"/>
      <c r="E163" s="9"/>
      <c r="F163" s="42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5">
      <c r="A164" s="7"/>
      <c r="B164" s="11"/>
      <c r="C164" s="9"/>
      <c r="D164" s="9"/>
      <c r="E164" s="9"/>
      <c r="F164" s="42"/>
      <c r="G164" s="9"/>
      <c r="H164" s="9"/>
      <c r="I164" s="6"/>
      <c r="J164" s="6"/>
      <c r="K164" s="6"/>
      <c r="L164" s="6"/>
      <c r="M164" s="6"/>
      <c r="N164" s="9"/>
    </row>
    <row r="165" spans="1:14" s="10" customFormat="1" x14ac:dyDescent="0.25">
      <c r="A165" s="7"/>
      <c r="B165" s="11"/>
      <c r="C165" s="9"/>
      <c r="D165" s="9"/>
      <c r="E165" s="9"/>
      <c r="F165" s="42"/>
      <c r="G165" s="9"/>
      <c r="H165" s="9"/>
      <c r="I165" s="6"/>
      <c r="J165" s="6"/>
      <c r="K165" s="6"/>
      <c r="L165" s="6"/>
      <c r="M165" s="6"/>
      <c r="N165" s="9"/>
    </row>
    <row r="166" spans="1:14" s="10" customFormat="1" x14ac:dyDescent="0.25">
      <c r="A166" s="7"/>
      <c r="B166" s="11"/>
      <c r="C166" s="9"/>
      <c r="D166" s="9"/>
      <c r="E166" s="9"/>
      <c r="F166" s="42"/>
      <c r="G166" s="9"/>
      <c r="H166" s="9"/>
      <c r="I166" s="6"/>
      <c r="J166" s="6"/>
      <c r="K166" s="6"/>
      <c r="L166" s="6"/>
      <c r="M166" s="6"/>
      <c r="N166" s="9"/>
    </row>
    <row r="167" spans="1:14" s="10" customFormat="1" x14ac:dyDescent="0.25">
      <c r="A167" s="7"/>
      <c r="B167" s="11"/>
      <c r="C167" s="9"/>
      <c r="D167" s="9"/>
      <c r="E167" s="9"/>
      <c r="F167" s="42"/>
      <c r="G167" s="9"/>
      <c r="H167" s="9"/>
      <c r="I167" s="6"/>
      <c r="J167" s="6"/>
      <c r="K167" s="6"/>
      <c r="L167" s="6"/>
      <c r="M167" s="6"/>
      <c r="N167" s="9"/>
    </row>
    <row r="168" spans="1:14" s="10" customFormat="1" x14ac:dyDescent="0.25">
      <c r="A168" s="7"/>
      <c r="B168" s="11"/>
      <c r="C168" s="9"/>
      <c r="D168" s="9"/>
      <c r="E168" s="9"/>
      <c r="F168" s="42"/>
      <c r="G168" s="9"/>
      <c r="H168" s="9"/>
      <c r="I168" s="6"/>
      <c r="J168" s="6"/>
      <c r="K168" s="6"/>
      <c r="L168" s="6"/>
      <c r="M168" s="6"/>
      <c r="N168" s="9"/>
    </row>
    <row r="169" spans="1:14" s="10" customFormat="1" x14ac:dyDescent="0.25">
      <c r="A169" s="7"/>
      <c r="B169" s="11"/>
      <c r="C169" s="9"/>
      <c r="D169" s="9"/>
      <c r="E169" s="9"/>
      <c r="F169" s="42"/>
      <c r="G169" s="9"/>
      <c r="H169" s="9"/>
      <c r="I169" s="6"/>
      <c r="J169" s="6"/>
      <c r="K169" s="6"/>
      <c r="L169" s="6"/>
      <c r="M169" s="6"/>
      <c r="N169" s="9"/>
    </row>
    <row r="170" spans="1:14" s="10" customFormat="1" x14ac:dyDescent="0.25">
      <c r="A170" s="7"/>
      <c r="B170" s="11"/>
      <c r="C170" s="9"/>
      <c r="D170" s="9"/>
      <c r="E170" s="9"/>
      <c r="F170" s="42"/>
      <c r="G170" s="9"/>
      <c r="H170" s="9"/>
      <c r="I170" s="6"/>
      <c r="J170" s="6"/>
      <c r="K170" s="6"/>
      <c r="L170" s="6"/>
      <c r="M170" s="6"/>
      <c r="N170" s="9"/>
    </row>
    <row r="171" spans="1:14" s="10" customFormat="1" x14ac:dyDescent="0.25">
      <c r="A171" s="7"/>
      <c r="B171" s="11"/>
      <c r="C171" s="9"/>
      <c r="D171" s="9"/>
      <c r="E171" s="9"/>
      <c r="F171" s="42"/>
      <c r="G171" s="9"/>
      <c r="H171" s="9"/>
      <c r="I171" s="6"/>
      <c r="J171" s="6"/>
      <c r="K171" s="6"/>
      <c r="L171" s="6"/>
      <c r="M171" s="6"/>
      <c r="N171" s="9"/>
    </row>
    <row r="172" spans="1:14" s="10" customFormat="1" x14ac:dyDescent="0.25">
      <c r="A172" s="7"/>
      <c r="B172" s="11"/>
      <c r="C172" s="9"/>
      <c r="D172" s="9"/>
      <c r="E172" s="9"/>
      <c r="F172" s="42"/>
      <c r="G172" s="9"/>
      <c r="H172" s="9"/>
      <c r="I172" s="6"/>
      <c r="J172" s="6"/>
      <c r="K172" s="6"/>
      <c r="L172" s="6"/>
      <c r="M172" s="6"/>
      <c r="N172" s="9"/>
    </row>
    <row r="173" spans="1:14" s="10" customFormat="1" x14ac:dyDescent="0.25">
      <c r="A173" s="7"/>
      <c r="B173" s="11"/>
      <c r="C173" s="9"/>
      <c r="D173" s="9"/>
      <c r="E173" s="9"/>
      <c r="F173" s="42"/>
      <c r="G173" s="9"/>
      <c r="H173" s="9"/>
      <c r="I173" s="6"/>
      <c r="J173" s="6"/>
      <c r="K173" s="6"/>
      <c r="L173" s="6"/>
      <c r="M173" s="6"/>
      <c r="N173" s="9"/>
    </row>
    <row r="174" spans="1:14" s="10" customFormat="1" x14ac:dyDescent="0.25">
      <c r="A174" s="7"/>
      <c r="B174" s="11"/>
      <c r="C174" s="9"/>
      <c r="D174" s="9"/>
      <c r="E174" s="9"/>
      <c r="F174" s="42"/>
      <c r="G174" s="9"/>
      <c r="H174" s="9"/>
      <c r="I174" s="6"/>
      <c r="J174" s="6"/>
      <c r="K174" s="6"/>
      <c r="L174" s="6"/>
      <c r="M174" s="6"/>
      <c r="N174" s="9"/>
    </row>
    <row r="175" spans="1:14" s="10" customFormat="1" x14ac:dyDescent="0.25">
      <c r="A175" s="7"/>
      <c r="B175" s="11"/>
      <c r="C175" s="9"/>
      <c r="D175" s="9"/>
      <c r="E175" s="9"/>
      <c r="F175" s="42"/>
      <c r="G175" s="9"/>
      <c r="H175" s="9"/>
      <c r="I175" s="6"/>
      <c r="J175" s="6"/>
      <c r="K175" s="6"/>
      <c r="L175" s="6"/>
      <c r="M175" s="6"/>
      <c r="N175" s="9"/>
    </row>
    <row r="176" spans="1:14" s="10" customFormat="1" x14ac:dyDescent="0.25">
      <c r="A176" s="7"/>
      <c r="B176" s="11"/>
      <c r="C176" s="9"/>
      <c r="D176" s="9"/>
      <c r="E176" s="9"/>
      <c r="F176" s="42"/>
      <c r="G176" s="9"/>
      <c r="H176" s="9"/>
      <c r="I176" s="6"/>
      <c r="J176" s="6"/>
      <c r="K176" s="6"/>
      <c r="L176" s="6"/>
      <c r="M176" s="6"/>
      <c r="N176" s="9"/>
    </row>
    <row r="177" spans="1:14" s="10" customFormat="1" x14ac:dyDescent="0.25">
      <c r="A177" s="7"/>
      <c r="B177" s="11"/>
      <c r="C177" s="9"/>
      <c r="D177" s="9"/>
      <c r="E177" s="9"/>
      <c r="F177" s="42"/>
      <c r="G177" s="9"/>
      <c r="H177" s="9"/>
      <c r="I177" s="6"/>
      <c r="J177" s="6"/>
      <c r="K177" s="6"/>
      <c r="L177" s="6"/>
      <c r="M177" s="6"/>
      <c r="N177" s="9"/>
    </row>
    <row r="178" spans="1:14" s="10" customFormat="1" x14ac:dyDescent="0.25">
      <c r="A178" s="7"/>
      <c r="B178" s="11"/>
      <c r="C178" s="9"/>
      <c r="D178" s="9"/>
      <c r="E178" s="9"/>
      <c r="F178" s="42"/>
      <c r="G178" s="9"/>
      <c r="H178" s="9"/>
      <c r="I178" s="6"/>
      <c r="J178" s="6"/>
      <c r="K178" s="6"/>
      <c r="L178" s="6"/>
      <c r="M178" s="6"/>
      <c r="N178" s="9"/>
    </row>
    <row r="179" spans="1:14" s="10" customFormat="1" x14ac:dyDescent="0.25">
      <c r="A179" s="7"/>
      <c r="B179" s="11"/>
      <c r="C179" s="9"/>
      <c r="D179" s="9"/>
      <c r="E179" s="9"/>
      <c r="F179" s="42"/>
      <c r="G179" s="9"/>
      <c r="H179" s="9"/>
      <c r="I179" s="6"/>
      <c r="J179" s="6"/>
      <c r="K179" s="6"/>
      <c r="L179" s="6"/>
      <c r="M179" s="6"/>
      <c r="N179" s="9"/>
    </row>
    <row r="180" spans="1:14" s="10" customFormat="1" x14ac:dyDescent="0.25">
      <c r="A180" s="7"/>
      <c r="B180" s="11"/>
      <c r="C180" s="9"/>
      <c r="D180" s="9"/>
      <c r="E180" s="9"/>
      <c r="F180" s="42"/>
      <c r="G180" s="9"/>
      <c r="H180" s="9"/>
      <c r="I180" s="6"/>
      <c r="J180" s="6"/>
      <c r="K180" s="6"/>
      <c r="L180" s="6"/>
      <c r="M180" s="6"/>
      <c r="N180" s="9"/>
    </row>
    <row r="181" spans="1:14" s="10" customFormat="1" x14ac:dyDescent="0.25">
      <c r="A181" s="7"/>
      <c r="B181" s="11"/>
      <c r="C181" s="9"/>
      <c r="D181" s="9"/>
      <c r="E181" s="9"/>
      <c r="F181" s="42"/>
      <c r="G181" s="9"/>
      <c r="H181" s="9"/>
      <c r="I181" s="6"/>
      <c r="J181" s="6"/>
      <c r="K181" s="6"/>
      <c r="L181" s="6"/>
      <c r="M181" s="6"/>
      <c r="N181" s="9"/>
    </row>
    <row r="182" spans="1:14" s="10" customFormat="1" x14ac:dyDescent="0.25">
      <c r="A182" s="7"/>
      <c r="B182" s="11"/>
      <c r="C182" s="9"/>
      <c r="D182" s="9"/>
      <c r="E182" s="9"/>
      <c r="F182" s="42"/>
      <c r="G182" s="9"/>
      <c r="H182" s="9"/>
      <c r="I182" s="6"/>
      <c r="J182" s="6"/>
      <c r="K182" s="6"/>
      <c r="L182" s="6"/>
      <c r="M182" s="6"/>
      <c r="N182" s="9"/>
    </row>
    <row r="183" spans="1:14" s="10" customFormat="1" x14ac:dyDescent="0.25">
      <c r="A183" s="7"/>
      <c r="B183" s="11"/>
      <c r="C183" s="9"/>
      <c r="D183" s="9"/>
      <c r="E183" s="9"/>
      <c r="F183" s="42"/>
      <c r="G183" s="9"/>
      <c r="H183" s="9"/>
      <c r="I183" s="6"/>
      <c r="J183" s="6"/>
      <c r="K183" s="6"/>
      <c r="L183" s="6"/>
      <c r="M183" s="6"/>
      <c r="N183" s="9"/>
    </row>
    <row r="184" spans="1:14" s="10" customFormat="1" x14ac:dyDescent="0.25">
      <c r="A184" s="7"/>
      <c r="B184" s="11"/>
      <c r="C184" s="9"/>
      <c r="D184" s="9"/>
      <c r="E184" s="9"/>
      <c r="F184" s="42"/>
      <c r="G184" s="9"/>
      <c r="H184" s="9"/>
      <c r="I184" s="6"/>
      <c r="J184" s="6"/>
      <c r="K184" s="6"/>
      <c r="L184" s="6"/>
      <c r="M184" s="6"/>
      <c r="N184" s="9"/>
    </row>
    <row r="185" spans="1:14" s="10" customFormat="1" x14ac:dyDescent="0.25">
      <c r="A185" s="7"/>
      <c r="B185" s="11"/>
      <c r="C185" s="9"/>
      <c r="D185" s="9"/>
      <c r="E185" s="9"/>
      <c r="F185" s="42"/>
      <c r="G185" s="9"/>
      <c r="H185" s="9"/>
      <c r="I185" s="6"/>
      <c r="J185" s="6"/>
      <c r="K185" s="6"/>
      <c r="L185" s="6"/>
      <c r="M185" s="6"/>
      <c r="N185" s="9"/>
    </row>
    <row r="186" spans="1:14" s="10" customFormat="1" x14ac:dyDescent="0.25">
      <c r="A186" s="7"/>
      <c r="B186" s="11"/>
      <c r="C186" s="9"/>
      <c r="D186" s="9"/>
      <c r="E186" s="9"/>
      <c r="F186" s="42"/>
      <c r="G186" s="9"/>
      <c r="H186" s="9"/>
      <c r="I186" s="6"/>
      <c r="J186" s="6"/>
      <c r="K186" s="6"/>
      <c r="L186" s="6"/>
      <c r="M186" s="6"/>
      <c r="N186" s="9"/>
    </row>
    <row r="187" spans="1:14" s="10" customFormat="1" x14ac:dyDescent="0.25">
      <c r="A187" s="7"/>
      <c r="B187" s="11"/>
      <c r="C187" s="9"/>
      <c r="D187" s="9"/>
      <c r="E187" s="9"/>
      <c r="F187" s="42"/>
      <c r="G187" s="9"/>
      <c r="H187" s="9"/>
      <c r="I187" s="6"/>
      <c r="J187" s="6"/>
      <c r="K187" s="6"/>
      <c r="L187" s="6"/>
      <c r="M187" s="6"/>
      <c r="N187" s="9"/>
    </row>
    <row r="188" spans="1:14" s="10" customFormat="1" x14ac:dyDescent="0.25">
      <c r="A188" s="7"/>
      <c r="B188" s="11"/>
      <c r="C188" s="9"/>
      <c r="D188" s="9"/>
      <c r="E188" s="9"/>
      <c r="F188" s="42"/>
      <c r="G188" s="9"/>
      <c r="H188" s="9"/>
      <c r="I188" s="6"/>
      <c r="J188" s="6"/>
      <c r="K188" s="6"/>
      <c r="L188" s="6"/>
      <c r="M188" s="6"/>
      <c r="N188" s="9"/>
    </row>
    <row r="189" spans="1:14" s="10" customFormat="1" x14ac:dyDescent="0.25">
      <c r="A189" s="7"/>
      <c r="B189" s="11"/>
      <c r="C189" s="9"/>
      <c r="D189" s="9"/>
      <c r="E189" s="9"/>
      <c r="F189" s="42"/>
      <c r="G189" s="9"/>
      <c r="H189" s="9"/>
      <c r="I189" s="6"/>
      <c r="J189" s="6"/>
      <c r="K189" s="6"/>
      <c r="L189" s="6"/>
      <c r="M189" s="6"/>
      <c r="N189" s="9"/>
    </row>
    <row r="190" spans="1:14" s="10" customFormat="1" x14ac:dyDescent="0.25">
      <c r="A190" s="7"/>
      <c r="B190" s="11"/>
      <c r="C190" s="9"/>
      <c r="D190" s="9"/>
      <c r="E190" s="9"/>
      <c r="F190" s="42"/>
      <c r="G190" s="9"/>
      <c r="H190" s="9"/>
      <c r="I190" s="6"/>
      <c r="J190" s="6"/>
      <c r="K190" s="6"/>
      <c r="L190" s="6"/>
      <c r="M190" s="6"/>
      <c r="N190" s="9"/>
    </row>
    <row r="191" spans="1:14" s="10" customFormat="1" x14ac:dyDescent="0.25">
      <c r="A191" s="7"/>
      <c r="B191" s="11"/>
      <c r="C191" s="9"/>
      <c r="D191" s="9"/>
      <c r="E191" s="9"/>
      <c r="F191" s="42"/>
      <c r="G191" s="9"/>
      <c r="H191" s="9"/>
      <c r="I191" s="6"/>
      <c r="J191" s="6"/>
      <c r="K191" s="6"/>
      <c r="L191" s="6"/>
      <c r="M191" s="6"/>
      <c r="N191" s="9"/>
    </row>
    <row r="192" spans="1:14" s="10" customFormat="1" x14ac:dyDescent="0.25">
      <c r="A192" s="7"/>
      <c r="B192" s="11"/>
      <c r="C192" s="9"/>
      <c r="D192" s="9"/>
      <c r="E192" s="9"/>
      <c r="F192" s="42"/>
      <c r="G192" s="9"/>
      <c r="H192" s="9"/>
      <c r="I192" s="6"/>
      <c r="J192" s="6"/>
      <c r="K192" s="6"/>
      <c r="L192" s="6"/>
      <c r="M192" s="6"/>
      <c r="N192" s="9"/>
    </row>
    <row r="193" spans="1:14" s="10" customFormat="1" x14ac:dyDescent="0.25">
      <c r="A193" s="7"/>
      <c r="B193" s="11"/>
      <c r="C193" s="9"/>
      <c r="D193" s="9"/>
      <c r="E193" s="9"/>
      <c r="F193" s="42"/>
      <c r="G193" s="9"/>
      <c r="H193" s="9"/>
      <c r="I193" s="6"/>
      <c r="J193" s="6"/>
      <c r="K193" s="6"/>
      <c r="L193" s="6"/>
      <c r="M193" s="6"/>
      <c r="N193" s="9"/>
    </row>
    <row r="194" spans="1:14" s="10" customFormat="1" x14ac:dyDescent="0.25">
      <c r="A194" s="7"/>
      <c r="B194" s="11"/>
      <c r="C194" s="9"/>
      <c r="D194" s="9"/>
      <c r="E194" s="9"/>
      <c r="F194" s="42"/>
      <c r="G194" s="9"/>
      <c r="H194" s="9"/>
      <c r="I194" s="6"/>
      <c r="J194" s="6"/>
      <c r="K194" s="6"/>
      <c r="L194" s="6"/>
      <c r="M194" s="6"/>
      <c r="N194" s="9"/>
    </row>
    <row r="195" spans="1:14" s="10" customFormat="1" x14ac:dyDescent="0.25">
      <c r="A195" s="7"/>
      <c r="B195" s="11"/>
      <c r="C195" s="9"/>
      <c r="D195" s="9"/>
      <c r="E195" s="9"/>
      <c r="F195" s="42"/>
      <c r="G195" s="9"/>
      <c r="H195" s="9"/>
      <c r="I195" s="6"/>
      <c r="J195" s="6"/>
      <c r="K195" s="6"/>
      <c r="L195" s="6"/>
      <c r="M195" s="6"/>
      <c r="N195" s="9"/>
    </row>
    <row r="196" spans="1:14" s="10" customFormat="1" x14ac:dyDescent="0.25">
      <c r="A196" s="7"/>
      <c r="B196" s="11"/>
      <c r="C196" s="9"/>
      <c r="D196" s="9"/>
      <c r="E196" s="9"/>
      <c r="F196" s="42"/>
      <c r="G196" s="9"/>
      <c r="H196" s="9"/>
      <c r="I196" s="6"/>
      <c r="J196" s="6"/>
      <c r="K196" s="6"/>
      <c r="L196" s="6"/>
      <c r="M196" s="6"/>
      <c r="N196" s="9"/>
    </row>
    <row r="197" spans="1:14" s="10" customFormat="1" x14ac:dyDescent="0.25">
      <c r="A197" s="7"/>
      <c r="B197" s="11"/>
      <c r="C197" s="9"/>
      <c r="D197" s="9"/>
      <c r="E197" s="9"/>
      <c r="F197" s="42"/>
      <c r="G197" s="9"/>
      <c r="H197" s="9"/>
      <c r="I197" s="6"/>
      <c r="J197" s="6"/>
      <c r="K197" s="6"/>
      <c r="L197" s="6"/>
      <c r="M197" s="6"/>
      <c r="N197" s="9"/>
    </row>
    <row r="198" spans="1:14" s="10" customFormat="1" x14ac:dyDescent="0.25">
      <c r="A198" s="7"/>
      <c r="B198" s="11"/>
      <c r="C198" s="9"/>
      <c r="D198" s="9"/>
      <c r="E198" s="9"/>
      <c r="F198" s="42"/>
      <c r="G198" s="9"/>
      <c r="H198" s="9"/>
      <c r="I198" s="6"/>
      <c r="J198" s="6"/>
      <c r="K198" s="6"/>
      <c r="L198" s="6"/>
      <c r="M198" s="6"/>
      <c r="N198" s="9"/>
    </row>
    <row r="199" spans="1:14" s="10" customFormat="1" x14ac:dyDescent="0.25">
      <c r="A199" s="7"/>
      <c r="B199" s="11"/>
      <c r="C199" s="9"/>
      <c r="D199" s="9"/>
      <c r="E199" s="9"/>
      <c r="F199" s="42"/>
      <c r="G199" s="9"/>
      <c r="H199" s="9"/>
      <c r="I199" s="6"/>
      <c r="J199" s="6"/>
      <c r="K199" s="6"/>
      <c r="L199" s="6"/>
      <c r="M199" s="6"/>
      <c r="N199" s="9"/>
    </row>
    <row r="200" spans="1:14" s="10" customFormat="1" x14ac:dyDescent="0.25">
      <c r="A200" s="7"/>
      <c r="B200" s="11"/>
      <c r="C200" s="9"/>
      <c r="D200" s="9"/>
      <c r="E200" s="9"/>
      <c r="F200" s="42"/>
      <c r="G200" s="9"/>
      <c r="H200" s="9"/>
      <c r="I200" s="6"/>
      <c r="J200" s="6"/>
      <c r="K200" s="6"/>
      <c r="L200" s="6"/>
      <c r="M200" s="6"/>
      <c r="N200" s="9"/>
    </row>
    <row r="201" spans="1:14" s="10" customFormat="1" x14ac:dyDescent="0.25">
      <c r="A201" s="7"/>
      <c r="B201" s="11"/>
      <c r="C201" s="9"/>
      <c r="D201" s="9"/>
      <c r="E201" s="9"/>
      <c r="F201" s="42"/>
      <c r="G201" s="9"/>
      <c r="H201" s="9"/>
      <c r="I201" s="6"/>
      <c r="J201" s="6"/>
      <c r="K201" s="6"/>
      <c r="L201" s="6"/>
      <c r="M201" s="6"/>
      <c r="N201" s="9"/>
    </row>
    <row r="202" spans="1:14" s="10" customFormat="1" x14ac:dyDescent="0.25">
      <c r="A202" s="7"/>
      <c r="B202" s="11"/>
      <c r="C202" s="9"/>
      <c r="D202" s="9"/>
      <c r="E202" s="9"/>
      <c r="F202" s="42"/>
      <c r="G202" s="9"/>
      <c r="H202" s="9"/>
      <c r="I202" s="6"/>
      <c r="J202" s="6"/>
      <c r="K202" s="6"/>
      <c r="L202" s="6"/>
      <c r="M202" s="6"/>
      <c r="N202" s="9"/>
    </row>
    <row r="203" spans="1:14" s="10" customFormat="1" x14ac:dyDescent="0.25">
      <c r="A203" s="7"/>
      <c r="B203" s="11"/>
      <c r="C203" s="9"/>
      <c r="D203" s="9"/>
      <c r="E203" s="9"/>
      <c r="F203" s="42"/>
      <c r="G203" s="9"/>
      <c r="H203" s="9"/>
      <c r="I203" s="6"/>
      <c r="J203" s="6"/>
      <c r="K203" s="6"/>
      <c r="L203" s="6"/>
      <c r="M203" s="6"/>
      <c r="N203" s="9"/>
    </row>
    <row r="204" spans="1:14" s="10" customFormat="1" x14ac:dyDescent="0.25">
      <c r="A204" s="7"/>
      <c r="B204" s="11"/>
      <c r="C204" s="9"/>
      <c r="D204" s="9"/>
      <c r="E204" s="9"/>
      <c r="F204" s="42"/>
      <c r="G204" s="9"/>
      <c r="H204" s="9"/>
      <c r="I204" s="6"/>
      <c r="J204" s="6"/>
      <c r="K204" s="6"/>
      <c r="L204" s="6"/>
      <c r="M204" s="6"/>
      <c r="N204" s="9"/>
    </row>
    <row r="205" spans="1:14" s="10" customFormat="1" x14ac:dyDescent="0.25">
      <c r="A205" s="7"/>
      <c r="B205" s="11"/>
      <c r="C205" s="9"/>
      <c r="D205" s="9"/>
      <c r="E205" s="9"/>
      <c r="F205" s="42"/>
      <c r="G205" s="9"/>
      <c r="H205" s="9"/>
      <c r="I205" s="6"/>
      <c r="J205" s="6"/>
      <c r="K205" s="6"/>
      <c r="L205" s="6"/>
      <c r="M205" s="6"/>
      <c r="N205" s="9"/>
    </row>
    <row r="206" spans="1:14" s="10" customFormat="1" x14ac:dyDescent="0.25">
      <c r="A206" s="7"/>
      <c r="B206" s="11"/>
      <c r="C206" s="9"/>
      <c r="D206" s="9"/>
      <c r="E206" s="9"/>
      <c r="F206" s="42"/>
      <c r="G206" s="9"/>
      <c r="H206" s="9"/>
      <c r="I206" s="6"/>
      <c r="J206" s="6"/>
      <c r="K206" s="6"/>
      <c r="L206" s="6"/>
      <c r="M206" s="6"/>
      <c r="N206" s="9"/>
    </row>
    <row r="207" spans="1:14" s="10" customFormat="1" x14ac:dyDescent="0.25">
      <c r="A207" s="7"/>
      <c r="B207" s="11"/>
      <c r="C207" s="9"/>
      <c r="D207" s="9"/>
      <c r="E207" s="9"/>
      <c r="F207" s="42"/>
      <c r="G207" s="9"/>
      <c r="H207" s="9"/>
      <c r="I207" s="6"/>
      <c r="J207" s="6"/>
      <c r="K207" s="6"/>
      <c r="L207" s="6"/>
      <c r="M207" s="6"/>
      <c r="N207" s="9"/>
    </row>
    <row r="208" spans="1:14" s="10" customFormat="1" x14ac:dyDescent="0.25">
      <c r="A208" s="7"/>
      <c r="B208" s="11"/>
      <c r="C208" s="9"/>
      <c r="D208" s="9"/>
      <c r="E208" s="9"/>
      <c r="F208" s="42"/>
      <c r="G208" s="9"/>
      <c r="H208" s="9"/>
      <c r="I208" s="6"/>
      <c r="J208" s="6"/>
      <c r="K208" s="6"/>
      <c r="L208" s="6"/>
      <c r="M208" s="6"/>
      <c r="N208" s="9"/>
    </row>
    <row r="209" spans="1:14" s="10" customFormat="1" x14ac:dyDescent="0.25">
      <c r="A209" s="7"/>
      <c r="B209" s="11"/>
      <c r="C209" s="9"/>
      <c r="D209" s="9"/>
      <c r="E209" s="9"/>
      <c r="F209" s="42"/>
      <c r="G209" s="9"/>
      <c r="H209" s="9"/>
      <c r="I209" s="6"/>
      <c r="J209" s="6"/>
      <c r="K209" s="6"/>
      <c r="L209" s="6"/>
      <c r="M209" s="6"/>
      <c r="N209" s="9"/>
    </row>
    <row r="210" spans="1:14" s="10" customFormat="1" x14ac:dyDescent="0.25">
      <c r="A210" s="7"/>
      <c r="B210" s="11"/>
      <c r="C210" s="9"/>
      <c r="D210" s="9"/>
      <c r="E210" s="9"/>
      <c r="F210" s="42"/>
      <c r="G210" s="9"/>
      <c r="H210" s="9"/>
      <c r="I210" s="6"/>
      <c r="J210" s="6"/>
      <c r="K210" s="6"/>
      <c r="L210" s="6"/>
      <c r="M210" s="6"/>
      <c r="N210" s="9"/>
    </row>
    <row r="211" spans="1:14" s="10" customFormat="1" x14ac:dyDescent="0.25">
      <c r="A211" s="7"/>
      <c r="B211" s="11"/>
      <c r="C211" s="9"/>
      <c r="D211" s="9"/>
      <c r="E211" s="9"/>
      <c r="F211" s="42"/>
      <c r="G211" s="9"/>
      <c r="H211" s="9"/>
      <c r="I211" s="6"/>
      <c r="J211" s="6"/>
      <c r="K211" s="6"/>
      <c r="L211" s="6"/>
      <c r="M211" s="6"/>
      <c r="N211" s="9"/>
    </row>
  </sheetData>
  <hyperlinks>
    <hyperlink ref="F7" location="'SU A0100'!A1" display="'SU A0100'!A1"/>
    <hyperlink ref="F8" location="SU_01001" display="SU_01001"/>
    <hyperlink ref="F9" location="SU_01002" display="SU_01002"/>
    <hyperlink ref="F10" location="SU_01003" display="SU_01003"/>
    <hyperlink ref="F11" location="SU_01004" display="SU_01004"/>
    <hyperlink ref="F12" location="SU_01005" display="SU_01005"/>
    <hyperlink ref="F14" location="SU_01007" display="SU_01007"/>
    <hyperlink ref="F19" location="SU_A0200" display="SU_A0200"/>
    <hyperlink ref="F20" location="SU_02001" display="SU_02001"/>
    <hyperlink ref="F21:F26" location="SU_01001" display="SU_01001"/>
    <hyperlink ref="F21" location="SU_02002" display="SU_02002"/>
    <hyperlink ref="F22" location="SU_02003" display="SU_02003"/>
    <hyperlink ref="F23" location="SU_02004" display="SU_02004"/>
    <hyperlink ref="F24" location="SU_02005" display="SU_02005"/>
    <hyperlink ref="F26" location="SU_02007" display="SU_02007"/>
    <hyperlink ref="F13" location="SU_01006" display="SU_01006"/>
    <hyperlink ref="F25" location="SU_02006" display="SU_02006"/>
    <hyperlink ref="F31" location="SU_A0300" display="SU_A0300"/>
    <hyperlink ref="F32" location="SU_03001" display="SU_03001"/>
    <hyperlink ref="F33:F38" location="SU_03001" display="SU_03001"/>
    <hyperlink ref="F33" location="SU_03002" display="SU_03002"/>
    <hyperlink ref="F34" location="SU_03003" display="SU_03003"/>
    <hyperlink ref="F35" location="SU_03004" display="SU_03004"/>
    <hyperlink ref="F36" location="SU_03005" display="SU_03005"/>
    <hyperlink ref="F37" location="SU_03006" display="SU_03006"/>
    <hyperlink ref="F38" location="SU_03007" display="SU_03007"/>
    <hyperlink ref="F15:F17" location="SU_01007" display="SU_01007"/>
    <hyperlink ref="F18" location="SU_01011" display="SU_01011"/>
    <hyperlink ref="F15" location="SU_01008" display="SU_01008"/>
    <hyperlink ref="F16" location="SU_01009" display="SU_01009"/>
    <hyperlink ref="F17" location="SU_01010" display="SU_01010"/>
    <hyperlink ref="F27" location="SU_02008" display="SU_02008"/>
    <hyperlink ref="F28" location="SU_02009" display="SU_02009"/>
    <hyperlink ref="F29" location="SU_02010" display="SU_02010"/>
    <hyperlink ref="F30" location="SU_02011" display="SU_02011"/>
    <hyperlink ref="F39" location="SU_03008" display="SU_03008"/>
    <hyperlink ref="F40" location="SU_03009" display="SU_03009"/>
    <hyperlink ref="F41" location="SU_03010" display="SU_03010"/>
    <hyperlink ref="F42" location="SU_03011" display="SU_03011"/>
    <hyperlink ref="F43" location="SU_A0400" display="SU_A0400"/>
    <hyperlink ref="F44" location="SU_04001" display="SU_04001"/>
    <hyperlink ref="F45:F50" location="SU_03001" display="SU_03001"/>
    <hyperlink ref="F45" location="SU_04002" display="SU_04002"/>
    <hyperlink ref="F46" location="SU_04003" display="SU_04003"/>
    <hyperlink ref="F47" location="SU_04004" display="SU_04004"/>
    <hyperlink ref="F48" location="SU_04005" display="SU_04005"/>
    <hyperlink ref="F49" location="SU_03006" display="SU_03006"/>
    <hyperlink ref="F50" location="SU_04007" display="SU_04007"/>
    <hyperlink ref="F52" location="SU_03009" display="SU_03009"/>
    <hyperlink ref="F53" location="SU_03010" display="SU_03010"/>
    <hyperlink ref="F54" location="SU_03011" display="SU_03011"/>
    <hyperlink ref="F51" location="SU_03001" display="SU_03001"/>
  </hyperlinks>
  <pageMargins left="0.41" right="0.22" top="0.72" bottom="0.57999999999999996" header="0.5" footer="0.26"/>
  <pageSetup paperSize="119" scale="57" fitToHeight="99" orientation="landscape" r:id="rId1"/>
  <headerFooter alignWithMargins="0"/>
  <rowBreaks count="1" manualBreakCount="1">
    <brk id="6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F18" sqref="F18"/>
    </sheetView>
  </sheetViews>
  <sheetFormatPr baseColWidth="10" defaultRowHeight="14.4" x14ac:dyDescent="0.3"/>
  <sheetData>
    <row r="1" spans="1:15" x14ac:dyDescent="0.3">
      <c r="A1" s="282"/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78"/>
    </row>
    <row r="2" spans="1:15" x14ac:dyDescent="0.3">
      <c r="A2" s="318" t="s">
        <v>0</v>
      </c>
      <c r="B2" s="16" t="s">
        <v>37</v>
      </c>
      <c r="C2" s="275"/>
      <c r="D2" s="275"/>
      <c r="E2" s="275"/>
      <c r="F2" s="283" t="s">
        <v>126</v>
      </c>
      <c r="G2" s="275"/>
      <c r="H2" s="275"/>
      <c r="I2" s="275"/>
      <c r="J2" s="102" t="s">
        <v>1</v>
      </c>
      <c r="K2" s="279">
        <v>81</v>
      </c>
      <c r="L2" s="275"/>
      <c r="M2" s="303" t="s">
        <v>16</v>
      </c>
      <c r="N2" s="421">
        <f>SU_01010_m+SU_01010_p</f>
        <v>1.3083476875000002</v>
      </c>
      <c r="O2" s="276"/>
    </row>
    <row r="3" spans="1:15" x14ac:dyDescent="0.3">
      <c r="A3" s="318" t="s">
        <v>3</v>
      </c>
      <c r="B3" s="16" t="str">
        <f>'SU A0100'!B3</f>
        <v>Suspension &amp; Shocks</v>
      </c>
      <c r="C3" s="279"/>
      <c r="D3" s="351" t="s">
        <v>6</v>
      </c>
      <c r="E3" s="287" t="s">
        <v>86</v>
      </c>
      <c r="F3" s="275"/>
      <c r="G3" s="275"/>
      <c r="H3" s="275"/>
      <c r="I3" s="275"/>
      <c r="J3" s="275"/>
      <c r="K3" s="275"/>
      <c r="L3" s="275"/>
      <c r="M3" s="303" t="s">
        <v>4</v>
      </c>
      <c r="N3" s="280">
        <v>2</v>
      </c>
      <c r="O3" s="276"/>
    </row>
    <row r="4" spans="1:15" x14ac:dyDescent="0.3">
      <c r="A4" s="318" t="s">
        <v>5</v>
      </c>
      <c r="B4" s="88" t="str">
        <f>'SU A0100'!B4</f>
        <v>Upper Front A-arm</v>
      </c>
      <c r="C4" s="275"/>
      <c r="D4" s="351" t="s">
        <v>8</v>
      </c>
      <c r="E4" s="353"/>
      <c r="F4" s="275"/>
      <c r="G4" s="275"/>
      <c r="H4" s="275"/>
      <c r="I4" s="275"/>
      <c r="J4" s="102" t="s">
        <v>6</v>
      </c>
      <c r="K4" s="275"/>
      <c r="L4" s="275"/>
      <c r="M4" s="275"/>
      <c r="N4" s="275"/>
      <c r="O4" s="276"/>
    </row>
    <row r="5" spans="1:15" x14ac:dyDescent="0.3">
      <c r="A5" s="318" t="s">
        <v>15</v>
      </c>
      <c r="B5" s="72" t="s">
        <v>291</v>
      </c>
      <c r="C5" s="275"/>
      <c r="D5" s="351" t="s">
        <v>12</v>
      </c>
      <c r="E5" s="353"/>
      <c r="F5" s="275"/>
      <c r="G5" s="275"/>
      <c r="H5" s="275"/>
      <c r="I5" s="275"/>
      <c r="J5" s="102" t="s">
        <v>8</v>
      </c>
      <c r="K5" s="275"/>
      <c r="L5" s="275"/>
      <c r="M5" s="303" t="s">
        <v>9</v>
      </c>
      <c r="N5" s="277">
        <v>1.5188994999999998</v>
      </c>
      <c r="O5" s="276"/>
    </row>
    <row r="6" spans="1:15" x14ac:dyDescent="0.3">
      <c r="A6" s="318" t="s">
        <v>7</v>
      </c>
      <c r="B6" s="28" t="s">
        <v>287</v>
      </c>
      <c r="C6" s="275"/>
      <c r="D6" s="275"/>
      <c r="E6" s="275"/>
      <c r="F6" s="275"/>
      <c r="G6" s="275"/>
      <c r="H6" s="275"/>
      <c r="I6" s="275"/>
      <c r="J6" s="102" t="s">
        <v>12</v>
      </c>
      <c r="K6" s="275"/>
      <c r="L6" s="275"/>
      <c r="M6" s="275"/>
      <c r="N6" s="275"/>
      <c r="O6" s="276"/>
    </row>
    <row r="7" spans="1:15" x14ac:dyDescent="0.3">
      <c r="A7" s="318" t="s">
        <v>10</v>
      </c>
      <c r="B7" s="16" t="s">
        <v>11</v>
      </c>
      <c r="C7" s="275"/>
      <c r="D7" s="275"/>
      <c r="E7" s="275"/>
      <c r="F7" s="275"/>
      <c r="G7" s="275"/>
      <c r="H7" s="275"/>
      <c r="I7" s="275"/>
      <c r="J7" s="275"/>
      <c r="K7" s="275"/>
      <c r="L7" s="275"/>
      <c r="M7" s="275"/>
      <c r="N7" s="275"/>
      <c r="O7" s="276"/>
    </row>
    <row r="8" spans="1:15" x14ac:dyDescent="0.3">
      <c r="A8" s="318" t="s">
        <v>13</v>
      </c>
      <c r="B8" s="275" t="s">
        <v>277</v>
      </c>
      <c r="C8" s="275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275"/>
      <c r="O8" s="276"/>
    </row>
    <row r="9" spans="1:15" x14ac:dyDescent="0.3">
      <c r="A9" s="291"/>
      <c r="B9" s="275"/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6"/>
    </row>
    <row r="10" spans="1:15" x14ac:dyDescent="0.3">
      <c r="A10" s="319" t="s">
        <v>14</v>
      </c>
      <c r="B10" s="299" t="s">
        <v>19</v>
      </c>
      <c r="C10" s="299" t="s">
        <v>20</v>
      </c>
      <c r="D10" s="299" t="s">
        <v>21</v>
      </c>
      <c r="E10" s="299" t="s">
        <v>22</v>
      </c>
      <c r="F10" s="299" t="s">
        <v>23</v>
      </c>
      <c r="G10" s="299" t="s">
        <v>24</v>
      </c>
      <c r="H10" s="299" t="s">
        <v>25</v>
      </c>
      <c r="I10" s="299" t="s">
        <v>26</v>
      </c>
      <c r="J10" s="299" t="s">
        <v>27</v>
      </c>
      <c r="K10" s="299" t="s">
        <v>28</v>
      </c>
      <c r="L10" s="299" t="s">
        <v>29</v>
      </c>
      <c r="M10" s="299" t="s">
        <v>17</v>
      </c>
      <c r="N10" s="299" t="s">
        <v>18</v>
      </c>
      <c r="O10" s="276"/>
    </row>
    <row r="11" spans="1:15" ht="28.8" x14ac:dyDescent="0.3">
      <c r="A11" s="295">
        <v>10</v>
      </c>
      <c r="B11" s="320" t="s">
        <v>278</v>
      </c>
      <c r="C11" s="321" t="s">
        <v>279</v>
      </c>
      <c r="D11" s="305">
        <v>2.25</v>
      </c>
      <c r="E11" s="322">
        <f>J11*K11*L11</f>
        <v>4.4705750000000002E-2</v>
      </c>
      <c r="F11" s="323" t="s">
        <v>212</v>
      </c>
      <c r="G11" s="323"/>
      <c r="H11" s="324"/>
      <c r="I11" s="325" t="s">
        <v>280</v>
      </c>
      <c r="J11" s="326">
        <v>1.139E-3</v>
      </c>
      <c r="K11" s="326">
        <v>5.0000000000000001E-3</v>
      </c>
      <c r="L11" s="327">
        <v>7850</v>
      </c>
      <c r="M11" s="327">
        <v>1</v>
      </c>
      <c r="N11" s="328">
        <f>IF(J11="",D11*M11,D11*J11*K11*L11*M11)</f>
        <v>0.10058793749999999</v>
      </c>
      <c r="O11" s="276"/>
    </row>
    <row r="12" spans="1:15" x14ac:dyDescent="0.3">
      <c r="A12" s="295">
        <v>20</v>
      </c>
      <c r="B12" s="320" t="s">
        <v>281</v>
      </c>
      <c r="C12" s="321"/>
      <c r="D12" s="329">
        <v>10</v>
      </c>
      <c r="E12" s="330">
        <f>2*J11</f>
        <v>2.2780000000000001E-3</v>
      </c>
      <c r="F12" s="331" t="s">
        <v>276</v>
      </c>
      <c r="G12" s="323"/>
      <c r="H12" s="324"/>
      <c r="I12" s="325"/>
      <c r="J12" s="326"/>
      <c r="K12" s="324"/>
      <c r="L12" s="327"/>
      <c r="M12" s="327"/>
      <c r="N12" s="328">
        <f>E12*D12</f>
        <v>2.2780000000000002E-2</v>
      </c>
      <c r="O12" s="276"/>
    </row>
    <row r="13" spans="1:15" x14ac:dyDescent="0.3">
      <c r="A13" s="292"/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3"/>
      <c r="M13" s="301" t="s">
        <v>18</v>
      </c>
      <c r="N13" s="300">
        <f>SUM(N11:N12)</f>
        <v>0.1233679375</v>
      </c>
      <c r="O13" s="276"/>
    </row>
    <row r="14" spans="1:15" x14ac:dyDescent="0.3">
      <c r="A14" s="291"/>
      <c r="B14" s="275"/>
      <c r="C14" s="275"/>
      <c r="D14" s="275"/>
      <c r="E14" s="275"/>
      <c r="F14" s="275"/>
      <c r="G14" s="275"/>
      <c r="H14" s="275"/>
      <c r="I14" s="275"/>
      <c r="J14" s="275"/>
      <c r="K14" s="275"/>
      <c r="L14" s="275"/>
      <c r="M14" s="275"/>
      <c r="N14" s="275"/>
      <c r="O14" s="276"/>
    </row>
    <row r="15" spans="1:15" x14ac:dyDescent="0.3">
      <c r="A15" s="319" t="s">
        <v>14</v>
      </c>
      <c r="B15" s="299" t="s">
        <v>31</v>
      </c>
      <c r="C15" s="299" t="s">
        <v>20</v>
      </c>
      <c r="D15" s="299" t="s">
        <v>21</v>
      </c>
      <c r="E15" s="299" t="s">
        <v>32</v>
      </c>
      <c r="F15" s="299" t="s">
        <v>17</v>
      </c>
      <c r="G15" s="299" t="s">
        <v>33</v>
      </c>
      <c r="H15" s="299" t="s">
        <v>34</v>
      </c>
      <c r="I15" s="299" t="s">
        <v>18</v>
      </c>
      <c r="J15" s="293"/>
      <c r="K15" s="293"/>
      <c r="L15" s="293"/>
      <c r="M15" s="293"/>
      <c r="N15" s="293"/>
      <c r="O15" s="276"/>
    </row>
    <row r="16" spans="1:15" ht="57.6" x14ac:dyDescent="0.3">
      <c r="A16" s="332">
        <v>10</v>
      </c>
      <c r="B16" s="310" t="s">
        <v>39</v>
      </c>
      <c r="C16" s="333" t="s">
        <v>282</v>
      </c>
      <c r="D16" s="334">
        <v>1.3</v>
      </c>
      <c r="E16" s="310" t="s">
        <v>32</v>
      </c>
      <c r="F16" s="311">
        <v>1</v>
      </c>
      <c r="G16" s="333" t="s">
        <v>294</v>
      </c>
      <c r="H16" s="335">
        <v>0.5</v>
      </c>
      <c r="I16" s="306">
        <f>H16*D16</f>
        <v>0.65</v>
      </c>
      <c r="J16" s="311"/>
      <c r="K16" s="275"/>
      <c r="L16" s="275"/>
      <c r="M16" s="275"/>
      <c r="N16" s="275"/>
      <c r="O16" s="276"/>
    </row>
    <row r="17" spans="1:15" x14ac:dyDescent="0.3">
      <c r="A17" s="336">
        <v>20</v>
      </c>
      <c r="B17" s="307" t="s">
        <v>283</v>
      </c>
      <c r="C17" s="308"/>
      <c r="D17" s="334">
        <v>0.01</v>
      </c>
      <c r="E17" s="307" t="s">
        <v>40</v>
      </c>
      <c r="F17" s="338">
        <v>11.7</v>
      </c>
      <c r="G17" s="310"/>
      <c r="H17" s="335"/>
      <c r="I17" s="306">
        <f>IF(H17="",D17*F17,D17*F17*H17)</f>
        <v>0.11699999999999999</v>
      </c>
      <c r="J17" s="311"/>
      <c r="K17" s="275"/>
      <c r="L17" s="275"/>
      <c r="M17" s="275"/>
      <c r="N17" s="275"/>
      <c r="O17" s="276"/>
    </row>
    <row r="18" spans="1:15" ht="43.2" x14ac:dyDescent="0.3">
      <c r="A18" s="332">
        <v>30</v>
      </c>
      <c r="B18" s="337" t="s">
        <v>39</v>
      </c>
      <c r="C18" s="309"/>
      <c r="D18" s="312">
        <v>0.65</v>
      </c>
      <c r="E18" s="309" t="s">
        <v>32</v>
      </c>
      <c r="F18" s="309">
        <v>1</v>
      </c>
      <c r="G18" s="333" t="s">
        <v>294</v>
      </c>
      <c r="H18" s="309">
        <v>0.5</v>
      </c>
      <c r="I18" s="313">
        <f t="shared" ref="I18:I19" si="0">IF(H18="",D18*F18,D18*F18*H18)</f>
        <v>0.32500000000000001</v>
      </c>
      <c r="J18" s="311"/>
      <c r="K18" s="275"/>
      <c r="L18" s="275"/>
      <c r="M18" s="275"/>
      <c r="N18" s="275"/>
      <c r="O18" s="276"/>
    </row>
    <row r="19" spans="1:15" x14ac:dyDescent="0.3">
      <c r="A19" s="336">
        <v>40</v>
      </c>
      <c r="B19" s="309" t="s">
        <v>159</v>
      </c>
      <c r="C19" s="309" t="s">
        <v>293</v>
      </c>
      <c r="D19" s="312">
        <v>2.9000000000000001E-2</v>
      </c>
      <c r="E19" s="309" t="s">
        <v>161</v>
      </c>
      <c r="F19" s="309">
        <v>1</v>
      </c>
      <c r="G19" s="309" t="s">
        <v>268</v>
      </c>
      <c r="H19" s="309">
        <v>3</v>
      </c>
      <c r="I19" s="313">
        <f t="shared" si="0"/>
        <v>8.7000000000000008E-2</v>
      </c>
      <c r="J19" s="314"/>
      <c r="K19" s="293"/>
      <c r="L19" s="293"/>
      <c r="M19" s="293"/>
      <c r="N19" s="293"/>
      <c r="O19" s="276"/>
    </row>
    <row r="20" spans="1:15" ht="28.8" x14ac:dyDescent="0.3">
      <c r="A20" s="332">
        <v>50</v>
      </c>
      <c r="B20" s="310" t="s">
        <v>233</v>
      </c>
      <c r="C20" s="308" t="s">
        <v>284</v>
      </c>
      <c r="D20" s="315">
        <v>5.25</v>
      </c>
      <c r="E20" s="310" t="s">
        <v>276</v>
      </c>
      <c r="F20" s="316">
        <f>J11</f>
        <v>1.139E-3</v>
      </c>
      <c r="G20" s="310"/>
      <c r="H20" s="335"/>
      <c r="I20" s="313">
        <f>F20*D20</f>
        <v>5.9797499999999998E-3</v>
      </c>
      <c r="J20" s="317"/>
      <c r="K20" s="56"/>
      <c r="L20" s="56"/>
      <c r="M20" s="56"/>
      <c r="N20" s="56"/>
      <c r="O20" s="276"/>
    </row>
    <row r="21" spans="1:15" x14ac:dyDescent="0.3">
      <c r="A21" s="292"/>
      <c r="B21" s="293"/>
      <c r="C21" s="293"/>
      <c r="D21" s="293"/>
      <c r="E21" s="293"/>
      <c r="F21" s="293"/>
      <c r="G21" s="293"/>
      <c r="H21" s="301" t="s">
        <v>18</v>
      </c>
      <c r="I21" s="302">
        <f>SUM(I16:I20)</f>
        <v>1.1849797500000001</v>
      </c>
      <c r="J21" s="56"/>
      <c r="K21" s="56"/>
      <c r="L21" s="56"/>
      <c r="M21" s="56"/>
      <c r="N21" s="56"/>
      <c r="O21" s="276"/>
    </row>
    <row r="22" spans="1:15" ht="15" thickBot="1" x14ac:dyDescent="0.35">
      <c r="A22" s="296"/>
      <c r="B22" s="297"/>
      <c r="C22" s="297"/>
      <c r="D22" s="297"/>
      <c r="E22" s="297"/>
      <c r="F22" s="297"/>
      <c r="G22" s="297"/>
      <c r="H22" s="297"/>
      <c r="I22" s="297"/>
      <c r="J22" s="297"/>
      <c r="K22" s="297"/>
      <c r="L22" s="297"/>
      <c r="M22" s="297"/>
      <c r="N22" s="297"/>
      <c r="O22" s="298"/>
    </row>
  </sheetData>
  <hyperlinks>
    <hyperlink ref="B4" location="'SU A0100'!A1" display="'SU A0100'!A1"/>
    <hyperlink ref="F2" location="SU_A0100_BOM" display="Back to BOM"/>
    <hyperlink ref="E3" location="dSU_01010" display="Drawing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3.5546875" customWidth="1"/>
  </cols>
  <sheetData>
    <row r="1" spans="1:2" x14ac:dyDescent="0.3">
      <c r="A1" t="s">
        <v>195</v>
      </c>
      <c r="B1" s="287" t="s">
        <v>287</v>
      </c>
    </row>
  </sheetData>
  <hyperlinks>
    <hyperlink ref="B1" location="SU_01010" display="SU_01010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F2" sqref="F2"/>
    </sheetView>
  </sheetViews>
  <sheetFormatPr baseColWidth="10" defaultRowHeight="14.4" x14ac:dyDescent="0.3"/>
  <cols>
    <col min="2" max="2" width="17.44140625" customWidth="1"/>
    <col min="3" max="3" width="17.21875" customWidth="1"/>
  </cols>
  <sheetData>
    <row r="1" spans="1:15" x14ac:dyDescent="0.3">
      <c r="A1" s="282"/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78"/>
    </row>
    <row r="2" spans="1:15" x14ac:dyDescent="0.3">
      <c r="A2" s="318" t="s">
        <v>0</v>
      </c>
      <c r="B2" s="16" t="s">
        <v>37</v>
      </c>
      <c r="C2" s="275"/>
      <c r="D2" s="275"/>
      <c r="E2" s="275"/>
      <c r="F2" s="283" t="s">
        <v>126</v>
      </c>
      <c r="G2" s="275"/>
      <c r="H2" s="275"/>
      <c r="I2" s="275"/>
      <c r="J2" s="102" t="s">
        <v>1</v>
      </c>
      <c r="K2" s="279">
        <v>81</v>
      </c>
      <c r="L2" s="275"/>
      <c r="M2" s="303" t="s">
        <v>16</v>
      </c>
      <c r="N2" s="277">
        <v>0.37972487499999996</v>
      </c>
      <c r="O2" s="276"/>
    </row>
    <row r="3" spans="1:15" x14ac:dyDescent="0.3">
      <c r="A3" s="318" t="s">
        <v>3</v>
      </c>
      <c r="B3" s="16" t="str">
        <f>'SU A0100'!B3</f>
        <v>Suspension &amp; Shocks</v>
      </c>
      <c r="C3" s="279"/>
      <c r="D3" s="351" t="s">
        <v>6</v>
      </c>
      <c r="E3" s="287" t="s">
        <v>86</v>
      </c>
      <c r="F3" s="275"/>
      <c r="G3" s="275"/>
      <c r="H3" s="275"/>
      <c r="I3" s="275"/>
      <c r="J3" s="275"/>
      <c r="K3" s="275"/>
      <c r="L3" s="275"/>
      <c r="M3" s="303" t="s">
        <v>4</v>
      </c>
      <c r="N3" s="280">
        <v>2</v>
      </c>
      <c r="O3" s="276"/>
    </row>
    <row r="4" spans="1:15" x14ac:dyDescent="0.3">
      <c r="A4" s="318" t="s">
        <v>5</v>
      </c>
      <c r="B4" s="88" t="str">
        <f>'SU A0100'!B4</f>
        <v>Upper Front A-arm</v>
      </c>
      <c r="C4" s="275"/>
      <c r="D4" s="351" t="s">
        <v>8</v>
      </c>
      <c r="E4" s="353"/>
      <c r="F4" s="275"/>
      <c r="G4" s="275"/>
      <c r="H4" s="275"/>
      <c r="I4" s="275"/>
      <c r="J4" s="102" t="s">
        <v>6</v>
      </c>
      <c r="K4" s="275"/>
      <c r="L4" s="275"/>
      <c r="M4" s="275"/>
      <c r="N4" s="275"/>
      <c r="O4" s="276"/>
    </row>
    <row r="5" spans="1:15" x14ac:dyDescent="0.3">
      <c r="A5" s="318" t="s">
        <v>15</v>
      </c>
      <c r="B5" s="72" t="s">
        <v>292</v>
      </c>
      <c r="C5" s="275"/>
      <c r="D5" s="351" t="s">
        <v>12</v>
      </c>
      <c r="E5" s="353"/>
      <c r="F5" s="275"/>
      <c r="G5" s="275"/>
      <c r="H5" s="275"/>
      <c r="I5" s="275"/>
      <c r="J5" s="102" t="s">
        <v>8</v>
      </c>
      <c r="K5" s="275"/>
      <c r="L5" s="275"/>
      <c r="M5" s="303" t="s">
        <v>9</v>
      </c>
      <c r="N5" s="277">
        <v>1.5188994999999998</v>
      </c>
      <c r="O5" s="276"/>
    </row>
    <row r="6" spans="1:15" x14ac:dyDescent="0.3">
      <c r="A6" s="318" t="s">
        <v>7</v>
      </c>
      <c r="B6" s="28" t="s">
        <v>288</v>
      </c>
      <c r="C6" s="275"/>
      <c r="D6" s="275"/>
      <c r="E6" s="275"/>
      <c r="F6" s="275"/>
      <c r="G6" s="275"/>
      <c r="H6" s="275"/>
      <c r="I6" s="275"/>
      <c r="J6" s="102" t="s">
        <v>12</v>
      </c>
      <c r="K6" s="275"/>
      <c r="L6" s="275"/>
      <c r="M6" s="275"/>
      <c r="N6" s="275"/>
      <c r="O6" s="276"/>
    </row>
    <row r="7" spans="1:15" x14ac:dyDescent="0.3">
      <c r="A7" s="318" t="s">
        <v>10</v>
      </c>
      <c r="B7" s="16" t="s">
        <v>11</v>
      </c>
      <c r="C7" s="275"/>
      <c r="D7" s="275"/>
      <c r="E7" s="275"/>
      <c r="F7" s="275"/>
      <c r="G7" s="275"/>
      <c r="H7" s="275"/>
      <c r="I7" s="275"/>
      <c r="J7" s="275"/>
      <c r="K7" s="275"/>
      <c r="L7" s="275"/>
      <c r="M7" s="275"/>
      <c r="N7" s="275"/>
      <c r="O7" s="276"/>
    </row>
    <row r="8" spans="1:15" x14ac:dyDescent="0.3">
      <c r="A8" s="318" t="s">
        <v>13</v>
      </c>
      <c r="B8" s="275" t="s">
        <v>277</v>
      </c>
      <c r="C8" s="275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275"/>
      <c r="O8" s="276"/>
    </row>
    <row r="9" spans="1:15" x14ac:dyDescent="0.3">
      <c r="A9" s="291"/>
      <c r="B9" s="275"/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6"/>
    </row>
    <row r="10" spans="1:15" x14ac:dyDescent="0.3">
      <c r="A10" s="319" t="s">
        <v>14</v>
      </c>
      <c r="B10" s="299" t="s">
        <v>19</v>
      </c>
      <c r="C10" s="299" t="s">
        <v>20</v>
      </c>
      <c r="D10" s="299" t="s">
        <v>21</v>
      </c>
      <c r="E10" s="299" t="s">
        <v>22</v>
      </c>
      <c r="F10" s="299" t="s">
        <v>23</v>
      </c>
      <c r="G10" s="299" t="s">
        <v>24</v>
      </c>
      <c r="H10" s="299" t="s">
        <v>25</v>
      </c>
      <c r="I10" s="299" t="s">
        <v>26</v>
      </c>
      <c r="J10" s="299" t="s">
        <v>27</v>
      </c>
      <c r="K10" s="299" t="s">
        <v>28</v>
      </c>
      <c r="L10" s="299" t="s">
        <v>29</v>
      </c>
      <c r="M10" s="299" t="s">
        <v>17</v>
      </c>
      <c r="N10" s="299" t="s">
        <v>18</v>
      </c>
      <c r="O10" s="276"/>
    </row>
    <row r="11" spans="1:15" ht="28.8" x14ac:dyDescent="0.3">
      <c r="A11" s="295">
        <v>10</v>
      </c>
      <c r="B11" s="320" t="s">
        <v>278</v>
      </c>
      <c r="C11" s="321" t="s">
        <v>279</v>
      </c>
      <c r="D11" s="305">
        <v>2.25</v>
      </c>
      <c r="E11" s="322">
        <f>J11*K11*L11</f>
        <v>4.9847500000000003E-2</v>
      </c>
      <c r="F11" s="323" t="s">
        <v>212</v>
      </c>
      <c r="G11" s="323"/>
      <c r="H11" s="324"/>
      <c r="I11" s="325" t="s">
        <v>280</v>
      </c>
      <c r="J11" s="326">
        <v>1.2700000000000001E-3</v>
      </c>
      <c r="K11" s="326">
        <v>5.0000000000000001E-3</v>
      </c>
      <c r="L11" s="327">
        <v>7850</v>
      </c>
      <c r="M11" s="327">
        <v>1</v>
      </c>
      <c r="N11" s="328">
        <f>IF(J11="",D11*M11,D11*J11*K11*L11*M11)</f>
        <v>0.11215687500000002</v>
      </c>
      <c r="O11" s="276"/>
    </row>
    <row r="12" spans="1:15" x14ac:dyDescent="0.3">
      <c r="A12" s="295">
        <v>20</v>
      </c>
      <c r="B12" s="320" t="s">
        <v>281</v>
      </c>
      <c r="C12" s="321"/>
      <c r="D12" s="329">
        <v>10</v>
      </c>
      <c r="E12" s="330">
        <f>2*J11</f>
        <v>2.5400000000000002E-3</v>
      </c>
      <c r="F12" s="331" t="s">
        <v>276</v>
      </c>
      <c r="G12" s="323"/>
      <c r="H12" s="324"/>
      <c r="I12" s="325"/>
      <c r="J12" s="326"/>
      <c r="K12" s="324"/>
      <c r="L12" s="327"/>
      <c r="M12" s="327"/>
      <c r="N12" s="328">
        <f>E12*D12</f>
        <v>2.5400000000000002E-2</v>
      </c>
      <c r="O12" s="276"/>
    </row>
    <row r="13" spans="1:15" x14ac:dyDescent="0.3">
      <c r="A13" s="292"/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3"/>
      <c r="M13" s="301" t="s">
        <v>18</v>
      </c>
      <c r="N13" s="300">
        <f>SUM(N11:N12)</f>
        <v>0.13755687500000002</v>
      </c>
      <c r="O13" s="276"/>
    </row>
    <row r="14" spans="1:15" x14ac:dyDescent="0.3">
      <c r="A14" s="291"/>
      <c r="B14" s="275"/>
      <c r="C14" s="275"/>
      <c r="D14" s="275"/>
      <c r="E14" s="275"/>
      <c r="F14" s="275"/>
      <c r="G14" s="275"/>
      <c r="H14" s="275"/>
      <c r="I14" s="275"/>
      <c r="J14" s="275"/>
      <c r="K14" s="275"/>
      <c r="L14" s="275"/>
      <c r="M14" s="275"/>
      <c r="N14" s="275"/>
      <c r="O14" s="276"/>
    </row>
    <row r="15" spans="1:15" x14ac:dyDescent="0.3">
      <c r="A15" s="319" t="s">
        <v>14</v>
      </c>
      <c r="B15" s="299" t="s">
        <v>31</v>
      </c>
      <c r="C15" s="299" t="s">
        <v>20</v>
      </c>
      <c r="D15" s="299" t="s">
        <v>21</v>
      </c>
      <c r="E15" s="299" t="s">
        <v>32</v>
      </c>
      <c r="F15" s="299" t="s">
        <v>17</v>
      </c>
      <c r="G15" s="299" t="s">
        <v>33</v>
      </c>
      <c r="H15" s="299" t="s">
        <v>34</v>
      </c>
      <c r="I15" s="299" t="s">
        <v>18</v>
      </c>
      <c r="J15" s="293"/>
      <c r="K15" s="293"/>
      <c r="L15" s="293"/>
      <c r="M15" s="293"/>
      <c r="N15" s="293"/>
      <c r="O15" s="276"/>
    </row>
    <row r="16" spans="1:15" ht="28.2" customHeight="1" x14ac:dyDescent="0.3">
      <c r="A16" s="332">
        <v>10</v>
      </c>
      <c r="B16" s="310" t="s">
        <v>39</v>
      </c>
      <c r="C16" s="333" t="s">
        <v>282</v>
      </c>
      <c r="D16" s="334">
        <v>1.3</v>
      </c>
      <c r="E16" s="310" t="s">
        <v>32</v>
      </c>
      <c r="F16" s="311">
        <v>1</v>
      </c>
      <c r="G16" s="333" t="s">
        <v>294</v>
      </c>
      <c r="H16" s="335">
        <v>0.5</v>
      </c>
      <c r="I16" s="306">
        <f>H16*D16</f>
        <v>0.65</v>
      </c>
      <c r="J16" s="311"/>
      <c r="K16" s="275"/>
      <c r="L16" s="275"/>
      <c r="M16" s="275"/>
      <c r="N16" s="275"/>
      <c r="O16" s="276"/>
    </row>
    <row r="17" spans="1:15" x14ac:dyDescent="0.3">
      <c r="A17" s="336">
        <v>20</v>
      </c>
      <c r="B17" s="307" t="s">
        <v>283</v>
      </c>
      <c r="C17" s="308"/>
      <c r="D17" s="334">
        <v>0.01</v>
      </c>
      <c r="E17" s="307" t="s">
        <v>40</v>
      </c>
      <c r="F17" s="338">
        <v>11.5</v>
      </c>
      <c r="G17" s="310"/>
      <c r="H17" s="335"/>
      <c r="I17" s="306">
        <f>IF(H17="",D17*F17,D17*F17*H17)</f>
        <v>0.115</v>
      </c>
      <c r="J17" s="311"/>
      <c r="K17" s="275"/>
      <c r="L17" s="275"/>
      <c r="M17" s="275"/>
      <c r="N17" s="275"/>
      <c r="O17" s="276"/>
    </row>
    <row r="18" spans="1:15" ht="43.2" x14ac:dyDescent="0.3">
      <c r="A18" s="332">
        <v>30</v>
      </c>
      <c r="B18" s="337" t="s">
        <v>39</v>
      </c>
      <c r="C18" s="309"/>
      <c r="D18" s="312">
        <v>0.65</v>
      </c>
      <c r="E18" s="309" t="s">
        <v>32</v>
      </c>
      <c r="F18" s="309">
        <v>1</v>
      </c>
      <c r="G18" s="333" t="s">
        <v>294</v>
      </c>
      <c r="H18" s="309">
        <v>0.5</v>
      </c>
      <c r="I18" s="313">
        <f t="shared" ref="I18:I19" si="0">IF(H18="",D18*F18,D18*F18*H18)</f>
        <v>0.32500000000000001</v>
      </c>
      <c r="J18" s="311"/>
      <c r="K18" s="275"/>
      <c r="L18" s="275"/>
      <c r="M18" s="275"/>
      <c r="N18" s="275"/>
      <c r="O18" s="276"/>
    </row>
    <row r="19" spans="1:15" x14ac:dyDescent="0.3">
      <c r="A19" s="336">
        <v>40</v>
      </c>
      <c r="B19" s="309" t="s">
        <v>159</v>
      </c>
      <c r="C19" s="309" t="s">
        <v>293</v>
      </c>
      <c r="D19" s="312">
        <v>2.9000000000000001E-2</v>
      </c>
      <c r="E19" s="309" t="s">
        <v>161</v>
      </c>
      <c r="F19" s="309">
        <v>1</v>
      </c>
      <c r="G19" s="309" t="s">
        <v>268</v>
      </c>
      <c r="H19" s="309">
        <v>3</v>
      </c>
      <c r="I19" s="313">
        <f t="shared" si="0"/>
        <v>8.7000000000000008E-2</v>
      </c>
      <c r="J19" s="314"/>
      <c r="K19" s="293"/>
      <c r="L19" s="293"/>
      <c r="M19" s="293"/>
      <c r="N19" s="293"/>
      <c r="O19" s="276"/>
    </row>
    <row r="20" spans="1:15" x14ac:dyDescent="0.3">
      <c r="A20" s="332">
        <v>50</v>
      </c>
      <c r="B20" s="310" t="s">
        <v>233</v>
      </c>
      <c r="C20" s="308" t="s">
        <v>284</v>
      </c>
      <c r="D20" s="315">
        <v>5.25</v>
      </c>
      <c r="E20" s="310" t="s">
        <v>276</v>
      </c>
      <c r="F20" s="316">
        <f>J11</f>
        <v>1.2700000000000001E-3</v>
      </c>
      <c r="G20" s="310"/>
      <c r="H20" s="335"/>
      <c r="I20" s="313">
        <f>F20*D20</f>
        <v>6.6675000000000007E-3</v>
      </c>
      <c r="J20" s="317"/>
      <c r="K20" s="56"/>
      <c r="L20" s="56"/>
      <c r="M20" s="56"/>
      <c r="N20" s="56"/>
      <c r="O20" s="276"/>
    </row>
    <row r="21" spans="1:15" x14ac:dyDescent="0.3">
      <c r="A21" s="292"/>
      <c r="B21" s="293"/>
      <c r="C21" s="293"/>
      <c r="D21" s="293"/>
      <c r="E21" s="293"/>
      <c r="F21" s="293"/>
      <c r="G21" s="293"/>
      <c r="H21" s="301" t="s">
        <v>18</v>
      </c>
      <c r="I21" s="302">
        <f>SUM(I16:I20)</f>
        <v>1.1836675000000001</v>
      </c>
      <c r="J21" s="56"/>
      <c r="K21" s="56"/>
      <c r="L21" s="56"/>
      <c r="M21" s="56"/>
      <c r="N21" s="56"/>
      <c r="O21" s="276"/>
    </row>
    <row r="22" spans="1:15" ht="15" thickBot="1" x14ac:dyDescent="0.35">
      <c r="A22" s="296"/>
      <c r="B22" s="297"/>
      <c r="C22" s="297"/>
      <c r="D22" s="297"/>
      <c r="E22" s="297"/>
      <c r="F22" s="297"/>
      <c r="G22" s="297"/>
      <c r="H22" s="297"/>
      <c r="I22" s="297"/>
      <c r="J22" s="297"/>
      <c r="K22" s="297"/>
      <c r="L22" s="297"/>
      <c r="M22" s="297"/>
      <c r="N22" s="297"/>
      <c r="O22" s="298"/>
    </row>
  </sheetData>
  <hyperlinks>
    <hyperlink ref="B4" location="'SU A0100'!A1" display="'SU A0100'!A1"/>
    <hyperlink ref="F2" location="SU_A0100_BOM" display="Back to BOM"/>
    <hyperlink ref="E3" location="dSU_01011" display="Drawing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6640625" customWidth="1"/>
  </cols>
  <sheetData>
    <row r="1" spans="1:2" x14ac:dyDescent="0.3">
      <c r="A1" t="s">
        <v>195</v>
      </c>
      <c r="B1" s="287" t="s">
        <v>288</v>
      </c>
    </row>
  </sheetData>
  <hyperlinks>
    <hyperlink ref="B1" location="SU_01011" display="SU_01011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65"/>
  <sheetViews>
    <sheetView zoomScale="80" zoomScaleNormal="80" zoomScaleSheetLayoutView="80" workbookViewId="0">
      <selection activeCell="E2" sqref="E2"/>
    </sheetView>
  </sheetViews>
  <sheetFormatPr baseColWidth="10" defaultColWidth="9.109375" defaultRowHeight="14.4" x14ac:dyDescent="0.3"/>
  <cols>
    <col min="2" max="2" width="57.109375" customWidth="1"/>
    <col min="3" max="3" width="49.21875" customWidth="1"/>
    <col min="5" max="5" width="9.88671875" customWidth="1"/>
    <col min="14" max="14" width="11.5546875" customWidth="1"/>
    <col min="15" max="15" width="5.33203125" customWidth="1"/>
  </cols>
  <sheetData>
    <row r="1" spans="1:15" x14ac:dyDescent="0.3">
      <c r="A1" s="348"/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50"/>
    </row>
    <row r="2" spans="1:15" x14ac:dyDescent="0.3">
      <c r="A2" s="481" t="s">
        <v>0</v>
      </c>
      <c r="B2" s="352" t="s">
        <v>37</v>
      </c>
      <c r="C2" s="353"/>
      <c r="D2" s="353"/>
      <c r="E2" s="354" t="s">
        <v>126</v>
      </c>
      <c r="F2" s="353"/>
      <c r="G2" s="353"/>
      <c r="H2" s="353"/>
      <c r="I2" s="353"/>
      <c r="J2" s="481" t="s">
        <v>1</v>
      </c>
      <c r="K2" s="356">
        <v>81</v>
      </c>
      <c r="L2" s="353"/>
      <c r="M2" s="481" t="s">
        <v>2</v>
      </c>
      <c r="N2" s="482">
        <f>SU_A0200_pa+SU_A0200_m+SU_A0200_p+SU_A0200_f</f>
        <v>82.266310687787325</v>
      </c>
      <c r="O2" s="358"/>
    </row>
    <row r="3" spans="1:15" x14ac:dyDescent="0.3">
      <c r="A3" s="481" t="s">
        <v>3</v>
      </c>
      <c r="B3" s="352" t="s">
        <v>129</v>
      </c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481" t="s">
        <v>4</v>
      </c>
      <c r="N3" s="360">
        <v>2</v>
      </c>
      <c r="O3" s="358"/>
    </row>
    <row r="4" spans="1:15" x14ac:dyDescent="0.3">
      <c r="A4" s="481" t="s">
        <v>5</v>
      </c>
      <c r="B4" s="353" t="s">
        <v>176</v>
      </c>
      <c r="C4" s="353"/>
      <c r="D4" s="353"/>
      <c r="E4" s="353"/>
      <c r="F4" s="353"/>
      <c r="G4" s="353"/>
      <c r="H4" s="353"/>
      <c r="I4" s="353"/>
      <c r="J4" s="483" t="s">
        <v>6</v>
      </c>
      <c r="K4" s="353"/>
      <c r="L4" s="353"/>
      <c r="M4" s="353"/>
      <c r="N4" s="353"/>
      <c r="O4" s="358"/>
    </row>
    <row r="5" spans="1:15" x14ac:dyDescent="0.3">
      <c r="A5" s="481" t="s">
        <v>7</v>
      </c>
      <c r="B5" s="396" t="s">
        <v>177</v>
      </c>
      <c r="C5" s="353"/>
      <c r="D5" s="353"/>
      <c r="E5" s="353"/>
      <c r="F5" s="353"/>
      <c r="G5" s="353"/>
      <c r="H5" s="353"/>
      <c r="I5" s="353"/>
      <c r="J5" s="483" t="s">
        <v>8</v>
      </c>
      <c r="K5" s="353"/>
      <c r="L5" s="353"/>
      <c r="M5" s="481" t="s">
        <v>9</v>
      </c>
      <c r="N5" s="357">
        <f>N2*N3</f>
        <v>164.53262137557465</v>
      </c>
      <c r="O5" s="358"/>
    </row>
    <row r="6" spans="1:15" x14ac:dyDescent="0.3">
      <c r="A6" s="481" t="s">
        <v>10</v>
      </c>
      <c r="B6" s="352"/>
      <c r="C6" s="353"/>
      <c r="D6" s="353"/>
      <c r="E6" s="353"/>
      <c r="F6" s="353"/>
      <c r="G6" s="353"/>
      <c r="H6" s="353"/>
      <c r="I6" s="353"/>
      <c r="J6" s="483" t="s">
        <v>12</v>
      </c>
      <c r="K6" s="353"/>
      <c r="L6" s="353"/>
      <c r="M6" s="353"/>
      <c r="N6" s="353"/>
      <c r="O6" s="358"/>
    </row>
    <row r="7" spans="1:15" x14ac:dyDescent="0.3">
      <c r="A7" s="481" t="s">
        <v>13</v>
      </c>
      <c r="B7" s="352"/>
      <c r="C7" s="353"/>
      <c r="D7" s="353"/>
      <c r="E7" s="353"/>
      <c r="F7" s="353"/>
      <c r="G7" s="353"/>
      <c r="H7" s="353"/>
      <c r="I7" s="353"/>
      <c r="J7" s="353"/>
      <c r="K7" s="353"/>
      <c r="L7" s="353"/>
      <c r="M7" s="353"/>
      <c r="N7" s="353"/>
      <c r="O7" s="358"/>
    </row>
    <row r="8" spans="1:15" x14ac:dyDescent="0.3">
      <c r="A8" s="386"/>
      <c r="B8" s="353"/>
      <c r="C8" s="353"/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8"/>
    </row>
    <row r="9" spans="1:15" x14ac:dyDescent="0.3">
      <c r="A9" s="481" t="s">
        <v>14</v>
      </c>
      <c r="B9" s="481" t="s">
        <v>15</v>
      </c>
      <c r="C9" s="481" t="s">
        <v>16</v>
      </c>
      <c r="D9" s="481" t="s">
        <v>17</v>
      </c>
      <c r="E9" s="481" t="s">
        <v>18</v>
      </c>
      <c r="F9" s="353"/>
      <c r="G9" s="353"/>
      <c r="H9" s="353"/>
      <c r="I9" s="353"/>
      <c r="J9" s="353"/>
      <c r="K9" s="353"/>
      <c r="L9" s="353"/>
      <c r="M9" s="353"/>
      <c r="N9" s="353"/>
      <c r="O9" s="358"/>
    </row>
    <row r="10" spans="1:15" x14ac:dyDescent="0.3">
      <c r="A10" s="403">
        <v>10</v>
      </c>
      <c r="B10" s="484" t="str">
        <f>'SU 02001'!B5</f>
        <v>Lower Front Bearing Support</v>
      </c>
      <c r="C10" s="357">
        <f>'SU 02001'!N2</f>
        <v>9.1140000000000008</v>
      </c>
      <c r="D10" s="485">
        <f>SU_02001_q</f>
        <v>1</v>
      </c>
      <c r="E10" s="357">
        <f t="shared" ref="E10:E20" si="0">C10*D10</f>
        <v>9.1140000000000008</v>
      </c>
      <c r="F10" s="353"/>
      <c r="G10" s="353"/>
      <c r="H10" s="353"/>
      <c r="I10" s="353"/>
      <c r="J10" s="353"/>
      <c r="K10" s="353"/>
      <c r="L10" s="353"/>
      <c r="M10" s="353"/>
      <c r="N10" s="353"/>
      <c r="O10" s="358"/>
    </row>
    <row r="11" spans="1:15" x14ac:dyDescent="0.3">
      <c r="A11" s="403">
        <v>20</v>
      </c>
      <c r="B11" s="484" t="str">
        <f>'SU 02002'!B5</f>
        <v>Inner Bearing Support</v>
      </c>
      <c r="C11" s="357">
        <f>'SU 02002'!N2</f>
        <v>3.3353805440000004</v>
      </c>
      <c r="D11" s="403">
        <f>SU_02002_q</f>
        <v>2</v>
      </c>
      <c r="E11" s="357">
        <f t="shared" si="0"/>
        <v>6.6707610880000008</v>
      </c>
      <c r="F11" s="353"/>
      <c r="G11" s="353"/>
      <c r="H11" s="353"/>
      <c r="I11" s="353"/>
      <c r="J11" s="353"/>
      <c r="K11" s="353"/>
      <c r="L11" s="353"/>
      <c r="M11" s="353"/>
      <c r="N11" s="353"/>
      <c r="O11" s="358"/>
    </row>
    <row r="12" spans="1:15" x14ac:dyDescent="0.3">
      <c r="A12" s="403">
        <v>30</v>
      </c>
      <c r="B12" s="484" t="str">
        <f>'SU 02003'!B5</f>
        <v>Lower Front A-arm tube (Front)  Carbon Fiber Tube</v>
      </c>
      <c r="C12" s="357">
        <f>'SU 02003'!N2</f>
        <v>11.220746039999998</v>
      </c>
      <c r="D12" s="485">
        <f>SU_02003_q</f>
        <v>1</v>
      </c>
      <c r="E12" s="357">
        <f t="shared" si="0"/>
        <v>11.220746039999998</v>
      </c>
      <c r="F12" s="353"/>
      <c r="G12" s="353"/>
      <c r="H12" s="353"/>
      <c r="I12" s="353"/>
      <c r="J12" s="353"/>
      <c r="K12" s="353"/>
      <c r="L12" s="353"/>
      <c r="M12" s="353"/>
      <c r="N12" s="353"/>
      <c r="O12" s="486"/>
    </row>
    <row r="13" spans="1:15" s="17" customFormat="1" x14ac:dyDescent="0.3">
      <c r="A13" s="403">
        <v>40</v>
      </c>
      <c r="B13" s="484" t="str">
        <f>'SU 02004'!B5</f>
        <v>Lower Front A-arm tube (Back)  Carbon Fiber Tube</v>
      </c>
      <c r="C13" s="357">
        <f>'SU 02004'!N2</f>
        <v>10.001779199999998</v>
      </c>
      <c r="D13" s="403">
        <f>SU_02004_q</f>
        <v>1</v>
      </c>
      <c r="E13" s="357">
        <f t="shared" si="0"/>
        <v>10.001779199999998</v>
      </c>
      <c r="F13" s="353"/>
      <c r="G13" s="353"/>
      <c r="H13" s="353"/>
      <c r="I13" s="353"/>
      <c r="J13" s="353"/>
      <c r="K13" s="353"/>
      <c r="L13" s="353"/>
      <c r="M13" s="353"/>
      <c r="N13" s="353"/>
      <c r="O13" s="486"/>
    </row>
    <row r="14" spans="1:15" s="17" customFormat="1" x14ac:dyDescent="0.3">
      <c r="A14" s="403">
        <v>50</v>
      </c>
      <c r="B14" s="484" t="str">
        <f>'SU 02005'!B5</f>
        <v>Spacer 1</v>
      </c>
      <c r="C14" s="357">
        <f>'SU 02005'!N2</f>
        <v>1.0541703760000001</v>
      </c>
      <c r="D14" s="485">
        <f>SU_02005_q</f>
        <v>2</v>
      </c>
      <c r="E14" s="357">
        <f t="shared" si="0"/>
        <v>2.1083407520000002</v>
      </c>
      <c r="F14" s="353"/>
      <c r="G14" s="353"/>
      <c r="H14" s="353"/>
      <c r="I14" s="353"/>
      <c r="J14" s="353"/>
      <c r="K14" s="353"/>
      <c r="L14" s="353"/>
      <c r="M14" s="353"/>
      <c r="N14" s="353"/>
      <c r="O14" s="358"/>
    </row>
    <row r="15" spans="1:15" s="17" customFormat="1" x14ac:dyDescent="0.3">
      <c r="A15" s="403">
        <v>60</v>
      </c>
      <c r="B15" s="484" t="str">
        <f>'SU 02006'!B5</f>
        <v>Spacer 2</v>
      </c>
      <c r="C15" s="357">
        <f>'SU 02006'!N2</f>
        <v>1.1551782399999999</v>
      </c>
      <c r="D15" s="403">
        <f>SU_02006_q</f>
        <v>4</v>
      </c>
      <c r="E15" s="357">
        <f t="shared" si="0"/>
        <v>4.6207129599999996</v>
      </c>
      <c r="F15" s="353"/>
      <c r="G15" s="353"/>
      <c r="H15" s="353"/>
      <c r="I15" s="353"/>
      <c r="J15" s="353"/>
      <c r="K15" s="353"/>
      <c r="L15" s="353"/>
      <c r="M15" s="353"/>
      <c r="N15" s="353"/>
      <c r="O15" s="358"/>
    </row>
    <row r="16" spans="1:15" s="17" customFormat="1" x14ac:dyDescent="0.3">
      <c r="A16" s="488">
        <v>70</v>
      </c>
      <c r="B16" s="512" t="str">
        <f>'SU 02007'!B5</f>
        <v>Outboard A-arm Insert</v>
      </c>
      <c r="C16" s="491">
        <f>'SU 02007'!N2</f>
        <v>0.47719727680000001</v>
      </c>
      <c r="D16" s="513">
        <f>SU_02007_q</f>
        <v>2</v>
      </c>
      <c r="E16" s="491">
        <f t="shared" si="0"/>
        <v>0.95439455360000003</v>
      </c>
      <c r="F16" s="353"/>
      <c r="G16" s="353"/>
      <c r="H16" s="353"/>
      <c r="I16" s="353"/>
      <c r="J16" s="353"/>
      <c r="K16" s="353"/>
      <c r="L16" s="353"/>
      <c r="M16" s="353"/>
      <c r="N16" s="353"/>
      <c r="O16" s="358"/>
    </row>
    <row r="17" spans="1:15" s="17" customFormat="1" x14ac:dyDescent="0.3">
      <c r="A17" s="497">
        <v>80</v>
      </c>
      <c r="B17" s="577" t="str">
        <f>'SU 02008'!B5</f>
        <v>Front up bracket</v>
      </c>
      <c r="C17" s="503">
        <f>'SU 02008'!N2</f>
        <v>1.3808240000000001</v>
      </c>
      <c r="D17" s="487">
        <f>SU_02008_q</f>
        <v>2</v>
      </c>
      <c r="E17" s="503">
        <f t="shared" si="0"/>
        <v>2.7616480000000001</v>
      </c>
      <c r="F17" s="353"/>
      <c r="G17" s="353"/>
      <c r="H17" s="353"/>
      <c r="I17" s="353"/>
      <c r="J17" s="353"/>
      <c r="K17" s="353"/>
      <c r="L17" s="353"/>
      <c r="M17" s="353"/>
      <c r="N17" s="353"/>
      <c r="O17" s="358"/>
    </row>
    <row r="18" spans="1:15" s="17" customFormat="1" x14ac:dyDescent="0.3">
      <c r="A18" s="497">
        <v>90</v>
      </c>
      <c r="B18" s="577" t="str">
        <f>'SU 02009'!B5</f>
        <v>Front down bracket</v>
      </c>
      <c r="C18" s="503">
        <f>'SU 02009'!N2</f>
        <v>1.4278895</v>
      </c>
      <c r="D18" s="487">
        <f>SU_02009_q</f>
        <v>2</v>
      </c>
      <c r="E18" s="503">
        <f t="shared" si="0"/>
        <v>2.8557790000000001</v>
      </c>
      <c r="F18" s="353"/>
      <c r="G18" s="353"/>
      <c r="H18" s="353"/>
      <c r="I18" s="353"/>
      <c r="J18" s="353"/>
      <c r="K18" s="353"/>
      <c r="L18" s="353"/>
      <c r="M18" s="353"/>
      <c r="N18" s="353"/>
      <c r="O18" s="358"/>
    </row>
    <row r="19" spans="1:15" s="17" customFormat="1" x14ac:dyDescent="0.3">
      <c r="A19" s="497">
        <v>100</v>
      </c>
      <c r="B19" s="577" t="str">
        <f>'SU 02010'!B5</f>
        <v>Rear Up bracket</v>
      </c>
      <c r="C19" s="503">
        <f>'SU 02010'!N2</f>
        <v>1.326935</v>
      </c>
      <c r="D19" s="487">
        <f>SU_02010_q</f>
        <v>2</v>
      </c>
      <c r="E19" s="503">
        <f t="shared" si="0"/>
        <v>2.65387</v>
      </c>
      <c r="F19" s="353"/>
      <c r="G19" s="353"/>
      <c r="H19" s="353"/>
      <c r="I19" s="353"/>
      <c r="J19" s="353"/>
      <c r="K19" s="353"/>
      <c r="L19" s="353"/>
      <c r="M19" s="353"/>
      <c r="N19" s="353"/>
      <c r="O19" s="358"/>
    </row>
    <row r="20" spans="1:15" s="17" customFormat="1" x14ac:dyDescent="0.3">
      <c r="A20" s="497">
        <v>110</v>
      </c>
      <c r="B20" s="577" t="str">
        <f>'SU 02011'!B5</f>
        <v>Rear down bracket</v>
      </c>
      <c r="C20" s="503">
        <f>'SU 02011'!N2</f>
        <v>1.40789925</v>
      </c>
      <c r="D20" s="487">
        <f>SU_02011_q</f>
        <v>2</v>
      </c>
      <c r="E20" s="503">
        <f t="shared" si="0"/>
        <v>2.8157985000000001</v>
      </c>
      <c r="F20" s="353"/>
      <c r="G20" s="353"/>
      <c r="H20" s="353"/>
      <c r="I20" s="353"/>
      <c r="J20" s="353"/>
      <c r="K20" s="353"/>
      <c r="L20" s="353"/>
      <c r="M20" s="353"/>
      <c r="N20" s="353"/>
      <c r="O20" s="358"/>
    </row>
    <row r="21" spans="1:15" x14ac:dyDescent="0.3">
      <c r="A21" s="386"/>
      <c r="B21" s="353"/>
      <c r="C21" s="353"/>
      <c r="D21" s="514" t="s">
        <v>18</v>
      </c>
      <c r="E21" s="496">
        <f>SUM(E10:E16)</f>
        <v>44.690734593599991</v>
      </c>
      <c r="F21" s="353"/>
      <c r="G21" s="353"/>
      <c r="H21" s="353"/>
      <c r="I21" s="353"/>
      <c r="J21" s="353"/>
      <c r="K21" s="353"/>
      <c r="L21" s="353"/>
      <c r="M21" s="353"/>
      <c r="N21" s="353"/>
      <c r="O21" s="358"/>
    </row>
    <row r="22" spans="1:15" x14ac:dyDescent="0.3">
      <c r="A22" s="386"/>
      <c r="B22" s="353"/>
      <c r="C22" s="353"/>
      <c r="D22" s="353"/>
      <c r="E22" s="353"/>
      <c r="F22" s="353"/>
      <c r="G22" s="353"/>
      <c r="H22" s="353"/>
      <c r="I22" s="353"/>
      <c r="J22" s="353"/>
      <c r="K22" s="353"/>
      <c r="L22" s="353"/>
      <c r="M22" s="353"/>
      <c r="N22" s="353"/>
      <c r="O22" s="358"/>
    </row>
    <row r="23" spans="1:15" x14ac:dyDescent="0.3">
      <c r="A23" s="494" t="s">
        <v>14</v>
      </c>
      <c r="B23" s="494" t="s">
        <v>19</v>
      </c>
      <c r="C23" s="494" t="s">
        <v>20</v>
      </c>
      <c r="D23" s="494" t="s">
        <v>21</v>
      </c>
      <c r="E23" s="494" t="s">
        <v>22</v>
      </c>
      <c r="F23" s="494" t="s">
        <v>23</v>
      </c>
      <c r="G23" s="494" t="s">
        <v>24</v>
      </c>
      <c r="H23" s="494" t="s">
        <v>25</v>
      </c>
      <c r="I23" s="494" t="s">
        <v>26</v>
      </c>
      <c r="J23" s="494" t="s">
        <v>27</v>
      </c>
      <c r="K23" s="494" t="s">
        <v>28</v>
      </c>
      <c r="L23" s="494" t="s">
        <v>29</v>
      </c>
      <c r="M23" s="494" t="s">
        <v>17</v>
      </c>
      <c r="N23" s="494" t="s">
        <v>18</v>
      </c>
      <c r="O23" s="358"/>
    </row>
    <row r="24" spans="1:15" ht="14.4" customHeight="1" x14ac:dyDescent="0.3">
      <c r="A24" s="497">
        <v>10</v>
      </c>
      <c r="B24" s="497" t="s">
        <v>131</v>
      </c>
      <c r="C24" s="497"/>
      <c r="D24" s="498">
        <f>0.03*E24^2+5</f>
        <v>6.92</v>
      </c>
      <c r="E24" s="497">
        <v>8</v>
      </c>
      <c r="F24" s="497" t="s">
        <v>30</v>
      </c>
      <c r="G24" s="497"/>
      <c r="H24" s="499"/>
      <c r="I24" s="500"/>
      <c r="J24" s="501"/>
      <c r="K24" s="499"/>
      <c r="L24" s="499"/>
      <c r="M24" s="502">
        <v>3</v>
      </c>
      <c r="N24" s="503">
        <f>M24*D24</f>
        <v>20.759999999999998</v>
      </c>
      <c r="O24" s="358"/>
    </row>
    <row r="25" spans="1:15" s="22" customFormat="1" ht="14.4" customHeight="1" x14ac:dyDescent="0.3">
      <c r="A25" s="497">
        <v>20</v>
      </c>
      <c r="B25" s="504" t="s">
        <v>136</v>
      </c>
      <c r="C25" s="505" t="s">
        <v>137</v>
      </c>
      <c r="D25" s="503"/>
      <c r="E25" s="506"/>
      <c r="F25" s="506">
        <v>95</v>
      </c>
      <c r="G25" s="506"/>
      <c r="H25" s="499"/>
      <c r="I25" s="507"/>
      <c r="J25" s="508"/>
      <c r="K25" s="509"/>
      <c r="L25" s="510"/>
      <c r="M25" s="511"/>
      <c r="N25" s="503">
        <f>M25*D25</f>
        <v>0</v>
      </c>
      <c r="O25" s="381"/>
    </row>
    <row r="26" spans="1:15" ht="31.8" customHeight="1" x14ac:dyDescent="0.3">
      <c r="A26" s="497">
        <v>30</v>
      </c>
      <c r="B26" s="504" t="s">
        <v>136</v>
      </c>
      <c r="C26" s="505" t="s">
        <v>138</v>
      </c>
      <c r="D26" s="503"/>
      <c r="E26" s="497"/>
      <c r="F26" s="497"/>
      <c r="G26" s="497"/>
      <c r="H26" s="499"/>
      <c r="I26" s="511"/>
      <c r="J26" s="502"/>
      <c r="K26" s="499"/>
      <c r="L26" s="510"/>
      <c r="M26" s="499"/>
      <c r="N26" s="503">
        <f>M26*D26</f>
        <v>0</v>
      </c>
      <c r="O26" s="358"/>
    </row>
    <row r="27" spans="1:15" x14ac:dyDescent="0.3">
      <c r="A27" s="382"/>
      <c r="B27" s="383"/>
      <c r="C27" s="383"/>
      <c r="D27" s="383"/>
      <c r="E27" s="383"/>
      <c r="F27" s="383"/>
      <c r="G27" s="383"/>
      <c r="H27" s="383"/>
      <c r="I27" s="383"/>
      <c r="J27" s="383"/>
      <c r="K27" s="383"/>
      <c r="L27" s="383"/>
      <c r="M27" s="495" t="s">
        <v>18</v>
      </c>
      <c r="N27" s="496">
        <f>SUM(N24:N26)</f>
        <v>20.759999999999998</v>
      </c>
      <c r="O27" s="358"/>
    </row>
    <row r="28" spans="1:15" x14ac:dyDescent="0.3">
      <c r="A28" s="386"/>
      <c r="B28" s="353"/>
      <c r="C28" s="353"/>
      <c r="D28" s="353"/>
      <c r="E28" s="353"/>
      <c r="F28" s="353"/>
      <c r="G28" s="353"/>
      <c r="H28" s="353"/>
      <c r="I28" s="353"/>
      <c r="J28" s="353"/>
      <c r="K28" s="353"/>
      <c r="L28" s="353"/>
      <c r="M28" s="353"/>
      <c r="N28" s="353"/>
      <c r="O28" s="358"/>
    </row>
    <row r="29" spans="1:15" s="25" customFormat="1" x14ac:dyDescent="0.3">
      <c r="A29" s="481" t="s">
        <v>14</v>
      </c>
      <c r="B29" s="481" t="s">
        <v>31</v>
      </c>
      <c r="C29" s="481" t="s">
        <v>20</v>
      </c>
      <c r="D29" s="481" t="s">
        <v>21</v>
      </c>
      <c r="E29" s="481" t="s">
        <v>32</v>
      </c>
      <c r="F29" s="481" t="s">
        <v>17</v>
      </c>
      <c r="G29" s="481" t="s">
        <v>33</v>
      </c>
      <c r="H29" s="481" t="s">
        <v>34</v>
      </c>
      <c r="I29" s="481" t="s">
        <v>18</v>
      </c>
      <c r="J29" s="383"/>
      <c r="K29" s="383"/>
      <c r="L29" s="383"/>
      <c r="M29" s="383"/>
      <c r="N29" s="383"/>
      <c r="O29" s="390"/>
    </row>
    <row r="30" spans="1:15" s="184" customFormat="1" x14ac:dyDescent="0.3">
      <c r="A30" s="226">
        <v>10</v>
      </c>
      <c r="B30" s="288" t="s">
        <v>142</v>
      </c>
      <c r="C30" s="227" t="s">
        <v>240</v>
      </c>
      <c r="D30" s="285">
        <v>0.02</v>
      </c>
      <c r="E30" s="226" t="s">
        <v>140</v>
      </c>
      <c r="F30" s="237">
        <v>8.66</v>
      </c>
      <c r="G30" s="237" t="s">
        <v>224</v>
      </c>
      <c r="H30" s="237">
        <v>2</v>
      </c>
      <c r="I30" s="285">
        <f t="shared" ref="I30:I51" si="1">IF(H30="",D30*F30,D30*F30*H30)</f>
        <v>0.34639999999999999</v>
      </c>
      <c r="J30" s="228"/>
      <c r="K30" s="228"/>
      <c r="L30" s="228"/>
      <c r="M30" s="228"/>
      <c r="N30" s="228"/>
      <c r="O30" s="229"/>
    </row>
    <row r="31" spans="1:15" s="184" customFormat="1" x14ac:dyDescent="0.3">
      <c r="A31" s="226">
        <v>20</v>
      </c>
      <c r="B31" s="288" t="s">
        <v>139</v>
      </c>
      <c r="C31" s="227" t="s">
        <v>241</v>
      </c>
      <c r="D31" s="285">
        <v>0.02</v>
      </c>
      <c r="E31" s="226" t="s">
        <v>140</v>
      </c>
      <c r="F31" s="237">
        <v>8.66</v>
      </c>
      <c r="G31" s="237" t="s">
        <v>224</v>
      </c>
      <c r="H31" s="237">
        <v>2</v>
      </c>
      <c r="I31" s="285">
        <f t="shared" si="1"/>
        <v>0.34639999999999999</v>
      </c>
      <c r="J31" s="230"/>
      <c r="K31" s="230"/>
      <c r="L31" s="230"/>
      <c r="M31" s="230"/>
      <c r="N31" s="230"/>
      <c r="O31" s="231"/>
    </row>
    <row r="32" spans="1:15" s="184" customFormat="1" x14ac:dyDescent="0.3">
      <c r="A32" s="226">
        <v>30</v>
      </c>
      <c r="B32" s="288" t="s">
        <v>142</v>
      </c>
      <c r="C32" s="227" t="s">
        <v>243</v>
      </c>
      <c r="D32" s="285">
        <v>0.02</v>
      </c>
      <c r="E32" s="226" t="s">
        <v>140</v>
      </c>
      <c r="F32" s="237">
        <v>8.66</v>
      </c>
      <c r="G32" s="237" t="s">
        <v>224</v>
      </c>
      <c r="H32" s="237">
        <v>2</v>
      </c>
      <c r="I32" s="285">
        <f t="shared" si="1"/>
        <v>0.34639999999999999</v>
      </c>
      <c r="J32" s="228"/>
      <c r="K32" s="228"/>
      <c r="L32" s="228"/>
      <c r="M32" s="228"/>
      <c r="N32" s="228"/>
      <c r="O32" s="229"/>
    </row>
    <row r="33" spans="1:15" s="184" customFormat="1" x14ac:dyDescent="0.3">
      <c r="A33" s="226">
        <v>40</v>
      </c>
      <c r="B33" s="288" t="s">
        <v>225</v>
      </c>
      <c r="C33" s="232" t="s">
        <v>245</v>
      </c>
      <c r="D33" s="285">
        <v>0.06</v>
      </c>
      <c r="E33" s="288" t="s">
        <v>32</v>
      </c>
      <c r="F33" s="237">
        <v>1</v>
      </c>
      <c r="G33" s="237" t="s">
        <v>224</v>
      </c>
      <c r="H33" s="237">
        <v>2</v>
      </c>
      <c r="I33" s="285">
        <f t="shared" si="1"/>
        <v>0.12</v>
      </c>
      <c r="J33" s="230"/>
      <c r="K33" s="230"/>
      <c r="L33" s="230"/>
      <c r="M33" s="230"/>
      <c r="N33" s="230"/>
      <c r="O33" s="231"/>
    </row>
    <row r="34" spans="1:15" s="184" customFormat="1" x14ac:dyDescent="0.3">
      <c r="A34" s="226">
        <v>50</v>
      </c>
      <c r="B34" s="288" t="s">
        <v>142</v>
      </c>
      <c r="C34" s="227" t="s">
        <v>246</v>
      </c>
      <c r="D34" s="285">
        <v>0.02</v>
      </c>
      <c r="E34" s="226" t="s">
        <v>140</v>
      </c>
      <c r="F34" s="237">
        <v>12.43</v>
      </c>
      <c r="G34" s="237" t="s">
        <v>224</v>
      </c>
      <c r="H34" s="237">
        <v>2</v>
      </c>
      <c r="I34" s="285">
        <f t="shared" si="1"/>
        <v>0.49719999999999998</v>
      </c>
      <c r="J34" s="228"/>
      <c r="K34" s="228"/>
      <c r="L34" s="228"/>
      <c r="M34" s="228"/>
      <c r="N34" s="228"/>
      <c r="O34" s="229"/>
    </row>
    <row r="35" spans="1:15" s="184" customFormat="1" x14ac:dyDescent="0.3">
      <c r="A35" s="226">
        <v>60</v>
      </c>
      <c r="B35" s="288" t="s">
        <v>139</v>
      </c>
      <c r="C35" s="227" t="s">
        <v>247</v>
      </c>
      <c r="D35" s="285">
        <v>0.02</v>
      </c>
      <c r="E35" s="226" t="s">
        <v>140</v>
      </c>
      <c r="F35" s="237">
        <v>12.43</v>
      </c>
      <c r="G35" s="237" t="s">
        <v>224</v>
      </c>
      <c r="H35" s="237">
        <v>2</v>
      </c>
      <c r="I35" s="285">
        <f t="shared" si="1"/>
        <v>0.49719999999999998</v>
      </c>
      <c r="J35" s="230"/>
      <c r="K35" s="230"/>
      <c r="L35" s="230"/>
      <c r="M35" s="230"/>
      <c r="N35" s="230"/>
      <c r="O35" s="231"/>
    </row>
    <row r="36" spans="1:15" s="184" customFormat="1" x14ac:dyDescent="0.3">
      <c r="A36" s="226">
        <v>70</v>
      </c>
      <c r="B36" s="288" t="s">
        <v>142</v>
      </c>
      <c r="C36" s="227" t="s">
        <v>226</v>
      </c>
      <c r="D36" s="285">
        <v>0.02</v>
      </c>
      <c r="E36" s="226" t="s">
        <v>140</v>
      </c>
      <c r="F36" s="237">
        <v>12.43</v>
      </c>
      <c r="G36" s="237" t="s">
        <v>224</v>
      </c>
      <c r="H36" s="237">
        <v>2</v>
      </c>
      <c r="I36" s="285">
        <f t="shared" si="1"/>
        <v>0.49719999999999998</v>
      </c>
      <c r="J36" s="228"/>
      <c r="K36" s="228"/>
      <c r="L36" s="228"/>
      <c r="M36" s="228"/>
      <c r="N36" s="228"/>
      <c r="O36" s="229"/>
    </row>
    <row r="37" spans="1:15" s="184" customFormat="1" x14ac:dyDescent="0.3">
      <c r="A37" s="226">
        <v>80</v>
      </c>
      <c r="B37" s="288" t="s">
        <v>225</v>
      </c>
      <c r="C37" s="232" t="s">
        <v>248</v>
      </c>
      <c r="D37" s="285">
        <v>0.14000000000000001</v>
      </c>
      <c r="E37" s="288" t="s">
        <v>32</v>
      </c>
      <c r="F37" s="237">
        <v>1</v>
      </c>
      <c r="G37" s="237" t="s">
        <v>224</v>
      </c>
      <c r="H37" s="237">
        <v>2</v>
      </c>
      <c r="I37" s="285">
        <f t="shared" si="1"/>
        <v>0.28000000000000003</v>
      </c>
      <c r="J37" s="233"/>
      <c r="K37" s="233"/>
      <c r="L37" s="233"/>
      <c r="M37" s="233"/>
      <c r="N37" s="233"/>
      <c r="O37" s="234"/>
    </row>
    <row r="38" spans="1:15" s="184" customFormat="1" x14ac:dyDescent="0.3">
      <c r="A38" s="226">
        <v>90</v>
      </c>
      <c r="B38" s="288" t="s">
        <v>142</v>
      </c>
      <c r="C38" s="227" t="s">
        <v>242</v>
      </c>
      <c r="D38" s="285">
        <v>0.02</v>
      </c>
      <c r="E38" s="226" t="s">
        <v>140</v>
      </c>
      <c r="F38" s="237">
        <v>12.43</v>
      </c>
      <c r="G38" s="237" t="s">
        <v>224</v>
      </c>
      <c r="H38" s="237">
        <v>2</v>
      </c>
      <c r="I38" s="285">
        <f t="shared" si="1"/>
        <v>0.49719999999999998</v>
      </c>
      <c r="J38" s="228"/>
      <c r="K38" s="228"/>
      <c r="L38" s="228"/>
      <c r="M38" s="228"/>
      <c r="N38" s="228"/>
      <c r="O38" s="229"/>
    </row>
    <row r="39" spans="1:15" s="184" customFormat="1" x14ac:dyDescent="0.3">
      <c r="A39" s="226">
        <v>100</v>
      </c>
      <c r="B39" s="288" t="s">
        <v>139</v>
      </c>
      <c r="C39" s="227" t="s">
        <v>244</v>
      </c>
      <c r="D39" s="285">
        <v>0.18</v>
      </c>
      <c r="E39" s="226" t="s">
        <v>140</v>
      </c>
      <c r="F39" s="237">
        <v>12.43</v>
      </c>
      <c r="G39" s="237" t="s">
        <v>224</v>
      </c>
      <c r="H39" s="237">
        <v>2</v>
      </c>
      <c r="I39" s="285">
        <f t="shared" si="1"/>
        <v>4.4748000000000001</v>
      </c>
      <c r="J39" s="233"/>
      <c r="K39" s="233"/>
      <c r="L39" s="233"/>
      <c r="M39" s="233"/>
      <c r="N39" s="233"/>
      <c r="O39" s="229"/>
    </row>
    <row r="40" spans="1:15" s="184" customFormat="1" x14ac:dyDescent="0.3">
      <c r="A40" s="226">
        <v>110</v>
      </c>
      <c r="B40" s="288" t="s">
        <v>142</v>
      </c>
      <c r="C40" s="227" t="s">
        <v>226</v>
      </c>
      <c r="D40" s="285">
        <v>0.02</v>
      </c>
      <c r="E40" s="226" t="s">
        <v>140</v>
      </c>
      <c r="F40" s="237">
        <v>12.43</v>
      </c>
      <c r="G40" s="237" t="s">
        <v>224</v>
      </c>
      <c r="H40" s="237">
        <v>2</v>
      </c>
      <c r="I40" s="285">
        <f t="shared" si="1"/>
        <v>0.49719999999999998</v>
      </c>
      <c r="J40" s="228"/>
      <c r="K40" s="228"/>
      <c r="L40" s="228"/>
      <c r="M40" s="228"/>
      <c r="N40" s="228"/>
      <c r="O40" s="229"/>
    </row>
    <row r="41" spans="1:15" s="184" customFormat="1" ht="28.8" x14ac:dyDescent="0.3">
      <c r="A41" s="226">
        <v>120</v>
      </c>
      <c r="B41" s="288" t="s">
        <v>225</v>
      </c>
      <c r="C41" s="232" t="s">
        <v>249</v>
      </c>
      <c r="D41" s="285">
        <v>0.22</v>
      </c>
      <c r="E41" s="288" t="s">
        <v>32</v>
      </c>
      <c r="F41" s="237">
        <v>1</v>
      </c>
      <c r="G41" s="237" t="s">
        <v>224</v>
      </c>
      <c r="H41" s="237">
        <v>2</v>
      </c>
      <c r="I41" s="285">
        <f t="shared" si="1"/>
        <v>0.44</v>
      </c>
      <c r="J41" s="233"/>
      <c r="K41" s="233"/>
      <c r="L41" s="233"/>
      <c r="M41" s="233"/>
      <c r="N41" s="233"/>
      <c r="O41" s="229"/>
    </row>
    <row r="42" spans="1:15" s="184" customFormat="1" x14ac:dyDescent="0.3">
      <c r="A42" s="226">
        <v>130</v>
      </c>
      <c r="B42" s="288" t="s">
        <v>142</v>
      </c>
      <c r="C42" s="227" t="s">
        <v>227</v>
      </c>
      <c r="D42" s="285">
        <v>0.02</v>
      </c>
      <c r="E42" s="226" t="s">
        <v>140</v>
      </c>
      <c r="F42" s="237">
        <v>4.01</v>
      </c>
      <c r="G42" s="237" t="s">
        <v>228</v>
      </c>
      <c r="H42" s="237">
        <v>3</v>
      </c>
      <c r="I42" s="285">
        <f t="shared" si="1"/>
        <v>0.24059999999999998</v>
      </c>
      <c r="J42" s="228"/>
      <c r="K42" s="228"/>
      <c r="L42" s="228"/>
      <c r="M42" s="228"/>
      <c r="N42" s="228"/>
      <c r="O42" s="229"/>
    </row>
    <row r="43" spans="1:15" s="184" customFormat="1" x14ac:dyDescent="0.3">
      <c r="A43" s="226">
        <v>140</v>
      </c>
      <c r="B43" s="235" t="s">
        <v>139</v>
      </c>
      <c r="C43" s="227" t="s">
        <v>229</v>
      </c>
      <c r="D43" s="285">
        <v>0.02</v>
      </c>
      <c r="E43" s="226" t="s">
        <v>140</v>
      </c>
      <c r="F43" s="237">
        <v>4.01</v>
      </c>
      <c r="G43" s="237" t="s">
        <v>228</v>
      </c>
      <c r="H43" s="237">
        <v>3</v>
      </c>
      <c r="I43" s="285">
        <f t="shared" si="1"/>
        <v>0.24059999999999998</v>
      </c>
      <c r="J43" s="233"/>
      <c r="K43" s="233"/>
      <c r="L43" s="233"/>
      <c r="M43" s="233"/>
      <c r="N43" s="233"/>
      <c r="O43" s="229"/>
    </row>
    <row r="44" spans="1:15" s="184" customFormat="1" x14ac:dyDescent="0.3">
      <c r="A44" s="226">
        <v>150</v>
      </c>
      <c r="B44" s="288" t="s">
        <v>225</v>
      </c>
      <c r="C44" s="227" t="s">
        <v>230</v>
      </c>
      <c r="D44" s="285">
        <v>0.3</v>
      </c>
      <c r="E44" s="288" t="s">
        <v>32</v>
      </c>
      <c r="F44" s="237">
        <v>1</v>
      </c>
      <c r="G44" s="237" t="s">
        <v>228</v>
      </c>
      <c r="H44" s="237">
        <v>3</v>
      </c>
      <c r="I44" s="285">
        <f t="shared" si="1"/>
        <v>0.89999999999999991</v>
      </c>
      <c r="J44" s="233"/>
      <c r="K44" s="233"/>
      <c r="L44" s="233"/>
      <c r="M44" s="233"/>
      <c r="N44" s="233"/>
      <c r="O44" s="229"/>
    </row>
    <row r="45" spans="1:15" s="184" customFormat="1" x14ac:dyDescent="0.3">
      <c r="A45" s="226">
        <v>160</v>
      </c>
      <c r="B45" s="226" t="s">
        <v>231</v>
      </c>
      <c r="C45" s="227" t="s">
        <v>232</v>
      </c>
      <c r="D45" s="285">
        <v>0.15</v>
      </c>
      <c r="E45" s="226" t="s">
        <v>140</v>
      </c>
      <c r="F45" s="237">
        <v>22</v>
      </c>
      <c r="G45" s="237"/>
      <c r="H45" s="221"/>
      <c r="I45" s="285">
        <f t="shared" si="1"/>
        <v>3.3</v>
      </c>
      <c r="J45" s="233"/>
      <c r="K45" s="233"/>
      <c r="L45" s="233"/>
      <c r="M45" s="233"/>
      <c r="N45" s="233"/>
      <c r="O45" s="229"/>
    </row>
    <row r="46" spans="1:15" s="184" customFormat="1" x14ac:dyDescent="0.3">
      <c r="A46" s="226">
        <v>170</v>
      </c>
      <c r="B46" s="288" t="s">
        <v>233</v>
      </c>
      <c r="C46" s="232" t="s">
        <v>234</v>
      </c>
      <c r="D46" s="285">
        <v>5.25</v>
      </c>
      <c r="E46" s="288" t="s">
        <v>143</v>
      </c>
      <c r="F46" s="237">
        <v>0.01</v>
      </c>
      <c r="G46" s="237"/>
      <c r="H46" s="221"/>
      <c r="I46" s="285">
        <f t="shared" si="1"/>
        <v>5.2499999999999998E-2</v>
      </c>
      <c r="J46" s="233"/>
      <c r="K46" s="233"/>
      <c r="L46" s="233"/>
      <c r="M46" s="236"/>
      <c r="N46" s="233"/>
      <c r="O46" s="229"/>
    </row>
    <row r="47" spans="1:15" s="184" customFormat="1" x14ac:dyDescent="0.3">
      <c r="A47" s="226">
        <v>180</v>
      </c>
      <c r="B47" s="226" t="s">
        <v>225</v>
      </c>
      <c r="C47" s="227" t="s">
        <v>235</v>
      </c>
      <c r="D47" s="285">
        <v>0.14000000000000001</v>
      </c>
      <c r="E47" s="226" t="s">
        <v>32</v>
      </c>
      <c r="F47" s="237">
        <v>1</v>
      </c>
      <c r="G47" s="237"/>
      <c r="H47" s="221"/>
      <c r="I47" s="285">
        <f t="shared" si="1"/>
        <v>0.14000000000000001</v>
      </c>
      <c r="J47" s="233"/>
      <c r="K47" s="233"/>
      <c r="L47" s="233"/>
      <c r="M47" s="233"/>
      <c r="N47" s="233"/>
      <c r="O47" s="229"/>
    </row>
    <row r="48" spans="1:15" s="184" customFormat="1" x14ac:dyDescent="0.3">
      <c r="A48" s="226">
        <v>190</v>
      </c>
      <c r="B48" s="288" t="s">
        <v>141</v>
      </c>
      <c r="C48" s="232" t="s">
        <v>236</v>
      </c>
      <c r="D48" s="285">
        <v>0.13</v>
      </c>
      <c r="E48" s="288" t="s">
        <v>32</v>
      </c>
      <c r="F48" s="237">
        <v>4</v>
      </c>
      <c r="G48" s="237"/>
      <c r="H48" s="221"/>
      <c r="I48" s="285">
        <f t="shared" si="1"/>
        <v>0.52</v>
      </c>
      <c r="J48" s="233"/>
      <c r="K48" s="233"/>
      <c r="L48" s="233"/>
      <c r="M48" s="233"/>
      <c r="N48" s="233"/>
      <c r="O48" s="229"/>
    </row>
    <row r="49" spans="1:15" s="184" customFormat="1" x14ac:dyDescent="0.3">
      <c r="A49" s="226">
        <v>200</v>
      </c>
      <c r="B49" s="288" t="s">
        <v>141</v>
      </c>
      <c r="C49" s="232" t="s">
        <v>237</v>
      </c>
      <c r="D49" s="285">
        <v>0.13</v>
      </c>
      <c r="E49" s="288" t="s">
        <v>32</v>
      </c>
      <c r="F49" s="237">
        <v>8</v>
      </c>
      <c r="G49" s="237"/>
      <c r="H49" s="221"/>
      <c r="I49" s="285">
        <f t="shared" si="1"/>
        <v>1.04</v>
      </c>
      <c r="J49" s="233"/>
      <c r="K49" s="233"/>
      <c r="L49" s="233"/>
      <c r="M49" s="233"/>
      <c r="N49" s="233"/>
      <c r="O49" s="229"/>
    </row>
    <row r="50" spans="1:15" s="184" customFormat="1" x14ac:dyDescent="0.3">
      <c r="A50" s="226">
        <v>210</v>
      </c>
      <c r="B50" s="226" t="s">
        <v>144</v>
      </c>
      <c r="C50" s="227" t="s">
        <v>238</v>
      </c>
      <c r="D50" s="285">
        <v>0.13</v>
      </c>
      <c r="E50" s="226" t="s">
        <v>32</v>
      </c>
      <c r="F50" s="237">
        <v>2</v>
      </c>
      <c r="G50" s="237"/>
      <c r="H50" s="221"/>
      <c r="I50" s="285">
        <f t="shared" si="1"/>
        <v>0.26</v>
      </c>
      <c r="J50" s="233"/>
      <c r="K50" s="233"/>
      <c r="L50" s="233"/>
      <c r="M50" s="233"/>
      <c r="N50" s="233"/>
      <c r="O50" s="229"/>
    </row>
    <row r="51" spans="1:15" s="184" customFormat="1" x14ac:dyDescent="0.3">
      <c r="A51" s="226">
        <v>220</v>
      </c>
      <c r="B51" s="288" t="s">
        <v>145</v>
      </c>
      <c r="C51" s="232" t="s">
        <v>239</v>
      </c>
      <c r="D51" s="285">
        <v>0.25</v>
      </c>
      <c r="E51" s="288" t="s">
        <v>32</v>
      </c>
      <c r="F51" s="237">
        <v>2</v>
      </c>
      <c r="G51" s="237"/>
      <c r="H51" s="221"/>
      <c r="I51" s="285">
        <f t="shared" si="1"/>
        <v>0.5</v>
      </c>
      <c r="J51" s="233"/>
      <c r="K51" s="233"/>
      <c r="L51" s="233"/>
      <c r="M51" s="233"/>
      <c r="N51" s="233"/>
      <c r="O51" s="234"/>
    </row>
    <row r="52" spans="1:15" x14ac:dyDescent="0.3">
      <c r="A52" s="382"/>
      <c r="B52" s="383"/>
      <c r="C52" s="383"/>
      <c r="D52" s="383"/>
      <c r="E52" s="383"/>
      <c r="F52" s="383"/>
      <c r="G52" s="383"/>
      <c r="H52" s="489" t="s">
        <v>18</v>
      </c>
      <c r="I52" s="490">
        <f>SUM(I30:I51)</f>
        <v>16.033700000000003</v>
      </c>
      <c r="J52" s="353"/>
      <c r="K52" s="353"/>
      <c r="L52" s="353"/>
      <c r="M52" s="353"/>
      <c r="N52" s="353"/>
      <c r="O52" s="358"/>
    </row>
    <row r="53" spans="1:15" x14ac:dyDescent="0.3">
      <c r="A53" s="386"/>
      <c r="B53" s="353"/>
      <c r="C53" s="353"/>
      <c r="D53" s="353"/>
      <c r="E53" s="353"/>
      <c r="F53" s="353"/>
      <c r="G53" s="353"/>
      <c r="H53" s="353"/>
      <c r="I53" s="353"/>
      <c r="J53" s="353"/>
      <c r="K53" s="353"/>
      <c r="L53" s="353"/>
      <c r="M53" s="353"/>
      <c r="N53" s="353"/>
      <c r="O53" s="358"/>
    </row>
    <row r="54" spans="1:15" x14ac:dyDescent="0.3">
      <c r="A54" s="481" t="s">
        <v>14</v>
      </c>
      <c r="B54" s="481" t="s">
        <v>36</v>
      </c>
      <c r="C54" s="481" t="s">
        <v>20</v>
      </c>
      <c r="D54" s="481" t="s">
        <v>21</v>
      </c>
      <c r="E54" s="481" t="s">
        <v>22</v>
      </c>
      <c r="F54" s="481" t="s">
        <v>23</v>
      </c>
      <c r="G54" s="481" t="s">
        <v>24</v>
      </c>
      <c r="H54" s="481" t="s">
        <v>25</v>
      </c>
      <c r="I54" s="481" t="s">
        <v>17</v>
      </c>
      <c r="J54" s="481" t="s">
        <v>18</v>
      </c>
      <c r="K54" s="353"/>
      <c r="L54" s="353"/>
      <c r="M54" s="353"/>
      <c r="N54" s="353"/>
      <c r="O54" s="358"/>
    </row>
    <row r="55" spans="1:15" x14ac:dyDescent="0.3">
      <c r="A55" s="403">
        <v>10</v>
      </c>
      <c r="B55" s="492" t="s">
        <v>296</v>
      </c>
      <c r="C55" s="403" t="s">
        <v>147</v>
      </c>
      <c r="D55" s="357">
        <f>0.8/105154*E55^2*G55*SQRT(G55)+(0.003*EXP(0.319*E55))</f>
        <v>0.16167651505774214</v>
      </c>
      <c r="E55" s="493">
        <v>8</v>
      </c>
      <c r="F55" s="492" t="s">
        <v>30</v>
      </c>
      <c r="G55" s="493">
        <v>40</v>
      </c>
      <c r="H55" s="492" t="s">
        <v>30</v>
      </c>
      <c r="I55" s="493">
        <v>2</v>
      </c>
      <c r="J55" s="357">
        <f>D55*I55</f>
        <v>0.32335303011548427</v>
      </c>
      <c r="K55" s="353"/>
      <c r="L55" s="353"/>
      <c r="M55" s="353"/>
      <c r="N55" s="353"/>
      <c r="O55" s="358"/>
    </row>
    <row r="56" spans="1:15" x14ac:dyDescent="0.3">
      <c r="A56" s="403">
        <v>20</v>
      </c>
      <c r="B56" s="492" t="s">
        <v>296</v>
      </c>
      <c r="C56" s="403" t="s">
        <v>148</v>
      </c>
      <c r="D56" s="357">
        <f>0.8/105154*E56^2*G56*SQRT(G56)+(0.003*EXP(0.319*E56))</f>
        <v>0.26479118861318168</v>
      </c>
      <c r="E56" s="493">
        <v>8</v>
      </c>
      <c r="F56" s="492" t="s">
        <v>30</v>
      </c>
      <c r="G56" s="493">
        <v>60</v>
      </c>
      <c r="H56" s="492" t="s">
        <v>30</v>
      </c>
      <c r="I56" s="493">
        <v>1</v>
      </c>
      <c r="J56" s="357">
        <f>D56*I56</f>
        <v>0.26479118861318168</v>
      </c>
      <c r="K56" s="353"/>
      <c r="L56" s="353"/>
      <c r="M56" s="353"/>
      <c r="N56" s="353"/>
      <c r="O56" s="358"/>
    </row>
    <row r="57" spans="1:15" x14ac:dyDescent="0.3">
      <c r="A57" s="403">
        <v>30</v>
      </c>
      <c r="B57" s="492" t="s">
        <v>297</v>
      </c>
      <c r="C57" s="403" t="s">
        <v>150</v>
      </c>
      <c r="D57" s="357">
        <f>(0.009*EXP(0.2*E57))</f>
        <v>4.4577291819556032E-2</v>
      </c>
      <c r="E57" s="493">
        <v>8</v>
      </c>
      <c r="F57" s="492" t="s">
        <v>30</v>
      </c>
      <c r="G57" s="493"/>
      <c r="H57" s="492"/>
      <c r="I57" s="493">
        <v>3</v>
      </c>
      <c r="J57" s="357">
        <f>D57*I57</f>
        <v>0.1337318754586681</v>
      </c>
      <c r="K57" s="353"/>
      <c r="L57" s="353"/>
      <c r="M57" s="353"/>
      <c r="N57" s="353"/>
      <c r="O57" s="358"/>
    </row>
    <row r="58" spans="1:15" x14ac:dyDescent="0.3">
      <c r="A58" s="403">
        <v>40</v>
      </c>
      <c r="B58" s="492" t="s">
        <v>298</v>
      </c>
      <c r="C58" s="403" t="s">
        <v>152</v>
      </c>
      <c r="D58" s="357">
        <v>0.01</v>
      </c>
      <c r="E58" s="493">
        <v>8</v>
      </c>
      <c r="F58" s="492" t="s">
        <v>30</v>
      </c>
      <c r="G58" s="493"/>
      <c r="H58" s="492"/>
      <c r="I58" s="493">
        <v>6</v>
      </c>
      <c r="J58" s="357">
        <f>D58*I58</f>
        <v>0.06</v>
      </c>
      <c r="K58" s="389"/>
      <c r="L58" s="389"/>
      <c r="M58" s="389"/>
      <c r="N58" s="389"/>
      <c r="O58" s="358"/>
    </row>
    <row r="59" spans="1:15" x14ac:dyDescent="0.3">
      <c r="A59" s="382"/>
      <c r="B59" s="383"/>
      <c r="C59" s="383"/>
      <c r="D59" s="383"/>
      <c r="E59" s="383"/>
      <c r="F59" s="383"/>
      <c r="G59" s="383"/>
      <c r="H59" s="383"/>
      <c r="I59" s="489" t="s">
        <v>18</v>
      </c>
      <c r="J59" s="490">
        <f>SUM(J55:J58)</f>
        <v>0.78187609418733417</v>
      </c>
      <c r="K59" s="353"/>
      <c r="L59" s="353"/>
      <c r="M59" s="353"/>
      <c r="N59" s="353"/>
      <c r="O59" s="358"/>
    </row>
    <row r="60" spans="1:15" x14ac:dyDescent="0.3">
      <c r="A60" s="386"/>
      <c r="B60" s="353"/>
      <c r="C60" s="353"/>
      <c r="D60" s="353"/>
      <c r="E60" s="353"/>
      <c r="F60" s="353"/>
      <c r="G60" s="353"/>
      <c r="H60" s="353"/>
      <c r="I60" s="353"/>
      <c r="J60" s="353"/>
      <c r="K60" s="353"/>
      <c r="L60" s="353"/>
      <c r="M60" s="353"/>
      <c r="N60" s="353"/>
      <c r="O60" s="358"/>
    </row>
    <row r="61" spans="1:15" s="184" customFormat="1" x14ac:dyDescent="0.3">
      <c r="A61" s="247" t="s">
        <v>14</v>
      </c>
      <c r="B61" s="98" t="s">
        <v>250</v>
      </c>
      <c r="C61" s="98" t="s">
        <v>20</v>
      </c>
      <c r="D61" s="98" t="s">
        <v>21</v>
      </c>
      <c r="E61" s="98" t="s">
        <v>32</v>
      </c>
      <c r="F61" s="98" t="s">
        <v>17</v>
      </c>
      <c r="G61" s="98" t="s">
        <v>251</v>
      </c>
      <c r="H61" s="98" t="s">
        <v>252</v>
      </c>
      <c r="I61" s="98" t="s">
        <v>18</v>
      </c>
      <c r="J61" s="228"/>
      <c r="K61" s="230"/>
      <c r="L61" s="230"/>
      <c r="M61" s="230"/>
      <c r="N61" s="230"/>
      <c r="O61" s="231"/>
    </row>
    <row r="62" spans="1:15" s="184" customFormat="1" x14ac:dyDescent="0.3">
      <c r="A62" s="226">
        <v>10</v>
      </c>
      <c r="B62" s="226" t="s">
        <v>253</v>
      </c>
      <c r="C62" s="226" t="s">
        <v>254</v>
      </c>
      <c r="D62" s="284">
        <v>500</v>
      </c>
      <c r="E62" s="226" t="s">
        <v>255</v>
      </c>
      <c r="F62" s="226">
        <f>8</f>
        <v>8</v>
      </c>
      <c r="G62" s="226">
        <v>3000</v>
      </c>
      <c r="H62" s="226">
        <v>1</v>
      </c>
      <c r="I62" s="286">
        <f>D62*F62/G62*H62</f>
        <v>1.3333333333333333</v>
      </c>
      <c r="J62" s="228"/>
      <c r="K62" s="230"/>
      <c r="L62" s="230"/>
      <c r="M62" s="230"/>
      <c r="N62" s="230"/>
      <c r="O62" s="231"/>
    </row>
    <row r="63" spans="1:15" s="184" customFormat="1" x14ac:dyDescent="0.3">
      <c r="A63" s="250"/>
      <c r="B63" s="228"/>
      <c r="C63" s="228"/>
      <c r="D63" s="228"/>
      <c r="E63" s="228"/>
      <c r="F63" s="228"/>
      <c r="G63" s="228"/>
      <c r="H63" s="252" t="s">
        <v>18</v>
      </c>
      <c r="I63" s="251">
        <f>SUM(I62:I62)</f>
        <v>1.3333333333333333</v>
      </c>
      <c r="J63" s="228"/>
      <c r="K63" s="230"/>
      <c r="L63" s="230"/>
      <c r="M63" s="230"/>
      <c r="N63" s="230"/>
      <c r="O63" s="231"/>
    </row>
    <row r="64" spans="1:15" ht="15" thickBot="1" x14ac:dyDescent="0.35">
      <c r="A64" s="392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4"/>
    </row>
    <row r="65" spans="1:14" x14ac:dyDescent="0.3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</row>
  </sheetData>
  <hyperlinks>
    <hyperlink ref="E2" location="SU_A0200_BOM" display="Back to BOM"/>
    <hyperlink ref="B15" location="SU_02006" display="SU_02006"/>
    <hyperlink ref="B13" location="SU_02004" display="SU_02004"/>
    <hyperlink ref="B12" location="SU_02003" display="SU_02003"/>
    <hyperlink ref="B11" location="SU_02002" display="SU_02002"/>
    <hyperlink ref="B16" location="SU_02007" display="SU_02007"/>
    <hyperlink ref="B14" location="SU_02005" display="SU_02005"/>
    <hyperlink ref="B11:B13" location="BR_01001" display="BR_01001"/>
    <hyperlink ref="B10" location="SU_02001" display="SU_02001"/>
    <hyperlink ref="B17" location="SU_02008" display="SU_02008"/>
    <hyperlink ref="B18" location="SU_02009" display="SU_02009"/>
    <hyperlink ref="B19" location="SU_02010" display="SU_02010"/>
    <hyperlink ref="B20" location="SU_02011" display="SU_02011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64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S24"/>
  <sheetViews>
    <sheetView zoomScale="106" zoomScaleNormal="106" workbookViewId="0">
      <selection activeCell="G2" sqref="G2"/>
    </sheetView>
  </sheetViews>
  <sheetFormatPr baseColWidth="10" defaultColWidth="9.109375" defaultRowHeight="14.4" x14ac:dyDescent="0.3"/>
  <cols>
    <col min="2" max="2" width="22" customWidth="1"/>
    <col min="3" max="3" width="27.109375" customWidth="1"/>
    <col min="7" max="7" width="11.44140625" customWidth="1"/>
    <col min="9" max="9" width="13" customWidth="1"/>
    <col min="10" max="10" width="12.5546875" customWidth="1"/>
    <col min="15" max="15" width="3.109375" customWidth="1"/>
    <col min="18" max="19" width="16.33203125" bestFit="1" customWidth="1"/>
  </cols>
  <sheetData>
    <row r="1" spans="1:19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9" x14ac:dyDescent="0.3">
      <c r="A2" s="102" t="s">
        <v>0</v>
      </c>
      <c r="B2" s="16" t="s">
        <v>37</v>
      </c>
      <c r="C2" s="56"/>
      <c r="D2" s="56"/>
      <c r="E2" s="56"/>
      <c r="F2" s="56"/>
      <c r="G2" s="88" t="s">
        <v>126</v>
      </c>
      <c r="H2" s="56"/>
      <c r="I2" s="56"/>
      <c r="J2" s="103" t="s">
        <v>1</v>
      </c>
      <c r="K2" s="83">
        <v>81</v>
      </c>
      <c r="L2" s="56"/>
      <c r="M2" s="102" t="s">
        <v>16</v>
      </c>
      <c r="N2" s="74">
        <f>SU_02001_m+SU_02001_p</f>
        <v>9.1140000000000008</v>
      </c>
      <c r="O2" s="62"/>
    </row>
    <row r="3" spans="1:19" x14ac:dyDescent="0.3">
      <c r="A3" s="102" t="s">
        <v>3</v>
      </c>
      <c r="B3" s="16" t="str">
        <f>'SU A0200'!B3</f>
        <v>Suspension &amp; Shocks</v>
      </c>
      <c r="C3" s="56"/>
      <c r="D3" s="102" t="s">
        <v>6</v>
      </c>
      <c r="E3" s="89" t="s">
        <v>86</v>
      </c>
      <c r="F3" s="56"/>
      <c r="G3" s="56"/>
      <c r="H3" s="56"/>
      <c r="I3" s="56"/>
      <c r="J3" s="56"/>
      <c r="K3" s="56"/>
      <c r="L3" s="56"/>
      <c r="M3" s="102" t="s">
        <v>4</v>
      </c>
      <c r="N3" s="82">
        <v>1</v>
      </c>
      <c r="O3" s="62"/>
    </row>
    <row r="4" spans="1:19" x14ac:dyDescent="0.3">
      <c r="A4" s="102" t="s">
        <v>5</v>
      </c>
      <c r="B4" s="89" t="s">
        <v>176</v>
      </c>
      <c r="C4" s="56"/>
      <c r="D4" s="102" t="s">
        <v>8</v>
      </c>
      <c r="E4" s="56"/>
      <c r="F4" s="56"/>
      <c r="G4" s="56"/>
      <c r="H4" s="56"/>
      <c r="I4" s="56"/>
      <c r="J4" s="104" t="s">
        <v>6</v>
      </c>
      <c r="K4" s="56"/>
      <c r="L4" s="56"/>
      <c r="M4" s="56"/>
      <c r="N4" s="56"/>
      <c r="O4" s="62"/>
    </row>
    <row r="5" spans="1:19" x14ac:dyDescent="0.3">
      <c r="A5" s="102" t="s">
        <v>15</v>
      </c>
      <c r="B5" s="18" t="s">
        <v>178</v>
      </c>
      <c r="C5" s="56"/>
      <c r="D5" s="102" t="s">
        <v>12</v>
      </c>
      <c r="E5" s="56"/>
      <c r="F5" s="56"/>
      <c r="G5" s="56"/>
      <c r="H5" s="56"/>
      <c r="I5" s="56"/>
      <c r="J5" s="104" t="s">
        <v>8</v>
      </c>
      <c r="K5" s="56"/>
      <c r="L5" s="56"/>
      <c r="M5" s="102" t="s">
        <v>9</v>
      </c>
      <c r="N5" s="74">
        <f>N3*N2</f>
        <v>9.1140000000000008</v>
      </c>
      <c r="O5" s="62"/>
    </row>
    <row r="6" spans="1:19" x14ac:dyDescent="0.3">
      <c r="A6" s="102" t="s">
        <v>7</v>
      </c>
      <c r="B6" s="28" t="s">
        <v>186</v>
      </c>
      <c r="C6" s="56"/>
      <c r="D6" s="56"/>
      <c r="E6" s="56"/>
      <c r="F6" s="56"/>
      <c r="G6" s="56"/>
      <c r="H6" s="56"/>
      <c r="I6" s="56"/>
      <c r="J6" s="104" t="s">
        <v>12</v>
      </c>
      <c r="K6" s="56"/>
      <c r="L6" s="56"/>
      <c r="M6" s="56"/>
      <c r="N6" s="56"/>
      <c r="O6" s="62"/>
    </row>
    <row r="7" spans="1:19" x14ac:dyDescent="0.3">
      <c r="A7" s="102" t="s">
        <v>10</v>
      </c>
      <c r="B7" s="1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9" x14ac:dyDescent="0.3">
      <c r="A8" s="102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9" x14ac:dyDescent="0.3">
      <c r="A9" s="84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9" x14ac:dyDescent="0.3">
      <c r="A10" s="105" t="s">
        <v>14</v>
      </c>
      <c r="B10" s="106" t="s">
        <v>19</v>
      </c>
      <c r="C10" s="106" t="s">
        <v>20</v>
      </c>
      <c r="D10" s="106" t="s">
        <v>21</v>
      </c>
      <c r="E10" s="106" t="s">
        <v>22</v>
      </c>
      <c r="F10" s="107" t="s">
        <v>23</v>
      </c>
      <c r="G10" s="107" t="s">
        <v>24</v>
      </c>
      <c r="H10" s="107" t="s">
        <v>25</v>
      </c>
      <c r="I10" s="107" t="s">
        <v>26</v>
      </c>
      <c r="J10" s="107" t="s">
        <v>27</v>
      </c>
      <c r="K10" s="107" t="s">
        <v>28</v>
      </c>
      <c r="L10" s="107" t="s">
        <v>29</v>
      </c>
      <c r="M10" s="107" t="s">
        <v>17</v>
      </c>
      <c r="N10" s="107" t="s">
        <v>18</v>
      </c>
      <c r="O10" s="62"/>
    </row>
    <row r="11" spans="1:19" s="22" customFormat="1" ht="17.399999999999999" customHeight="1" x14ac:dyDescent="0.3">
      <c r="A11" s="515">
        <v>10</v>
      </c>
      <c r="B11" s="516" t="s">
        <v>273</v>
      </c>
      <c r="C11" s="515" t="s">
        <v>299</v>
      </c>
      <c r="D11" s="517">
        <v>4.2</v>
      </c>
      <c r="E11" s="518"/>
      <c r="F11" s="515"/>
      <c r="G11" s="515"/>
      <c r="H11" s="519"/>
      <c r="I11" s="325" t="s">
        <v>301</v>
      </c>
      <c r="J11" s="253">
        <f>64*56/1000000</f>
        <v>3.5839999999999999E-3</v>
      </c>
      <c r="K11" s="253">
        <v>1.6E-2</v>
      </c>
      <c r="L11" s="79">
        <v>2712</v>
      </c>
      <c r="M11" s="147">
        <v>1</v>
      </c>
      <c r="N11" s="30">
        <f>D11*M11</f>
        <v>4.2</v>
      </c>
      <c r="O11" s="66"/>
    </row>
    <row r="12" spans="1:19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08" t="s">
        <v>18</v>
      </c>
      <c r="N12" s="109">
        <f>SUM(N11:N11)</f>
        <v>4.2</v>
      </c>
      <c r="O12" s="62"/>
    </row>
    <row r="13" spans="1:19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  <c r="S13" s="135"/>
    </row>
    <row r="14" spans="1:19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4"/>
      <c r="K14" s="24"/>
      <c r="L14" s="24"/>
      <c r="M14" s="24"/>
      <c r="N14" s="24"/>
      <c r="O14" s="62"/>
      <c r="R14" s="135"/>
    </row>
    <row r="15" spans="1:19" s="528" customFormat="1" ht="28.8" x14ac:dyDescent="0.3">
      <c r="A15" s="520">
        <v>10</v>
      </c>
      <c r="B15" s="337" t="s">
        <v>39</v>
      </c>
      <c r="C15" s="521"/>
      <c r="D15" s="522">
        <v>1.3</v>
      </c>
      <c r="E15" s="337" t="s">
        <v>32</v>
      </c>
      <c r="F15" s="521">
        <v>1</v>
      </c>
      <c r="G15" s="521"/>
      <c r="H15" s="521"/>
      <c r="I15" s="523">
        <f t="shared" ref="I15:I22" si="0">IF(H15="",D15*F15,D15*F15*H15)</f>
        <v>1.3</v>
      </c>
      <c r="J15" s="526"/>
      <c r="K15" s="526"/>
      <c r="L15" s="526"/>
      <c r="M15" s="526"/>
      <c r="N15" s="526"/>
      <c r="O15" s="527"/>
    </row>
    <row r="16" spans="1:19" s="528" customFormat="1" ht="28.8" customHeight="1" x14ac:dyDescent="0.3">
      <c r="A16" s="323">
        <v>20</v>
      </c>
      <c r="B16" s="337" t="s">
        <v>159</v>
      </c>
      <c r="C16" s="524" t="s">
        <v>302</v>
      </c>
      <c r="D16" s="305">
        <v>0.04</v>
      </c>
      <c r="E16" s="323" t="s">
        <v>161</v>
      </c>
      <c r="F16" s="294">
        <v>30</v>
      </c>
      <c r="G16" s="337" t="s">
        <v>264</v>
      </c>
      <c r="H16" s="525">
        <v>1</v>
      </c>
      <c r="I16" s="306">
        <f t="shared" si="0"/>
        <v>1.2</v>
      </c>
      <c r="J16" s="529"/>
      <c r="K16" s="529"/>
      <c r="L16" s="529"/>
      <c r="M16" s="529"/>
      <c r="N16" s="529"/>
      <c r="O16" s="530"/>
    </row>
    <row r="17" spans="1:15" s="528" customFormat="1" ht="16.2" customHeight="1" x14ac:dyDescent="0.3">
      <c r="A17" s="520">
        <v>30</v>
      </c>
      <c r="B17" s="337" t="s">
        <v>158</v>
      </c>
      <c r="C17" s="521"/>
      <c r="D17" s="522">
        <v>0.65</v>
      </c>
      <c r="E17" s="337" t="s">
        <v>32</v>
      </c>
      <c r="F17" s="521">
        <v>1</v>
      </c>
      <c r="G17" s="521"/>
      <c r="H17" s="521"/>
      <c r="I17" s="523">
        <f t="shared" si="0"/>
        <v>0.65</v>
      </c>
      <c r="J17" s="531"/>
      <c r="K17" s="531"/>
      <c r="L17" s="531"/>
      <c r="M17" s="531"/>
      <c r="N17" s="531"/>
      <c r="O17" s="532"/>
    </row>
    <row r="18" spans="1:15" s="528" customFormat="1" ht="32.4" customHeight="1" x14ac:dyDescent="0.3">
      <c r="A18" s="323">
        <v>40</v>
      </c>
      <c r="B18" s="337" t="s">
        <v>159</v>
      </c>
      <c r="C18" s="524" t="s">
        <v>257</v>
      </c>
      <c r="D18" s="305">
        <v>0.04</v>
      </c>
      <c r="E18" s="323" t="s">
        <v>161</v>
      </c>
      <c r="F18" s="294">
        <v>2.2999999999999998</v>
      </c>
      <c r="G18" s="337" t="s">
        <v>264</v>
      </c>
      <c r="H18" s="525">
        <v>1</v>
      </c>
      <c r="I18" s="306">
        <f t="shared" si="0"/>
        <v>9.1999999999999998E-2</v>
      </c>
      <c r="J18" s="529"/>
      <c r="K18" s="529"/>
      <c r="L18" s="529"/>
      <c r="M18" s="529"/>
      <c r="N18" s="529"/>
      <c r="O18" s="530"/>
    </row>
    <row r="19" spans="1:15" s="528" customFormat="1" ht="15.6" customHeight="1" x14ac:dyDescent="0.3">
      <c r="A19" s="520">
        <v>50</v>
      </c>
      <c r="B19" s="337" t="s">
        <v>158</v>
      </c>
      <c r="C19" s="521"/>
      <c r="D19" s="522">
        <v>0.65</v>
      </c>
      <c r="E19" s="337" t="s">
        <v>32</v>
      </c>
      <c r="F19" s="521">
        <v>1</v>
      </c>
      <c r="G19" s="521"/>
      <c r="H19" s="521"/>
      <c r="I19" s="523">
        <f t="shared" si="0"/>
        <v>0.65</v>
      </c>
      <c r="J19" s="529"/>
      <c r="K19" s="529"/>
      <c r="L19" s="529"/>
      <c r="M19" s="529"/>
      <c r="N19" s="529"/>
      <c r="O19" s="530"/>
    </row>
    <row r="20" spans="1:15" s="528" customFormat="1" ht="28.2" customHeight="1" x14ac:dyDescent="0.3">
      <c r="A20" s="323">
        <v>60</v>
      </c>
      <c r="B20" s="337" t="s">
        <v>159</v>
      </c>
      <c r="C20" s="524" t="s">
        <v>258</v>
      </c>
      <c r="D20" s="305">
        <v>0.04</v>
      </c>
      <c r="E20" s="323" t="s">
        <v>161</v>
      </c>
      <c r="F20" s="294">
        <v>2.2999999999999998</v>
      </c>
      <c r="G20" s="337" t="s">
        <v>264</v>
      </c>
      <c r="H20" s="525">
        <v>1</v>
      </c>
      <c r="I20" s="306">
        <f t="shared" si="0"/>
        <v>9.1999999999999998E-2</v>
      </c>
      <c r="J20" s="529"/>
      <c r="K20" s="529"/>
      <c r="L20" s="529"/>
      <c r="M20" s="529"/>
      <c r="N20" s="529"/>
      <c r="O20" s="530"/>
    </row>
    <row r="21" spans="1:15" s="528" customFormat="1" ht="18" customHeight="1" x14ac:dyDescent="0.3">
      <c r="A21" s="520">
        <v>70</v>
      </c>
      <c r="B21" s="337" t="s">
        <v>158</v>
      </c>
      <c r="C21" s="521"/>
      <c r="D21" s="522">
        <v>0.65</v>
      </c>
      <c r="E21" s="337" t="s">
        <v>32</v>
      </c>
      <c r="F21" s="521">
        <v>1</v>
      </c>
      <c r="G21" s="521"/>
      <c r="H21" s="521"/>
      <c r="I21" s="523">
        <f t="shared" si="0"/>
        <v>0.65</v>
      </c>
      <c r="J21" s="533"/>
      <c r="K21" s="533"/>
      <c r="L21" s="533"/>
      <c r="M21" s="533"/>
      <c r="N21" s="533"/>
      <c r="O21" s="530"/>
    </row>
    <row r="22" spans="1:15" s="528" customFormat="1" ht="27.6" customHeight="1" x14ac:dyDescent="0.3">
      <c r="A22" s="323">
        <v>80</v>
      </c>
      <c r="B22" s="337" t="s">
        <v>159</v>
      </c>
      <c r="C22" s="524" t="s">
        <v>300</v>
      </c>
      <c r="D22" s="305">
        <v>0.04</v>
      </c>
      <c r="E22" s="323" t="s">
        <v>161</v>
      </c>
      <c r="F22" s="294">
        <v>7</v>
      </c>
      <c r="G22" s="337" t="s">
        <v>264</v>
      </c>
      <c r="H22" s="525">
        <v>1</v>
      </c>
      <c r="I22" s="306">
        <f t="shared" si="0"/>
        <v>0.28000000000000003</v>
      </c>
      <c r="J22" s="534"/>
      <c r="K22" s="529"/>
      <c r="L22" s="529"/>
      <c r="M22" s="529"/>
      <c r="N22" s="529"/>
      <c r="O22" s="530"/>
    </row>
    <row r="23" spans="1:15" x14ac:dyDescent="0.3">
      <c r="A23" s="67"/>
      <c r="B23" s="24"/>
      <c r="C23" s="24"/>
      <c r="D23" s="24"/>
      <c r="E23" s="24"/>
      <c r="F23" s="24"/>
      <c r="G23" s="24"/>
      <c r="H23" s="111" t="s">
        <v>18</v>
      </c>
      <c r="I23" s="109">
        <f>SUM(I15:I22)</f>
        <v>4.9140000000000006</v>
      </c>
      <c r="J23" s="24"/>
      <c r="K23" s="24"/>
      <c r="L23" s="24"/>
      <c r="M23" s="24"/>
      <c r="N23" s="24"/>
      <c r="O23" s="62"/>
    </row>
    <row r="24" spans="1:15" ht="15" thickBot="1" x14ac:dyDescent="0.35">
      <c r="A24" s="69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1"/>
    </row>
  </sheetData>
  <hyperlinks>
    <hyperlink ref="E3" location="dSU_02001" display="Drawing"/>
    <hyperlink ref="B4" location="SU_A0200" display="Lower Front A-arm"/>
    <hyperlink ref="G2" location="SU_A0200_BOM" display="Back to BOM"/>
  </hyperlinks>
  <pageMargins left="0.78749999999999998" right="0.78749999999999998" top="1.05277777777778" bottom="1.05277777777778" header="0.78749999999999998" footer="0.78749999999999998"/>
  <pageSetup paperSize="9" scale="50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zoomScale="106" zoomScaleNormal="106" workbookViewId="0">
      <selection activeCell="B1" sqref="B1"/>
    </sheetView>
  </sheetViews>
  <sheetFormatPr baseColWidth="10" defaultRowHeight="14.4" x14ac:dyDescent="0.3"/>
  <cols>
    <col min="1" max="1" width="14" customWidth="1"/>
  </cols>
  <sheetData>
    <row r="1" spans="1:2" x14ac:dyDescent="0.3">
      <c r="A1" t="s">
        <v>170</v>
      </c>
      <c r="B1" s="89" t="str">
        <f>SU_01001</f>
        <v>SU_01001</v>
      </c>
    </row>
  </sheetData>
  <hyperlinks>
    <hyperlink ref="B1" location="SU_02001" display="SU_02001"/>
  </hyperlinks>
  <pageMargins left="0.7" right="0.7" top="0.75" bottom="0.75" header="0.3" footer="0.3"/>
  <pageSetup paperSize="9" scale="68" fitToHeight="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S22"/>
  <sheetViews>
    <sheetView zoomScaleNormal="100" workbookViewId="0">
      <selection activeCell="G2" sqref="G2"/>
    </sheetView>
  </sheetViews>
  <sheetFormatPr baseColWidth="10" defaultRowHeight="14.4" x14ac:dyDescent="0.3"/>
  <cols>
    <col min="2" max="2" width="23.109375" customWidth="1"/>
    <col min="9" max="9" width="21.44140625" customWidth="1"/>
    <col min="18" max="18" width="13.88671875" bestFit="1" customWidth="1"/>
  </cols>
  <sheetData>
    <row r="1" spans="1:19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9" x14ac:dyDescent="0.3">
      <c r="A2" s="102" t="s">
        <v>0</v>
      </c>
      <c r="B2" s="16" t="s">
        <v>37</v>
      </c>
      <c r="C2" s="56"/>
      <c r="D2" s="56"/>
      <c r="E2" s="56"/>
      <c r="F2" s="56"/>
      <c r="G2" s="88" t="s">
        <v>126</v>
      </c>
      <c r="H2" s="56"/>
      <c r="I2" s="56"/>
      <c r="J2" s="103" t="s">
        <v>1</v>
      </c>
      <c r="K2" s="83">
        <v>81</v>
      </c>
      <c r="L2" s="56"/>
      <c r="M2" s="102" t="s">
        <v>16</v>
      </c>
      <c r="N2" s="74">
        <f>N12+I21</f>
        <v>3.3353805440000004</v>
      </c>
      <c r="O2" s="62"/>
    </row>
    <row r="3" spans="1:19" x14ac:dyDescent="0.3">
      <c r="A3" s="102" t="s">
        <v>3</v>
      </c>
      <c r="B3" s="16" t="str">
        <f>'SU A0200'!B3</f>
        <v>Suspension &amp; Shocks</v>
      </c>
      <c r="C3" s="56"/>
      <c r="D3" s="102" t="s">
        <v>6</v>
      </c>
      <c r="E3" s="89" t="s">
        <v>86</v>
      </c>
      <c r="F3" s="56"/>
      <c r="G3" s="56"/>
      <c r="H3" s="56"/>
      <c r="I3" s="56"/>
      <c r="J3" s="56"/>
      <c r="K3" s="56"/>
      <c r="L3" s="56"/>
      <c r="M3" s="102" t="s">
        <v>4</v>
      </c>
      <c r="N3" s="82">
        <v>2</v>
      </c>
      <c r="O3" s="62"/>
    </row>
    <row r="4" spans="1:19" x14ac:dyDescent="0.3">
      <c r="A4" s="102" t="s">
        <v>5</v>
      </c>
      <c r="B4" s="88" t="s">
        <v>176</v>
      </c>
      <c r="C4" s="56"/>
      <c r="D4" s="102" t="s">
        <v>8</v>
      </c>
      <c r="E4" s="56"/>
      <c r="F4" s="56"/>
      <c r="G4" s="56"/>
      <c r="H4" s="56"/>
      <c r="I4" s="56"/>
      <c r="J4" s="104" t="s">
        <v>6</v>
      </c>
      <c r="K4" s="56"/>
      <c r="L4" s="56"/>
      <c r="M4" s="56"/>
      <c r="N4" s="56"/>
      <c r="O4" s="62"/>
    </row>
    <row r="5" spans="1:19" x14ac:dyDescent="0.3">
      <c r="A5" s="102" t="s">
        <v>15</v>
      </c>
      <c r="B5" s="73" t="s">
        <v>157</v>
      </c>
      <c r="C5" s="56"/>
      <c r="D5" s="102" t="s">
        <v>12</v>
      </c>
      <c r="E5" s="56"/>
      <c r="F5" s="56"/>
      <c r="G5" s="56"/>
      <c r="H5" s="56"/>
      <c r="I5" s="56"/>
      <c r="J5" s="104" t="s">
        <v>8</v>
      </c>
      <c r="K5" s="56"/>
      <c r="L5" s="56"/>
      <c r="M5" s="102" t="s">
        <v>9</v>
      </c>
      <c r="N5" s="74">
        <f>N3*N2</f>
        <v>6.6707610880000008</v>
      </c>
      <c r="O5" s="62"/>
    </row>
    <row r="6" spans="1:19" x14ac:dyDescent="0.3">
      <c r="A6" s="102" t="s">
        <v>7</v>
      </c>
      <c r="B6" s="28" t="s">
        <v>187</v>
      </c>
      <c r="C6" s="56"/>
      <c r="D6" s="56"/>
      <c r="E6" s="56"/>
      <c r="F6" s="56"/>
      <c r="G6" s="56"/>
      <c r="H6" s="56"/>
      <c r="I6" s="56"/>
      <c r="J6" s="104" t="s">
        <v>12</v>
      </c>
      <c r="K6" s="56"/>
      <c r="L6" s="56"/>
      <c r="M6" s="56"/>
      <c r="N6" s="56"/>
      <c r="O6" s="62"/>
    </row>
    <row r="7" spans="1:19" x14ac:dyDescent="0.3">
      <c r="A7" s="102" t="s">
        <v>10</v>
      </c>
      <c r="B7" s="1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9" x14ac:dyDescent="0.3">
      <c r="A8" s="102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9" x14ac:dyDescent="0.3">
      <c r="A9" s="84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9" x14ac:dyDescent="0.3">
      <c r="A10" s="105" t="s">
        <v>14</v>
      </c>
      <c r="B10" s="106" t="s">
        <v>19</v>
      </c>
      <c r="C10" s="106" t="s">
        <v>20</v>
      </c>
      <c r="D10" s="106" t="s">
        <v>21</v>
      </c>
      <c r="E10" s="106" t="s">
        <v>22</v>
      </c>
      <c r="F10" s="107" t="s">
        <v>23</v>
      </c>
      <c r="G10" s="107" t="s">
        <v>24</v>
      </c>
      <c r="H10" s="107" t="s">
        <v>25</v>
      </c>
      <c r="I10" s="107" t="s">
        <v>26</v>
      </c>
      <c r="J10" s="107" t="s">
        <v>27</v>
      </c>
      <c r="K10" s="107" t="s">
        <v>28</v>
      </c>
      <c r="L10" s="107" t="s">
        <v>29</v>
      </c>
      <c r="M10" s="107" t="s">
        <v>17</v>
      </c>
      <c r="N10" s="107" t="s">
        <v>18</v>
      </c>
      <c r="O10" s="62"/>
    </row>
    <row r="11" spans="1:19" x14ac:dyDescent="0.3">
      <c r="A11" s="85">
        <v>10</v>
      </c>
      <c r="B11" s="26" t="s">
        <v>132</v>
      </c>
      <c r="C11" s="20" t="s">
        <v>38</v>
      </c>
      <c r="D11" s="289">
        <f>4.2</f>
        <v>4.2</v>
      </c>
      <c r="E11" s="263">
        <f>J11*K11*L11</f>
        <v>0.20437632</v>
      </c>
      <c r="F11" s="20" t="s">
        <v>162</v>
      </c>
      <c r="G11" s="20"/>
      <c r="H11" s="290"/>
      <c r="I11" s="21" t="s">
        <v>163</v>
      </c>
      <c r="J11" s="253">
        <f>3.14*20*20/1000000</f>
        <v>1.256E-3</v>
      </c>
      <c r="K11" s="262">
        <v>0.06</v>
      </c>
      <c r="L11" s="79">
        <v>2712</v>
      </c>
      <c r="M11" s="23">
        <v>1</v>
      </c>
      <c r="N11" s="289">
        <f>D11*E11*M11</f>
        <v>0.85838054400000008</v>
      </c>
      <c r="O11" s="66"/>
      <c r="P11" s="22"/>
      <c r="Q11" s="22"/>
      <c r="R11" s="22"/>
      <c r="S11" s="22"/>
    </row>
    <row r="12" spans="1:19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08" t="s">
        <v>18</v>
      </c>
      <c r="N12" s="109">
        <f>SUM(N11:N11)</f>
        <v>0.85838054400000008</v>
      </c>
      <c r="O12" s="62"/>
    </row>
    <row r="13" spans="1:19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  <c r="R13" s="135"/>
      <c r="S13" s="135"/>
    </row>
    <row r="14" spans="1:19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4"/>
      <c r="K14" s="24"/>
      <c r="L14" s="24"/>
      <c r="M14" s="24"/>
      <c r="N14" s="24"/>
      <c r="O14" s="62"/>
      <c r="R14" s="135"/>
    </row>
    <row r="15" spans="1:19" ht="43.2" x14ac:dyDescent="0.3">
      <c r="A15" s="339">
        <v>10</v>
      </c>
      <c r="B15" s="340" t="s">
        <v>39</v>
      </c>
      <c r="C15" s="339"/>
      <c r="D15" s="341">
        <v>1.3</v>
      </c>
      <c r="E15" s="340" t="s">
        <v>32</v>
      </c>
      <c r="F15" s="339">
        <v>1</v>
      </c>
      <c r="G15" s="339" t="s">
        <v>295</v>
      </c>
      <c r="H15" s="339">
        <v>0.5</v>
      </c>
      <c r="I15" s="342">
        <f t="shared" ref="I15:I20" si="0">IF(H15="",D15*F15,D15*F15*H15)</f>
        <v>0.65</v>
      </c>
      <c r="J15" s="58"/>
      <c r="K15" s="58"/>
      <c r="L15" s="58"/>
      <c r="M15" s="58"/>
      <c r="N15" s="58"/>
      <c r="O15" s="68"/>
      <c r="P15" s="25"/>
      <c r="Q15" s="25"/>
      <c r="R15" s="137"/>
      <c r="S15" s="25"/>
    </row>
    <row r="16" spans="1:19" ht="28.2" customHeight="1" x14ac:dyDescent="0.3">
      <c r="A16" s="343">
        <v>20</v>
      </c>
      <c r="B16" s="340" t="s">
        <v>159</v>
      </c>
      <c r="C16" s="344" t="s">
        <v>263</v>
      </c>
      <c r="D16" s="345">
        <v>0.04</v>
      </c>
      <c r="E16" s="343" t="s">
        <v>161</v>
      </c>
      <c r="F16" s="346">
        <v>17</v>
      </c>
      <c r="G16" s="340" t="s">
        <v>264</v>
      </c>
      <c r="H16" s="237">
        <v>1</v>
      </c>
      <c r="I16" s="347">
        <f t="shared" si="0"/>
        <v>0.68</v>
      </c>
      <c r="J16" s="56"/>
      <c r="K16" s="56"/>
      <c r="L16" s="56"/>
      <c r="M16" s="56"/>
      <c r="N16" s="56"/>
      <c r="O16" s="62"/>
      <c r="R16" s="135"/>
    </row>
    <row r="17" spans="1:19" ht="43.2" x14ac:dyDescent="0.3">
      <c r="A17" s="339">
        <v>30</v>
      </c>
      <c r="B17" s="340" t="s">
        <v>158</v>
      </c>
      <c r="C17" s="339"/>
      <c r="D17" s="341">
        <v>0.65</v>
      </c>
      <c r="E17" s="340" t="s">
        <v>32</v>
      </c>
      <c r="F17" s="339">
        <v>1</v>
      </c>
      <c r="G17" s="339" t="s">
        <v>295</v>
      </c>
      <c r="H17" s="339">
        <v>0.5</v>
      </c>
      <c r="I17" s="342">
        <f t="shared" si="0"/>
        <v>0.32500000000000001</v>
      </c>
      <c r="J17" s="57"/>
      <c r="K17" s="57"/>
      <c r="L17" s="57"/>
      <c r="M17" s="57"/>
      <c r="N17" s="57"/>
      <c r="O17" s="65"/>
      <c r="P17" s="17"/>
      <c r="Q17" s="17"/>
      <c r="R17" s="136"/>
      <c r="S17" s="17"/>
    </row>
    <row r="18" spans="1:19" ht="15.6" customHeight="1" x14ac:dyDescent="0.3">
      <c r="A18" s="343">
        <v>40</v>
      </c>
      <c r="B18" s="340" t="s">
        <v>159</v>
      </c>
      <c r="C18" s="344" t="s">
        <v>265</v>
      </c>
      <c r="D18" s="345">
        <v>0.04</v>
      </c>
      <c r="E18" s="343" t="s">
        <v>161</v>
      </c>
      <c r="F18" s="346">
        <v>2</v>
      </c>
      <c r="G18" s="340" t="s">
        <v>264</v>
      </c>
      <c r="H18" s="237">
        <v>1</v>
      </c>
      <c r="I18" s="347">
        <f t="shared" si="0"/>
        <v>0.08</v>
      </c>
      <c r="J18" s="56"/>
      <c r="K18" s="56"/>
      <c r="L18" s="56"/>
      <c r="M18" s="56"/>
      <c r="N18" s="56"/>
      <c r="O18" s="62"/>
      <c r="R18" s="135"/>
    </row>
    <row r="19" spans="1:19" x14ac:dyDescent="0.3">
      <c r="A19" s="339">
        <v>50</v>
      </c>
      <c r="B19" s="340" t="s">
        <v>158</v>
      </c>
      <c r="C19" s="339"/>
      <c r="D19" s="341">
        <v>0.65</v>
      </c>
      <c r="E19" s="340" t="s">
        <v>32</v>
      </c>
      <c r="F19" s="339">
        <v>1</v>
      </c>
      <c r="G19" s="339"/>
      <c r="H19" s="339"/>
      <c r="I19" s="342">
        <f t="shared" si="0"/>
        <v>0.65</v>
      </c>
      <c r="J19" s="56"/>
      <c r="K19" s="56"/>
      <c r="L19" s="56"/>
      <c r="M19" s="56"/>
      <c r="N19" s="56"/>
      <c r="O19" s="62"/>
      <c r="R19" s="135"/>
    </row>
    <row r="20" spans="1:19" ht="14.4" customHeight="1" x14ac:dyDescent="0.3">
      <c r="A20" s="343">
        <v>60</v>
      </c>
      <c r="B20" s="340" t="s">
        <v>159</v>
      </c>
      <c r="C20" s="344" t="s">
        <v>266</v>
      </c>
      <c r="D20" s="345">
        <v>0.04</v>
      </c>
      <c r="E20" s="343" t="s">
        <v>161</v>
      </c>
      <c r="F20" s="346">
        <v>2.2999999999999998</v>
      </c>
      <c r="G20" s="340" t="s">
        <v>264</v>
      </c>
      <c r="H20" s="237">
        <v>1</v>
      </c>
      <c r="I20" s="347">
        <f t="shared" si="0"/>
        <v>9.1999999999999998E-2</v>
      </c>
      <c r="J20" s="56"/>
      <c r="K20" s="56"/>
      <c r="L20" s="56"/>
      <c r="M20" s="56"/>
      <c r="N20" s="56"/>
      <c r="O20" s="62"/>
    </row>
    <row r="21" spans="1:19" x14ac:dyDescent="0.3">
      <c r="A21" s="67"/>
      <c r="B21" s="24"/>
      <c r="C21" s="24"/>
      <c r="D21" s="24"/>
      <c r="E21" s="24"/>
      <c r="F21" s="24"/>
      <c r="G21" s="24"/>
      <c r="H21" s="111" t="s">
        <v>18</v>
      </c>
      <c r="I21" s="109">
        <f>SUM(I15:I20)</f>
        <v>2.4770000000000003</v>
      </c>
      <c r="J21" s="24"/>
      <c r="K21" s="24"/>
      <c r="L21" s="24"/>
      <c r="M21" s="24"/>
      <c r="N21" s="24"/>
      <c r="O21" s="62"/>
    </row>
    <row r="22" spans="1:19" ht="15" thickBot="1" x14ac:dyDescent="0.35">
      <c r="A22" s="69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1"/>
    </row>
  </sheetData>
  <hyperlinks>
    <hyperlink ref="B4" location="SU_A0200" display="Lower Front A-arm"/>
    <hyperlink ref="E3" location="dSU_02002" display="Drawing"/>
    <hyperlink ref="G2" location="SU_A0200_BOM" display="Back to BOM"/>
  </hyperlink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6"/>
  <sheetViews>
    <sheetView zoomScale="106" zoomScaleNormal="106" workbookViewId="0">
      <selection activeCell="B1" sqref="B1"/>
    </sheetView>
  </sheetViews>
  <sheetFormatPr baseColWidth="10" defaultRowHeight="14.4" x14ac:dyDescent="0.3"/>
  <cols>
    <col min="1" max="1" width="18.88671875" customWidth="1"/>
  </cols>
  <sheetData>
    <row r="1" spans="1:2" x14ac:dyDescent="0.3">
      <c r="A1" t="s">
        <v>170</v>
      </c>
      <c r="B1" s="89" t="s">
        <v>179</v>
      </c>
    </row>
    <row r="6" spans="1:2" x14ac:dyDescent="0.3">
      <c r="B6" s="138"/>
    </row>
  </sheetData>
  <hyperlinks>
    <hyperlink ref="B1" location="SU_02002!B5" display="SU_01002"/>
  </hyperlink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85" zoomScaleNormal="85" workbookViewId="0">
      <selection activeCell="G2" sqref="G2"/>
    </sheetView>
  </sheetViews>
  <sheetFormatPr baseColWidth="10" defaultRowHeight="14.4" x14ac:dyDescent="0.3"/>
  <cols>
    <col min="2" max="2" width="19.44140625" customWidth="1"/>
    <col min="3" max="3" width="33" customWidth="1"/>
    <col min="5" max="5" width="17" customWidth="1"/>
  </cols>
  <sheetData>
    <row r="1" spans="1:15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3">
      <c r="A2" s="102" t="s">
        <v>0</v>
      </c>
      <c r="B2" s="16" t="s">
        <v>37</v>
      </c>
      <c r="C2" s="56"/>
      <c r="D2" s="56"/>
      <c r="E2" s="56"/>
      <c r="F2" s="56"/>
      <c r="G2" s="88" t="s">
        <v>126</v>
      </c>
      <c r="H2" s="56"/>
      <c r="I2" s="56"/>
      <c r="J2" s="103" t="s">
        <v>1</v>
      </c>
      <c r="K2" s="83">
        <v>81</v>
      </c>
      <c r="L2" s="56"/>
      <c r="M2" s="102" t="s">
        <v>16</v>
      </c>
      <c r="N2" s="74">
        <f>N12+I16</f>
        <v>11.220746039999998</v>
      </c>
      <c r="O2" s="62"/>
    </row>
    <row r="3" spans="1:15" x14ac:dyDescent="0.3">
      <c r="A3" s="102" t="s">
        <v>3</v>
      </c>
      <c r="B3" s="16" t="str">
        <f>'SU A0200'!B3</f>
        <v>Suspension &amp; Shocks</v>
      </c>
      <c r="C3" s="56"/>
      <c r="D3" s="102" t="s">
        <v>6</v>
      </c>
      <c r="E3" t="s">
        <v>86</v>
      </c>
      <c r="F3" s="56"/>
      <c r="G3" s="56"/>
      <c r="H3" s="56"/>
      <c r="I3" s="56"/>
      <c r="J3" s="56"/>
      <c r="K3" s="56"/>
      <c r="L3" s="56"/>
      <c r="M3" s="102" t="s">
        <v>4</v>
      </c>
      <c r="N3" s="82">
        <v>1</v>
      </c>
      <c r="O3" s="62"/>
    </row>
    <row r="4" spans="1:15" x14ac:dyDescent="0.3">
      <c r="A4" s="102" t="s">
        <v>5</v>
      </c>
      <c r="B4" s="88" t="s">
        <v>176</v>
      </c>
      <c r="C4" s="56"/>
      <c r="D4" s="102" t="s">
        <v>8</v>
      </c>
      <c r="E4" s="56"/>
      <c r="F4" s="56"/>
      <c r="G4" s="56"/>
      <c r="H4" s="56"/>
      <c r="I4" s="56"/>
      <c r="J4" s="104" t="s">
        <v>6</v>
      </c>
      <c r="K4" s="56"/>
      <c r="L4" s="56"/>
      <c r="M4" s="56"/>
      <c r="N4" s="56"/>
      <c r="O4" s="62"/>
    </row>
    <row r="5" spans="1:15" x14ac:dyDescent="0.3">
      <c r="A5" s="102" t="s">
        <v>15</v>
      </c>
      <c r="B5" s="73" t="s">
        <v>180</v>
      </c>
      <c r="C5" s="56"/>
      <c r="D5" s="102" t="s">
        <v>12</v>
      </c>
      <c r="E5" s="56"/>
      <c r="F5" s="56"/>
      <c r="G5" s="56"/>
      <c r="H5" s="56"/>
      <c r="I5" s="56"/>
      <c r="J5" s="104" t="s">
        <v>8</v>
      </c>
      <c r="K5" s="56"/>
      <c r="L5" s="56"/>
      <c r="M5" s="102" t="s">
        <v>9</v>
      </c>
      <c r="N5" s="74">
        <f>N3*N2</f>
        <v>11.220746039999998</v>
      </c>
      <c r="O5" s="62"/>
    </row>
    <row r="6" spans="1:15" x14ac:dyDescent="0.3">
      <c r="A6" s="102" t="s">
        <v>7</v>
      </c>
      <c r="B6" s="28" t="s">
        <v>181</v>
      </c>
      <c r="C6" s="56"/>
      <c r="D6" s="56"/>
      <c r="E6" s="56"/>
      <c r="F6" s="56"/>
      <c r="G6" s="56"/>
      <c r="H6" s="56"/>
      <c r="I6" s="56"/>
      <c r="J6" s="104" t="s">
        <v>12</v>
      </c>
      <c r="K6" s="56"/>
      <c r="L6" s="56"/>
      <c r="M6" s="56"/>
      <c r="N6" s="56"/>
      <c r="O6" s="62"/>
    </row>
    <row r="7" spans="1:15" x14ac:dyDescent="0.3">
      <c r="A7" s="102" t="s">
        <v>10</v>
      </c>
      <c r="B7" s="1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3">
      <c r="A8" s="102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3">
      <c r="A9" s="84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3">
      <c r="A10" s="105" t="s">
        <v>14</v>
      </c>
      <c r="B10" s="106" t="s">
        <v>19</v>
      </c>
      <c r="C10" s="106" t="s">
        <v>20</v>
      </c>
      <c r="D10" s="106" t="s">
        <v>21</v>
      </c>
      <c r="E10" s="106" t="s">
        <v>22</v>
      </c>
      <c r="F10" s="107" t="s">
        <v>23</v>
      </c>
      <c r="G10" s="107" t="s">
        <v>24</v>
      </c>
      <c r="H10" s="107" t="s">
        <v>25</v>
      </c>
      <c r="I10" s="107" t="s">
        <v>26</v>
      </c>
      <c r="J10" s="107" t="s">
        <v>27</v>
      </c>
      <c r="K10" s="107" t="s">
        <v>28</v>
      </c>
      <c r="L10" s="107" t="s">
        <v>29</v>
      </c>
      <c r="M10" s="107" t="s">
        <v>17</v>
      </c>
      <c r="N10" s="107" t="s">
        <v>18</v>
      </c>
      <c r="O10" s="62"/>
    </row>
    <row r="11" spans="1:15" x14ac:dyDescent="0.3">
      <c r="A11" s="85">
        <v>10</v>
      </c>
      <c r="B11" s="145" t="s">
        <v>188</v>
      </c>
      <c r="C11" s="146" t="s">
        <v>189</v>
      </c>
      <c r="D11" s="149">
        <f>200*E11*L11</f>
        <v>9.9739964799999985</v>
      </c>
      <c r="E11" s="148">
        <f>J11*K11</f>
        <v>3.1563279999999995E-5</v>
      </c>
      <c r="F11" s="20" t="s">
        <v>190</v>
      </c>
      <c r="G11" s="20"/>
      <c r="H11" s="19"/>
      <c r="I11" s="21" t="s">
        <v>164</v>
      </c>
      <c r="J11" s="253">
        <f>3.14*(0.008*0.008-0.006*0.006)</f>
        <v>8.7919999999999985E-5</v>
      </c>
      <c r="K11" s="253">
        <v>0.35899999999999999</v>
      </c>
      <c r="L11" s="79">
        <v>1580</v>
      </c>
      <c r="M11" s="147">
        <v>1</v>
      </c>
      <c r="N11" s="30">
        <f>D11*M11</f>
        <v>9.9739964799999985</v>
      </c>
      <c r="O11" s="66"/>
    </row>
    <row r="12" spans="1:15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08" t="s">
        <v>18</v>
      </c>
      <c r="N12" s="109">
        <f>SUM(N11:N11)</f>
        <v>9.9739964799999985</v>
      </c>
      <c r="O12" s="62"/>
    </row>
    <row r="13" spans="1:15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4"/>
      <c r="K14" s="24"/>
      <c r="L14" s="24"/>
      <c r="M14" s="24"/>
      <c r="N14" s="24"/>
      <c r="O14" s="62"/>
    </row>
    <row r="15" spans="1:15" ht="28.8" x14ac:dyDescent="0.3">
      <c r="A15" s="145">
        <v>10</v>
      </c>
      <c r="B15" s="145" t="s">
        <v>210</v>
      </c>
      <c r="C15" s="145" t="s">
        <v>211</v>
      </c>
      <c r="D15" s="223">
        <v>25</v>
      </c>
      <c r="E15" s="222" t="s">
        <v>212</v>
      </c>
      <c r="F15" s="535">
        <f>J11*K11*L11</f>
        <v>4.9869982399999992E-2</v>
      </c>
      <c r="G15" s="221"/>
      <c r="H15" s="221"/>
      <c r="I15" s="224">
        <f>IF(H15="",D15*F15,D15*F15*H15)</f>
        <v>1.2467495599999998</v>
      </c>
      <c r="J15" s="58"/>
      <c r="K15" s="58"/>
      <c r="L15" s="58"/>
      <c r="M15" s="58"/>
      <c r="N15" s="58"/>
      <c r="O15" s="68"/>
    </row>
    <row r="16" spans="1:15" x14ac:dyDescent="0.3">
      <c r="A16" s="67"/>
      <c r="B16" s="24"/>
      <c r="C16" s="24"/>
      <c r="D16" s="24"/>
      <c r="E16" s="24"/>
      <c r="F16" s="24"/>
      <c r="G16" s="24"/>
      <c r="H16" s="111" t="s">
        <v>18</v>
      </c>
      <c r="I16" s="109">
        <f>SUM(I15:I15)</f>
        <v>1.2467495599999998</v>
      </c>
      <c r="J16" s="24"/>
      <c r="K16" s="24"/>
      <c r="L16" s="24"/>
      <c r="M16" s="24"/>
      <c r="N16" s="24"/>
      <c r="O16" s="62"/>
    </row>
    <row r="17" spans="1:15" ht="15" thickBot="1" x14ac:dyDescent="0.35">
      <c r="A17" s="6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1"/>
    </row>
  </sheetData>
  <hyperlinks>
    <hyperlink ref="B4" location="SU_A0200" display="Lower Front A-arm"/>
    <hyperlink ref="G2" location="SU_A0200_BOM" display="Back to BOM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65"/>
  <sheetViews>
    <sheetView zoomScale="90" zoomScaleNormal="90" zoomScaleSheetLayoutView="80" workbookViewId="0">
      <selection activeCell="E2" sqref="E2"/>
    </sheetView>
  </sheetViews>
  <sheetFormatPr baseColWidth="10" defaultColWidth="9.109375" defaultRowHeight="14.4" x14ac:dyDescent="0.3"/>
  <cols>
    <col min="2" max="2" width="45.5546875" customWidth="1"/>
    <col min="3" max="3" width="48.21875" customWidth="1"/>
    <col min="5" max="5" width="14.109375" customWidth="1"/>
    <col min="8" max="8" width="9.44140625" customWidth="1"/>
    <col min="14" max="14" width="13.77734375" customWidth="1"/>
    <col min="15" max="15" width="5.33203125" customWidth="1"/>
  </cols>
  <sheetData>
    <row r="1" spans="1:15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3">
      <c r="A2" s="98" t="s">
        <v>0</v>
      </c>
      <c r="B2" s="16" t="s">
        <v>37</v>
      </c>
      <c r="C2" s="56"/>
      <c r="D2" s="56"/>
      <c r="E2" s="88" t="s">
        <v>126</v>
      </c>
      <c r="F2" s="56"/>
      <c r="G2" s="56"/>
      <c r="H2" s="56"/>
      <c r="I2" s="56"/>
      <c r="J2" s="98" t="s">
        <v>1</v>
      </c>
      <c r="K2" s="83">
        <v>81</v>
      </c>
      <c r="L2" s="56"/>
      <c r="M2" s="98" t="s">
        <v>2</v>
      </c>
      <c r="N2" s="95">
        <f>SU_A0100_pa+SU_A0100_m+SU_A0100_p+SU_A0100_f</f>
        <v>91.979506473387346</v>
      </c>
      <c r="O2" s="62"/>
    </row>
    <row r="3" spans="1:15" x14ac:dyDescent="0.3">
      <c r="A3" s="98" t="s">
        <v>3</v>
      </c>
      <c r="B3" s="16" t="s">
        <v>129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98" t="s">
        <v>4</v>
      </c>
      <c r="N3" s="82">
        <v>2</v>
      </c>
      <c r="O3" s="62"/>
    </row>
    <row r="4" spans="1:15" x14ac:dyDescent="0.3">
      <c r="A4" s="98" t="s">
        <v>5</v>
      </c>
      <c r="B4" s="57" t="s">
        <v>155</v>
      </c>
      <c r="C4" s="56"/>
      <c r="D4" s="56"/>
      <c r="E4" s="56"/>
      <c r="F4" s="56"/>
      <c r="G4" s="56"/>
      <c r="H4" s="56"/>
      <c r="I4" s="56"/>
      <c r="J4" s="99" t="s">
        <v>6</v>
      </c>
      <c r="K4" s="56"/>
      <c r="L4" s="56"/>
      <c r="M4" s="56"/>
      <c r="N4" s="56"/>
      <c r="O4" s="62"/>
    </row>
    <row r="5" spans="1:15" x14ac:dyDescent="0.3">
      <c r="A5" s="98" t="s">
        <v>7</v>
      </c>
      <c r="B5" s="18" t="s">
        <v>130</v>
      </c>
      <c r="C5" s="56"/>
      <c r="D5" s="56"/>
      <c r="E5" s="56"/>
      <c r="F5" s="56"/>
      <c r="G5" s="56"/>
      <c r="H5" s="56"/>
      <c r="I5" s="56"/>
      <c r="J5" s="99" t="s">
        <v>8</v>
      </c>
      <c r="K5" s="56"/>
      <c r="L5" s="56"/>
      <c r="M5" s="98" t="s">
        <v>9</v>
      </c>
      <c r="N5" s="74">
        <f>N2*N3</f>
        <v>183.95901294677469</v>
      </c>
      <c r="O5" s="62"/>
    </row>
    <row r="6" spans="1:15" x14ac:dyDescent="0.3">
      <c r="A6" s="98" t="s">
        <v>10</v>
      </c>
      <c r="B6" s="16"/>
      <c r="C6" s="56"/>
      <c r="D6" s="56"/>
      <c r="E6" s="56"/>
      <c r="F6" s="56"/>
      <c r="G6" s="56"/>
      <c r="H6" s="56"/>
      <c r="I6" s="56"/>
      <c r="J6" s="99" t="s">
        <v>12</v>
      </c>
      <c r="K6" s="56"/>
      <c r="L6" s="56"/>
      <c r="M6" s="56"/>
      <c r="N6" s="56"/>
      <c r="O6" s="62"/>
    </row>
    <row r="7" spans="1:15" x14ac:dyDescent="0.3">
      <c r="A7" s="98" t="s">
        <v>13</v>
      </c>
      <c r="B7" s="1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3">
      <c r="A8" s="63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3">
      <c r="A9" s="98" t="s">
        <v>14</v>
      </c>
      <c r="B9" s="98" t="s">
        <v>15</v>
      </c>
      <c r="C9" s="98" t="s">
        <v>16</v>
      </c>
      <c r="D9" s="98" t="s">
        <v>17</v>
      </c>
      <c r="E9" s="98" t="s">
        <v>18</v>
      </c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3">
      <c r="A10" s="72">
        <v>10</v>
      </c>
      <c r="B10" s="86" t="str">
        <f>'SU 01001'!B5</f>
        <v>Upper Front Bearing Support</v>
      </c>
      <c r="C10" s="74">
        <f>'SU 01001'!N2</f>
        <v>15.090551905600002</v>
      </c>
      <c r="D10" s="128">
        <f>SU_01001_q</f>
        <v>1</v>
      </c>
      <c r="E10" s="74">
        <f>C10*D10</f>
        <v>15.090551905600002</v>
      </c>
      <c r="F10" s="56"/>
      <c r="G10" s="56"/>
      <c r="H10" s="56"/>
      <c r="I10" s="56"/>
      <c r="J10" s="56"/>
      <c r="K10" s="56"/>
      <c r="L10" s="56"/>
      <c r="M10" s="56"/>
      <c r="N10" s="56"/>
      <c r="O10" s="62"/>
    </row>
    <row r="11" spans="1:15" x14ac:dyDescent="0.3">
      <c r="A11" s="72">
        <v>20</v>
      </c>
      <c r="B11" s="86" t="str">
        <f>'SU 01002'!B5</f>
        <v>Inner Bearing Support</v>
      </c>
      <c r="C11" s="74">
        <f>'SU 01002'!N2</f>
        <v>3.3353805440000004</v>
      </c>
      <c r="D11" s="72">
        <f>SU_01002_q</f>
        <v>2</v>
      </c>
      <c r="E11" s="74">
        <f t="shared" ref="E11:E20" si="0">C11*D11</f>
        <v>6.6707610880000008</v>
      </c>
      <c r="F11" s="57"/>
      <c r="G11" s="57"/>
      <c r="H11" s="57"/>
      <c r="I11" s="57"/>
      <c r="J11" s="57"/>
      <c r="K11" s="57"/>
      <c r="L11" s="57"/>
      <c r="M11" s="57"/>
      <c r="N11" s="57"/>
      <c r="O11" s="62"/>
    </row>
    <row r="12" spans="1:15" x14ac:dyDescent="0.3">
      <c r="A12" s="72">
        <v>30</v>
      </c>
      <c r="B12" s="86" t="str">
        <f>'SU 01003'!B5</f>
        <v>Upper Front A-arm tube (Front)  Carbon Fiber Tube</v>
      </c>
      <c r="C12" s="74">
        <f>'SU 01003'!N2</f>
        <v>8.8765790399999975</v>
      </c>
      <c r="D12" s="72">
        <f>SU_01003_q</f>
        <v>1</v>
      </c>
      <c r="E12" s="74">
        <f t="shared" si="0"/>
        <v>8.8765790399999975</v>
      </c>
      <c r="F12" s="57"/>
      <c r="G12" s="57"/>
      <c r="H12" s="57"/>
      <c r="I12" s="57"/>
      <c r="J12" s="57"/>
      <c r="K12" s="57"/>
      <c r="L12" s="57"/>
      <c r="M12" s="57"/>
      <c r="N12" s="57"/>
      <c r="O12" s="64"/>
    </row>
    <row r="13" spans="1:15" s="17" customFormat="1" x14ac:dyDescent="0.3">
      <c r="A13" s="72">
        <v>40</v>
      </c>
      <c r="B13" s="86" t="str">
        <f>'SU 01004'!B5</f>
        <v>Upper Front A-arm tube (Back)  Carbon Fiber Tube</v>
      </c>
      <c r="C13" s="74">
        <f>'SU 01004'!N2</f>
        <v>7.1887787999999988</v>
      </c>
      <c r="D13" s="72">
        <f>SU_01004_q</f>
        <v>1</v>
      </c>
      <c r="E13" s="74">
        <f t="shared" si="0"/>
        <v>7.1887787999999988</v>
      </c>
      <c r="F13" s="57"/>
      <c r="G13" s="57"/>
      <c r="H13" s="57"/>
      <c r="I13" s="57"/>
      <c r="J13" s="57"/>
      <c r="K13" s="57"/>
      <c r="L13" s="57"/>
      <c r="M13" s="57"/>
      <c r="N13" s="57"/>
      <c r="O13" s="64"/>
    </row>
    <row r="14" spans="1:15" s="17" customFormat="1" x14ac:dyDescent="0.3">
      <c r="A14" s="72">
        <v>50</v>
      </c>
      <c r="B14" s="86" t="str">
        <f>'SU 01005'!B5</f>
        <v>Spacer 1</v>
      </c>
      <c r="C14" s="74">
        <f>'SU 01005'!N2</f>
        <v>1.0750440160000001</v>
      </c>
      <c r="D14">
        <f>SU_01005_q</f>
        <v>2</v>
      </c>
      <c r="E14" s="74">
        <f t="shared" si="0"/>
        <v>2.1500880320000002</v>
      </c>
      <c r="F14" s="57"/>
      <c r="G14" s="57"/>
      <c r="H14" s="57"/>
      <c r="I14" s="57"/>
      <c r="J14" s="57"/>
      <c r="K14" s="57"/>
      <c r="L14" s="57"/>
      <c r="M14" s="57"/>
      <c r="N14" s="57"/>
      <c r="O14" s="65"/>
    </row>
    <row r="15" spans="1:15" s="17" customFormat="1" x14ac:dyDescent="0.3">
      <c r="A15" s="72">
        <v>60</v>
      </c>
      <c r="B15" s="86" t="s">
        <v>192</v>
      </c>
      <c r="C15" s="150">
        <f>'SU 01006'!N2</f>
        <v>1.1551782399999999</v>
      </c>
      <c r="D15" s="26">
        <f>SU_01006_q</f>
        <v>4</v>
      </c>
      <c r="E15" s="74">
        <f t="shared" si="0"/>
        <v>4.6207129599999996</v>
      </c>
      <c r="F15" s="57"/>
      <c r="G15" s="57"/>
      <c r="H15" s="57"/>
      <c r="I15" s="57"/>
      <c r="J15" s="57"/>
      <c r="K15" s="57"/>
      <c r="L15" s="57"/>
      <c r="M15" s="57"/>
      <c r="N15" s="57"/>
      <c r="O15" s="65"/>
    </row>
    <row r="16" spans="1:15" s="17" customFormat="1" x14ac:dyDescent="0.3">
      <c r="A16" s="238">
        <v>70</v>
      </c>
      <c r="B16" s="472" t="str">
        <f>'SU 01007'!B5</f>
        <v>Outboard A-arm Insert</v>
      </c>
      <c r="C16" s="475">
        <f>'SU 01007'!N2</f>
        <v>0.47719727680000001</v>
      </c>
      <c r="D16" s="474">
        <f>SU_01007_q</f>
        <v>2</v>
      </c>
      <c r="E16" s="476">
        <f t="shared" si="0"/>
        <v>0.95439455360000003</v>
      </c>
      <c r="F16" s="57"/>
      <c r="G16" s="57"/>
      <c r="H16" s="57"/>
      <c r="I16" s="57"/>
      <c r="J16" s="57"/>
      <c r="K16" s="57"/>
      <c r="L16" s="57"/>
      <c r="M16" s="57"/>
      <c r="N16" s="57"/>
      <c r="O16" s="65"/>
    </row>
    <row r="17" spans="1:15" s="17" customFormat="1" x14ac:dyDescent="0.3">
      <c r="A17" s="72">
        <v>80</v>
      </c>
      <c r="B17" s="473" t="str">
        <f>'SU 01008'!B5</f>
        <v>Front up bracket</v>
      </c>
      <c r="C17" s="475">
        <f>'SU 01008'!N2</f>
        <v>1.3858992499999998</v>
      </c>
      <c r="D17" s="474">
        <f>SU_01008_q</f>
        <v>2</v>
      </c>
      <c r="E17" s="476">
        <f t="shared" si="0"/>
        <v>2.7717984999999996</v>
      </c>
      <c r="F17" s="57"/>
      <c r="G17" s="57"/>
      <c r="H17" s="57"/>
      <c r="I17" s="57"/>
      <c r="J17" s="57"/>
      <c r="K17" s="57"/>
      <c r="L17" s="57"/>
      <c r="M17" s="57"/>
      <c r="N17" s="57"/>
      <c r="O17" s="65"/>
    </row>
    <row r="18" spans="1:15" s="17" customFormat="1" x14ac:dyDescent="0.3">
      <c r="A18" s="72">
        <v>90</v>
      </c>
      <c r="B18" s="473" t="str">
        <f>'SU 01009'!B5</f>
        <v>Front down bracket</v>
      </c>
      <c r="C18" s="475">
        <f>'SU 01009'!N2</f>
        <v>1.3520601875</v>
      </c>
      <c r="D18" s="474">
        <f>SU_01009_q</f>
        <v>2</v>
      </c>
      <c r="E18" s="476">
        <f t="shared" si="0"/>
        <v>2.704120375</v>
      </c>
      <c r="F18" s="57"/>
      <c r="G18" s="57"/>
      <c r="H18" s="57"/>
      <c r="I18" s="57"/>
      <c r="J18" s="57"/>
      <c r="K18" s="57"/>
      <c r="L18" s="57"/>
      <c r="M18" s="57"/>
      <c r="N18" s="57"/>
      <c r="O18" s="65"/>
    </row>
    <row r="19" spans="1:15" s="17" customFormat="1" x14ac:dyDescent="0.3">
      <c r="A19" s="238">
        <v>100</v>
      </c>
      <c r="B19" s="473" t="str">
        <f>'SU 01010'!B5</f>
        <v>Rear up bracket</v>
      </c>
      <c r="C19" s="475">
        <f>'SU 01010'!N2</f>
        <v>1.3083476875000002</v>
      </c>
      <c r="D19" s="474">
        <f>SU_01010_q</f>
        <v>2</v>
      </c>
      <c r="E19" s="476">
        <f t="shared" si="0"/>
        <v>2.6166953750000004</v>
      </c>
      <c r="F19" s="57"/>
      <c r="G19" s="57"/>
      <c r="H19" s="57"/>
      <c r="I19" s="57"/>
      <c r="J19" s="57"/>
      <c r="K19" s="57"/>
      <c r="L19" s="57"/>
      <c r="M19" s="57"/>
      <c r="N19" s="57"/>
      <c r="O19" s="65"/>
    </row>
    <row r="20" spans="1:15" s="17" customFormat="1" x14ac:dyDescent="0.3">
      <c r="A20" s="72">
        <v>110</v>
      </c>
      <c r="B20" s="473" t="str">
        <f>'SU 01011'!B5</f>
        <v>Rear down bracket</v>
      </c>
      <c r="C20" s="475">
        <f>'SU 01011'!N2</f>
        <v>0.37972487499999996</v>
      </c>
      <c r="D20" s="474">
        <f>SU_01011_q</f>
        <v>2</v>
      </c>
      <c r="E20" s="476">
        <f t="shared" si="0"/>
        <v>0.75944974999999992</v>
      </c>
      <c r="F20" s="57"/>
      <c r="G20" s="57"/>
      <c r="H20" s="57"/>
      <c r="I20" s="57"/>
      <c r="J20" s="57"/>
      <c r="K20" s="57"/>
      <c r="L20" s="57"/>
      <c r="M20" s="57"/>
      <c r="N20" s="57"/>
      <c r="O20" s="65"/>
    </row>
    <row r="21" spans="1:15" x14ac:dyDescent="0.3">
      <c r="A21" s="63"/>
      <c r="B21" s="56"/>
      <c r="C21" s="56"/>
      <c r="D21" s="265" t="s">
        <v>18</v>
      </c>
      <c r="E21" s="244">
        <f>SUM(E10:E20)</f>
        <v>54.403930379199998</v>
      </c>
      <c r="F21" s="57"/>
      <c r="G21" s="57"/>
      <c r="H21" s="57"/>
      <c r="I21" s="57"/>
      <c r="J21" s="57"/>
      <c r="K21" s="57"/>
      <c r="L21" s="57"/>
      <c r="M21" s="57"/>
      <c r="N21" s="57"/>
      <c r="O21" s="62"/>
    </row>
    <row r="22" spans="1:15" x14ac:dyDescent="0.3">
      <c r="A22" s="63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62"/>
    </row>
    <row r="23" spans="1:15" x14ac:dyDescent="0.3">
      <c r="A23" s="98" t="s">
        <v>14</v>
      </c>
      <c r="B23" s="98" t="s">
        <v>19</v>
      </c>
      <c r="C23" s="98" t="s">
        <v>20</v>
      </c>
      <c r="D23" s="98" t="s">
        <v>21</v>
      </c>
      <c r="E23" s="98" t="s">
        <v>22</v>
      </c>
      <c r="F23" s="98" t="s">
        <v>23</v>
      </c>
      <c r="G23" s="98" t="s">
        <v>24</v>
      </c>
      <c r="H23" s="98" t="s">
        <v>25</v>
      </c>
      <c r="I23" s="98" t="s">
        <v>26</v>
      </c>
      <c r="J23" s="98" t="s">
        <v>27</v>
      </c>
      <c r="K23" s="98" t="s">
        <v>28</v>
      </c>
      <c r="L23" s="98" t="s">
        <v>29</v>
      </c>
      <c r="M23" s="98" t="s">
        <v>17</v>
      </c>
      <c r="N23" s="98" t="s">
        <v>18</v>
      </c>
      <c r="O23" s="62"/>
    </row>
    <row r="24" spans="1:15" ht="14.4" customHeight="1" x14ac:dyDescent="0.3">
      <c r="A24" s="72">
        <v>10</v>
      </c>
      <c r="B24" s="72" t="s">
        <v>131</v>
      </c>
      <c r="C24" s="72"/>
      <c r="D24" s="127">
        <f>0.03*E24^2+5</f>
        <v>6.92</v>
      </c>
      <c r="E24" s="72">
        <v>8</v>
      </c>
      <c r="F24" s="72" t="s">
        <v>30</v>
      </c>
      <c r="G24" s="72"/>
      <c r="H24" s="75"/>
      <c r="I24" s="76"/>
      <c r="J24" s="77"/>
      <c r="K24" s="75"/>
      <c r="L24" s="75"/>
      <c r="M24" s="81">
        <v>3</v>
      </c>
      <c r="N24" s="74">
        <f>M24*D24</f>
        <v>20.759999999999998</v>
      </c>
      <c r="O24" s="62"/>
    </row>
    <row r="25" spans="1:15" s="22" customFormat="1" ht="14.4" customHeight="1" x14ac:dyDescent="0.3">
      <c r="A25" s="238">
        <v>20</v>
      </c>
      <c r="B25" s="141" t="s">
        <v>136</v>
      </c>
      <c r="C25" s="239" t="s">
        <v>137</v>
      </c>
      <c r="D25" s="240"/>
      <c r="E25" s="578"/>
      <c r="F25" s="578">
        <v>95</v>
      </c>
      <c r="G25" s="578"/>
      <c r="H25" s="241"/>
      <c r="I25" s="579"/>
      <c r="J25" s="580"/>
      <c r="K25" s="581"/>
      <c r="L25" s="243"/>
      <c r="M25" s="242"/>
      <c r="N25" s="240">
        <f>M25*D25</f>
        <v>0</v>
      </c>
      <c r="O25" s="66"/>
    </row>
    <row r="26" spans="1:15" ht="31.8" customHeight="1" x14ac:dyDescent="0.3">
      <c r="A26" s="583">
        <v>30</v>
      </c>
      <c r="B26" s="584" t="s">
        <v>136</v>
      </c>
      <c r="C26" s="585" t="s">
        <v>138</v>
      </c>
      <c r="D26" s="586"/>
      <c r="E26" s="583"/>
      <c r="F26" s="583"/>
      <c r="G26" s="583"/>
      <c r="H26" s="587"/>
      <c r="I26" s="588"/>
      <c r="J26" s="589"/>
      <c r="K26" s="587"/>
      <c r="L26" s="590"/>
      <c r="M26" s="587"/>
      <c r="N26" s="586">
        <f>M26*D26</f>
        <v>0</v>
      </c>
      <c r="O26" s="62"/>
    </row>
    <row r="27" spans="1:15" ht="15.6" customHeight="1" x14ac:dyDescent="0.3">
      <c r="A27" s="67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5" t="s">
        <v>18</v>
      </c>
      <c r="N27" s="582">
        <f>SUM(N24:N26)</f>
        <v>20.759999999999998</v>
      </c>
      <c r="O27" s="62"/>
    </row>
    <row r="28" spans="1:15" x14ac:dyDescent="0.3">
      <c r="A28" s="63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62"/>
    </row>
    <row r="29" spans="1:15" s="25" customFormat="1" x14ac:dyDescent="0.3">
      <c r="A29" s="98" t="s">
        <v>14</v>
      </c>
      <c r="B29" s="98" t="s">
        <v>31</v>
      </c>
      <c r="C29" s="98" t="s">
        <v>20</v>
      </c>
      <c r="D29" s="98" t="s">
        <v>21</v>
      </c>
      <c r="E29" s="98" t="s">
        <v>32</v>
      </c>
      <c r="F29" s="98" t="s">
        <v>17</v>
      </c>
      <c r="G29" s="98" t="s">
        <v>33</v>
      </c>
      <c r="H29" s="98" t="s">
        <v>34</v>
      </c>
      <c r="I29" s="98" t="s">
        <v>18</v>
      </c>
      <c r="J29" s="24"/>
      <c r="K29" s="24"/>
      <c r="L29" s="24"/>
      <c r="M29" s="24"/>
      <c r="N29" s="24"/>
      <c r="O29" s="68"/>
    </row>
    <row r="30" spans="1:15" s="184" customFormat="1" x14ac:dyDescent="0.3">
      <c r="A30" s="226">
        <v>10</v>
      </c>
      <c r="B30" s="222" t="s">
        <v>142</v>
      </c>
      <c r="C30" s="227" t="s">
        <v>240</v>
      </c>
      <c r="D30" s="223">
        <v>0.02</v>
      </c>
      <c r="E30" s="226" t="s">
        <v>140</v>
      </c>
      <c r="F30" s="237">
        <v>8.66</v>
      </c>
      <c r="G30" s="237" t="s">
        <v>224</v>
      </c>
      <c r="H30" s="237">
        <v>2</v>
      </c>
      <c r="I30" s="223">
        <f t="shared" ref="I30:I51" si="1">IF(H30="",D30*F30,D30*F30*H30)</f>
        <v>0.34639999999999999</v>
      </c>
      <c r="J30" s="228"/>
      <c r="K30" s="228"/>
      <c r="L30" s="228"/>
      <c r="M30" s="228"/>
      <c r="N30" s="228"/>
      <c r="O30" s="229"/>
    </row>
    <row r="31" spans="1:15" s="184" customFormat="1" x14ac:dyDescent="0.3">
      <c r="A31" s="226">
        <v>20</v>
      </c>
      <c r="B31" s="222" t="s">
        <v>139</v>
      </c>
      <c r="C31" s="227" t="s">
        <v>241</v>
      </c>
      <c r="D31" s="223">
        <v>0.02</v>
      </c>
      <c r="E31" s="226" t="s">
        <v>140</v>
      </c>
      <c r="F31" s="237">
        <v>8.66</v>
      </c>
      <c r="G31" s="237" t="s">
        <v>224</v>
      </c>
      <c r="H31" s="237">
        <v>2</v>
      </c>
      <c r="I31" s="223">
        <f t="shared" si="1"/>
        <v>0.34639999999999999</v>
      </c>
      <c r="J31" s="230"/>
      <c r="K31" s="230"/>
      <c r="L31" s="230"/>
      <c r="M31" s="230"/>
      <c r="N31" s="230"/>
      <c r="O31" s="231"/>
    </row>
    <row r="32" spans="1:15" s="184" customFormat="1" x14ac:dyDescent="0.3">
      <c r="A32" s="226">
        <v>30</v>
      </c>
      <c r="B32" s="222" t="s">
        <v>142</v>
      </c>
      <c r="C32" s="227" t="s">
        <v>243</v>
      </c>
      <c r="D32" s="223">
        <v>0.02</v>
      </c>
      <c r="E32" s="226" t="s">
        <v>140</v>
      </c>
      <c r="F32" s="237">
        <v>8.66</v>
      </c>
      <c r="G32" s="237" t="s">
        <v>224</v>
      </c>
      <c r="H32" s="237">
        <v>2</v>
      </c>
      <c r="I32" s="223">
        <f t="shared" si="1"/>
        <v>0.34639999999999999</v>
      </c>
      <c r="J32" s="228"/>
      <c r="K32" s="228"/>
      <c r="L32" s="228"/>
      <c r="M32" s="228"/>
      <c r="N32" s="228"/>
      <c r="O32" s="229"/>
    </row>
    <row r="33" spans="1:15" s="184" customFormat="1" x14ac:dyDescent="0.3">
      <c r="A33" s="226">
        <v>40</v>
      </c>
      <c r="B33" s="222" t="s">
        <v>225</v>
      </c>
      <c r="C33" s="232" t="s">
        <v>245</v>
      </c>
      <c r="D33" s="223">
        <v>0.06</v>
      </c>
      <c r="E33" s="222" t="s">
        <v>32</v>
      </c>
      <c r="F33" s="237">
        <v>1</v>
      </c>
      <c r="G33" s="237" t="s">
        <v>224</v>
      </c>
      <c r="H33" s="237">
        <v>2</v>
      </c>
      <c r="I33" s="223">
        <f t="shared" si="1"/>
        <v>0.12</v>
      </c>
      <c r="J33" s="230"/>
      <c r="K33" s="230"/>
      <c r="L33" s="230"/>
      <c r="M33" s="230"/>
      <c r="N33" s="230"/>
      <c r="O33" s="231"/>
    </row>
    <row r="34" spans="1:15" s="184" customFormat="1" x14ac:dyDescent="0.3">
      <c r="A34" s="226">
        <v>50</v>
      </c>
      <c r="B34" s="222" t="s">
        <v>142</v>
      </c>
      <c r="C34" s="227" t="s">
        <v>246</v>
      </c>
      <c r="D34" s="223">
        <v>0.02</v>
      </c>
      <c r="E34" s="226" t="s">
        <v>140</v>
      </c>
      <c r="F34" s="237">
        <v>12.43</v>
      </c>
      <c r="G34" s="237" t="s">
        <v>224</v>
      </c>
      <c r="H34" s="237">
        <v>2</v>
      </c>
      <c r="I34" s="223">
        <f t="shared" si="1"/>
        <v>0.49719999999999998</v>
      </c>
      <c r="J34" s="228"/>
      <c r="K34" s="228"/>
      <c r="L34" s="228"/>
      <c r="M34" s="228"/>
      <c r="N34" s="228"/>
      <c r="O34" s="229"/>
    </row>
    <row r="35" spans="1:15" s="184" customFormat="1" x14ac:dyDescent="0.3">
      <c r="A35" s="226">
        <v>60</v>
      </c>
      <c r="B35" s="222" t="s">
        <v>139</v>
      </c>
      <c r="C35" s="227" t="s">
        <v>247</v>
      </c>
      <c r="D35" s="223">
        <v>0.02</v>
      </c>
      <c r="E35" s="226" t="s">
        <v>140</v>
      </c>
      <c r="F35" s="237">
        <v>12.43</v>
      </c>
      <c r="G35" s="237" t="s">
        <v>224</v>
      </c>
      <c r="H35" s="237">
        <v>2</v>
      </c>
      <c r="I35" s="223">
        <f t="shared" si="1"/>
        <v>0.49719999999999998</v>
      </c>
      <c r="J35" s="230"/>
      <c r="K35" s="230"/>
      <c r="L35" s="230"/>
      <c r="M35" s="230"/>
      <c r="N35" s="230"/>
      <c r="O35" s="231"/>
    </row>
    <row r="36" spans="1:15" s="184" customFormat="1" x14ac:dyDescent="0.3">
      <c r="A36" s="226">
        <v>70</v>
      </c>
      <c r="B36" s="222" t="s">
        <v>142</v>
      </c>
      <c r="C36" s="227" t="s">
        <v>226</v>
      </c>
      <c r="D36" s="223">
        <v>0.02</v>
      </c>
      <c r="E36" s="226" t="s">
        <v>140</v>
      </c>
      <c r="F36" s="237">
        <v>12.43</v>
      </c>
      <c r="G36" s="237" t="s">
        <v>224</v>
      </c>
      <c r="H36" s="237">
        <v>2</v>
      </c>
      <c r="I36" s="223">
        <f t="shared" si="1"/>
        <v>0.49719999999999998</v>
      </c>
      <c r="J36" s="228"/>
      <c r="K36" s="228"/>
      <c r="L36" s="228"/>
      <c r="M36" s="228"/>
      <c r="N36" s="228"/>
      <c r="O36" s="229"/>
    </row>
    <row r="37" spans="1:15" s="184" customFormat="1" x14ac:dyDescent="0.3">
      <c r="A37" s="226">
        <v>80</v>
      </c>
      <c r="B37" s="222" t="s">
        <v>225</v>
      </c>
      <c r="C37" s="232" t="s">
        <v>248</v>
      </c>
      <c r="D37" s="223">
        <v>0.14000000000000001</v>
      </c>
      <c r="E37" s="222" t="s">
        <v>32</v>
      </c>
      <c r="F37" s="237">
        <v>1</v>
      </c>
      <c r="G37" s="237" t="s">
        <v>224</v>
      </c>
      <c r="H37" s="237">
        <v>2</v>
      </c>
      <c r="I37" s="223">
        <f t="shared" si="1"/>
        <v>0.28000000000000003</v>
      </c>
      <c r="J37" s="233"/>
      <c r="K37" s="233"/>
      <c r="L37" s="233"/>
      <c r="M37" s="233"/>
      <c r="N37" s="233"/>
      <c r="O37" s="234"/>
    </row>
    <row r="38" spans="1:15" s="184" customFormat="1" x14ac:dyDescent="0.3">
      <c r="A38" s="226">
        <v>90</v>
      </c>
      <c r="B38" s="222" t="s">
        <v>142</v>
      </c>
      <c r="C38" s="227" t="s">
        <v>242</v>
      </c>
      <c r="D38" s="223">
        <v>0.02</v>
      </c>
      <c r="E38" s="226" t="s">
        <v>140</v>
      </c>
      <c r="F38" s="237">
        <v>12.43</v>
      </c>
      <c r="G38" s="237" t="s">
        <v>224</v>
      </c>
      <c r="H38" s="237">
        <v>2</v>
      </c>
      <c r="I38" s="223">
        <f t="shared" si="1"/>
        <v>0.49719999999999998</v>
      </c>
      <c r="J38" s="228"/>
      <c r="K38" s="228"/>
      <c r="L38" s="228"/>
      <c r="M38" s="228"/>
      <c r="N38" s="228"/>
      <c r="O38" s="229"/>
    </row>
    <row r="39" spans="1:15" s="184" customFormat="1" x14ac:dyDescent="0.3">
      <c r="A39" s="226">
        <v>100</v>
      </c>
      <c r="B39" s="222" t="s">
        <v>139</v>
      </c>
      <c r="C39" s="227" t="s">
        <v>244</v>
      </c>
      <c r="D39" s="223">
        <v>0.18</v>
      </c>
      <c r="E39" s="226" t="s">
        <v>140</v>
      </c>
      <c r="F39" s="237">
        <v>12.43</v>
      </c>
      <c r="G39" s="237" t="s">
        <v>224</v>
      </c>
      <c r="H39" s="237">
        <v>2</v>
      </c>
      <c r="I39" s="223">
        <f t="shared" si="1"/>
        <v>4.4748000000000001</v>
      </c>
      <c r="J39" s="233"/>
      <c r="K39" s="233"/>
      <c r="L39" s="233"/>
      <c r="M39" s="233"/>
      <c r="N39" s="233"/>
      <c r="O39" s="229"/>
    </row>
    <row r="40" spans="1:15" s="184" customFormat="1" x14ac:dyDescent="0.3">
      <c r="A40" s="226">
        <v>110</v>
      </c>
      <c r="B40" s="222" t="s">
        <v>142</v>
      </c>
      <c r="C40" s="227" t="s">
        <v>226</v>
      </c>
      <c r="D40" s="223">
        <v>0.02</v>
      </c>
      <c r="E40" s="226" t="s">
        <v>140</v>
      </c>
      <c r="F40" s="237">
        <v>12.43</v>
      </c>
      <c r="G40" s="237" t="s">
        <v>224</v>
      </c>
      <c r="H40" s="237">
        <v>2</v>
      </c>
      <c r="I40" s="223">
        <f t="shared" si="1"/>
        <v>0.49719999999999998</v>
      </c>
      <c r="J40" s="228"/>
      <c r="K40" s="228"/>
      <c r="L40" s="228"/>
      <c r="M40" s="228"/>
      <c r="N40" s="228"/>
      <c r="O40" s="229"/>
    </row>
    <row r="41" spans="1:15" s="184" customFormat="1" ht="28.8" x14ac:dyDescent="0.3">
      <c r="A41" s="226">
        <v>120</v>
      </c>
      <c r="B41" s="222" t="s">
        <v>225</v>
      </c>
      <c r="C41" s="232" t="s">
        <v>249</v>
      </c>
      <c r="D41" s="223">
        <v>0.22</v>
      </c>
      <c r="E41" s="222" t="s">
        <v>32</v>
      </c>
      <c r="F41" s="237">
        <v>1</v>
      </c>
      <c r="G41" s="237" t="s">
        <v>224</v>
      </c>
      <c r="H41" s="237">
        <v>2</v>
      </c>
      <c r="I41" s="223">
        <f t="shared" si="1"/>
        <v>0.44</v>
      </c>
      <c r="J41" s="233"/>
      <c r="K41" s="233"/>
      <c r="L41" s="233"/>
      <c r="M41" s="233"/>
      <c r="N41" s="233"/>
      <c r="O41" s="229"/>
    </row>
    <row r="42" spans="1:15" s="184" customFormat="1" x14ac:dyDescent="0.3">
      <c r="A42" s="226">
        <v>130</v>
      </c>
      <c r="B42" s="222" t="s">
        <v>142</v>
      </c>
      <c r="C42" s="227" t="s">
        <v>227</v>
      </c>
      <c r="D42" s="223">
        <v>0.02</v>
      </c>
      <c r="E42" s="226" t="s">
        <v>140</v>
      </c>
      <c r="F42" s="237">
        <v>4.01</v>
      </c>
      <c r="G42" s="237" t="s">
        <v>228</v>
      </c>
      <c r="H42" s="237">
        <v>3</v>
      </c>
      <c r="I42" s="223">
        <f t="shared" si="1"/>
        <v>0.24059999999999998</v>
      </c>
      <c r="J42" s="228"/>
      <c r="K42" s="228"/>
      <c r="L42" s="228"/>
      <c r="M42" s="228"/>
      <c r="N42" s="228"/>
      <c r="O42" s="229"/>
    </row>
    <row r="43" spans="1:15" s="184" customFormat="1" x14ac:dyDescent="0.3">
      <c r="A43" s="226">
        <v>140</v>
      </c>
      <c r="B43" s="235" t="s">
        <v>139</v>
      </c>
      <c r="C43" s="227" t="s">
        <v>229</v>
      </c>
      <c r="D43" s="223">
        <v>0.02</v>
      </c>
      <c r="E43" s="226" t="s">
        <v>140</v>
      </c>
      <c r="F43" s="237">
        <v>4.01</v>
      </c>
      <c r="G43" s="237" t="s">
        <v>228</v>
      </c>
      <c r="H43" s="237">
        <v>3</v>
      </c>
      <c r="I43" s="223">
        <f t="shared" si="1"/>
        <v>0.24059999999999998</v>
      </c>
      <c r="J43" s="233"/>
      <c r="K43" s="233"/>
      <c r="L43" s="233"/>
      <c r="M43" s="233"/>
      <c r="N43" s="233"/>
      <c r="O43" s="229"/>
    </row>
    <row r="44" spans="1:15" s="184" customFormat="1" x14ac:dyDescent="0.3">
      <c r="A44" s="226">
        <v>150</v>
      </c>
      <c r="B44" s="222" t="s">
        <v>225</v>
      </c>
      <c r="C44" s="227" t="s">
        <v>230</v>
      </c>
      <c r="D44" s="223">
        <v>0.3</v>
      </c>
      <c r="E44" s="222" t="s">
        <v>32</v>
      </c>
      <c r="F44" s="237">
        <v>1</v>
      </c>
      <c r="G44" s="237" t="s">
        <v>228</v>
      </c>
      <c r="H44" s="237">
        <v>3</v>
      </c>
      <c r="I44" s="223">
        <f t="shared" si="1"/>
        <v>0.89999999999999991</v>
      </c>
      <c r="J44" s="233"/>
      <c r="K44" s="233"/>
      <c r="L44" s="233"/>
      <c r="M44" s="233"/>
      <c r="N44" s="233"/>
      <c r="O44" s="229"/>
    </row>
    <row r="45" spans="1:15" s="184" customFormat="1" x14ac:dyDescent="0.3">
      <c r="A45" s="226">
        <v>160</v>
      </c>
      <c r="B45" s="226" t="s">
        <v>231</v>
      </c>
      <c r="C45" s="227" t="s">
        <v>232</v>
      </c>
      <c r="D45" s="223">
        <v>0.15</v>
      </c>
      <c r="E45" s="226" t="s">
        <v>140</v>
      </c>
      <c r="F45" s="237">
        <v>22</v>
      </c>
      <c r="G45" s="237"/>
      <c r="H45" s="221"/>
      <c r="I45" s="223">
        <f t="shared" si="1"/>
        <v>3.3</v>
      </c>
      <c r="J45" s="233"/>
      <c r="K45" s="233"/>
      <c r="L45" s="233"/>
      <c r="M45" s="233"/>
      <c r="N45" s="233"/>
      <c r="O45" s="229"/>
    </row>
    <row r="46" spans="1:15" s="184" customFormat="1" x14ac:dyDescent="0.3">
      <c r="A46" s="226">
        <v>170</v>
      </c>
      <c r="B46" s="222" t="s">
        <v>233</v>
      </c>
      <c r="C46" s="232" t="s">
        <v>234</v>
      </c>
      <c r="D46" s="223">
        <v>5.25</v>
      </c>
      <c r="E46" s="222" t="s">
        <v>143</v>
      </c>
      <c r="F46" s="237">
        <v>0.01</v>
      </c>
      <c r="G46" s="237"/>
      <c r="H46" s="221"/>
      <c r="I46" s="223">
        <f t="shared" si="1"/>
        <v>5.2499999999999998E-2</v>
      </c>
      <c r="J46" s="233"/>
      <c r="K46" s="233"/>
      <c r="L46" s="233"/>
      <c r="M46" s="236"/>
      <c r="N46" s="233"/>
      <c r="O46" s="229"/>
    </row>
    <row r="47" spans="1:15" s="184" customFormat="1" x14ac:dyDescent="0.3">
      <c r="A47" s="226">
        <v>180</v>
      </c>
      <c r="B47" s="226" t="s">
        <v>225</v>
      </c>
      <c r="C47" s="227" t="s">
        <v>235</v>
      </c>
      <c r="D47" s="223">
        <v>0.14000000000000001</v>
      </c>
      <c r="E47" s="226" t="s">
        <v>32</v>
      </c>
      <c r="F47" s="237">
        <v>1</v>
      </c>
      <c r="G47" s="237"/>
      <c r="H47" s="221"/>
      <c r="I47" s="223">
        <f t="shared" si="1"/>
        <v>0.14000000000000001</v>
      </c>
      <c r="J47" s="233"/>
      <c r="K47" s="233"/>
      <c r="L47" s="233"/>
      <c r="M47" s="233"/>
      <c r="N47" s="233"/>
      <c r="O47" s="229"/>
    </row>
    <row r="48" spans="1:15" s="184" customFormat="1" x14ac:dyDescent="0.3">
      <c r="A48" s="226">
        <v>190</v>
      </c>
      <c r="B48" s="222" t="s">
        <v>141</v>
      </c>
      <c r="C48" s="232" t="s">
        <v>236</v>
      </c>
      <c r="D48" s="223">
        <v>0.13</v>
      </c>
      <c r="E48" s="222" t="s">
        <v>32</v>
      </c>
      <c r="F48" s="237">
        <v>4</v>
      </c>
      <c r="G48" s="237"/>
      <c r="H48" s="221"/>
      <c r="I48" s="223">
        <f t="shared" si="1"/>
        <v>0.52</v>
      </c>
      <c r="J48" s="233"/>
      <c r="K48" s="233"/>
      <c r="L48" s="233"/>
      <c r="M48" s="233"/>
      <c r="N48" s="233"/>
      <c r="O48" s="229"/>
    </row>
    <row r="49" spans="1:15" s="184" customFormat="1" x14ac:dyDescent="0.3">
      <c r="A49" s="226">
        <v>200</v>
      </c>
      <c r="B49" s="222" t="s">
        <v>141</v>
      </c>
      <c r="C49" s="232" t="s">
        <v>237</v>
      </c>
      <c r="D49" s="223">
        <v>0.13</v>
      </c>
      <c r="E49" s="222" t="s">
        <v>32</v>
      </c>
      <c r="F49" s="237">
        <v>8</v>
      </c>
      <c r="G49" s="237"/>
      <c r="H49" s="221"/>
      <c r="I49" s="223">
        <f t="shared" si="1"/>
        <v>1.04</v>
      </c>
      <c r="J49" s="233"/>
      <c r="K49" s="233"/>
      <c r="L49" s="233"/>
      <c r="M49" s="233"/>
      <c r="N49" s="233"/>
      <c r="O49" s="229"/>
    </row>
    <row r="50" spans="1:15" s="184" customFormat="1" x14ac:dyDescent="0.3">
      <c r="A50" s="226">
        <v>210</v>
      </c>
      <c r="B50" s="226" t="s">
        <v>144</v>
      </c>
      <c r="C50" s="227" t="s">
        <v>238</v>
      </c>
      <c r="D50" s="223">
        <v>0.13</v>
      </c>
      <c r="E50" s="226" t="s">
        <v>32</v>
      </c>
      <c r="F50" s="237">
        <v>2</v>
      </c>
      <c r="G50" s="237"/>
      <c r="H50" s="221"/>
      <c r="I50" s="223">
        <f t="shared" si="1"/>
        <v>0.26</v>
      </c>
      <c r="J50" s="233"/>
      <c r="K50" s="233"/>
      <c r="L50" s="233"/>
      <c r="M50" s="233"/>
      <c r="N50" s="233"/>
      <c r="O50" s="229"/>
    </row>
    <row r="51" spans="1:15" s="184" customFormat="1" x14ac:dyDescent="0.3">
      <c r="A51" s="226">
        <v>220</v>
      </c>
      <c r="B51" s="222" t="s">
        <v>145</v>
      </c>
      <c r="C51" s="232" t="s">
        <v>239</v>
      </c>
      <c r="D51" s="223">
        <v>0.25</v>
      </c>
      <c r="E51" s="222" t="s">
        <v>32</v>
      </c>
      <c r="F51" s="237">
        <v>2</v>
      </c>
      <c r="G51" s="237"/>
      <c r="H51" s="221"/>
      <c r="I51" s="223">
        <f t="shared" si="1"/>
        <v>0.5</v>
      </c>
      <c r="J51" s="233"/>
      <c r="K51" s="233"/>
      <c r="L51" s="233"/>
      <c r="M51" s="233"/>
      <c r="N51" s="233"/>
      <c r="O51" s="234"/>
    </row>
    <row r="52" spans="1:15" x14ac:dyDescent="0.3">
      <c r="A52" s="67"/>
      <c r="B52" s="24"/>
      <c r="C52" s="24"/>
      <c r="D52" s="24"/>
      <c r="E52" s="24"/>
      <c r="F52" s="24"/>
      <c r="G52" s="24"/>
      <c r="H52" s="101" t="s">
        <v>18</v>
      </c>
      <c r="I52" s="100">
        <f>SUM(I30:I51)</f>
        <v>16.033700000000003</v>
      </c>
      <c r="J52" s="56"/>
      <c r="K52" s="56"/>
      <c r="L52" s="56"/>
      <c r="M52" s="56"/>
      <c r="N52" s="56"/>
      <c r="O52" s="62"/>
    </row>
    <row r="53" spans="1:15" x14ac:dyDescent="0.3">
      <c r="A53" s="63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62"/>
    </row>
    <row r="54" spans="1:15" x14ac:dyDescent="0.3">
      <c r="A54" s="98" t="s">
        <v>14</v>
      </c>
      <c r="B54" s="98" t="s">
        <v>36</v>
      </c>
      <c r="C54" s="98" t="s">
        <v>20</v>
      </c>
      <c r="D54" s="98" t="s">
        <v>21</v>
      </c>
      <c r="E54" s="98" t="s">
        <v>22</v>
      </c>
      <c r="F54" s="98" t="s">
        <v>23</v>
      </c>
      <c r="G54" s="98" t="s">
        <v>24</v>
      </c>
      <c r="H54" s="98" t="s">
        <v>25</v>
      </c>
      <c r="I54" s="98" t="s">
        <v>17</v>
      </c>
      <c r="J54" s="98" t="s">
        <v>18</v>
      </c>
      <c r="K54" s="56"/>
      <c r="L54" s="56"/>
      <c r="M54" s="56"/>
      <c r="N54" s="56"/>
      <c r="O54" s="62"/>
    </row>
    <row r="55" spans="1:15" x14ac:dyDescent="0.3">
      <c r="A55" s="139">
        <v>10</v>
      </c>
      <c r="B55" s="139" t="s">
        <v>146</v>
      </c>
      <c r="C55" s="139" t="s">
        <v>147</v>
      </c>
      <c r="D55" s="142">
        <f>0.8/105154*E55^2*G55*SQRT(G55)+(0.003*EXP(0.319*E55))</f>
        <v>0.16167651505774214</v>
      </c>
      <c r="E55" s="139">
        <v>8</v>
      </c>
      <c r="F55" s="130" t="s">
        <v>30</v>
      </c>
      <c r="G55" s="246">
        <v>40</v>
      </c>
      <c r="H55" s="140" t="s">
        <v>30</v>
      </c>
      <c r="I55" s="131">
        <v>2</v>
      </c>
      <c r="J55" s="132">
        <f>D55*I55</f>
        <v>0.32335303011548427</v>
      </c>
      <c r="K55" s="56"/>
      <c r="L55" s="56"/>
      <c r="M55" s="56"/>
      <c r="N55" s="56"/>
      <c r="O55" s="62"/>
    </row>
    <row r="56" spans="1:15" x14ac:dyDescent="0.3">
      <c r="A56" s="139">
        <v>20</v>
      </c>
      <c r="B56" s="139" t="s">
        <v>146</v>
      </c>
      <c r="C56" s="139" t="s">
        <v>148</v>
      </c>
      <c r="D56" s="142">
        <f>0.8/105154*E56^2*G56*SQRT(G56)+(0.003*EXP(0.319*E56))</f>
        <v>0.26479118861318168</v>
      </c>
      <c r="E56" s="139">
        <v>8</v>
      </c>
      <c r="F56" s="130" t="s">
        <v>30</v>
      </c>
      <c r="G56" s="246">
        <v>60</v>
      </c>
      <c r="H56" s="140" t="s">
        <v>30</v>
      </c>
      <c r="I56" s="133">
        <v>1</v>
      </c>
      <c r="J56" s="129">
        <f>D56*I56</f>
        <v>0.26479118861318168</v>
      </c>
      <c r="K56" s="56"/>
      <c r="L56" s="56"/>
      <c r="M56" s="56"/>
      <c r="N56" s="56"/>
      <c r="O56" s="62"/>
    </row>
    <row r="57" spans="1:15" x14ac:dyDescent="0.3">
      <c r="A57" s="139">
        <v>30</v>
      </c>
      <c r="B57" s="139" t="s">
        <v>149</v>
      </c>
      <c r="C57" s="139" t="s">
        <v>150</v>
      </c>
      <c r="D57" s="143">
        <f>(0.009*EXP(0.2*E57))</f>
        <v>4.4577291819556032E-2</v>
      </c>
      <c r="E57" s="139">
        <v>8</v>
      </c>
      <c r="F57" s="130" t="s">
        <v>30</v>
      </c>
      <c r="G57" s="139"/>
      <c r="H57" s="140"/>
      <c r="I57" s="133">
        <v>3</v>
      </c>
      <c r="J57" s="129">
        <f>D57*I57</f>
        <v>0.1337318754586681</v>
      </c>
      <c r="K57" s="56"/>
      <c r="L57" s="56"/>
      <c r="M57" s="56"/>
      <c r="N57" s="56"/>
      <c r="O57" s="62"/>
    </row>
    <row r="58" spans="1:15" x14ac:dyDescent="0.3">
      <c r="A58" s="139">
        <v>40</v>
      </c>
      <c r="B58" s="139" t="s">
        <v>151</v>
      </c>
      <c r="C58" s="139" t="s">
        <v>152</v>
      </c>
      <c r="D58" s="139">
        <v>0.01</v>
      </c>
      <c r="E58" s="139">
        <v>8</v>
      </c>
      <c r="F58" s="130" t="s">
        <v>30</v>
      </c>
      <c r="G58" s="139"/>
      <c r="H58" s="140"/>
      <c r="I58" s="133">
        <v>6</v>
      </c>
      <c r="J58" s="129">
        <f>D58*I58</f>
        <v>0.06</v>
      </c>
      <c r="K58" s="58"/>
      <c r="L58" s="58"/>
      <c r="M58" s="58"/>
      <c r="N58" s="58"/>
      <c r="O58" s="62"/>
    </row>
    <row r="59" spans="1:15" x14ac:dyDescent="0.3">
      <c r="A59" s="67"/>
      <c r="B59" s="24"/>
      <c r="C59" s="24"/>
      <c r="D59" s="24"/>
      <c r="E59" s="24"/>
      <c r="F59" s="24"/>
      <c r="G59" s="24"/>
      <c r="H59" s="24"/>
      <c r="I59" s="101" t="s">
        <v>18</v>
      </c>
      <c r="J59" s="100">
        <f>SUM(J55:J58)</f>
        <v>0.78187609418733417</v>
      </c>
      <c r="K59" s="56"/>
      <c r="L59" s="56"/>
      <c r="M59" s="56"/>
      <c r="N59" s="56"/>
      <c r="O59" s="62"/>
    </row>
    <row r="60" spans="1:15" x14ac:dyDescent="0.3">
      <c r="A60" s="63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62"/>
    </row>
    <row r="61" spans="1:15" s="184" customFormat="1" x14ac:dyDescent="0.3">
      <c r="A61" s="247" t="s">
        <v>14</v>
      </c>
      <c r="B61" s="98" t="s">
        <v>250</v>
      </c>
      <c r="C61" s="98" t="s">
        <v>20</v>
      </c>
      <c r="D61" s="98" t="s">
        <v>21</v>
      </c>
      <c r="E61" s="98" t="s">
        <v>32</v>
      </c>
      <c r="F61" s="98" t="s">
        <v>17</v>
      </c>
      <c r="G61" s="98" t="s">
        <v>251</v>
      </c>
      <c r="H61" s="98" t="s">
        <v>252</v>
      </c>
      <c r="I61" s="98" t="s">
        <v>18</v>
      </c>
      <c r="J61" s="228"/>
      <c r="K61" s="230"/>
      <c r="L61" s="230"/>
      <c r="M61" s="230"/>
      <c r="N61" s="230"/>
      <c r="O61" s="231"/>
    </row>
    <row r="62" spans="1:15" s="184" customFormat="1" x14ac:dyDescent="0.3">
      <c r="A62" s="226">
        <v>10</v>
      </c>
      <c r="B62" s="226" t="s">
        <v>253</v>
      </c>
      <c r="C62" s="226" t="s">
        <v>254</v>
      </c>
      <c r="D62" s="248">
        <v>500</v>
      </c>
      <c r="E62" s="226" t="s">
        <v>255</v>
      </c>
      <c r="F62" s="226">
        <f>8</f>
        <v>8</v>
      </c>
      <c r="G62" s="226">
        <v>3000</v>
      </c>
      <c r="H62" s="226">
        <v>1</v>
      </c>
      <c r="I62" s="249">
        <f>D62*F62/G62*H62</f>
        <v>1.3333333333333333</v>
      </c>
      <c r="J62" s="228"/>
      <c r="K62" s="230"/>
      <c r="L62" s="230"/>
      <c r="M62" s="230"/>
      <c r="N62" s="230"/>
      <c r="O62" s="231"/>
    </row>
    <row r="63" spans="1:15" s="184" customFormat="1" x14ac:dyDescent="0.3">
      <c r="A63" s="250"/>
      <c r="B63" s="228"/>
      <c r="C63" s="228"/>
      <c r="D63" s="228"/>
      <c r="E63" s="228"/>
      <c r="F63" s="228"/>
      <c r="G63" s="228"/>
      <c r="H63" s="252" t="s">
        <v>18</v>
      </c>
      <c r="I63" s="251">
        <f>SUM(I62:I62)</f>
        <v>1.3333333333333333</v>
      </c>
      <c r="J63" s="228"/>
      <c r="K63" s="230"/>
      <c r="L63" s="230"/>
      <c r="M63" s="230"/>
      <c r="N63" s="230"/>
      <c r="O63" s="231"/>
    </row>
    <row r="64" spans="1:15" ht="15" thickBot="1" x14ac:dyDescent="0.35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</row>
    <row r="65" spans="1:14" x14ac:dyDescent="0.3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</row>
  </sheetData>
  <hyperlinks>
    <hyperlink ref="B10" location="SU_01001" display="SU_01001"/>
    <hyperlink ref="B11:B13" location="BR_01001" display="BR_01001"/>
    <hyperlink ref="B14" location="SU_01005" display="SU_01005"/>
    <hyperlink ref="B16" location="SU_01007" display="SU_01007"/>
    <hyperlink ref="B11" location="SU_01002" display="SU_01002"/>
    <hyperlink ref="B12" location="SU_01003" display="SU_01003"/>
    <hyperlink ref="B13" location="SU_01004" display="SU_01004"/>
    <hyperlink ref="E2" location="SU_A0100_BOM" display="Back to BOM"/>
    <hyperlink ref="B15" location="SU_01006" display="Spacer 2"/>
    <hyperlink ref="B17" location="SU_01008" display="SU_01008"/>
    <hyperlink ref="B18" location="SU_01010" display="SU_01010"/>
    <hyperlink ref="B19" location="SU_01010" display="SU_01010"/>
    <hyperlink ref="B20" location="SU_01011" display="SU_01011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64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85" zoomScaleNormal="85" workbookViewId="0">
      <selection activeCell="L16" sqref="L16"/>
    </sheetView>
  </sheetViews>
  <sheetFormatPr baseColWidth="10" defaultRowHeight="14.4" x14ac:dyDescent="0.3"/>
  <cols>
    <col min="2" max="2" width="33.88671875" customWidth="1"/>
    <col min="3" max="3" width="46.6640625" customWidth="1"/>
    <col min="5" max="5" width="18.33203125" customWidth="1"/>
  </cols>
  <sheetData>
    <row r="1" spans="1:15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3">
      <c r="A2" s="102" t="s">
        <v>0</v>
      </c>
      <c r="B2" s="16" t="s">
        <v>37</v>
      </c>
      <c r="C2" s="56"/>
      <c r="D2" s="56"/>
      <c r="E2" s="56"/>
      <c r="F2" s="56"/>
      <c r="G2" s="88" t="s">
        <v>126</v>
      </c>
      <c r="H2" s="56"/>
      <c r="I2" s="56"/>
      <c r="J2" s="103" t="s">
        <v>1</v>
      </c>
      <c r="K2" s="83">
        <v>81</v>
      </c>
      <c r="L2" s="56"/>
      <c r="M2" s="102" t="s">
        <v>16</v>
      </c>
      <c r="N2" s="74">
        <f>N12+I16</f>
        <v>10.001779199999998</v>
      </c>
      <c r="O2" s="62"/>
    </row>
    <row r="3" spans="1:15" x14ac:dyDescent="0.3">
      <c r="A3" s="102" t="s">
        <v>3</v>
      </c>
      <c r="B3" s="16" t="str">
        <f>'SU A0200'!B3</f>
        <v>Suspension &amp; Shocks</v>
      </c>
      <c r="C3" s="56"/>
      <c r="D3" s="102" t="s">
        <v>6</v>
      </c>
      <c r="E3" t="s">
        <v>86</v>
      </c>
      <c r="F3" s="56"/>
      <c r="G3" s="56"/>
      <c r="H3" s="56"/>
      <c r="I3" s="56"/>
      <c r="J3" s="56"/>
      <c r="K3" s="56"/>
      <c r="L3" s="56"/>
      <c r="M3" s="102" t="s">
        <v>4</v>
      </c>
      <c r="N3" s="82">
        <v>1</v>
      </c>
      <c r="O3" s="62"/>
    </row>
    <row r="4" spans="1:15" x14ac:dyDescent="0.3">
      <c r="A4" s="102" t="s">
        <v>5</v>
      </c>
      <c r="B4" s="88" t="s">
        <v>176</v>
      </c>
      <c r="C4" s="56"/>
      <c r="D4" s="102" t="s">
        <v>8</v>
      </c>
      <c r="E4" s="56"/>
      <c r="F4" s="56"/>
      <c r="G4" s="56"/>
      <c r="H4" s="56"/>
      <c r="I4" s="56"/>
      <c r="J4" s="104" t="s">
        <v>6</v>
      </c>
      <c r="K4" s="56"/>
      <c r="L4" s="56"/>
      <c r="M4" s="56"/>
      <c r="N4" s="56"/>
      <c r="O4" s="62"/>
    </row>
    <row r="5" spans="1:15" x14ac:dyDescent="0.3">
      <c r="A5" s="102" t="s">
        <v>15</v>
      </c>
      <c r="B5" s="73" t="s">
        <v>182</v>
      </c>
      <c r="C5" s="56"/>
      <c r="D5" s="102" t="s">
        <v>12</v>
      </c>
      <c r="E5" s="56"/>
      <c r="F5" s="56"/>
      <c r="G5" s="56"/>
      <c r="H5" s="56"/>
      <c r="I5" s="56"/>
      <c r="J5" s="104" t="s">
        <v>8</v>
      </c>
      <c r="K5" s="56"/>
      <c r="L5" s="56"/>
      <c r="M5" s="102" t="s">
        <v>9</v>
      </c>
      <c r="N5" s="74">
        <f>N3*N2</f>
        <v>10.001779199999998</v>
      </c>
      <c r="O5" s="62"/>
    </row>
    <row r="6" spans="1:15" x14ac:dyDescent="0.3">
      <c r="A6" s="102" t="s">
        <v>7</v>
      </c>
      <c r="B6" s="28" t="s">
        <v>183</v>
      </c>
      <c r="C6" s="56"/>
      <c r="D6" s="56"/>
      <c r="E6" s="56"/>
      <c r="F6" s="56"/>
      <c r="G6" s="56"/>
      <c r="H6" s="56"/>
      <c r="I6" s="56"/>
      <c r="J6" s="104" t="s">
        <v>12</v>
      </c>
      <c r="K6" s="56"/>
      <c r="L6" s="56"/>
      <c r="M6" s="56"/>
      <c r="N6" s="56"/>
      <c r="O6" s="62"/>
    </row>
    <row r="7" spans="1:15" x14ac:dyDescent="0.3">
      <c r="A7" s="102" t="s">
        <v>10</v>
      </c>
      <c r="B7" s="1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3">
      <c r="A8" s="102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3">
      <c r="A9" s="84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3">
      <c r="A10" s="105" t="s">
        <v>14</v>
      </c>
      <c r="B10" s="106" t="s">
        <v>19</v>
      </c>
      <c r="C10" s="106" t="s">
        <v>20</v>
      </c>
      <c r="D10" s="106" t="s">
        <v>21</v>
      </c>
      <c r="E10" s="106" t="s">
        <v>22</v>
      </c>
      <c r="F10" s="107" t="s">
        <v>23</v>
      </c>
      <c r="G10" s="107" t="s">
        <v>24</v>
      </c>
      <c r="H10" s="107" t="s">
        <v>25</v>
      </c>
      <c r="I10" s="107" t="s">
        <v>26</v>
      </c>
      <c r="J10" s="107" t="s">
        <v>27</v>
      </c>
      <c r="K10" s="107" t="s">
        <v>28</v>
      </c>
      <c r="L10" s="107" t="s">
        <v>29</v>
      </c>
      <c r="M10" s="107" t="s">
        <v>17</v>
      </c>
      <c r="N10" s="107" t="s">
        <v>18</v>
      </c>
      <c r="O10" s="62"/>
    </row>
    <row r="11" spans="1:15" x14ac:dyDescent="0.3">
      <c r="A11" s="85">
        <v>10</v>
      </c>
      <c r="B11" s="145" t="s">
        <v>188</v>
      </c>
      <c r="C11" s="146" t="s">
        <v>189</v>
      </c>
      <c r="D11" s="149">
        <f>200*E11*L11</f>
        <v>8.8904703999999981</v>
      </c>
      <c r="E11" s="148">
        <f>J11*K11</f>
        <v>2.8134399999999996E-5</v>
      </c>
      <c r="F11" s="20" t="s">
        <v>190</v>
      </c>
      <c r="G11" s="20"/>
      <c r="H11" s="19"/>
      <c r="I11" s="21" t="s">
        <v>164</v>
      </c>
      <c r="J11" s="253">
        <f>3.14*(0.008*0.008-0.006*0.006)</f>
        <v>8.7919999999999985E-5</v>
      </c>
      <c r="K11" s="253">
        <f>320/1000</f>
        <v>0.32</v>
      </c>
      <c r="L11" s="79">
        <v>1580</v>
      </c>
      <c r="M11" s="147">
        <v>1</v>
      </c>
      <c r="N11" s="30">
        <f>D11*M11</f>
        <v>8.8904703999999981</v>
      </c>
      <c r="O11" s="66"/>
    </row>
    <row r="12" spans="1:15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08" t="s">
        <v>18</v>
      </c>
      <c r="N12" s="109">
        <f>SUM(N11:N11)</f>
        <v>8.8904703999999981</v>
      </c>
      <c r="O12" s="62"/>
    </row>
    <row r="13" spans="1:15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4"/>
      <c r="K14" s="24"/>
      <c r="L14" s="24"/>
      <c r="M14" s="24"/>
      <c r="N14" s="24"/>
      <c r="O14" s="62"/>
    </row>
    <row r="15" spans="1:15" x14ac:dyDescent="0.3">
      <c r="A15" s="145">
        <v>10</v>
      </c>
      <c r="B15" s="145" t="s">
        <v>210</v>
      </c>
      <c r="C15" s="145" t="s">
        <v>211</v>
      </c>
      <c r="D15" s="223">
        <v>25</v>
      </c>
      <c r="E15" s="222" t="s">
        <v>212</v>
      </c>
      <c r="F15" s="225">
        <f>J11*K11*L11</f>
        <v>4.4452351999999994E-2</v>
      </c>
      <c r="G15" s="221"/>
      <c r="H15" s="221"/>
      <c r="I15" s="224">
        <f>IF(H15="",D15*F15,D15*F15*H15)</f>
        <v>1.1113087999999998</v>
      </c>
      <c r="J15" s="58"/>
      <c r="K15" s="58"/>
      <c r="L15" s="58"/>
      <c r="M15" s="58"/>
      <c r="N15" s="58"/>
      <c r="O15" s="68"/>
    </row>
    <row r="16" spans="1:15" x14ac:dyDescent="0.3">
      <c r="A16" s="67"/>
      <c r="B16" s="24"/>
      <c r="C16" s="24"/>
      <c r="D16" s="24"/>
      <c r="E16" s="24"/>
      <c r="F16" s="24"/>
      <c r="G16" s="24"/>
      <c r="H16" s="111" t="s">
        <v>18</v>
      </c>
      <c r="I16" s="109">
        <f>SUM(I15:I15)</f>
        <v>1.1113087999999998</v>
      </c>
      <c r="J16" s="24"/>
      <c r="K16" s="24"/>
      <c r="L16" s="24"/>
      <c r="M16" s="24"/>
      <c r="N16" s="24"/>
      <c r="O16" s="62"/>
    </row>
    <row r="17" spans="1:15" ht="15" thickBot="1" x14ac:dyDescent="0.35">
      <c r="A17" s="6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1"/>
    </row>
  </sheetData>
  <hyperlinks>
    <hyperlink ref="B4" location="SU_A0200" display="Lower Front A-arm"/>
    <hyperlink ref="G2" location="SU_A0200_BOM" display="Back to BOM"/>
  </hyperlink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19"/>
  <sheetViews>
    <sheetView zoomScale="70" zoomScaleNormal="70" workbookViewId="0">
      <selection activeCell="G2" sqref="G2"/>
    </sheetView>
  </sheetViews>
  <sheetFormatPr baseColWidth="10" defaultRowHeight="14.4" x14ac:dyDescent="0.3"/>
  <cols>
    <col min="2" max="2" width="25.109375" customWidth="1"/>
    <col min="3" max="3" width="30.5546875" customWidth="1"/>
    <col min="9" max="9" width="14" customWidth="1"/>
    <col min="17" max="17" width="12.88671875" bestFit="1" customWidth="1"/>
  </cols>
  <sheetData>
    <row r="1" spans="1:17" x14ac:dyDescent="0.3">
      <c r="A1" s="536"/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8"/>
    </row>
    <row r="2" spans="1:17" x14ac:dyDescent="0.3">
      <c r="A2" s="436" t="s">
        <v>0</v>
      </c>
      <c r="B2" s="435" t="s">
        <v>37</v>
      </c>
      <c r="C2" s="468"/>
      <c r="D2" s="468"/>
      <c r="E2" s="468"/>
      <c r="F2" s="468"/>
      <c r="G2" s="438" t="s">
        <v>126</v>
      </c>
      <c r="H2" s="468"/>
      <c r="I2" s="468"/>
      <c r="J2" s="539" t="s">
        <v>1</v>
      </c>
      <c r="K2" s="540">
        <v>81</v>
      </c>
      <c r="L2" s="468"/>
      <c r="M2" s="436" t="s">
        <v>16</v>
      </c>
      <c r="N2" s="541">
        <f>N12+I18</f>
        <v>1.0541703760000001</v>
      </c>
      <c r="O2" s="542"/>
    </row>
    <row r="3" spans="1:17" x14ac:dyDescent="0.3">
      <c r="A3" s="436" t="s">
        <v>3</v>
      </c>
      <c r="B3" s="435" t="str">
        <f>'SU A0200'!B3</f>
        <v>Suspension &amp; Shocks</v>
      </c>
      <c r="C3" s="468"/>
      <c r="D3" s="436" t="s">
        <v>6</v>
      </c>
      <c r="E3" s="543" t="s">
        <v>86</v>
      </c>
      <c r="F3" s="468"/>
      <c r="G3" s="468"/>
      <c r="H3" s="468"/>
      <c r="I3" s="468"/>
      <c r="J3" s="468"/>
      <c r="K3" s="468"/>
      <c r="L3" s="468"/>
      <c r="M3" s="436" t="s">
        <v>4</v>
      </c>
      <c r="N3" s="544">
        <v>2</v>
      </c>
      <c r="O3" s="542"/>
    </row>
    <row r="4" spans="1:17" x14ac:dyDescent="0.3">
      <c r="A4" s="436" t="s">
        <v>5</v>
      </c>
      <c r="B4" s="438" t="s">
        <v>176</v>
      </c>
      <c r="C4" s="468"/>
      <c r="D4" s="436" t="s">
        <v>8</v>
      </c>
      <c r="E4" s="468"/>
      <c r="F4" s="468"/>
      <c r="G4" s="468"/>
      <c r="H4" s="468"/>
      <c r="I4" s="468"/>
      <c r="J4" s="545" t="s">
        <v>6</v>
      </c>
      <c r="K4" s="468"/>
      <c r="L4" s="468"/>
      <c r="M4" s="468"/>
      <c r="N4" s="468"/>
      <c r="O4" s="542"/>
    </row>
    <row r="5" spans="1:17" x14ac:dyDescent="0.3">
      <c r="A5" s="436" t="s">
        <v>15</v>
      </c>
      <c r="B5" s="546" t="s">
        <v>193</v>
      </c>
      <c r="C5" s="468"/>
      <c r="D5" s="436" t="s">
        <v>12</v>
      </c>
      <c r="E5" s="468"/>
      <c r="F5" s="468"/>
      <c r="G5" s="468"/>
      <c r="H5" s="468"/>
      <c r="I5" s="468"/>
      <c r="J5" s="545" t="s">
        <v>8</v>
      </c>
      <c r="K5" s="468"/>
      <c r="L5" s="468"/>
      <c r="M5" s="436" t="s">
        <v>9</v>
      </c>
      <c r="N5" s="541">
        <f>N3*N2</f>
        <v>2.1083407520000002</v>
      </c>
      <c r="O5" s="542"/>
    </row>
    <row r="6" spans="1:17" x14ac:dyDescent="0.3">
      <c r="A6" s="436" t="s">
        <v>7</v>
      </c>
      <c r="B6" s="440" t="s">
        <v>184</v>
      </c>
      <c r="C6" s="468"/>
      <c r="D6" s="468"/>
      <c r="E6" s="468"/>
      <c r="F6" s="468"/>
      <c r="G6" s="468"/>
      <c r="H6" s="468"/>
      <c r="I6" s="468"/>
      <c r="J6" s="545" t="s">
        <v>12</v>
      </c>
      <c r="K6" s="468"/>
      <c r="L6" s="468"/>
      <c r="M6" s="468"/>
      <c r="N6" s="468"/>
      <c r="O6" s="542"/>
    </row>
    <row r="7" spans="1:17" x14ac:dyDescent="0.3">
      <c r="A7" s="436" t="s">
        <v>10</v>
      </c>
      <c r="B7" s="435"/>
      <c r="C7" s="468"/>
      <c r="D7" s="468"/>
      <c r="E7" s="468"/>
      <c r="F7" s="468"/>
      <c r="G7" s="468"/>
      <c r="H7" s="468"/>
      <c r="I7" s="468"/>
      <c r="J7" s="468"/>
      <c r="K7" s="468"/>
      <c r="L7" s="468"/>
      <c r="M7" s="468"/>
      <c r="N7" s="468"/>
      <c r="O7" s="542"/>
    </row>
    <row r="8" spans="1:17" x14ac:dyDescent="0.3">
      <c r="A8" s="436" t="s">
        <v>13</v>
      </c>
      <c r="B8" s="435"/>
      <c r="C8" s="468"/>
      <c r="D8" s="468"/>
      <c r="E8" s="468"/>
      <c r="F8" s="468"/>
      <c r="G8" s="468"/>
      <c r="H8" s="468"/>
      <c r="I8" s="468"/>
      <c r="J8" s="468"/>
      <c r="K8" s="468"/>
      <c r="L8" s="468"/>
      <c r="M8" s="468"/>
      <c r="N8" s="468"/>
      <c r="O8" s="542"/>
    </row>
    <row r="9" spans="1:17" x14ac:dyDescent="0.3">
      <c r="A9" s="547"/>
      <c r="B9" s="548"/>
      <c r="C9" s="548"/>
      <c r="D9" s="548"/>
      <c r="E9" s="548"/>
      <c r="F9" s="468"/>
      <c r="G9" s="468"/>
      <c r="H9" s="468"/>
      <c r="I9" s="468"/>
      <c r="J9" s="468"/>
      <c r="K9" s="468"/>
      <c r="L9" s="468"/>
      <c r="M9" s="468"/>
      <c r="N9" s="468"/>
      <c r="O9" s="542"/>
    </row>
    <row r="10" spans="1:17" x14ac:dyDescent="0.3">
      <c r="A10" s="549" t="s">
        <v>14</v>
      </c>
      <c r="B10" s="550" t="s">
        <v>19</v>
      </c>
      <c r="C10" s="550" t="s">
        <v>20</v>
      </c>
      <c r="D10" s="550" t="s">
        <v>21</v>
      </c>
      <c r="E10" s="550" t="s">
        <v>22</v>
      </c>
      <c r="F10" s="551" t="s">
        <v>23</v>
      </c>
      <c r="G10" s="551" t="s">
        <v>24</v>
      </c>
      <c r="H10" s="551" t="s">
        <v>25</v>
      </c>
      <c r="I10" s="551" t="s">
        <v>26</v>
      </c>
      <c r="J10" s="551" t="s">
        <v>27</v>
      </c>
      <c r="K10" s="551" t="s">
        <v>28</v>
      </c>
      <c r="L10" s="551" t="s">
        <v>29</v>
      </c>
      <c r="M10" s="551" t="s">
        <v>17</v>
      </c>
      <c r="N10" s="551" t="s">
        <v>18</v>
      </c>
      <c r="O10" s="542"/>
    </row>
    <row r="11" spans="1:17" x14ac:dyDescent="0.3">
      <c r="A11" s="552">
        <v>10</v>
      </c>
      <c r="B11" s="553" t="s">
        <v>166</v>
      </c>
      <c r="C11" s="554" t="s">
        <v>38</v>
      </c>
      <c r="D11" s="555">
        <v>2.25</v>
      </c>
      <c r="E11" s="556">
        <f>J11*K11*L11/1000000000</f>
        <v>1.3409056000000001E-2</v>
      </c>
      <c r="F11" s="554" t="s">
        <v>162</v>
      </c>
      <c r="G11" s="554"/>
      <c r="H11" s="557"/>
      <c r="I11" s="558" t="s">
        <v>165</v>
      </c>
      <c r="J11" s="559">
        <f>3.14*8*8</f>
        <v>200.96</v>
      </c>
      <c r="K11" s="560">
        <v>8.5</v>
      </c>
      <c r="L11" s="561">
        <v>7850</v>
      </c>
      <c r="M11" s="562">
        <v>1</v>
      </c>
      <c r="N11" s="555">
        <f>D11*E11</f>
        <v>3.0170376000000002E-2</v>
      </c>
      <c r="O11" s="563"/>
      <c r="Q11" s="135"/>
    </row>
    <row r="12" spans="1:17" x14ac:dyDescent="0.3">
      <c r="A12" s="564"/>
      <c r="B12" s="565"/>
      <c r="C12" s="565"/>
      <c r="D12" s="565"/>
      <c r="E12" s="565"/>
      <c r="F12" s="565"/>
      <c r="G12" s="565"/>
      <c r="H12" s="565"/>
      <c r="I12" s="565"/>
      <c r="J12" s="565"/>
      <c r="K12" s="565"/>
      <c r="L12" s="565"/>
      <c r="M12" s="566" t="s">
        <v>18</v>
      </c>
      <c r="N12" s="567">
        <f>SUM(N11:N11)</f>
        <v>3.0170376000000002E-2</v>
      </c>
      <c r="O12" s="542"/>
    </row>
    <row r="13" spans="1:17" x14ac:dyDescent="0.3">
      <c r="A13" s="568"/>
      <c r="B13" s="468"/>
      <c r="C13" s="468"/>
      <c r="D13" s="468"/>
      <c r="E13" s="468"/>
      <c r="F13" s="468"/>
      <c r="G13" s="468"/>
      <c r="H13" s="468"/>
      <c r="I13" s="468"/>
      <c r="J13" s="468"/>
      <c r="K13" s="468"/>
      <c r="L13" s="468"/>
      <c r="M13" s="468"/>
      <c r="N13" s="468"/>
      <c r="O13" s="542"/>
    </row>
    <row r="14" spans="1:17" x14ac:dyDescent="0.3">
      <c r="A14" s="569" t="s">
        <v>14</v>
      </c>
      <c r="B14" s="551" t="s">
        <v>31</v>
      </c>
      <c r="C14" s="551" t="s">
        <v>20</v>
      </c>
      <c r="D14" s="551" t="s">
        <v>21</v>
      </c>
      <c r="E14" s="551" t="s">
        <v>32</v>
      </c>
      <c r="F14" s="551" t="s">
        <v>17</v>
      </c>
      <c r="G14" s="551" t="s">
        <v>33</v>
      </c>
      <c r="H14" s="551" t="s">
        <v>34</v>
      </c>
      <c r="I14" s="551" t="s">
        <v>18</v>
      </c>
      <c r="J14" s="565"/>
      <c r="K14" s="565"/>
      <c r="L14" s="565"/>
      <c r="M14" s="565"/>
      <c r="N14" s="565"/>
      <c r="O14" s="542"/>
    </row>
    <row r="15" spans="1:17" ht="31.2" customHeight="1" x14ac:dyDescent="0.3">
      <c r="A15" s="340">
        <v>10</v>
      </c>
      <c r="B15" s="340" t="s">
        <v>39</v>
      </c>
      <c r="C15" s="340" t="s">
        <v>134</v>
      </c>
      <c r="D15" s="345">
        <v>1.3</v>
      </c>
      <c r="E15" s="340" t="s">
        <v>32</v>
      </c>
      <c r="F15" s="237">
        <v>1</v>
      </c>
      <c r="G15" s="339" t="s">
        <v>295</v>
      </c>
      <c r="H15" s="339">
        <v>0.5</v>
      </c>
      <c r="I15" s="347">
        <f>IF(H15="",D15*F15,D15*F15*H15)</f>
        <v>0.65</v>
      </c>
      <c r="J15" s="389"/>
      <c r="K15" s="389"/>
      <c r="L15" s="389"/>
      <c r="M15" s="389"/>
      <c r="N15" s="389"/>
      <c r="O15" s="390"/>
    </row>
    <row r="16" spans="1:17" x14ac:dyDescent="0.3">
      <c r="A16" s="398">
        <v>20</v>
      </c>
      <c r="B16" s="398" t="s">
        <v>159</v>
      </c>
      <c r="C16" s="398" t="s">
        <v>267</v>
      </c>
      <c r="D16" s="399">
        <v>0.04</v>
      </c>
      <c r="E16" s="398" t="s">
        <v>161</v>
      </c>
      <c r="F16" s="398">
        <v>0.2</v>
      </c>
      <c r="G16" s="398" t="s">
        <v>268</v>
      </c>
      <c r="H16" s="398">
        <v>3</v>
      </c>
      <c r="I16" s="347">
        <f>IF(H16="",D16*F16,D16*F16*H16)</f>
        <v>2.4E-2</v>
      </c>
      <c r="J16" s="353"/>
      <c r="K16" s="353"/>
      <c r="L16" s="353"/>
      <c r="M16" s="353"/>
      <c r="N16" s="353"/>
      <c r="O16" s="358"/>
    </row>
    <row r="17" spans="1:15" x14ac:dyDescent="0.3">
      <c r="A17" s="400">
        <v>30</v>
      </c>
      <c r="B17" s="400" t="s">
        <v>269</v>
      </c>
      <c r="C17" s="400" t="s">
        <v>270</v>
      </c>
      <c r="D17" s="401">
        <v>0.35</v>
      </c>
      <c r="E17" s="400" t="s">
        <v>271</v>
      </c>
      <c r="F17" s="400">
        <v>1</v>
      </c>
      <c r="G17" s="400"/>
      <c r="H17" s="400"/>
      <c r="I17" s="401">
        <f>D17*F17</f>
        <v>0.35</v>
      </c>
      <c r="J17" s="353"/>
      <c r="K17" s="353"/>
      <c r="L17" s="353"/>
      <c r="M17" s="353"/>
      <c r="N17" s="353"/>
      <c r="O17" s="358"/>
    </row>
    <row r="18" spans="1:15" x14ac:dyDescent="0.3">
      <c r="A18" s="564"/>
      <c r="B18" s="565"/>
      <c r="C18" s="565"/>
      <c r="D18" s="565"/>
      <c r="E18" s="565"/>
      <c r="F18" s="565"/>
      <c r="G18" s="565"/>
      <c r="H18" s="570" t="s">
        <v>18</v>
      </c>
      <c r="I18" s="567">
        <f>SUM(I15:I17)</f>
        <v>1.024</v>
      </c>
      <c r="J18" s="565"/>
      <c r="K18" s="565"/>
      <c r="L18" s="565"/>
      <c r="M18" s="565"/>
      <c r="N18" s="565"/>
      <c r="O18" s="542"/>
    </row>
    <row r="19" spans="1:15" ht="15" thickBot="1" x14ac:dyDescent="0.35">
      <c r="A19" s="571"/>
      <c r="B19" s="572"/>
      <c r="C19" s="572"/>
      <c r="D19" s="572"/>
      <c r="E19" s="572"/>
      <c r="F19" s="572"/>
      <c r="G19" s="572"/>
      <c r="H19" s="572"/>
      <c r="I19" s="572"/>
      <c r="J19" s="572"/>
      <c r="K19" s="572"/>
      <c r="L19" s="572"/>
      <c r="M19" s="572"/>
      <c r="N19" s="572"/>
      <c r="O19" s="573"/>
    </row>
  </sheetData>
  <hyperlinks>
    <hyperlink ref="B4" location="SU_A0200" display="Lower Front A-arm"/>
    <hyperlink ref="E3" location="dSU_02005" display="Drawing"/>
    <hyperlink ref="G2" location="SU_A0200_BOM" display="Back to BOM"/>
  </hyperlink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zoomScale="106" zoomScaleNormal="106" workbookViewId="0">
      <selection activeCell="B1" sqref="B1"/>
    </sheetView>
  </sheetViews>
  <sheetFormatPr baseColWidth="10" defaultRowHeight="14.4" x14ac:dyDescent="0.3"/>
  <cols>
    <col min="1" max="1" width="22.5546875" customWidth="1"/>
  </cols>
  <sheetData>
    <row r="1" spans="1:2" x14ac:dyDescent="0.3">
      <c r="A1" t="s">
        <v>170</v>
      </c>
      <c r="B1" s="89" t="s">
        <v>184</v>
      </c>
    </row>
  </sheetData>
  <hyperlinks>
    <hyperlink ref="B1" location="SU_02005" display="SU_02005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9"/>
  <sheetViews>
    <sheetView zoomScale="90" zoomScaleNormal="90" workbookViewId="0">
      <selection activeCell="G2" sqref="G2"/>
    </sheetView>
  </sheetViews>
  <sheetFormatPr baseColWidth="10" defaultRowHeight="14.4" x14ac:dyDescent="0.3"/>
  <cols>
    <col min="2" max="2" width="10.5546875" customWidth="1"/>
  </cols>
  <sheetData>
    <row r="1" spans="1:15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3">
      <c r="A2" s="102" t="s">
        <v>0</v>
      </c>
      <c r="B2" s="16" t="s">
        <v>37</v>
      </c>
      <c r="C2" s="56"/>
      <c r="D2" s="56"/>
      <c r="E2" s="56"/>
      <c r="F2" s="56"/>
      <c r="G2" s="88" t="s">
        <v>126</v>
      </c>
      <c r="H2" s="56"/>
      <c r="I2" s="56"/>
      <c r="J2" s="103" t="s">
        <v>1</v>
      </c>
      <c r="K2" s="83">
        <v>81</v>
      </c>
      <c r="L2" s="56"/>
      <c r="M2" s="102" t="s">
        <v>16</v>
      </c>
      <c r="N2" s="74">
        <f>N12+I18</f>
        <v>1.1551782399999999</v>
      </c>
      <c r="O2" s="62"/>
    </row>
    <row r="3" spans="1:15" x14ac:dyDescent="0.3">
      <c r="A3" s="102" t="s">
        <v>3</v>
      </c>
      <c r="B3" s="16" t="str">
        <f>'SU A0200'!B3</f>
        <v>Suspension &amp; Shocks</v>
      </c>
      <c r="C3" s="56"/>
      <c r="D3" s="102" t="s">
        <v>6</v>
      </c>
      <c r="E3" s="89" t="s">
        <v>86</v>
      </c>
      <c r="F3" s="56"/>
      <c r="G3" s="56"/>
      <c r="H3" s="56"/>
      <c r="I3" s="56"/>
      <c r="J3" s="56"/>
      <c r="K3" s="56"/>
      <c r="L3" s="56"/>
      <c r="M3" s="102" t="s">
        <v>4</v>
      </c>
      <c r="N3" s="82">
        <v>4</v>
      </c>
      <c r="O3" s="62"/>
    </row>
    <row r="4" spans="1:15" x14ac:dyDescent="0.3">
      <c r="A4" s="102" t="s">
        <v>5</v>
      </c>
      <c r="B4" s="88" t="s">
        <v>176</v>
      </c>
      <c r="C4" s="56"/>
      <c r="D4" s="102" t="s">
        <v>8</v>
      </c>
      <c r="E4" s="56"/>
      <c r="F4" s="56"/>
      <c r="G4" s="56"/>
      <c r="H4" s="56"/>
      <c r="I4" s="56"/>
      <c r="J4" s="104" t="s">
        <v>6</v>
      </c>
      <c r="K4" s="56"/>
      <c r="L4" s="56"/>
      <c r="M4" s="56"/>
      <c r="N4" s="56"/>
      <c r="O4" s="62"/>
    </row>
    <row r="5" spans="1:15" x14ac:dyDescent="0.3">
      <c r="A5" s="102" t="s">
        <v>15</v>
      </c>
      <c r="B5" s="18" t="s">
        <v>192</v>
      </c>
      <c r="C5" s="56"/>
      <c r="D5" s="102" t="s">
        <v>12</v>
      </c>
      <c r="E5" s="56"/>
      <c r="F5" s="56"/>
      <c r="G5" s="56"/>
      <c r="H5" s="56"/>
      <c r="I5" s="56"/>
      <c r="J5" s="104" t="s">
        <v>8</v>
      </c>
      <c r="K5" s="56"/>
      <c r="L5" s="56"/>
      <c r="M5" s="102" t="s">
        <v>9</v>
      </c>
      <c r="N5" s="74">
        <f>N3*N2</f>
        <v>4.6207129599999996</v>
      </c>
      <c r="O5" s="62"/>
    </row>
    <row r="6" spans="1:15" x14ac:dyDescent="0.3">
      <c r="A6" s="102" t="s">
        <v>7</v>
      </c>
      <c r="B6" s="28" t="s">
        <v>185</v>
      </c>
      <c r="C6" s="56"/>
      <c r="D6" s="56"/>
      <c r="E6" s="56"/>
      <c r="F6" s="56"/>
      <c r="G6" s="56"/>
      <c r="H6" s="56"/>
      <c r="I6" s="56"/>
      <c r="J6" s="104" t="s">
        <v>12</v>
      </c>
      <c r="K6" s="56"/>
      <c r="L6" s="56"/>
      <c r="M6" s="56"/>
      <c r="N6" s="56"/>
      <c r="O6" s="62"/>
    </row>
    <row r="7" spans="1:15" x14ac:dyDescent="0.3">
      <c r="A7" s="102" t="s">
        <v>10</v>
      </c>
      <c r="B7" s="1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3">
      <c r="A8" s="102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3">
      <c r="A9" s="84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3">
      <c r="A10" s="105" t="s">
        <v>14</v>
      </c>
      <c r="B10" s="106" t="s">
        <v>19</v>
      </c>
      <c r="C10" s="106" t="s">
        <v>20</v>
      </c>
      <c r="D10" s="106" t="s">
        <v>21</v>
      </c>
      <c r="E10" s="106" t="s">
        <v>22</v>
      </c>
      <c r="F10" s="107" t="s">
        <v>23</v>
      </c>
      <c r="G10" s="107" t="s">
        <v>24</v>
      </c>
      <c r="H10" s="107" t="s">
        <v>25</v>
      </c>
      <c r="I10" s="107" t="s">
        <v>26</v>
      </c>
      <c r="J10" s="107" t="s">
        <v>27</v>
      </c>
      <c r="K10" s="107" t="s">
        <v>28</v>
      </c>
      <c r="L10" s="107" t="s">
        <v>29</v>
      </c>
      <c r="M10" s="107" t="s">
        <v>17</v>
      </c>
      <c r="N10" s="107" t="s">
        <v>18</v>
      </c>
      <c r="O10" s="62"/>
    </row>
    <row r="11" spans="1:15" ht="28.8" x14ac:dyDescent="0.3">
      <c r="A11" s="323">
        <v>10</v>
      </c>
      <c r="B11" s="524" t="s">
        <v>278</v>
      </c>
      <c r="C11" s="574"/>
      <c r="D11" s="575">
        <v>2.25</v>
      </c>
      <c r="E11" s="375">
        <f>J11*K11*L11</f>
        <v>6.3101440000000009E-2</v>
      </c>
      <c r="F11" s="373" t="s">
        <v>162</v>
      </c>
      <c r="G11" s="373"/>
      <c r="H11" s="374"/>
      <c r="I11" s="375" t="s">
        <v>165</v>
      </c>
      <c r="J11" s="376">
        <f>3.14*8*8/1000000</f>
        <v>2.0096E-4</v>
      </c>
      <c r="K11" s="402">
        <v>0.04</v>
      </c>
      <c r="L11" s="378">
        <v>7850</v>
      </c>
      <c r="M11" s="379">
        <v>1</v>
      </c>
      <c r="N11" s="380">
        <f>D11*E11*M11</f>
        <v>0.14197824000000003</v>
      </c>
      <c r="O11" s="381"/>
    </row>
    <row r="12" spans="1:15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08" t="s">
        <v>18</v>
      </c>
      <c r="N12" s="109">
        <f>SUM(N11:N11)</f>
        <v>0.14197824000000003</v>
      </c>
      <c r="O12" s="62"/>
    </row>
    <row r="13" spans="1:15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4"/>
      <c r="K14" s="24"/>
      <c r="L14" s="24"/>
      <c r="M14" s="24"/>
      <c r="N14" s="24"/>
      <c r="O14" s="62"/>
    </row>
    <row r="15" spans="1:15" ht="29.4" customHeight="1" x14ac:dyDescent="0.3">
      <c r="A15" s="340">
        <v>10</v>
      </c>
      <c r="B15" s="340" t="s">
        <v>39</v>
      </c>
      <c r="C15" s="340" t="s">
        <v>134</v>
      </c>
      <c r="D15" s="345">
        <v>1.3</v>
      </c>
      <c r="E15" s="340" t="s">
        <v>32</v>
      </c>
      <c r="F15" s="237">
        <v>1</v>
      </c>
      <c r="G15" s="339" t="s">
        <v>295</v>
      </c>
      <c r="H15" s="339">
        <v>0.5</v>
      </c>
      <c r="I15" s="347">
        <f>IF(H15="",D15*F15,D15*F15*H15)</f>
        <v>0.65</v>
      </c>
      <c r="J15" s="389"/>
      <c r="K15" s="389"/>
      <c r="L15" s="389"/>
      <c r="M15" s="389"/>
      <c r="N15" s="389"/>
      <c r="O15" s="390"/>
    </row>
    <row r="16" spans="1:15" x14ac:dyDescent="0.3">
      <c r="A16" s="398">
        <v>20</v>
      </c>
      <c r="B16" s="398" t="s">
        <v>159</v>
      </c>
      <c r="C16" s="398" t="s">
        <v>267</v>
      </c>
      <c r="D16" s="399">
        <v>0.04</v>
      </c>
      <c r="E16" s="398" t="s">
        <v>161</v>
      </c>
      <c r="F16" s="398">
        <v>0.11</v>
      </c>
      <c r="G16" s="398" t="s">
        <v>268</v>
      </c>
      <c r="H16" s="398">
        <v>3</v>
      </c>
      <c r="I16" s="347">
        <f>IF(H16="",D16*F16,D16*F16*H16)</f>
        <v>1.32E-2</v>
      </c>
      <c r="J16" s="353"/>
      <c r="K16" s="353"/>
      <c r="L16" s="353"/>
      <c r="M16" s="353"/>
      <c r="N16" s="353"/>
      <c r="O16" s="358"/>
    </row>
    <row r="17" spans="1:15" x14ac:dyDescent="0.3">
      <c r="A17" s="400">
        <v>30</v>
      </c>
      <c r="B17" s="400" t="s">
        <v>269</v>
      </c>
      <c r="C17" s="400" t="s">
        <v>270</v>
      </c>
      <c r="D17" s="401">
        <v>0.35</v>
      </c>
      <c r="E17" s="400" t="s">
        <v>271</v>
      </c>
      <c r="F17" s="400">
        <v>1</v>
      </c>
      <c r="G17" s="400"/>
      <c r="H17" s="400"/>
      <c r="I17" s="401">
        <f>D17*F17</f>
        <v>0.35</v>
      </c>
      <c r="J17" s="353"/>
      <c r="K17" s="353"/>
      <c r="L17" s="353"/>
      <c r="M17" s="353"/>
      <c r="N17" s="353"/>
      <c r="O17" s="358"/>
    </row>
    <row r="18" spans="1:15" x14ac:dyDescent="0.3">
      <c r="A18" s="67"/>
      <c r="B18" s="24"/>
      <c r="C18" s="24"/>
      <c r="D18" s="24"/>
      <c r="E18" s="24"/>
      <c r="F18" s="24"/>
      <c r="G18" s="24"/>
      <c r="H18" s="111" t="s">
        <v>18</v>
      </c>
      <c r="I18" s="109">
        <f>SUM(I15:I17)</f>
        <v>1.0131999999999999</v>
      </c>
      <c r="J18" s="24"/>
      <c r="K18" s="24"/>
      <c r="L18" s="24"/>
      <c r="M18" s="24"/>
      <c r="N18" s="24"/>
      <c r="O18" s="62"/>
    </row>
    <row r="19" spans="1:15" ht="15" thickBot="1" x14ac:dyDescent="0.35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1"/>
    </row>
  </sheetData>
  <hyperlinks>
    <hyperlink ref="B4" location="SU_A0200" display="Lower Front A-arm"/>
    <hyperlink ref="E3" location="dSU_02005" display="Drawing"/>
    <hyperlink ref="G2" location="SU_A0200_BOM" display="Back to BOM"/>
  </hyperlink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5546875" customWidth="1"/>
  </cols>
  <sheetData>
    <row r="1" spans="1:2" x14ac:dyDescent="0.3">
      <c r="A1" t="s">
        <v>195</v>
      </c>
      <c r="B1" s="89" t="str">
        <f>SU_02006</f>
        <v>SU_02006</v>
      </c>
    </row>
  </sheetData>
  <hyperlinks>
    <hyperlink ref="B1" location="SU_02006" display="SU_02006"/>
  </hyperlink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17"/>
  <sheetViews>
    <sheetView zoomScale="90" zoomScaleNormal="90" workbookViewId="0">
      <selection activeCell="G2" sqref="G2"/>
    </sheetView>
  </sheetViews>
  <sheetFormatPr baseColWidth="10" defaultRowHeight="14.4" x14ac:dyDescent="0.3"/>
  <cols>
    <col min="2" max="2" width="28.6640625" customWidth="1"/>
    <col min="3" max="3" width="24.33203125" customWidth="1"/>
    <col min="9" max="9" width="15.33203125" customWidth="1"/>
    <col min="17" max="17" width="12.88671875" bestFit="1" customWidth="1"/>
  </cols>
  <sheetData>
    <row r="1" spans="1:17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7" x14ac:dyDescent="0.3">
      <c r="A2" s="102" t="s">
        <v>0</v>
      </c>
      <c r="B2" s="16" t="s">
        <v>37</v>
      </c>
      <c r="C2" s="56"/>
      <c r="D2" s="56"/>
      <c r="E2" s="56"/>
      <c r="F2" s="56"/>
      <c r="G2" s="88" t="s">
        <v>126</v>
      </c>
      <c r="H2" s="56"/>
      <c r="I2" s="56"/>
      <c r="J2" s="103" t="s">
        <v>1</v>
      </c>
      <c r="K2" s="83">
        <v>81</v>
      </c>
      <c r="L2" s="56"/>
      <c r="M2" s="102" t="s">
        <v>16</v>
      </c>
      <c r="N2" s="74">
        <f>N12+I16</f>
        <v>0.47719727680000001</v>
      </c>
      <c r="O2" s="62"/>
    </row>
    <row r="3" spans="1:17" x14ac:dyDescent="0.3">
      <c r="A3" s="102" t="s">
        <v>3</v>
      </c>
      <c r="B3" s="16" t="str">
        <f>'SU A0200'!B3</f>
        <v>Suspension &amp; Shocks</v>
      </c>
      <c r="C3" s="56"/>
      <c r="D3" s="102" t="s">
        <v>6</v>
      </c>
      <c r="E3" s="89" t="s">
        <v>86</v>
      </c>
      <c r="F3" s="56"/>
      <c r="G3" s="56"/>
      <c r="H3" s="56"/>
      <c r="I3" s="56"/>
      <c r="J3" s="56"/>
      <c r="K3" s="56"/>
      <c r="L3" s="56"/>
      <c r="M3" s="102" t="s">
        <v>4</v>
      </c>
      <c r="N3" s="82">
        <v>2</v>
      </c>
      <c r="O3" s="62"/>
    </row>
    <row r="4" spans="1:17" x14ac:dyDescent="0.3">
      <c r="A4" s="102" t="s">
        <v>5</v>
      </c>
      <c r="B4" s="89" t="s">
        <v>176</v>
      </c>
      <c r="C4" s="56"/>
      <c r="D4" s="102" t="s">
        <v>8</v>
      </c>
      <c r="E4" s="56"/>
      <c r="F4" s="56"/>
      <c r="G4" s="56"/>
      <c r="H4" s="56"/>
      <c r="I4" s="56"/>
      <c r="J4" s="104" t="s">
        <v>6</v>
      </c>
      <c r="K4" s="56"/>
      <c r="L4" s="56"/>
      <c r="M4" s="56"/>
      <c r="N4" s="56"/>
      <c r="O4" s="62"/>
    </row>
    <row r="5" spans="1:17" x14ac:dyDescent="0.3">
      <c r="A5" s="102" t="s">
        <v>15</v>
      </c>
      <c r="B5" s="72" t="s">
        <v>135</v>
      </c>
      <c r="C5" s="56"/>
      <c r="D5" s="102" t="s">
        <v>12</v>
      </c>
      <c r="E5" s="56"/>
      <c r="F5" s="56"/>
      <c r="G5" s="56"/>
      <c r="H5" s="56"/>
      <c r="I5" s="56"/>
      <c r="J5" s="104" t="s">
        <v>8</v>
      </c>
      <c r="K5" s="56"/>
      <c r="L5" s="56"/>
      <c r="M5" s="102" t="s">
        <v>9</v>
      </c>
      <c r="N5" s="74">
        <f>N3*N2</f>
        <v>0.95439455360000003</v>
      </c>
      <c r="O5" s="62"/>
    </row>
    <row r="6" spans="1:17" x14ac:dyDescent="0.3">
      <c r="A6" s="102" t="s">
        <v>7</v>
      </c>
      <c r="B6" s="28" t="s">
        <v>196</v>
      </c>
      <c r="C6" s="56"/>
      <c r="D6" s="56"/>
      <c r="E6" s="56"/>
      <c r="F6" s="56"/>
      <c r="G6" s="56"/>
      <c r="H6" s="56"/>
      <c r="I6" s="56"/>
      <c r="J6" s="104" t="s">
        <v>12</v>
      </c>
      <c r="K6" s="56"/>
      <c r="L6" s="56"/>
      <c r="M6" s="56"/>
      <c r="N6" s="56"/>
      <c r="O6" s="62"/>
    </row>
    <row r="7" spans="1:17" x14ac:dyDescent="0.3">
      <c r="A7" s="102" t="s">
        <v>10</v>
      </c>
      <c r="B7" s="1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7" x14ac:dyDescent="0.3">
      <c r="A8" s="102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7" x14ac:dyDescent="0.3">
      <c r="A9" s="84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7" x14ac:dyDescent="0.3">
      <c r="A10" s="366" t="s">
        <v>14</v>
      </c>
      <c r="B10" s="367" t="s">
        <v>19</v>
      </c>
      <c r="C10" s="367" t="s">
        <v>20</v>
      </c>
      <c r="D10" s="367" t="s">
        <v>21</v>
      </c>
      <c r="E10" s="367" t="s">
        <v>22</v>
      </c>
      <c r="F10" s="368" t="s">
        <v>23</v>
      </c>
      <c r="G10" s="368" t="s">
        <v>24</v>
      </c>
      <c r="H10" s="368" t="s">
        <v>25</v>
      </c>
      <c r="I10" s="368" t="s">
        <v>26</v>
      </c>
      <c r="J10" s="368" t="s">
        <v>27</v>
      </c>
      <c r="K10" s="368" t="s">
        <v>28</v>
      </c>
      <c r="L10" s="368" t="s">
        <v>29</v>
      </c>
      <c r="M10" s="368" t="s">
        <v>17</v>
      </c>
      <c r="N10" s="368" t="s">
        <v>18</v>
      </c>
      <c r="O10" s="358"/>
    </row>
    <row r="11" spans="1:17" s="184" customFormat="1" ht="17.399999999999999" customHeight="1" x14ac:dyDescent="0.3">
      <c r="A11" s="404">
        <v>10</v>
      </c>
      <c r="B11" s="405" t="s">
        <v>273</v>
      </c>
      <c r="C11" s="404" t="s">
        <v>274</v>
      </c>
      <c r="D11" s="406">
        <v>4.2</v>
      </c>
      <c r="E11" s="407">
        <v>12</v>
      </c>
      <c r="F11" s="404" t="s">
        <v>30</v>
      </c>
      <c r="G11" s="404"/>
      <c r="H11" s="408"/>
      <c r="I11" s="409" t="s">
        <v>275</v>
      </c>
      <c r="J11" s="410">
        <f>3.14*0.006^2</f>
        <v>1.1304E-4</v>
      </c>
      <c r="K11" s="411">
        <v>0.06</v>
      </c>
      <c r="L11" s="416">
        <v>2710</v>
      </c>
      <c r="M11" s="412">
        <v>1</v>
      </c>
      <c r="N11" s="347">
        <f>IF(J11="",D11*M11,D11*J11*K11*L11*M11)</f>
        <v>7.7197276800000006E-2</v>
      </c>
      <c r="O11" s="417"/>
    </row>
    <row r="12" spans="1:17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08" t="s">
        <v>18</v>
      </c>
      <c r="N12" s="109">
        <f>SUM(N11:N11)</f>
        <v>7.7197276800000006E-2</v>
      </c>
      <c r="O12" s="62"/>
    </row>
    <row r="13" spans="1:17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  <c r="Q13" s="135"/>
    </row>
    <row r="14" spans="1:17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4"/>
      <c r="K14" s="24"/>
      <c r="L14" s="24"/>
      <c r="M14" s="24"/>
      <c r="N14" s="24"/>
      <c r="O14" s="62"/>
    </row>
    <row r="15" spans="1:17" x14ac:dyDescent="0.3">
      <c r="A15" s="343">
        <v>10</v>
      </c>
      <c r="B15" s="340" t="s">
        <v>272</v>
      </c>
      <c r="C15" s="413"/>
      <c r="D15" s="414">
        <v>0.4</v>
      </c>
      <c r="E15" s="343" t="s">
        <v>40</v>
      </c>
      <c r="F15" s="343">
        <v>1</v>
      </c>
      <c r="G15" s="343"/>
      <c r="H15" s="343"/>
      <c r="I15" s="415">
        <f>IF(H15="",D15*F15,D15*F15*H15)</f>
        <v>0.4</v>
      </c>
      <c r="J15" s="389"/>
      <c r="K15" s="389"/>
      <c r="L15" s="389"/>
      <c r="M15" s="389"/>
      <c r="N15" s="389"/>
      <c r="O15" s="390"/>
    </row>
    <row r="16" spans="1:17" x14ac:dyDescent="0.3">
      <c r="A16" s="67"/>
      <c r="B16" s="24"/>
      <c r="C16" s="24"/>
      <c r="D16" s="24"/>
      <c r="E16" s="24"/>
      <c r="F16" s="24"/>
      <c r="G16" s="24"/>
      <c r="H16" s="111" t="s">
        <v>18</v>
      </c>
      <c r="I16" s="109">
        <f>SUM(I15:I15)</f>
        <v>0.4</v>
      </c>
      <c r="J16" s="24"/>
      <c r="K16" s="24"/>
      <c r="L16" s="24"/>
      <c r="M16" s="24"/>
      <c r="N16" s="24"/>
      <c r="O16" s="62"/>
    </row>
    <row r="17" spans="1:15" ht="15" thickBot="1" x14ac:dyDescent="0.35">
      <c r="A17" s="6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1"/>
    </row>
  </sheetData>
  <hyperlinks>
    <hyperlink ref="E3" location="'SU Drawing Part 6'!A1" display="Drawing"/>
    <hyperlink ref="B4" location="SU_A0200" display="Lower Front A-arm"/>
    <hyperlink ref="G2" location="SU_A0200_BOM" display="Back to BOM"/>
  </hyperlinks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zoomScale="106" zoomScaleNormal="106" workbookViewId="0">
      <selection activeCell="B1" sqref="B1"/>
    </sheetView>
  </sheetViews>
  <sheetFormatPr baseColWidth="10" defaultRowHeight="14.4" x14ac:dyDescent="0.3"/>
  <cols>
    <col min="1" max="1" width="20" customWidth="1"/>
  </cols>
  <sheetData>
    <row r="1" spans="1:2" x14ac:dyDescent="0.3">
      <c r="A1" t="s">
        <v>170</v>
      </c>
      <c r="B1" s="89" t="str">
        <f>SU_02007</f>
        <v>SU_02007</v>
      </c>
    </row>
  </sheetData>
  <hyperlinks>
    <hyperlink ref="B1" location="SU_02007" display="SU_02007"/>
  </hyperlinks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F2" sqref="F2"/>
    </sheetView>
  </sheetViews>
  <sheetFormatPr baseColWidth="10" defaultRowHeight="14.4" x14ac:dyDescent="0.3"/>
  <cols>
    <col min="3" max="3" width="16.88671875" customWidth="1"/>
    <col min="7" max="7" width="13.109375" customWidth="1"/>
    <col min="9" max="9" width="13.77734375" customWidth="1"/>
  </cols>
  <sheetData>
    <row r="1" spans="1:15" x14ac:dyDescent="0.3">
      <c r="A1" s="431"/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3"/>
    </row>
    <row r="2" spans="1:15" x14ac:dyDescent="0.3">
      <c r="A2" s="434" t="s">
        <v>0</v>
      </c>
      <c r="B2" s="16" t="s">
        <v>37</v>
      </c>
      <c r="C2" s="418"/>
      <c r="D2" s="418"/>
      <c r="E2" s="418"/>
      <c r="F2" s="88" t="s">
        <v>126</v>
      </c>
      <c r="G2" s="418"/>
      <c r="H2" s="418"/>
      <c r="I2" s="418"/>
      <c r="J2" s="436" t="s">
        <v>1</v>
      </c>
      <c r="K2" s="419">
        <v>81</v>
      </c>
      <c r="L2" s="418"/>
      <c r="M2" s="420" t="s">
        <v>16</v>
      </c>
      <c r="N2" s="421">
        <f>N13+I21</f>
        <v>1.3808240000000001</v>
      </c>
      <c r="O2" s="437"/>
    </row>
    <row r="3" spans="1:15" x14ac:dyDescent="0.3">
      <c r="A3" s="434" t="s">
        <v>3</v>
      </c>
      <c r="B3" s="16" t="str">
        <f>'SU A0200'!B3</f>
        <v>Suspension &amp; Shocks</v>
      </c>
      <c r="C3" s="419"/>
      <c r="D3" s="351" t="s">
        <v>6</v>
      </c>
      <c r="E3" s="287" t="s">
        <v>86</v>
      </c>
      <c r="F3" s="418"/>
      <c r="G3" s="418"/>
      <c r="H3" s="418"/>
      <c r="I3" s="418"/>
      <c r="J3" s="418"/>
      <c r="K3" s="418"/>
      <c r="L3" s="418"/>
      <c r="M3" s="420" t="s">
        <v>4</v>
      </c>
      <c r="N3" s="422">
        <v>2</v>
      </c>
      <c r="O3" s="437"/>
    </row>
    <row r="4" spans="1:15" x14ac:dyDescent="0.3">
      <c r="A4" s="434" t="s">
        <v>5</v>
      </c>
      <c r="B4" s="287" t="s">
        <v>176</v>
      </c>
      <c r="C4" s="418"/>
      <c r="D4" s="351" t="s">
        <v>8</v>
      </c>
      <c r="E4" s="353"/>
      <c r="F4" s="418"/>
      <c r="G4" s="418"/>
      <c r="H4" s="418"/>
      <c r="I4" s="418"/>
      <c r="J4" s="436" t="s">
        <v>6</v>
      </c>
      <c r="K4" s="418"/>
      <c r="L4" s="418"/>
      <c r="M4" s="418"/>
      <c r="N4" s="418"/>
      <c r="O4" s="437"/>
    </row>
    <row r="5" spans="1:15" x14ac:dyDescent="0.3">
      <c r="A5" s="434" t="s">
        <v>15</v>
      </c>
      <c r="B5" s="439" t="s">
        <v>289</v>
      </c>
      <c r="C5" s="418"/>
      <c r="D5" s="351" t="s">
        <v>12</v>
      </c>
      <c r="E5" s="353"/>
      <c r="F5" s="418"/>
      <c r="G5" s="418"/>
      <c r="H5" s="418"/>
      <c r="I5" s="418"/>
      <c r="J5" s="436" t="s">
        <v>8</v>
      </c>
      <c r="K5" s="418"/>
      <c r="L5" s="418"/>
      <c r="M5" s="420" t="s">
        <v>9</v>
      </c>
      <c r="N5" s="421">
        <f>N3*N2</f>
        <v>2.7616480000000001</v>
      </c>
      <c r="O5" s="437"/>
    </row>
    <row r="6" spans="1:15" x14ac:dyDescent="0.3">
      <c r="A6" s="434" t="s">
        <v>7</v>
      </c>
      <c r="B6" s="440" t="s">
        <v>303</v>
      </c>
      <c r="C6" s="418"/>
      <c r="D6" s="418"/>
      <c r="E6" s="418"/>
      <c r="F6" s="418"/>
      <c r="G6" s="418"/>
      <c r="H6" s="418"/>
      <c r="I6" s="418"/>
      <c r="J6" s="436" t="s">
        <v>12</v>
      </c>
      <c r="K6" s="418"/>
      <c r="L6" s="418"/>
      <c r="M6" s="418"/>
      <c r="N6" s="418"/>
      <c r="O6" s="437"/>
    </row>
    <row r="7" spans="1:15" x14ac:dyDescent="0.3">
      <c r="A7" s="434" t="s">
        <v>10</v>
      </c>
      <c r="B7" s="435" t="s">
        <v>11</v>
      </c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  <c r="N7" s="418"/>
      <c r="O7" s="437"/>
    </row>
    <row r="8" spans="1:15" x14ac:dyDescent="0.3">
      <c r="A8" s="434" t="s">
        <v>13</v>
      </c>
      <c r="B8" s="418" t="s">
        <v>277</v>
      </c>
      <c r="C8" s="418"/>
      <c r="D8" s="418"/>
      <c r="E8" s="418"/>
      <c r="F8" s="418"/>
      <c r="G8" s="418"/>
      <c r="H8" s="418"/>
      <c r="I8" s="418"/>
      <c r="J8" s="418"/>
      <c r="K8" s="418"/>
      <c r="L8" s="418"/>
      <c r="M8" s="418"/>
      <c r="N8" s="418"/>
      <c r="O8" s="437"/>
    </row>
    <row r="9" spans="1:15" x14ac:dyDescent="0.3">
      <c r="A9" s="423"/>
      <c r="B9" s="418"/>
      <c r="C9" s="418"/>
      <c r="D9" s="418"/>
      <c r="E9" s="418"/>
      <c r="F9" s="418"/>
      <c r="G9" s="418"/>
      <c r="H9" s="418"/>
      <c r="I9" s="418"/>
      <c r="J9" s="418"/>
      <c r="K9" s="418"/>
      <c r="L9" s="418"/>
      <c r="M9" s="418"/>
      <c r="N9" s="418"/>
      <c r="O9" s="437"/>
    </row>
    <row r="10" spans="1:15" x14ac:dyDescent="0.3">
      <c r="A10" s="424" t="s">
        <v>14</v>
      </c>
      <c r="B10" s="425" t="s">
        <v>19</v>
      </c>
      <c r="C10" s="425" t="s">
        <v>20</v>
      </c>
      <c r="D10" s="425" t="s">
        <v>21</v>
      </c>
      <c r="E10" s="425" t="s">
        <v>22</v>
      </c>
      <c r="F10" s="425" t="s">
        <v>23</v>
      </c>
      <c r="G10" s="425" t="s">
        <v>24</v>
      </c>
      <c r="H10" s="425" t="s">
        <v>25</v>
      </c>
      <c r="I10" s="425" t="s">
        <v>26</v>
      </c>
      <c r="J10" s="425" t="s">
        <v>27</v>
      </c>
      <c r="K10" s="425" t="s">
        <v>28</v>
      </c>
      <c r="L10" s="425" t="s">
        <v>29</v>
      </c>
      <c r="M10" s="425" t="s">
        <v>17</v>
      </c>
      <c r="N10" s="425" t="s">
        <v>18</v>
      </c>
      <c r="O10" s="437"/>
    </row>
    <row r="11" spans="1:15" ht="30" customHeight="1" x14ac:dyDescent="0.3">
      <c r="A11" s="441">
        <v>10</v>
      </c>
      <c r="B11" s="442" t="s">
        <v>278</v>
      </c>
      <c r="C11" s="443" t="s">
        <v>279</v>
      </c>
      <c r="D11" s="444">
        <v>2.25</v>
      </c>
      <c r="E11" s="445">
        <f>J11*K11*L11</f>
        <v>4.5215999999999999E-2</v>
      </c>
      <c r="F11" s="446" t="s">
        <v>212</v>
      </c>
      <c r="G11" s="446"/>
      <c r="H11" s="447"/>
      <c r="I11" s="448" t="s">
        <v>309</v>
      </c>
      <c r="J11" s="449">
        <f>0.048*0.024</f>
        <v>1.152E-3</v>
      </c>
      <c r="K11" s="449">
        <v>5.0000000000000001E-3</v>
      </c>
      <c r="L11" s="450">
        <v>7850</v>
      </c>
      <c r="M11" s="450">
        <v>1</v>
      </c>
      <c r="N11" s="451">
        <f>IF(J11="",D11*M11,D11*J11*K11*L11*M11)</f>
        <v>0.10173600000000001</v>
      </c>
      <c r="O11" s="437"/>
    </row>
    <row r="12" spans="1:15" x14ac:dyDescent="0.3">
      <c r="A12" s="441">
        <v>20</v>
      </c>
      <c r="B12" s="442" t="s">
        <v>281</v>
      </c>
      <c r="C12" s="443"/>
      <c r="D12" s="426">
        <v>10</v>
      </c>
      <c r="E12" s="427">
        <f>2*J11</f>
        <v>2.3040000000000001E-3</v>
      </c>
      <c r="F12" s="452" t="s">
        <v>276</v>
      </c>
      <c r="G12" s="446"/>
      <c r="H12" s="447"/>
      <c r="I12" s="448"/>
      <c r="J12" s="449"/>
      <c r="K12" s="447"/>
      <c r="L12" s="450"/>
      <c r="M12" s="450"/>
      <c r="N12" s="451">
        <f>E12*D12</f>
        <v>2.3040000000000001E-2</v>
      </c>
      <c r="O12" s="437"/>
    </row>
    <row r="13" spans="1:15" x14ac:dyDescent="0.3">
      <c r="A13" s="428"/>
      <c r="B13" s="429"/>
      <c r="C13" s="429"/>
      <c r="D13" s="429"/>
      <c r="E13" s="429"/>
      <c r="F13" s="429"/>
      <c r="G13" s="429"/>
      <c r="H13" s="429"/>
      <c r="I13" s="429"/>
      <c r="J13" s="429"/>
      <c r="K13" s="429"/>
      <c r="L13" s="429"/>
      <c r="M13" s="430" t="s">
        <v>18</v>
      </c>
      <c r="N13" s="300">
        <f>SUM(N11:N12)</f>
        <v>0.12477600000000001</v>
      </c>
      <c r="O13" s="437"/>
    </row>
    <row r="14" spans="1:15" x14ac:dyDescent="0.3">
      <c r="A14" s="423"/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8"/>
      <c r="M14" s="418"/>
      <c r="N14" s="418"/>
      <c r="O14" s="437"/>
    </row>
    <row r="15" spans="1:15" x14ac:dyDescent="0.3">
      <c r="A15" s="424" t="s">
        <v>14</v>
      </c>
      <c r="B15" s="425" t="s">
        <v>31</v>
      </c>
      <c r="C15" s="425" t="s">
        <v>20</v>
      </c>
      <c r="D15" s="425" t="s">
        <v>21</v>
      </c>
      <c r="E15" s="425" t="s">
        <v>32</v>
      </c>
      <c r="F15" s="425" t="s">
        <v>17</v>
      </c>
      <c r="G15" s="425" t="s">
        <v>33</v>
      </c>
      <c r="H15" s="425" t="s">
        <v>34</v>
      </c>
      <c r="I15" s="425" t="s">
        <v>18</v>
      </c>
      <c r="J15" s="429"/>
      <c r="K15" s="429"/>
      <c r="L15" s="429"/>
      <c r="M15" s="429"/>
      <c r="N15" s="429"/>
      <c r="O15" s="437"/>
    </row>
    <row r="16" spans="1:15" ht="44.4" customHeight="1" x14ac:dyDescent="0.3">
      <c r="A16" s="453">
        <v>10</v>
      </c>
      <c r="B16" s="454" t="s">
        <v>39</v>
      </c>
      <c r="C16" s="455" t="s">
        <v>282</v>
      </c>
      <c r="D16" s="456">
        <v>1.3</v>
      </c>
      <c r="E16" s="454" t="s">
        <v>32</v>
      </c>
      <c r="F16" s="311">
        <v>1</v>
      </c>
      <c r="G16" s="455" t="s">
        <v>294</v>
      </c>
      <c r="H16" s="457">
        <v>0.5</v>
      </c>
      <c r="I16" s="458">
        <f>H16*D16</f>
        <v>0.65</v>
      </c>
      <c r="J16" s="311"/>
      <c r="K16" s="418"/>
      <c r="L16" s="418"/>
      <c r="M16" s="418"/>
      <c r="N16" s="418"/>
      <c r="O16" s="437"/>
    </row>
    <row r="17" spans="1:15" x14ac:dyDescent="0.3">
      <c r="A17" s="459">
        <v>20</v>
      </c>
      <c r="B17" s="460" t="s">
        <v>283</v>
      </c>
      <c r="C17" s="308"/>
      <c r="D17" s="456">
        <v>0.01</v>
      </c>
      <c r="E17" s="460" t="s">
        <v>40</v>
      </c>
      <c r="F17" s="461">
        <v>15.5</v>
      </c>
      <c r="G17" s="454"/>
      <c r="H17" s="457"/>
      <c r="I17" s="458">
        <f>IF(H17="",D17*F17,D17*F17*H17)</f>
        <v>0.155</v>
      </c>
      <c r="J17" s="311"/>
      <c r="K17" s="418"/>
      <c r="L17" s="418"/>
      <c r="M17" s="418"/>
      <c r="N17" s="418"/>
      <c r="O17" s="437"/>
    </row>
    <row r="18" spans="1:15" ht="43.2" x14ac:dyDescent="0.3">
      <c r="A18" s="453">
        <v>30</v>
      </c>
      <c r="B18" s="462" t="s">
        <v>39</v>
      </c>
      <c r="C18" s="463"/>
      <c r="D18" s="464">
        <v>0.65</v>
      </c>
      <c r="E18" s="463" t="s">
        <v>32</v>
      </c>
      <c r="F18" s="463">
        <v>1</v>
      </c>
      <c r="G18" s="455" t="s">
        <v>294</v>
      </c>
      <c r="H18" s="463">
        <v>0.5</v>
      </c>
      <c r="I18" s="465">
        <f t="shared" ref="I18:I19" si="0">IF(H18="",D18*F18,D18*F18*H18)</f>
        <v>0.32500000000000001</v>
      </c>
      <c r="J18" s="311"/>
      <c r="K18" s="418"/>
      <c r="L18" s="418"/>
      <c r="M18" s="418"/>
      <c r="N18" s="418"/>
      <c r="O18" s="437"/>
    </row>
    <row r="19" spans="1:15" x14ac:dyDescent="0.3">
      <c r="A19" s="459">
        <v>40</v>
      </c>
      <c r="B19" s="463" t="s">
        <v>159</v>
      </c>
      <c r="C19" s="463" t="s">
        <v>293</v>
      </c>
      <c r="D19" s="464">
        <v>0.04</v>
      </c>
      <c r="E19" s="463" t="s">
        <v>161</v>
      </c>
      <c r="F19" s="463">
        <v>1</v>
      </c>
      <c r="G19" s="463" t="s">
        <v>268</v>
      </c>
      <c r="H19" s="463">
        <v>3</v>
      </c>
      <c r="I19" s="465">
        <f t="shared" si="0"/>
        <v>0.12</v>
      </c>
      <c r="J19" s="314"/>
      <c r="K19" s="429"/>
      <c r="L19" s="429"/>
      <c r="M19" s="429"/>
      <c r="N19" s="429"/>
      <c r="O19" s="437"/>
    </row>
    <row r="20" spans="1:15" ht="28.8" x14ac:dyDescent="0.3">
      <c r="A20" s="453">
        <v>50</v>
      </c>
      <c r="B20" s="454" t="s">
        <v>233</v>
      </c>
      <c r="C20" s="308" t="s">
        <v>284</v>
      </c>
      <c r="D20" s="315">
        <v>5.25</v>
      </c>
      <c r="E20" s="454" t="s">
        <v>276</v>
      </c>
      <c r="F20" s="466">
        <f>J11</f>
        <v>1.152E-3</v>
      </c>
      <c r="G20" s="454"/>
      <c r="H20" s="457"/>
      <c r="I20" s="465">
        <f>F20*D20</f>
        <v>6.0480000000000004E-3</v>
      </c>
      <c r="J20" s="467"/>
      <c r="K20" s="468"/>
      <c r="L20" s="468"/>
      <c r="M20" s="468"/>
      <c r="N20" s="468"/>
      <c r="O20" s="437"/>
    </row>
    <row r="21" spans="1:15" x14ac:dyDescent="0.3">
      <c r="A21" s="428"/>
      <c r="B21" s="429"/>
      <c r="C21" s="429"/>
      <c r="D21" s="429"/>
      <c r="E21" s="429"/>
      <c r="F21" s="429"/>
      <c r="G21" s="429"/>
      <c r="H21" s="430" t="s">
        <v>18</v>
      </c>
      <c r="I21" s="302">
        <f>SUM(I16:I20)</f>
        <v>1.2560480000000001</v>
      </c>
      <c r="J21" s="468"/>
      <c r="K21" s="468"/>
      <c r="L21" s="468"/>
      <c r="M21" s="468"/>
      <c r="N21" s="468"/>
      <c r="O21" s="437"/>
    </row>
    <row r="22" spans="1:15" ht="15" thickBot="1" x14ac:dyDescent="0.35">
      <c r="A22" s="469"/>
      <c r="B22" s="470"/>
      <c r="C22" s="470"/>
      <c r="D22" s="470"/>
      <c r="E22" s="470"/>
      <c r="F22" s="470"/>
      <c r="G22" s="470"/>
      <c r="H22" s="470"/>
      <c r="I22" s="470"/>
      <c r="J22" s="470"/>
      <c r="K22" s="470"/>
      <c r="L22" s="470"/>
      <c r="M22" s="470"/>
      <c r="N22" s="470"/>
      <c r="O22" s="471"/>
    </row>
  </sheetData>
  <hyperlinks>
    <hyperlink ref="B4" location="SU_A0200" display="Lower Front A-arm"/>
    <hyperlink ref="F2" location="SU_A0200_BOM" display="Back to BOM"/>
    <hyperlink ref="E3" location="dSU_02008" display="Drawing"/>
  </hyperlink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6640625" customWidth="1"/>
  </cols>
  <sheetData>
    <row r="1" spans="1:2" x14ac:dyDescent="0.3">
      <c r="A1" t="s">
        <v>195</v>
      </c>
      <c r="B1" s="287" t="s">
        <v>303</v>
      </c>
    </row>
  </sheetData>
  <hyperlinks>
    <hyperlink ref="B1" location="SU_02008" display="SU_02008"/>
  </hyperlinks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B6" sqref="B6"/>
    </sheetView>
  </sheetViews>
  <sheetFormatPr baseColWidth="10" defaultRowHeight="14.4" x14ac:dyDescent="0.3"/>
  <cols>
    <col min="9" max="9" width="14.109375" customWidth="1"/>
  </cols>
  <sheetData>
    <row r="1" spans="1:15" x14ac:dyDescent="0.3">
      <c r="A1" s="431"/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3"/>
    </row>
    <row r="2" spans="1:15" x14ac:dyDescent="0.3">
      <c r="A2" s="434" t="s">
        <v>0</v>
      </c>
      <c r="B2" s="16" t="s">
        <v>37</v>
      </c>
      <c r="C2" s="418"/>
      <c r="D2" s="418"/>
      <c r="E2" s="418"/>
      <c r="F2" s="88" t="s">
        <v>126</v>
      </c>
      <c r="G2" s="418"/>
      <c r="H2" s="418"/>
      <c r="I2" s="418"/>
      <c r="J2" s="436" t="s">
        <v>1</v>
      </c>
      <c r="K2" s="419">
        <v>81</v>
      </c>
      <c r="L2" s="418"/>
      <c r="M2" s="420" t="s">
        <v>16</v>
      </c>
      <c r="N2" s="421">
        <f>N13+I21</f>
        <v>1.4278895</v>
      </c>
      <c r="O2" s="437"/>
    </row>
    <row r="3" spans="1:15" x14ac:dyDescent="0.3">
      <c r="A3" s="434" t="s">
        <v>3</v>
      </c>
      <c r="B3" s="16" t="str">
        <f>'SU A0200'!B3</f>
        <v>Suspension &amp; Shocks</v>
      </c>
      <c r="C3" s="419"/>
      <c r="D3" s="351" t="s">
        <v>6</v>
      </c>
      <c r="E3" s="287" t="s">
        <v>86</v>
      </c>
      <c r="F3" s="418"/>
      <c r="G3" s="418"/>
      <c r="H3" s="418"/>
      <c r="I3" s="418"/>
      <c r="J3" s="418"/>
      <c r="K3" s="418"/>
      <c r="L3" s="418"/>
      <c r="M3" s="420" t="s">
        <v>4</v>
      </c>
      <c r="N3" s="422">
        <v>2</v>
      </c>
      <c r="O3" s="437"/>
    </row>
    <row r="4" spans="1:15" x14ac:dyDescent="0.3">
      <c r="A4" s="434" t="s">
        <v>5</v>
      </c>
      <c r="B4" s="287" t="s">
        <v>176</v>
      </c>
      <c r="C4" s="418"/>
      <c r="D4" s="351" t="s">
        <v>8</v>
      </c>
      <c r="E4" s="353"/>
      <c r="F4" s="418"/>
      <c r="G4" s="418"/>
      <c r="H4" s="418"/>
      <c r="I4" s="418"/>
      <c r="J4" s="436" t="s">
        <v>6</v>
      </c>
      <c r="K4" s="418"/>
      <c r="L4" s="418"/>
      <c r="M4" s="418"/>
      <c r="N4" s="418"/>
      <c r="O4" s="437"/>
    </row>
    <row r="5" spans="1:15" x14ac:dyDescent="0.3">
      <c r="A5" s="434" t="s">
        <v>15</v>
      </c>
      <c r="B5" s="439" t="s">
        <v>290</v>
      </c>
      <c r="C5" s="418"/>
      <c r="D5" s="351" t="s">
        <v>12</v>
      </c>
      <c r="E5" s="353"/>
      <c r="F5" s="418"/>
      <c r="G5" s="418"/>
      <c r="H5" s="418"/>
      <c r="I5" s="418"/>
      <c r="J5" s="436" t="s">
        <v>8</v>
      </c>
      <c r="K5" s="418"/>
      <c r="L5" s="418"/>
      <c r="M5" s="420" t="s">
        <v>9</v>
      </c>
      <c r="N5" s="421">
        <f>N3*N2</f>
        <v>2.8557790000000001</v>
      </c>
      <c r="O5" s="437"/>
    </row>
    <row r="6" spans="1:15" x14ac:dyDescent="0.3">
      <c r="A6" s="434" t="s">
        <v>7</v>
      </c>
      <c r="B6" s="440" t="s">
        <v>305</v>
      </c>
      <c r="C6" s="418"/>
      <c r="D6" s="418"/>
      <c r="E6" s="418"/>
      <c r="F6" s="418"/>
      <c r="G6" s="418"/>
      <c r="H6" s="418"/>
      <c r="I6" s="418"/>
      <c r="J6" s="436" t="s">
        <v>12</v>
      </c>
      <c r="K6" s="418"/>
      <c r="L6" s="418"/>
      <c r="M6" s="418"/>
      <c r="N6" s="418"/>
      <c r="O6" s="437"/>
    </row>
    <row r="7" spans="1:15" x14ac:dyDescent="0.3">
      <c r="A7" s="434" t="s">
        <v>10</v>
      </c>
      <c r="B7" s="435" t="s">
        <v>11</v>
      </c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  <c r="N7" s="418"/>
      <c r="O7" s="437"/>
    </row>
    <row r="8" spans="1:15" x14ac:dyDescent="0.3">
      <c r="A8" s="434" t="s">
        <v>13</v>
      </c>
      <c r="B8" s="418" t="s">
        <v>277</v>
      </c>
      <c r="C8" s="418"/>
      <c r="D8" s="418"/>
      <c r="E8" s="418"/>
      <c r="F8" s="418"/>
      <c r="G8" s="418"/>
      <c r="H8" s="418"/>
      <c r="I8" s="418"/>
      <c r="J8" s="418"/>
      <c r="K8" s="418"/>
      <c r="L8" s="418"/>
      <c r="M8" s="418"/>
      <c r="N8" s="418"/>
      <c r="O8" s="437"/>
    </row>
    <row r="9" spans="1:15" x14ac:dyDescent="0.3">
      <c r="A9" s="423"/>
      <c r="B9" s="418"/>
      <c r="C9" s="418"/>
      <c r="D9" s="418"/>
      <c r="E9" s="418"/>
      <c r="F9" s="418"/>
      <c r="G9" s="418"/>
      <c r="H9" s="418"/>
      <c r="I9" s="418"/>
      <c r="J9" s="418"/>
      <c r="K9" s="418"/>
      <c r="L9" s="418"/>
      <c r="M9" s="418"/>
      <c r="N9" s="418"/>
      <c r="O9" s="437"/>
    </row>
    <row r="10" spans="1:15" x14ac:dyDescent="0.3">
      <c r="A10" s="424" t="s">
        <v>14</v>
      </c>
      <c r="B10" s="425" t="s">
        <v>19</v>
      </c>
      <c r="C10" s="425" t="s">
        <v>20</v>
      </c>
      <c r="D10" s="425" t="s">
        <v>21</v>
      </c>
      <c r="E10" s="425" t="s">
        <v>22</v>
      </c>
      <c r="F10" s="425" t="s">
        <v>23</v>
      </c>
      <c r="G10" s="425" t="s">
        <v>24</v>
      </c>
      <c r="H10" s="425" t="s">
        <v>25</v>
      </c>
      <c r="I10" s="425" t="s">
        <v>26</v>
      </c>
      <c r="J10" s="425" t="s">
        <v>27</v>
      </c>
      <c r="K10" s="425" t="s">
        <v>28</v>
      </c>
      <c r="L10" s="425" t="s">
        <v>29</v>
      </c>
      <c r="M10" s="425" t="s">
        <v>17</v>
      </c>
      <c r="N10" s="425" t="s">
        <v>18</v>
      </c>
      <c r="O10" s="437"/>
    </row>
    <row r="11" spans="1:15" ht="30" customHeight="1" x14ac:dyDescent="0.3">
      <c r="A11" s="441">
        <v>10</v>
      </c>
      <c r="B11" s="442" t="s">
        <v>278</v>
      </c>
      <c r="C11" s="443" t="s">
        <v>279</v>
      </c>
      <c r="D11" s="444">
        <v>2.25</v>
      </c>
      <c r="E11" s="445">
        <f>J11*K11*L11</f>
        <v>5.8717999999999999E-2</v>
      </c>
      <c r="F11" s="446" t="s">
        <v>212</v>
      </c>
      <c r="G11" s="446"/>
      <c r="H11" s="447"/>
      <c r="I11" s="448" t="s">
        <v>310</v>
      </c>
      <c r="J11" s="449">
        <f>0.068*0.022</f>
        <v>1.4959999999999999E-3</v>
      </c>
      <c r="K11" s="449">
        <v>5.0000000000000001E-3</v>
      </c>
      <c r="L11" s="450">
        <v>7850</v>
      </c>
      <c r="M11" s="450">
        <v>1</v>
      </c>
      <c r="N11" s="451">
        <f>IF(J11="",D11*M11,D11*J11*K11*L11*M11)</f>
        <v>0.1321155</v>
      </c>
      <c r="O11" s="437"/>
    </row>
    <row r="12" spans="1:15" x14ac:dyDescent="0.3">
      <c r="A12" s="441">
        <v>20</v>
      </c>
      <c r="B12" s="442" t="s">
        <v>281</v>
      </c>
      <c r="C12" s="443"/>
      <c r="D12" s="426">
        <v>10</v>
      </c>
      <c r="E12" s="427">
        <f>2*J11</f>
        <v>2.9919999999999999E-3</v>
      </c>
      <c r="F12" s="452" t="s">
        <v>276</v>
      </c>
      <c r="G12" s="446"/>
      <c r="H12" s="447"/>
      <c r="I12" s="448"/>
      <c r="J12" s="449"/>
      <c r="K12" s="447"/>
      <c r="L12" s="450"/>
      <c r="M12" s="450"/>
      <c r="N12" s="451">
        <f>E12*D12</f>
        <v>2.9919999999999999E-2</v>
      </c>
      <c r="O12" s="437"/>
    </row>
    <row r="13" spans="1:15" x14ac:dyDescent="0.3">
      <c r="A13" s="428"/>
      <c r="B13" s="429"/>
      <c r="C13" s="429"/>
      <c r="D13" s="429"/>
      <c r="E13" s="429"/>
      <c r="F13" s="429"/>
      <c r="G13" s="429"/>
      <c r="H13" s="429"/>
      <c r="I13" s="429"/>
      <c r="J13" s="429"/>
      <c r="K13" s="429"/>
      <c r="L13" s="429"/>
      <c r="M13" s="430" t="s">
        <v>18</v>
      </c>
      <c r="N13" s="300">
        <f>SUM(N11:N12)</f>
        <v>0.1620355</v>
      </c>
      <c r="O13" s="437"/>
    </row>
    <row r="14" spans="1:15" x14ac:dyDescent="0.3">
      <c r="A14" s="423"/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8"/>
      <c r="M14" s="418"/>
      <c r="N14" s="418"/>
      <c r="O14" s="437"/>
    </row>
    <row r="15" spans="1:15" x14ac:dyDescent="0.3">
      <c r="A15" s="424" t="s">
        <v>14</v>
      </c>
      <c r="B15" s="425" t="s">
        <v>31</v>
      </c>
      <c r="C15" s="425" t="s">
        <v>20</v>
      </c>
      <c r="D15" s="425" t="s">
        <v>21</v>
      </c>
      <c r="E15" s="425" t="s">
        <v>32</v>
      </c>
      <c r="F15" s="425" t="s">
        <v>17</v>
      </c>
      <c r="G15" s="425" t="s">
        <v>33</v>
      </c>
      <c r="H15" s="425" t="s">
        <v>34</v>
      </c>
      <c r="I15" s="425" t="s">
        <v>18</v>
      </c>
      <c r="J15" s="429"/>
      <c r="K15" s="429"/>
      <c r="L15" s="429"/>
      <c r="M15" s="429"/>
      <c r="N15" s="429"/>
      <c r="O15" s="437"/>
    </row>
    <row r="16" spans="1:15" ht="57.6" x14ac:dyDescent="0.3">
      <c r="A16" s="453">
        <v>10</v>
      </c>
      <c r="B16" s="454" t="s">
        <v>39</v>
      </c>
      <c r="C16" s="455" t="s">
        <v>282</v>
      </c>
      <c r="D16" s="456">
        <v>1.3</v>
      </c>
      <c r="E16" s="454" t="s">
        <v>32</v>
      </c>
      <c r="F16" s="311">
        <v>1</v>
      </c>
      <c r="G16" s="455" t="s">
        <v>294</v>
      </c>
      <c r="H16" s="457">
        <v>0.5</v>
      </c>
      <c r="I16" s="458">
        <f>H16*D16</f>
        <v>0.65</v>
      </c>
      <c r="J16" s="311"/>
      <c r="K16" s="418"/>
      <c r="L16" s="418"/>
      <c r="M16" s="418"/>
      <c r="N16" s="418"/>
      <c r="O16" s="437"/>
    </row>
    <row r="17" spans="1:15" x14ac:dyDescent="0.3">
      <c r="A17" s="459">
        <v>20</v>
      </c>
      <c r="B17" s="460" t="s">
        <v>283</v>
      </c>
      <c r="C17" s="308"/>
      <c r="D17" s="456">
        <v>0.01</v>
      </c>
      <c r="E17" s="460" t="s">
        <v>40</v>
      </c>
      <c r="F17" s="461">
        <v>16.3</v>
      </c>
      <c r="G17" s="454"/>
      <c r="H17" s="457"/>
      <c r="I17" s="458">
        <f>IF(H17="",D17*F17,D17*F17*H17)</f>
        <v>0.16300000000000001</v>
      </c>
      <c r="J17" s="311"/>
      <c r="K17" s="418"/>
      <c r="L17" s="418"/>
      <c r="M17" s="418"/>
      <c r="N17" s="418"/>
      <c r="O17" s="437"/>
    </row>
    <row r="18" spans="1:15" ht="43.2" x14ac:dyDescent="0.3">
      <c r="A18" s="453">
        <v>30</v>
      </c>
      <c r="B18" s="462" t="s">
        <v>39</v>
      </c>
      <c r="C18" s="463"/>
      <c r="D18" s="464">
        <v>0.65</v>
      </c>
      <c r="E18" s="463" t="s">
        <v>32</v>
      </c>
      <c r="F18" s="463">
        <v>1</v>
      </c>
      <c r="G18" s="455" t="s">
        <v>294</v>
      </c>
      <c r="H18" s="463">
        <v>0.5</v>
      </c>
      <c r="I18" s="465">
        <f t="shared" ref="I18:I19" si="0">IF(H18="",D18*F18,D18*F18*H18)</f>
        <v>0.32500000000000001</v>
      </c>
      <c r="J18" s="311"/>
      <c r="K18" s="418"/>
      <c r="L18" s="418"/>
      <c r="M18" s="418"/>
      <c r="N18" s="418"/>
      <c r="O18" s="437"/>
    </row>
    <row r="19" spans="1:15" x14ac:dyDescent="0.3">
      <c r="A19" s="459">
        <v>40</v>
      </c>
      <c r="B19" s="463" t="s">
        <v>159</v>
      </c>
      <c r="C19" s="463" t="s">
        <v>293</v>
      </c>
      <c r="D19" s="464">
        <v>0.04</v>
      </c>
      <c r="E19" s="463" t="s">
        <v>161</v>
      </c>
      <c r="F19" s="463">
        <v>1</v>
      </c>
      <c r="G19" s="463" t="s">
        <v>268</v>
      </c>
      <c r="H19" s="463">
        <v>3</v>
      </c>
      <c r="I19" s="465">
        <f t="shared" si="0"/>
        <v>0.12</v>
      </c>
      <c r="J19" s="314"/>
      <c r="K19" s="429"/>
      <c r="L19" s="429"/>
      <c r="M19" s="429"/>
      <c r="N19" s="429"/>
      <c r="O19" s="437"/>
    </row>
    <row r="20" spans="1:15" ht="28.8" x14ac:dyDescent="0.3">
      <c r="A20" s="453">
        <v>50</v>
      </c>
      <c r="B20" s="454" t="s">
        <v>233</v>
      </c>
      <c r="C20" s="308" t="s">
        <v>284</v>
      </c>
      <c r="D20" s="315">
        <v>5.25</v>
      </c>
      <c r="E20" s="454" t="s">
        <v>276</v>
      </c>
      <c r="F20" s="466">
        <f>J11</f>
        <v>1.4959999999999999E-3</v>
      </c>
      <c r="G20" s="454"/>
      <c r="H20" s="457"/>
      <c r="I20" s="465">
        <f>F20*D20</f>
        <v>7.8539999999999999E-3</v>
      </c>
      <c r="J20" s="467"/>
      <c r="K20" s="468"/>
      <c r="L20" s="468"/>
      <c r="M20" s="468"/>
      <c r="N20" s="468"/>
      <c r="O20" s="437"/>
    </row>
    <row r="21" spans="1:15" x14ac:dyDescent="0.3">
      <c r="A21" s="428"/>
      <c r="B21" s="429"/>
      <c r="C21" s="429"/>
      <c r="D21" s="429"/>
      <c r="E21" s="429"/>
      <c r="F21" s="429"/>
      <c r="G21" s="429"/>
      <c r="H21" s="430" t="s">
        <v>18</v>
      </c>
      <c r="I21" s="302">
        <f>SUM(I16:I20)</f>
        <v>1.265854</v>
      </c>
      <c r="J21" s="468"/>
      <c r="K21" s="468"/>
      <c r="L21" s="468"/>
      <c r="M21" s="468"/>
      <c r="N21" s="468"/>
      <c r="O21" s="437"/>
    </row>
    <row r="22" spans="1:15" ht="15" thickBot="1" x14ac:dyDescent="0.35">
      <c r="A22" s="469"/>
      <c r="B22" s="470"/>
      <c r="C22" s="470"/>
      <c r="D22" s="470"/>
      <c r="E22" s="470"/>
      <c r="F22" s="470"/>
      <c r="G22" s="470"/>
      <c r="H22" s="470"/>
      <c r="I22" s="470"/>
      <c r="J22" s="470"/>
      <c r="K22" s="470"/>
      <c r="L22" s="470"/>
      <c r="M22" s="470"/>
      <c r="N22" s="470"/>
      <c r="O22" s="471"/>
    </row>
  </sheetData>
  <hyperlinks>
    <hyperlink ref="B4" location="SU_A0200" display="Lower Front A-arm"/>
    <hyperlink ref="F2" location="SU_A0200_BOM" display="Back to BOM"/>
    <hyperlink ref="E3" location="dSU_02009" display="Drawing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S27"/>
  <sheetViews>
    <sheetView zoomScale="70" zoomScaleNormal="70" workbookViewId="0">
      <selection activeCell="G2" sqref="G2"/>
    </sheetView>
  </sheetViews>
  <sheetFormatPr baseColWidth="10" defaultColWidth="9.109375" defaultRowHeight="14.4" x14ac:dyDescent="0.3"/>
  <cols>
    <col min="2" max="2" width="24.44140625" customWidth="1"/>
    <col min="3" max="3" width="24.5546875" customWidth="1"/>
    <col min="9" max="9" width="11" customWidth="1"/>
    <col min="10" max="11" width="10" bestFit="1" customWidth="1"/>
    <col min="15" max="15" width="3.109375" customWidth="1"/>
    <col min="18" max="19" width="16.33203125" bestFit="1" customWidth="1"/>
  </cols>
  <sheetData>
    <row r="1" spans="1:19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9" x14ac:dyDescent="0.3">
      <c r="A2" s="102" t="s">
        <v>0</v>
      </c>
      <c r="B2" s="16" t="s">
        <v>37</v>
      </c>
      <c r="C2" s="56"/>
      <c r="D2" s="56"/>
      <c r="E2" s="56"/>
      <c r="F2" s="56"/>
      <c r="G2" s="88" t="s">
        <v>126</v>
      </c>
      <c r="H2" s="56"/>
      <c r="I2" s="56"/>
      <c r="J2" s="103" t="s">
        <v>1</v>
      </c>
      <c r="K2" s="83">
        <v>81</v>
      </c>
      <c r="L2" s="56"/>
      <c r="M2" s="102" t="s">
        <v>16</v>
      </c>
      <c r="N2" s="74">
        <f>SU_01001_m+SU_01001_p</f>
        <v>15.090551905600002</v>
      </c>
      <c r="O2" s="62"/>
    </row>
    <row r="3" spans="1:19" x14ac:dyDescent="0.3">
      <c r="A3" s="102" t="s">
        <v>3</v>
      </c>
      <c r="B3" s="16" t="str">
        <f>'SU A0100'!B3</f>
        <v>Suspension &amp; Shocks</v>
      </c>
      <c r="C3" s="56"/>
      <c r="D3" s="102" t="s">
        <v>6</v>
      </c>
      <c r="E3" s="89" t="s">
        <v>86</v>
      </c>
      <c r="F3" s="56"/>
      <c r="G3" s="56"/>
      <c r="H3" s="56"/>
      <c r="I3" s="56"/>
      <c r="J3" s="56"/>
      <c r="K3" s="56"/>
      <c r="L3" s="56"/>
      <c r="M3" s="102" t="s">
        <v>4</v>
      </c>
      <c r="N3" s="82">
        <v>1</v>
      </c>
      <c r="O3" s="62"/>
    </row>
    <row r="4" spans="1:19" x14ac:dyDescent="0.3">
      <c r="A4" s="102" t="s">
        <v>5</v>
      </c>
      <c r="B4" s="88" t="str">
        <f>'SU A0100'!B4</f>
        <v>Upper Front A-arm</v>
      </c>
      <c r="C4" s="56"/>
      <c r="D4" s="102" t="s">
        <v>8</v>
      </c>
      <c r="E4" s="56"/>
      <c r="F4" s="56"/>
      <c r="G4" s="56"/>
      <c r="H4" s="56"/>
      <c r="I4" s="56"/>
      <c r="J4" s="104" t="s">
        <v>6</v>
      </c>
      <c r="K4" s="56"/>
      <c r="L4" s="56"/>
      <c r="M4" s="56"/>
      <c r="N4" s="56"/>
      <c r="O4" s="62"/>
    </row>
    <row r="5" spans="1:19" x14ac:dyDescent="0.3">
      <c r="A5" s="102" t="s">
        <v>15</v>
      </c>
      <c r="B5" s="18" t="s">
        <v>156</v>
      </c>
      <c r="C5" s="56"/>
      <c r="D5" s="102" t="s">
        <v>12</v>
      </c>
      <c r="E5" s="56"/>
      <c r="F5" s="56"/>
      <c r="G5" s="56"/>
      <c r="H5" s="56"/>
      <c r="I5" s="56"/>
      <c r="J5" s="104" t="s">
        <v>8</v>
      </c>
      <c r="K5" s="56"/>
      <c r="L5" s="56"/>
      <c r="M5" s="102" t="s">
        <v>9</v>
      </c>
      <c r="N5" s="74">
        <f>N3*N2</f>
        <v>15.090551905600002</v>
      </c>
      <c r="O5" s="62"/>
    </row>
    <row r="6" spans="1:19" x14ac:dyDescent="0.3">
      <c r="A6" s="102" t="s">
        <v>7</v>
      </c>
      <c r="B6" s="28" t="s">
        <v>173</v>
      </c>
      <c r="C6" s="56"/>
      <c r="D6" s="56"/>
      <c r="E6" s="56"/>
      <c r="F6" s="56"/>
      <c r="G6" s="56"/>
      <c r="H6" s="56"/>
      <c r="I6" s="56"/>
      <c r="J6" s="104" t="s">
        <v>12</v>
      </c>
      <c r="K6" s="56"/>
      <c r="L6" s="56"/>
      <c r="M6" s="56"/>
      <c r="N6" s="56"/>
      <c r="O6" s="62"/>
    </row>
    <row r="7" spans="1:19" x14ac:dyDescent="0.3">
      <c r="A7" s="102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9" x14ac:dyDescent="0.3">
      <c r="A8" s="102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9" x14ac:dyDescent="0.3">
      <c r="A9" s="84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9" x14ac:dyDescent="0.3">
      <c r="A10" s="105" t="s">
        <v>14</v>
      </c>
      <c r="B10" s="106" t="s">
        <v>19</v>
      </c>
      <c r="C10" s="106" t="s">
        <v>20</v>
      </c>
      <c r="D10" s="106" t="s">
        <v>21</v>
      </c>
      <c r="E10" s="106" t="s">
        <v>22</v>
      </c>
      <c r="F10" s="107" t="s">
        <v>23</v>
      </c>
      <c r="G10" s="107" t="s">
        <v>24</v>
      </c>
      <c r="H10" s="107" t="s">
        <v>25</v>
      </c>
      <c r="I10" s="107" t="s">
        <v>26</v>
      </c>
      <c r="J10" s="107" t="s">
        <v>27</v>
      </c>
      <c r="K10" s="107" t="s">
        <v>28</v>
      </c>
      <c r="L10" s="107" t="s">
        <v>29</v>
      </c>
      <c r="M10" s="107" t="s">
        <v>17</v>
      </c>
      <c r="N10" s="107" t="s">
        <v>18</v>
      </c>
      <c r="O10" s="62"/>
    </row>
    <row r="11" spans="1:19" s="22" customFormat="1" x14ac:dyDescent="0.3">
      <c r="A11" s="85">
        <v>10</v>
      </c>
      <c r="B11" s="26" t="s">
        <v>132</v>
      </c>
      <c r="C11" s="20" t="s">
        <v>38</v>
      </c>
      <c r="D11" s="30">
        <f>4.2</f>
        <v>4.2</v>
      </c>
      <c r="E11" s="20"/>
      <c r="F11" s="20"/>
      <c r="G11" s="20"/>
      <c r="H11" s="19"/>
      <c r="I11" s="21" t="s">
        <v>133</v>
      </c>
      <c r="J11" s="253">
        <f>69*73/1000000</f>
        <v>5.0369999999999998E-3</v>
      </c>
      <c r="K11" s="253">
        <v>4.7E-2</v>
      </c>
      <c r="L11" s="79">
        <v>2712</v>
      </c>
      <c r="M11" s="23">
        <v>1</v>
      </c>
      <c r="N11" s="30">
        <f>D11*M11*L11*K11*J11</f>
        <v>2.6965519055999998</v>
      </c>
      <c r="O11" s="66"/>
    </row>
    <row r="12" spans="1:19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08" t="s">
        <v>18</v>
      </c>
      <c r="N12" s="109">
        <f>SUM(N11:N11)</f>
        <v>2.6965519055999998</v>
      </c>
      <c r="O12" s="62"/>
    </row>
    <row r="13" spans="1:19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  <c r="S13" s="135"/>
    </row>
    <row r="14" spans="1:19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4"/>
      <c r="K14" s="24"/>
      <c r="L14" s="24"/>
      <c r="M14" s="24"/>
      <c r="N14" s="24"/>
      <c r="O14" s="62"/>
      <c r="R14" s="135"/>
    </row>
    <row r="15" spans="1:19" s="25" customFormat="1" ht="28.8" customHeight="1" x14ac:dyDescent="0.3">
      <c r="A15" s="254">
        <v>10</v>
      </c>
      <c r="B15" s="255" t="s">
        <v>39</v>
      </c>
      <c r="C15" s="254"/>
      <c r="D15" s="256">
        <v>1.3</v>
      </c>
      <c r="E15" s="255" t="s">
        <v>32</v>
      </c>
      <c r="F15" s="261">
        <v>1</v>
      </c>
      <c r="G15" s="31"/>
      <c r="H15" s="31"/>
      <c r="I15" s="32">
        <f t="shared" ref="I15:I25" si="0">IF(H15="",D15*F15,D15*F15*H15)</f>
        <v>1.3</v>
      </c>
      <c r="J15" s="58"/>
      <c r="K15" s="58"/>
      <c r="L15" s="58"/>
      <c r="M15" s="58"/>
      <c r="N15" s="58"/>
      <c r="O15" s="68"/>
    </row>
    <row r="16" spans="1:19" ht="44.4" customHeight="1" x14ac:dyDescent="0.3">
      <c r="A16" s="257">
        <v>20</v>
      </c>
      <c r="B16" s="255" t="s">
        <v>159</v>
      </c>
      <c r="C16" s="258" t="s">
        <v>256</v>
      </c>
      <c r="D16" s="259">
        <v>0.04</v>
      </c>
      <c r="E16" s="257" t="s">
        <v>161</v>
      </c>
      <c r="F16" s="260">
        <v>153</v>
      </c>
      <c r="G16" s="27"/>
      <c r="H16" s="26"/>
      <c r="I16" s="32">
        <f t="shared" si="0"/>
        <v>6.12</v>
      </c>
      <c r="J16" s="56"/>
      <c r="K16" s="56"/>
      <c r="L16" s="56"/>
      <c r="M16" s="56"/>
      <c r="N16" s="56"/>
      <c r="O16" s="62"/>
      <c r="R16" s="135"/>
    </row>
    <row r="17" spans="1:18" s="17" customFormat="1" ht="15" customHeight="1" x14ac:dyDescent="0.3">
      <c r="A17" s="254">
        <v>30</v>
      </c>
      <c r="B17" s="255" t="s">
        <v>158</v>
      </c>
      <c r="C17" s="254"/>
      <c r="D17" s="256">
        <v>0.65</v>
      </c>
      <c r="E17" s="255" t="s">
        <v>32</v>
      </c>
      <c r="F17" s="261">
        <v>1</v>
      </c>
      <c r="G17" s="26"/>
      <c r="H17" s="26"/>
      <c r="I17" s="32">
        <f t="shared" si="0"/>
        <v>0.65</v>
      </c>
      <c r="J17" s="57"/>
      <c r="K17" s="57"/>
      <c r="L17" s="57"/>
      <c r="M17" s="57"/>
      <c r="N17" s="57"/>
      <c r="O17" s="65"/>
      <c r="R17" s="136"/>
    </row>
    <row r="18" spans="1:18" ht="18.600000000000001" customHeight="1" x14ac:dyDescent="0.3">
      <c r="A18" s="257">
        <v>40</v>
      </c>
      <c r="B18" s="255" t="s">
        <v>159</v>
      </c>
      <c r="C18" s="258" t="s">
        <v>257</v>
      </c>
      <c r="D18" s="259">
        <v>0.04</v>
      </c>
      <c r="E18" s="257" t="s">
        <v>161</v>
      </c>
      <c r="F18" s="260">
        <v>2.2999999999999998</v>
      </c>
      <c r="G18" s="27"/>
      <c r="H18" s="26"/>
      <c r="I18" s="32">
        <f t="shared" si="0"/>
        <v>9.1999999999999998E-2</v>
      </c>
      <c r="J18" s="56"/>
      <c r="K18" s="56"/>
      <c r="L18" s="56"/>
      <c r="M18" s="56"/>
      <c r="N18" s="56"/>
      <c r="O18" s="62"/>
      <c r="R18" s="135"/>
    </row>
    <row r="19" spans="1:18" ht="29.4" customHeight="1" x14ac:dyDescent="0.3">
      <c r="A19" s="254">
        <v>50</v>
      </c>
      <c r="B19" s="255" t="s">
        <v>158</v>
      </c>
      <c r="C19" s="254"/>
      <c r="D19" s="256">
        <v>0.65</v>
      </c>
      <c r="E19" s="255" t="s">
        <v>32</v>
      </c>
      <c r="F19" s="261">
        <v>1</v>
      </c>
      <c r="G19" s="26"/>
      <c r="H19" s="26"/>
      <c r="I19" s="32">
        <f t="shared" si="0"/>
        <v>0.65</v>
      </c>
      <c r="J19" s="56"/>
      <c r="K19" s="56"/>
      <c r="L19" s="56"/>
      <c r="M19" s="56"/>
      <c r="N19" s="56"/>
      <c r="O19" s="62"/>
      <c r="R19" s="135"/>
    </row>
    <row r="20" spans="1:18" ht="29.4" customHeight="1" x14ac:dyDescent="0.3">
      <c r="A20" s="257">
        <v>60</v>
      </c>
      <c r="B20" s="255" t="s">
        <v>159</v>
      </c>
      <c r="C20" s="258" t="s">
        <v>258</v>
      </c>
      <c r="D20" s="259">
        <v>0.04</v>
      </c>
      <c r="E20" s="257" t="s">
        <v>161</v>
      </c>
      <c r="F20" s="260">
        <v>2.2999999999999998</v>
      </c>
      <c r="G20" s="26"/>
      <c r="H20" s="26"/>
      <c r="I20" s="32">
        <f t="shared" si="0"/>
        <v>9.1999999999999998E-2</v>
      </c>
      <c r="J20" s="56"/>
      <c r="K20" s="56"/>
      <c r="L20" s="56"/>
      <c r="M20" s="56"/>
      <c r="N20" s="56"/>
      <c r="O20" s="62"/>
      <c r="R20" s="135"/>
    </row>
    <row r="21" spans="1:18" ht="14.4" customHeight="1" x14ac:dyDescent="0.3">
      <c r="A21" s="254">
        <v>70</v>
      </c>
      <c r="B21" s="255" t="s">
        <v>158</v>
      </c>
      <c r="C21" s="254"/>
      <c r="D21" s="256">
        <v>0.65</v>
      </c>
      <c r="E21" s="255" t="s">
        <v>32</v>
      </c>
      <c r="F21" s="261">
        <v>1</v>
      </c>
      <c r="G21" s="26"/>
      <c r="H21" s="26"/>
      <c r="I21" s="32">
        <f t="shared" si="0"/>
        <v>0.65</v>
      </c>
      <c r="J21" s="56"/>
      <c r="K21" s="56"/>
      <c r="L21" s="56"/>
      <c r="M21" s="56"/>
      <c r="N21" s="56"/>
      <c r="O21" s="62"/>
      <c r="R21" s="135"/>
    </row>
    <row r="22" spans="1:18" ht="29.4" customHeight="1" x14ac:dyDescent="0.3">
      <c r="A22" s="257">
        <v>80</v>
      </c>
      <c r="B22" s="255" t="s">
        <v>159</v>
      </c>
      <c r="C22" s="258" t="s">
        <v>259</v>
      </c>
      <c r="D22" s="259">
        <v>0.04</v>
      </c>
      <c r="E22" s="257" t="s">
        <v>161</v>
      </c>
      <c r="F22" s="260">
        <v>4</v>
      </c>
      <c r="G22" s="26"/>
      <c r="H22" s="26"/>
      <c r="I22" s="32">
        <f t="shared" si="0"/>
        <v>0.16</v>
      </c>
      <c r="J22" s="56"/>
      <c r="K22" s="56"/>
      <c r="L22" s="56"/>
      <c r="M22" s="56"/>
      <c r="N22" s="56"/>
      <c r="O22" s="62"/>
      <c r="R22" s="135"/>
    </row>
    <row r="23" spans="1:18" ht="16.8" customHeight="1" x14ac:dyDescent="0.3">
      <c r="A23" s="254">
        <v>90</v>
      </c>
      <c r="B23" s="255" t="s">
        <v>158</v>
      </c>
      <c r="C23" s="254"/>
      <c r="D23" s="256">
        <v>0.65</v>
      </c>
      <c r="E23" s="255" t="s">
        <v>32</v>
      </c>
      <c r="F23" s="261">
        <v>1</v>
      </c>
      <c r="G23" s="26"/>
      <c r="H23" s="26"/>
      <c r="I23" s="32">
        <f t="shared" si="0"/>
        <v>0.65</v>
      </c>
      <c r="J23" s="56"/>
      <c r="K23" s="56"/>
      <c r="L23" s="56"/>
      <c r="M23" s="56"/>
      <c r="N23" s="56"/>
      <c r="O23" s="62"/>
      <c r="R23" s="135"/>
    </row>
    <row r="24" spans="1:18" ht="28.8" customHeight="1" x14ac:dyDescent="0.3">
      <c r="A24" s="257">
        <v>100</v>
      </c>
      <c r="B24" s="255" t="s">
        <v>159</v>
      </c>
      <c r="C24" s="258" t="s">
        <v>260</v>
      </c>
      <c r="D24" s="259">
        <v>0.04</v>
      </c>
      <c r="E24" s="257" t="s">
        <v>161</v>
      </c>
      <c r="F24" s="260">
        <v>42</v>
      </c>
      <c r="G24" s="26"/>
      <c r="H24" s="26"/>
      <c r="I24" s="32">
        <f t="shared" si="0"/>
        <v>1.68</v>
      </c>
      <c r="J24" s="56"/>
      <c r="K24" s="56"/>
      <c r="L24" s="56"/>
      <c r="M24" s="56"/>
      <c r="N24" s="56"/>
      <c r="O24" s="62"/>
      <c r="R24" s="135"/>
    </row>
    <row r="25" spans="1:18" ht="28.8" customHeight="1" x14ac:dyDescent="0.3">
      <c r="A25" s="254">
        <v>110</v>
      </c>
      <c r="B25" s="255" t="s">
        <v>261</v>
      </c>
      <c r="C25" s="258" t="s">
        <v>262</v>
      </c>
      <c r="D25" s="259">
        <v>0.35</v>
      </c>
      <c r="E25" s="257"/>
      <c r="F25" s="260">
        <v>1</v>
      </c>
      <c r="G25" s="26"/>
      <c r="H25" s="26"/>
      <c r="I25" s="32">
        <f t="shared" si="0"/>
        <v>0.35</v>
      </c>
      <c r="J25" s="56"/>
      <c r="K25" s="56"/>
      <c r="L25" s="56"/>
      <c r="M25" s="56"/>
      <c r="N25" s="56"/>
      <c r="O25" s="62"/>
    </row>
    <row r="26" spans="1:18" x14ac:dyDescent="0.3">
      <c r="A26" s="67"/>
      <c r="B26" s="24"/>
      <c r="C26" s="24"/>
      <c r="D26" s="24"/>
      <c r="E26" s="24"/>
      <c r="F26" s="24"/>
      <c r="G26" s="24"/>
      <c r="H26" s="111" t="s">
        <v>18</v>
      </c>
      <c r="I26" s="109">
        <f>SUM(I15:I25)</f>
        <v>12.394000000000002</v>
      </c>
      <c r="J26" s="24"/>
      <c r="K26" s="24"/>
      <c r="L26" s="24"/>
      <c r="M26" s="24"/>
      <c r="N26" s="24"/>
      <c r="O26" s="62"/>
    </row>
    <row r="27" spans="1:18" ht="15" thickBot="1" x14ac:dyDescent="0.35">
      <c r="A27" s="69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1"/>
    </row>
  </sheetData>
  <hyperlinks>
    <hyperlink ref="B4" location="'SU A0100'!A1" display="'SU A0100'!A1"/>
    <hyperlink ref="E3" location="dSU_01001" display="Drawing"/>
    <hyperlink ref="G2" location="SU_A0100_BOM" display="Back to BOM"/>
  </hyperlinks>
  <pageMargins left="0.78749999999999998" right="0.78749999999999998" top="1.05277777777778" bottom="1.05277777777778" header="0.78749999999999998" footer="0.78749999999999998"/>
  <pageSetup paperSize="9" scale="52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7" max="16383" man="1"/>
    <brk id="61" max="16383" man="1"/>
  </rowBreak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3" customWidth="1"/>
  </cols>
  <sheetData>
    <row r="1" spans="1:2" x14ac:dyDescent="0.3">
      <c r="A1" t="s">
        <v>195</v>
      </c>
      <c r="B1" s="287" t="s">
        <v>305</v>
      </c>
    </row>
  </sheetData>
  <hyperlinks>
    <hyperlink ref="B1" location="SU_02009" display="SU_02009"/>
  </hyperlinks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E3" sqref="E3"/>
    </sheetView>
  </sheetViews>
  <sheetFormatPr baseColWidth="10" defaultRowHeight="14.4" x14ac:dyDescent="0.3"/>
  <cols>
    <col min="2" max="2" width="18.109375" customWidth="1"/>
    <col min="7" max="7" width="16.109375" customWidth="1"/>
    <col min="9" max="9" width="13.44140625" customWidth="1"/>
  </cols>
  <sheetData>
    <row r="1" spans="1:15" x14ac:dyDescent="0.3">
      <c r="A1" s="431"/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3"/>
    </row>
    <row r="2" spans="1:15" x14ac:dyDescent="0.3">
      <c r="A2" s="434" t="s">
        <v>0</v>
      </c>
      <c r="B2" s="16" t="s">
        <v>37</v>
      </c>
      <c r="C2" s="418"/>
      <c r="D2" s="418"/>
      <c r="E2" s="418"/>
      <c r="F2" s="88" t="s">
        <v>126</v>
      </c>
      <c r="G2" s="418"/>
      <c r="H2" s="418"/>
      <c r="I2" s="418"/>
      <c r="J2" s="436" t="s">
        <v>1</v>
      </c>
      <c r="K2" s="419">
        <v>81</v>
      </c>
      <c r="L2" s="418"/>
      <c r="M2" s="420" t="s">
        <v>16</v>
      </c>
      <c r="N2" s="421">
        <f>N13+I21</f>
        <v>1.326935</v>
      </c>
      <c r="O2" s="437"/>
    </row>
    <row r="3" spans="1:15" x14ac:dyDescent="0.3">
      <c r="A3" s="434" t="s">
        <v>3</v>
      </c>
      <c r="B3" s="16" t="str">
        <f>'SU A0200'!B3</f>
        <v>Suspension &amp; Shocks</v>
      </c>
      <c r="C3" s="419"/>
      <c r="D3" s="351" t="s">
        <v>6</v>
      </c>
      <c r="E3" s="287" t="s">
        <v>86</v>
      </c>
      <c r="F3" s="418"/>
      <c r="G3" s="418"/>
      <c r="H3" s="418"/>
      <c r="I3" s="418"/>
      <c r="J3" s="418"/>
      <c r="K3" s="418"/>
      <c r="L3" s="418"/>
      <c r="M3" s="420" t="s">
        <v>4</v>
      </c>
      <c r="N3" s="422">
        <v>2</v>
      </c>
      <c r="O3" s="437"/>
    </row>
    <row r="4" spans="1:15" x14ac:dyDescent="0.3">
      <c r="A4" s="434" t="s">
        <v>5</v>
      </c>
      <c r="B4" s="287" t="s">
        <v>176</v>
      </c>
      <c r="C4" s="418"/>
      <c r="D4" s="351" t="s">
        <v>8</v>
      </c>
      <c r="E4" s="353"/>
      <c r="F4" s="418"/>
      <c r="G4" s="418"/>
      <c r="H4" s="418"/>
      <c r="I4" s="418"/>
      <c r="J4" s="436" t="s">
        <v>6</v>
      </c>
      <c r="K4" s="418"/>
      <c r="L4" s="418"/>
      <c r="M4" s="418"/>
      <c r="N4" s="418"/>
      <c r="O4" s="437"/>
    </row>
    <row r="5" spans="1:15" x14ac:dyDescent="0.3">
      <c r="A5" s="434" t="s">
        <v>15</v>
      </c>
      <c r="B5" s="439" t="s">
        <v>307</v>
      </c>
      <c r="C5" s="418"/>
      <c r="D5" s="351" t="s">
        <v>12</v>
      </c>
      <c r="E5" s="353"/>
      <c r="F5" s="418"/>
      <c r="G5" s="418"/>
      <c r="H5" s="418"/>
      <c r="I5" s="418"/>
      <c r="J5" s="436" t="s">
        <v>8</v>
      </c>
      <c r="K5" s="418"/>
      <c r="L5" s="418"/>
      <c r="M5" s="420" t="s">
        <v>9</v>
      </c>
      <c r="N5" s="421">
        <f>N3*N2</f>
        <v>2.65387</v>
      </c>
      <c r="O5" s="437"/>
    </row>
    <row r="6" spans="1:15" x14ac:dyDescent="0.3">
      <c r="A6" s="434" t="s">
        <v>7</v>
      </c>
      <c r="B6" s="440" t="s">
        <v>306</v>
      </c>
      <c r="C6" s="418"/>
      <c r="D6" s="418"/>
      <c r="E6" s="418"/>
      <c r="F6" s="418"/>
      <c r="G6" s="418"/>
      <c r="H6" s="418"/>
      <c r="I6" s="418"/>
      <c r="J6" s="436" t="s">
        <v>12</v>
      </c>
      <c r="K6" s="418"/>
      <c r="L6" s="418"/>
      <c r="M6" s="418"/>
      <c r="N6" s="418"/>
      <c r="O6" s="437"/>
    </row>
    <row r="7" spans="1:15" x14ac:dyDescent="0.3">
      <c r="A7" s="434" t="s">
        <v>10</v>
      </c>
      <c r="B7" s="435" t="s">
        <v>11</v>
      </c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  <c r="N7" s="418"/>
      <c r="O7" s="437"/>
    </row>
    <row r="8" spans="1:15" x14ac:dyDescent="0.3">
      <c r="A8" s="434" t="s">
        <v>13</v>
      </c>
      <c r="B8" s="418" t="s">
        <v>277</v>
      </c>
      <c r="C8" s="418"/>
      <c r="D8" s="418"/>
      <c r="E8" s="418"/>
      <c r="F8" s="418"/>
      <c r="G8" s="418"/>
      <c r="H8" s="418"/>
      <c r="I8" s="418"/>
      <c r="J8" s="418"/>
      <c r="K8" s="418"/>
      <c r="L8" s="418"/>
      <c r="M8" s="418"/>
      <c r="N8" s="418"/>
      <c r="O8" s="437"/>
    </row>
    <row r="9" spans="1:15" x14ac:dyDescent="0.3">
      <c r="A9" s="423"/>
      <c r="B9" s="418"/>
      <c r="C9" s="418"/>
      <c r="D9" s="418"/>
      <c r="E9" s="418"/>
      <c r="F9" s="418"/>
      <c r="G9" s="418"/>
      <c r="H9" s="418"/>
      <c r="I9" s="418"/>
      <c r="J9" s="418"/>
      <c r="K9" s="418"/>
      <c r="L9" s="418"/>
      <c r="M9" s="418"/>
      <c r="N9" s="418"/>
      <c r="O9" s="437"/>
    </row>
    <row r="10" spans="1:15" x14ac:dyDescent="0.3">
      <c r="A10" s="424" t="s">
        <v>14</v>
      </c>
      <c r="B10" s="425" t="s">
        <v>19</v>
      </c>
      <c r="C10" s="425" t="s">
        <v>20</v>
      </c>
      <c r="D10" s="425" t="s">
        <v>21</v>
      </c>
      <c r="E10" s="425" t="s">
        <v>22</v>
      </c>
      <c r="F10" s="425" t="s">
        <v>23</v>
      </c>
      <c r="G10" s="425" t="s">
        <v>24</v>
      </c>
      <c r="H10" s="425" t="s">
        <v>25</v>
      </c>
      <c r="I10" s="425" t="s">
        <v>26</v>
      </c>
      <c r="J10" s="425" t="s">
        <v>27</v>
      </c>
      <c r="K10" s="425" t="s">
        <v>28</v>
      </c>
      <c r="L10" s="425" t="s">
        <v>29</v>
      </c>
      <c r="M10" s="425" t="s">
        <v>17</v>
      </c>
      <c r="N10" s="425" t="s">
        <v>18</v>
      </c>
      <c r="O10" s="437"/>
    </row>
    <row r="11" spans="1:15" ht="29.4" customHeight="1" x14ac:dyDescent="0.3">
      <c r="A11" s="441">
        <v>10</v>
      </c>
      <c r="B11" s="442" t="s">
        <v>278</v>
      </c>
      <c r="C11" s="443" t="s">
        <v>279</v>
      </c>
      <c r="D11" s="444">
        <v>2.25</v>
      </c>
      <c r="E11" s="445">
        <f>J11*K11*L11</f>
        <v>3.4539999999999994E-2</v>
      </c>
      <c r="F11" s="446" t="s">
        <v>212</v>
      </c>
      <c r="G11" s="446"/>
      <c r="H11" s="447"/>
      <c r="I11" s="448" t="s">
        <v>311</v>
      </c>
      <c r="J11" s="449">
        <f>0.04*0.022</f>
        <v>8.7999999999999992E-4</v>
      </c>
      <c r="K11" s="449">
        <v>5.0000000000000001E-3</v>
      </c>
      <c r="L11" s="450">
        <v>7850</v>
      </c>
      <c r="M11" s="450">
        <v>1</v>
      </c>
      <c r="N11" s="451">
        <f>IF(J11="",D11*M11,D11*J11*K11*L11*M11)</f>
        <v>7.7715000000000006E-2</v>
      </c>
      <c r="O11" s="437"/>
    </row>
    <row r="12" spans="1:15" x14ac:dyDescent="0.3">
      <c r="A12" s="441">
        <v>20</v>
      </c>
      <c r="B12" s="442" t="s">
        <v>281</v>
      </c>
      <c r="C12" s="443"/>
      <c r="D12" s="426">
        <v>10</v>
      </c>
      <c r="E12" s="427">
        <f>2*J11</f>
        <v>1.7599999999999998E-3</v>
      </c>
      <c r="F12" s="452" t="s">
        <v>276</v>
      </c>
      <c r="G12" s="446"/>
      <c r="H12" s="447"/>
      <c r="I12" s="448"/>
      <c r="J12" s="449"/>
      <c r="K12" s="447"/>
      <c r="L12" s="450"/>
      <c r="M12" s="450"/>
      <c r="N12" s="451">
        <f>E12*D12</f>
        <v>1.7599999999999998E-2</v>
      </c>
      <c r="O12" s="437"/>
    </row>
    <row r="13" spans="1:15" x14ac:dyDescent="0.3">
      <c r="A13" s="428"/>
      <c r="B13" s="429"/>
      <c r="C13" s="429"/>
      <c r="D13" s="429"/>
      <c r="E13" s="429"/>
      <c r="F13" s="429"/>
      <c r="G13" s="429"/>
      <c r="H13" s="429"/>
      <c r="I13" s="429"/>
      <c r="J13" s="429"/>
      <c r="K13" s="429"/>
      <c r="L13" s="429"/>
      <c r="M13" s="430" t="s">
        <v>18</v>
      </c>
      <c r="N13" s="300">
        <f>SUM(N11:N12)</f>
        <v>9.5315000000000011E-2</v>
      </c>
      <c r="O13" s="437"/>
    </row>
    <row r="14" spans="1:15" x14ac:dyDescent="0.3">
      <c r="A14" s="423"/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8"/>
      <c r="M14" s="418"/>
      <c r="N14" s="418"/>
      <c r="O14" s="437"/>
    </row>
    <row r="15" spans="1:15" x14ac:dyDescent="0.3">
      <c r="A15" s="424" t="s">
        <v>14</v>
      </c>
      <c r="B15" s="425" t="s">
        <v>31</v>
      </c>
      <c r="C15" s="425" t="s">
        <v>20</v>
      </c>
      <c r="D15" s="425" t="s">
        <v>21</v>
      </c>
      <c r="E15" s="425" t="s">
        <v>32</v>
      </c>
      <c r="F15" s="425" t="s">
        <v>17</v>
      </c>
      <c r="G15" s="425" t="s">
        <v>33</v>
      </c>
      <c r="H15" s="425" t="s">
        <v>34</v>
      </c>
      <c r="I15" s="425" t="s">
        <v>18</v>
      </c>
      <c r="J15" s="429"/>
      <c r="K15" s="429"/>
      <c r="L15" s="429"/>
      <c r="M15" s="429"/>
      <c r="N15" s="429"/>
      <c r="O15" s="437"/>
    </row>
    <row r="16" spans="1:15" ht="43.8" customHeight="1" x14ac:dyDescent="0.3">
      <c r="A16" s="453">
        <v>10</v>
      </c>
      <c r="B16" s="454" t="s">
        <v>39</v>
      </c>
      <c r="C16" s="455" t="s">
        <v>312</v>
      </c>
      <c r="D16" s="456">
        <v>1.3</v>
      </c>
      <c r="E16" s="454" t="s">
        <v>32</v>
      </c>
      <c r="F16" s="311">
        <v>1</v>
      </c>
      <c r="G16" s="455" t="s">
        <v>294</v>
      </c>
      <c r="H16" s="457">
        <v>0.5</v>
      </c>
      <c r="I16" s="458">
        <f>H16*D16</f>
        <v>0.65</v>
      </c>
      <c r="J16" s="311"/>
      <c r="K16" s="418"/>
      <c r="L16" s="418"/>
      <c r="M16" s="418"/>
      <c r="N16" s="418"/>
      <c r="O16" s="437"/>
    </row>
    <row r="17" spans="1:15" x14ac:dyDescent="0.3">
      <c r="A17" s="459">
        <v>20</v>
      </c>
      <c r="B17" s="460" t="s">
        <v>283</v>
      </c>
      <c r="C17" s="308"/>
      <c r="D17" s="456">
        <v>0.01</v>
      </c>
      <c r="E17" s="460" t="s">
        <v>40</v>
      </c>
      <c r="F17" s="461">
        <v>13.2</v>
      </c>
      <c r="G17" s="454"/>
      <c r="H17" s="457"/>
      <c r="I17" s="458">
        <f>IF(H17="",D17*F17,D17*F17*H17)</f>
        <v>0.13200000000000001</v>
      </c>
      <c r="J17" s="311"/>
      <c r="K17" s="418"/>
      <c r="L17" s="418"/>
      <c r="M17" s="418"/>
      <c r="N17" s="418"/>
      <c r="O17" s="437"/>
    </row>
    <row r="18" spans="1:15" ht="28.2" customHeight="1" x14ac:dyDescent="0.3">
      <c r="A18" s="453">
        <v>30</v>
      </c>
      <c r="B18" s="462" t="s">
        <v>39</v>
      </c>
      <c r="C18" s="463"/>
      <c r="D18" s="464">
        <v>0.65</v>
      </c>
      <c r="E18" s="463" t="s">
        <v>32</v>
      </c>
      <c r="F18" s="463">
        <v>1</v>
      </c>
      <c r="G18" s="455" t="s">
        <v>294</v>
      </c>
      <c r="H18" s="463">
        <v>0.5</v>
      </c>
      <c r="I18" s="465">
        <f t="shared" ref="I18:I19" si="0">IF(H18="",D18*F18,D18*F18*H18)</f>
        <v>0.32500000000000001</v>
      </c>
      <c r="J18" s="311"/>
      <c r="K18" s="418"/>
      <c r="L18" s="418"/>
      <c r="M18" s="418"/>
      <c r="N18" s="418"/>
      <c r="O18" s="437"/>
    </row>
    <row r="19" spans="1:15" x14ac:dyDescent="0.3">
      <c r="A19" s="459">
        <v>40</v>
      </c>
      <c r="B19" s="463" t="s">
        <v>159</v>
      </c>
      <c r="C19" s="463" t="s">
        <v>293</v>
      </c>
      <c r="D19" s="464">
        <v>0.04</v>
      </c>
      <c r="E19" s="463" t="s">
        <v>161</v>
      </c>
      <c r="F19" s="463">
        <v>1</v>
      </c>
      <c r="G19" s="463" t="s">
        <v>268</v>
      </c>
      <c r="H19" s="463">
        <v>3</v>
      </c>
      <c r="I19" s="465">
        <f t="shared" si="0"/>
        <v>0.12</v>
      </c>
      <c r="J19" s="314"/>
      <c r="K19" s="429"/>
      <c r="L19" s="429"/>
      <c r="M19" s="429"/>
      <c r="N19" s="429"/>
      <c r="O19" s="437"/>
    </row>
    <row r="20" spans="1:15" ht="26.4" customHeight="1" x14ac:dyDescent="0.3">
      <c r="A20" s="453">
        <v>50</v>
      </c>
      <c r="B20" s="454" t="s">
        <v>233</v>
      </c>
      <c r="C20" s="576" t="s">
        <v>284</v>
      </c>
      <c r="D20" s="315">
        <v>5.25</v>
      </c>
      <c r="E20" s="454" t="s">
        <v>276</v>
      </c>
      <c r="F20" s="466">
        <f>J11</f>
        <v>8.7999999999999992E-4</v>
      </c>
      <c r="G20" s="454"/>
      <c r="H20" s="457"/>
      <c r="I20" s="465">
        <f>F20*D20</f>
        <v>4.62E-3</v>
      </c>
      <c r="J20" s="467"/>
      <c r="K20" s="468"/>
      <c r="L20" s="468"/>
      <c r="M20" s="468"/>
      <c r="N20" s="468"/>
      <c r="O20" s="437"/>
    </row>
    <row r="21" spans="1:15" x14ac:dyDescent="0.3">
      <c r="A21" s="428"/>
      <c r="B21" s="429"/>
      <c r="C21" s="429"/>
      <c r="D21" s="429"/>
      <c r="E21" s="429"/>
      <c r="F21" s="429"/>
      <c r="G21" s="429"/>
      <c r="H21" s="430" t="s">
        <v>18</v>
      </c>
      <c r="I21" s="302">
        <f>SUM(I16:I20)</f>
        <v>1.2316199999999999</v>
      </c>
      <c r="J21" s="468"/>
      <c r="K21" s="468"/>
      <c r="L21" s="468"/>
      <c r="M21" s="468"/>
      <c r="N21" s="468"/>
      <c r="O21" s="437"/>
    </row>
    <row r="22" spans="1:15" ht="15" thickBot="1" x14ac:dyDescent="0.35">
      <c r="A22" s="469"/>
      <c r="B22" s="470"/>
      <c r="C22" s="470"/>
      <c r="D22" s="470"/>
      <c r="E22" s="470"/>
      <c r="F22" s="470"/>
      <c r="G22" s="470"/>
      <c r="H22" s="470"/>
      <c r="I22" s="470"/>
      <c r="J22" s="470"/>
      <c r="K22" s="470"/>
      <c r="L22" s="470"/>
      <c r="M22" s="470"/>
      <c r="N22" s="470"/>
      <c r="O22" s="471"/>
    </row>
  </sheetData>
  <hyperlinks>
    <hyperlink ref="B4" location="SU_A0200" display="Lower Front A-arm"/>
    <hyperlink ref="F2" location="SU_A0200_BOM" display="Back to BOM"/>
    <hyperlink ref="E3" location="dSU_02010" display="Drawing"/>
  </hyperlink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304</v>
      </c>
      <c r="B1" s="287" t="s">
        <v>306</v>
      </c>
    </row>
  </sheetData>
  <hyperlinks>
    <hyperlink ref="B1" location="SU_02010" display="SU_02010"/>
  </hyperlinks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B4" sqref="B4"/>
    </sheetView>
  </sheetViews>
  <sheetFormatPr baseColWidth="10" defaultRowHeight="14.4" x14ac:dyDescent="0.3"/>
  <cols>
    <col min="7" max="7" width="13.44140625" customWidth="1"/>
  </cols>
  <sheetData>
    <row r="1" spans="1:15" x14ac:dyDescent="0.3">
      <c r="A1" s="431"/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3"/>
    </row>
    <row r="2" spans="1:15" x14ac:dyDescent="0.3">
      <c r="A2" s="434" t="s">
        <v>0</v>
      </c>
      <c r="B2" s="16" t="s">
        <v>37</v>
      </c>
      <c r="C2" s="418"/>
      <c r="D2" s="418"/>
      <c r="E2" s="418"/>
      <c r="F2" s="88" t="s">
        <v>126</v>
      </c>
      <c r="G2" s="418"/>
      <c r="H2" s="418"/>
      <c r="I2" s="418"/>
      <c r="J2" s="436" t="s">
        <v>1</v>
      </c>
      <c r="K2" s="419">
        <v>81</v>
      </c>
      <c r="L2" s="418"/>
      <c r="M2" s="420" t="s">
        <v>16</v>
      </c>
      <c r="N2" s="421">
        <f>N13+I21</f>
        <v>1.40789925</v>
      </c>
      <c r="O2" s="437"/>
    </row>
    <row r="3" spans="1:15" x14ac:dyDescent="0.3">
      <c r="A3" s="434" t="s">
        <v>3</v>
      </c>
      <c r="B3" s="16" t="str">
        <f>'SU A0200'!B3</f>
        <v>Suspension &amp; Shocks</v>
      </c>
      <c r="C3" s="419"/>
      <c r="D3" s="351" t="s">
        <v>6</v>
      </c>
      <c r="E3" s="395" t="s">
        <v>86</v>
      </c>
      <c r="F3" s="418"/>
      <c r="G3" s="418"/>
      <c r="H3" s="418"/>
      <c r="I3" s="418"/>
      <c r="J3" s="418"/>
      <c r="K3" s="418"/>
      <c r="L3" s="418"/>
      <c r="M3" s="420" t="s">
        <v>4</v>
      </c>
      <c r="N3" s="422">
        <v>2</v>
      </c>
      <c r="O3" s="437"/>
    </row>
    <row r="4" spans="1:15" x14ac:dyDescent="0.3">
      <c r="A4" s="434" t="s">
        <v>5</v>
      </c>
      <c r="B4" s="287" t="s">
        <v>176</v>
      </c>
      <c r="C4" s="418"/>
      <c r="D4" s="351" t="s">
        <v>8</v>
      </c>
      <c r="E4" s="353"/>
      <c r="F4" s="418"/>
      <c r="G4" s="418"/>
      <c r="H4" s="418"/>
      <c r="I4" s="418"/>
      <c r="J4" s="436" t="s">
        <v>6</v>
      </c>
      <c r="K4" s="418"/>
      <c r="L4" s="418"/>
      <c r="M4" s="418"/>
      <c r="N4" s="418"/>
      <c r="O4" s="437"/>
    </row>
    <row r="5" spans="1:15" x14ac:dyDescent="0.3">
      <c r="A5" s="434" t="s">
        <v>15</v>
      </c>
      <c r="B5" s="439" t="s">
        <v>292</v>
      </c>
      <c r="C5" s="418"/>
      <c r="D5" s="351" t="s">
        <v>12</v>
      </c>
      <c r="E5" s="353"/>
      <c r="F5" s="418"/>
      <c r="G5" s="418"/>
      <c r="H5" s="418"/>
      <c r="I5" s="418"/>
      <c r="J5" s="436" t="s">
        <v>8</v>
      </c>
      <c r="K5" s="418"/>
      <c r="L5" s="418"/>
      <c r="M5" s="420" t="s">
        <v>9</v>
      </c>
      <c r="N5" s="421">
        <f>N3*N2</f>
        <v>2.8157985000000001</v>
      </c>
      <c r="O5" s="437"/>
    </row>
    <row r="6" spans="1:15" x14ac:dyDescent="0.3">
      <c r="A6" s="434" t="s">
        <v>7</v>
      </c>
      <c r="B6" s="440" t="s">
        <v>308</v>
      </c>
      <c r="C6" s="418"/>
      <c r="D6" s="418"/>
      <c r="E6" s="418"/>
      <c r="F6" s="418"/>
      <c r="G6" s="418"/>
      <c r="H6" s="418"/>
      <c r="I6" s="418"/>
      <c r="J6" s="436" t="s">
        <v>12</v>
      </c>
      <c r="K6" s="418"/>
      <c r="L6" s="418"/>
      <c r="M6" s="418"/>
      <c r="N6" s="418"/>
      <c r="O6" s="437"/>
    </row>
    <row r="7" spans="1:15" x14ac:dyDescent="0.3">
      <c r="A7" s="434" t="s">
        <v>10</v>
      </c>
      <c r="B7" s="435" t="s">
        <v>11</v>
      </c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  <c r="N7" s="418"/>
      <c r="O7" s="437"/>
    </row>
    <row r="8" spans="1:15" x14ac:dyDescent="0.3">
      <c r="A8" s="434" t="s">
        <v>13</v>
      </c>
      <c r="B8" s="418" t="s">
        <v>277</v>
      </c>
      <c r="C8" s="418"/>
      <c r="D8" s="418"/>
      <c r="E8" s="418"/>
      <c r="F8" s="418"/>
      <c r="G8" s="418"/>
      <c r="H8" s="418"/>
      <c r="I8" s="418"/>
      <c r="J8" s="418"/>
      <c r="K8" s="418"/>
      <c r="L8" s="418"/>
      <c r="M8" s="418"/>
      <c r="N8" s="418"/>
      <c r="O8" s="437"/>
    </row>
    <row r="9" spans="1:15" x14ac:dyDescent="0.3">
      <c r="A9" s="423"/>
      <c r="B9" s="418"/>
      <c r="C9" s="418"/>
      <c r="D9" s="418"/>
      <c r="E9" s="418"/>
      <c r="F9" s="418"/>
      <c r="G9" s="418"/>
      <c r="H9" s="418"/>
      <c r="I9" s="418"/>
      <c r="J9" s="418"/>
      <c r="K9" s="418"/>
      <c r="L9" s="418"/>
      <c r="M9" s="418"/>
      <c r="N9" s="418"/>
      <c r="O9" s="437"/>
    </row>
    <row r="10" spans="1:15" x14ac:dyDescent="0.3">
      <c r="A10" s="424" t="s">
        <v>14</v>
      </c>
      <c r="B10" s="425" t="s">
        <v>19</v>
      </c>
      <c r="C10" s="425" t="s">
        <v>20</v>
      </c>
      <c r="D10" s="425" t="s">
        <v>21</v>
      </c>
      <c r="E10" s="425" t="s">
        <v>22</v>
      </c>
      <c r="F10" s="425" t="s">
        <v>23</v>
      </c>
      <c r="G10" s="425" t="s">
        <v>24</v>
      </c>
      <c r="H10" s="425" t="s">
        <v>25</v>
      </c>
      <c r="I10" s="425" t="s">
        <v>26</v>
      </c>
      <c r="J10" s="425" t="s">
        <v>27</v>
      </c>
      <c r="K10" s="425" t="s">
        <v>28</v>
      </c>
      <c r="L10" s="425" t="s">
        <v>29</v>
      </c>
      <c r="M10" s="425" t="s">
        <v>17</v>
      </c>
      <c r="N10" s="425" t="s">
        <v>18</v>
      </c>
      <c r="O10" s="437"/>
    </row>
    <row r="11" spans="1:15" ht="28.8" x14ac:dyDescent="0.3">
      <c r="A11" s="441">
        <v>10</v>
      </c>
      <c r="B11" s="442" t="s">
        <v>278</v>
      </c>
      <c r="C11" s="443" t="s">
        <v>279</v>
      </c>
      <c r="D11" s="444">
        <v>2.25</v>
      </c>
      <c r="E11" s="445">
        <f>J11*K11*L11</f>
        <v>5.3537000000000001E-2</v>
      </c>
      <c r="F11" s="446" t="s">
        <v>212</v>
      </c>
      <c r="G11" s="446"/>
      <c r="H11" s="447"/>
      <c r="I11" s="448" t="s">
        <v>280</v>
      </c>
      <c r="J11" s="449">
        <f>0.062*0.022</f>
        <v>1.364E-3</v>
      </c>
      <c r="K11" s="449">
        <v>5.0000000000000001E-3</v>
      </c>
      <c r="L11" s="450">
        <v>7850</v>
      </c>
      <c r="M11" s="450">
        <v>1</v>
      </c>
      <c r="N11" s="451">
        <f>IF(J11="",D11*M11,D11*J11*K11*L11*M11)</f>
        <v>0.12045825</v>
      </c>
      <c r="O11" s="437"/>
    </row>
    <row r="12" spans="1:15" x14ac:dyDescent="0.3">
      <c r="A12" s="441">
        <v>20</v>
      </c>
      <c r="B12" s="442" t="s">
        <v>281</v>
      </c>
      <c r="C12" s="443"/>
      <c r="D12" s="426">
        <v>10</v>
      </c>
      <c r="E12" s="427">
        <f>2*J11</f>
        <v>2.728E-3</v>
      </c>
      <c r="F12" s="452" t="s">
        <v>276</v>
      </c>
      <c r="G12" s="446"/>
      <c r="H12" s="447"/>
      <c r="I12" s="448"/>
      <c r="J12" s="449"/>
      <c r="K12" s="447"/>
      <c r="L12" s="450"/>
      <c r="M12" s="450"/>
      <c r="N12" s="451">
        <f>E12*D12</f>
        <v>2.7279999999999999E-2</v>
      </c>
      <c r="O12" s="437"/>
    </row>
    <row r="13" spans="1:15" x14ac:dyDescent="0.3">
      <c r="A13" s="428"/>
      <c r="B13" s="429"/>
      <c r="C13" s="429"/>
      <c r="D13" s="429"/>
      <c r="E13" s="429"/>
      <c r="F13" s="429"/>
      <c r="G13" s="429"/>
      <c r="H13" s="429"/>
      <c r="I13" s="429"/>
      <c r="J13" s="429"/>
      <c r="K13" s="429"/>
      <c r="L13" s="429"/>
      <c r="M13" s="430" t="s">
        <v>18</v>
      </c>
      <c r="N13" s="300">
        <f>SUM(N11:N12)</f>
        <v>0.14773825000000002</v>
      </c>
      <c r="O13" s="437"/>
    </row>
    <row r="14" spans="1:15" x14ac:dyDescent="0.3">
      <c r="A14" s="423"/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8"/>
      <c r="M14" s="418"/>
      <c r="N14" s="418"/>
      <c r="O14" s="437"/>
    </row>
    <row r="15" spans="1:15" x14ac:dyDescent="0.3">
      <c r="A15" s="424" t="s">
        <v>14</v>
      </c>
      <c r="B15" s="425" t="s">
        <v>31</v>
      </c>
      <c r="C15" s="425" t="s">
        <v>20</v>
      </c>
      <c r="D15" s="425" t="s">
        <v>21</v>
      </c>
      <c r="E15" s="425" t="s">
        <v>32</v>
      </c>
      <c r="F15" s="425" t="s">
        <v>17</v>
      </c>
      <c r="G15" s="425" t="s">
        <v>33</v>
      </c>
      <c r="H15" s="425" t="s">
        <v>34</v>
      </c>
      <c r="I15" s="425" t="s">
        <v>18</v>
      </c>
      <c r="J15" s="429"/>
      <c r="K15" s="429"/>
      <c r="L15" s="429"/>
      <c r="M15" s="429"/>
      <c r="N15" s="429"/>
      <c r="O15" s="437"/>
    </row>
    <row r="16" spans="1:15" ht="57.6" x14ac:dyDescent="0.3">
      <c r="A16" s="453">
        <v>10</v>
      </c>
      <c r="B16" s="454" t="s">
        <v>39</v>
      </c>
      <c r="C16" s="455" t="s">
        <v>282</v>
      </c>
      <c r="D16" s="456">
        <v>1.3</v>
      </c>
      <c r="E16" s="454" t="s">
        <v>32</v>
      </c>
      <c r="F16" s="311">
        <v>1</v>
      </c>
      <c r="G16" s="455" t="s">
        <v>294</v>
      </c>
      <c r="H16" s="457">
        <v>0.5</v>
      </c>
      <c r="I16" s="458">
        <f>H16*D16</f>
        <v>0.65</v>
      </c>
      <c r="J16" s="311"/>
      <c r="K16" s="418"/>
      <c r="L16" s="418"/>
      <c r="M16" s="418"/>
      <c r="N16" s="418"/>
      <c r="O16" s="437"/>
    </row>
    <row r="17" spans="1:15" x14ac:dyDescent="0.3">
      <c r="A17" s="459">
        <v>20</v>
      </c>
      <c r="B17" s="460" t="s">
        <v>283</v>
      </c>
      <c r="C17" s="308"/>
      <c r="D17" s="456">
        <v>0.01</v>
      </c>
      <c r="E17" s="460" t="s">
        <v>40</v>
      </c>
      <c r="F17" s="461">
        <v>15.8</v>
      </c>
      <c r="G17" s="454"/>
      <c r="H17" s="457"/>
      <c r="I17" s="458">
        <f>IF(H17="",D17*F17,D17*F17*H17)</f>
        <v>0.158</v>
      </c>
      <c r="J17" s="311"/>
      <c r="K17" s="418"/>
      <c r="L17" s="418"/>
      <c r="M17" s="418"/>
      <c r="N17" s="418"/>
      <c r="O17" s="437"/>
    </row>
    <row r="18" spans="1:15" ht="43.2" x14ac:dyDescent="0.3">
      <c r="A18" s="453">
        <v>30</v>
      </c>
      <c r="B18" s="462" t="s">
        <v>39</v>
      </c>
      <c r="C18" s="463"/>
      <c r="D18" s="464">
        <v>0.65</v>
      </c>
      <c r="E18" s="463" t="s">
        <v>32</v>
      </c>
      <c r="F18" s="463">
        <v>1</v>
      </c>
      <c r="G18" s="455" t="s">
        <v>294</v>
      </c>
      <c r="H18" s="463">
        <v>0.5</v>
      </c>
      <c r="I18" s="465">
        <f t="shared" ref="I18:I19" si="0">IF(H18="",D18*F18,D18*F18*H18)</f>
        <v>0.32500000000000001</v>
      </c>
      <c r="J18" s="311"/>
      <c r="K18" s="418"/>
      <c r="L18" s="418"/>
      <c r="M18" s="418"/>
      <c r="N18" s="418"/>
      <c r="O18" s="437"/>
    </row>
    <row r="19" spans="1:15" x14ac:dyDescent="0.3">
      <c r="A19" s="459">
        <v>40</v>
      </c>
      <c r="B19" s="463" t="s">
        <v>159</v>
      </c>
      <c r="C19" s="463" t="s">
        <v>293</v>
      </c>
      <c r="D19" s="464">
        <v>0.04</v>
      </c>
      <c r="E19" s="463" t="s">
        <v>161</v>
      </c>
      <c r="F19" s="463">
        <v>1</v>
      </c>
      <c r="G19" s="463" t="s">
        <v>268</v>
      </c>
      <c r="H19" s="463">
        <v>3</v>
      </c>
      <c r="I19" s="465">
        <f t="shared" si="0"/>
        <v>0.12</v>
      </c>
      <c r="J19" s="314"/>
      <c r="K19" s="429"/>
      <c r="L19" s="429"/>
      <c r="M19" s="429"/>
      <c r="N19" s="429"/>
      <c r="O19" s="437"/>
    </row>
    <row r="20" spans="1:15" ht="28.8" x14ac:dyDescent="0.3">
      <c r="A20" s="453">
        <v>50</v>
      </c>
      <c r="B20" s="454" t="s">
        <v>233</v>
      </c>
      <c r="C20" s="308" t="s">
        <v>284</v>
      </c>
      <c r="D20" s="315">
        <v>5.25</v>
      </c>
      <c r="E20" s="454" t="s">
        <v>276</v>
      </c>
      <c r="F20" s="466">
        <f>J11</f>
        <v>1.364E-3</v>
      </c>
      <c r="G20" s="454"/>
      <c r="H20" s="457"/>
      <c r="I20" s="465">
        <f>F20*D20</f>
        <v>7.1609999999999998E-3</v>
      </c>
      <c r="J20" s="467"/>
      <c r="K20" s="468"/>
      <c r="L20" s="468"/>
      <c r="M20" s="468"/>
      <c r="N20" s="468"/>
      <c r="O20" s="437"/>
    </row>
    <row r="21" spans="1:15" x14ac:dyDescent="0.3">
      <c r="A21" s="428"/>
      <c r="B21" s="429"/>
      <c r="C21" s="429"/>
      <c r="D21" s="429"/>
      <c r="E21" s="429"/>
      <c r="F21" s="429"/>
      <c r="G21" s="429"/>
      <c r="H21" s="430" t="s">
        <v>18</v>
      </c>
      <c r="I21" s="302">
        <f>SUM(I16:I20)</f>
        <v>1.2601610000000001</v>
      </c>
      <c r="J21" s="468"/>
      <c r="K21" s="468"/>
      <c r="L21" s="468"/>
      <c r="M21" s="468"/>
      <c r="N21" s="468"/>
      <c r="O21" s="437"/>
    </row>
    <row r="22" spans="1:15" ht="15" thickBot="1" x14ac:dyDescent="0.35">
      <c r="A22" s="469"/>
      <c r="B22" s="470"/>
      <c r="C22" s="470"/>
      <c r="D22" s="470"/>
      <c r="E22" s="470"/>
      <c r="F22" s="470"/>
      <c r="G22" s="470"/>
      <c r="H22" s="470"/>
      <c r="I22" s="470"/>
      <c r="J22" s="470"/>
      <c r="K22" s="470"/>
      <c r="L22" s="470"/>
      <c r="M22" s="470"/>
      <c r="N22" s="470"/>
      <c r="O22" s="471"/>
    </row>
  </sheetData>
  <hyperlinks>
    <hyperlink ref="B4" location="SU_A0200" display="Lower Front A-arm"/>
    <hyperlink ref="F2" location="SU_A0200_BOM" display="Back to BOM"/>
    <hyperlink ref="E3" location="dSU_01007" display="Drawing"/>
  </hyperlink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"/>
  <sheetViews>
    <sheetView workbookViewId="0">
      <selection activeCell="A3" sqref="A3"/>
    </sheetView>
  </sheetViews>
  <sheetFormatPr baseColWidth="10" defaultRowHeight="14.4" x14ac:dyDescent="0.3"/>
  <sheetData>
    <row r="1" spans="1:1" x14ac:dyDescent="0.3">
      <c r="A1" t="s">
        <v>304</v>
      </c>
    </row>
  </sheetData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65"/>
  <sheetViews>
    <sheetView zoomScale="70" zoomScaleNormal="70" zoomScaleSheetLayoutView="80" workbookViewId="0">
      <selection activeCell="E2" sqref="E2"/>
    </sheetView>
  </sheetViews>
  <sheetFormatPr baseColWidth="10" defaultColWidth="9.109375" defaultRowHeight="14.4" x14ac:dyDescent="0.3"/>
  <cols>
    <col min="1" max="1" width="9.109375" style="155"/>
    <col min="2" max="2" width="57.109375" style="155" customWidth="1"/>
    <col min="3" max="3" width="55.6640625" style="155" customWidth="1"/>
    <col min="4" max="4" width="9.109375" style="155"/>
    <col min="5" max="5" width="9.5546875" style="155" customWidth="1"/>
    <col min="6" max="13" width="9.109375" style="155"/>
    <col min="14" max="14" width="11.5546875" style="155" customWidth="1"/>
    <col min="15" max="15" width="5.33203125" style="155" customWidth="1"/>
    <col min="16" max="16384" width="9.109375" style="155"/>
  </cols>
  <sheetData>
    <row r="1" spans="1:15" x14ac:dyDescent="0.3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5" x14ac:dyDescent="0.3">
      <c r="A2" s="156" t="s">
        <v>0</v>
      </c>
      <c r="B2" s="157" t="s">
        <v>37</v>
      </c>
      <c r="C2" s="158"/>
      <c r="D2" s="158"/>
      <c r="E2" s="88" t="s">
        <v>126</v>
      </c>
      <c r="F2" s="158"/>
      <c r="G2" s="158"/>
      <c r="H2" s="158"/>
      <c r="I2" s="158"/>
      <c r="J2" s="156" t="s">
        <v>1</v>
      </c>
      <c r="K2" s="159">
        <v>81</v>
      </c>
      <c r="L2" s="158"/>
      <c r="M2" s="156" t="s">
        <v>2</v>
      </c>
      <c r="N2" s="95">
        <f>SU_A0300_pa+SU_A0300_m+SU_A0300_p+SU_A0300_f</f>
        <v>82.223174550187338</v>
      </c>
      <c r="O2" s="160"/>
    </row>
    <row r="3" spans="1:15" x14ac:dyDescent="0.3">
      <c r="A3" s="156" t="s">
        <v>3</v>
      </c>
      <c r="B3" s="157" t="s">
        <v>129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6" t="s">
        <v>4</v>
      </c>
      <c r="N3" s="82">
        <v>2</v>
      </c>
      <c r="O3" s="160"/>
    </row>
    <row r="4" spans="1:15" x14ac:dyDescent="0.3">
      <c r="A4" s="156" t="s">
        <v>5</v>
      </c>
      <c r="B4" s="161" t="s">
        <v>197</v>
      </c>
      <c r="C4" s="158"/>
      <c r="D4" s="158"/>
      <c r="E4" s="158"/>
      <c r="F4" s="158"/>
      <c r="G4" s="158"/>
      <c r="H4" s="158"/>
      <c r="I4" s="158"/>
      <c r="J4" s="162" t="s">
        <v>6</v>
      </c>
      <c r="K4" s="158"/>
      <c r="L4" s="158"/>
      <c r="M4" s="158"/>
      <c r="N4" s="158"/>
      <c r="O4" s="160"/>
    </row>
    <row r="5" spans="1:15" x14ac:dyDescent="0.3">
      <c r="A5" s="156" t="s">
        <v>7</v>
      </c>
      <c r="B5" s="163" t="s">
        <v>198</v>
      </c>
      <c r="C5" s="158"/>
      <c r="D5" s="158"/>
      <c r="E5" s="158"/>
      <c r="F5" s="158"/>
      <c r="G5" s="158"/>
      <c r="H5" s="158"/>
      <c r="I5" s="158"/>
      <c r="J5" s="162" t="s">
        <v>8</v>
      </c>
      <c r="K5" s="158"/>
      <c r="L5" s="158"/>
      <c r="M5" s="156" t="s">
        <v>9</v>
      </c>
      <c r="N5" s="74">
        <f>N2*N3</f>
        <v>164.44634910037468</v>
      </c>
      <c r="O5" s="160"/>
    </row>
    <row r="6" spans="1:15" x14ac:dyDescent="0.3">
      <c r="A6" s="156" t="s">
        <v>10</v>
      </c>
      <c r="B6" s="157"/>
      <c r="C6" s="158"/>
      <c r="D6" s="158"/>
      <c r="E6" s="158"/>
      <c r="F6" s="158"/>
      <c r="G6" s="158"/>
      <c r="H6" s="158"/>
      <c r="I6" s="158"/>
      <c r="J6" s="162" t="s">
        <v>12</v>
      </c>
      <c r="K6" s="158"/>
      <c r="L6" s="158"/>
      <c r="M6" s="158"/>
      <c r="N6" s="158"/>
      <c r="O6" s="160"/>
    </row>
    <row r="7" spans="1:15" x14ac:dyDescent="0.3">
      <c r="A7" s="156" t="s">
        <v>13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60"/>
    </row>
    <row r="8" spans="1:15" x14ac:dyDescent="0.3">
      <c r="A8" s="164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60"/>
    </row>
    <row r="9" spans="1:15" x14ac:dyDescent="0.3">
      <c r="A9" s="156" t="s">
        <v>14</v>
      </c>
      <c r="B9" s="156" t="s">
        <v>15</v>
      </c>
      <c r="C9" s="156" t="s">
        <v>16</v>
      </c>
      <c r="D9" s="156" t="s">
        <v>17</v>
      </c>
      <c r="E9" s="156" t="s">
        <v>18</v>
      </c>
      <c r="F9" s="158"/>
      <c r="G9" s="158"/>
      <c r="H9" s="158"/>
      <c r="I9" s="158"/>
      <c r="J9" s="158"/>
      <c r="K9" s="158"/>
      <c r="L9" s="158"/>
      <c r="M9" s="158"/>
      <c r="N9" s="158"/>
      <c r="O9" s="160"/>
    </row>
    <row r="10" spans="1:15" x14ac:dyDescent="0.3">
      <c r="A10" s="165">
        <v>10</v>
      </c>
      <c r="B10" s="86" t="str">
        <f>'SU 03001'!B5</f>
        <v>Upper Back Bearing Support</v>
      </c>
      <c r="C10" s="74">
        <f>'SU 03001'!N2</f>
        <v>16.4854905344</v>
      </c>
      <c r="D10" s="166">
        <f>SU_03001_q</f>
        <v>1</v>
      </c>
      <c r="E10" s="74">
        <f t="shared" ref="E10:E20" si="0">C10*D10</f>
        <v>16.4854905344</v>
      </c>
      <c r="F10" s="158"/>
      <c r="G10" s="158"/>
      <c r="H10" s="158"/>
      <c r="I10" s="158"/>
      <c r="J10" s="158"/>
      <c r="K10" s="158"/>
      <c r="L10" s="158"/>
      <c r="M10" s="158"/>
      <c r="N10" s="158"/>
      <c r="O10" s="160"/>
    </row>
    <row r="11" spans="1:15" x14ac:dyDescent="0.3">
      <c r="A11" s="165">
        <v>20</v>
      </c>
      <c r="B11" s="86" t="str">
        <f>'SU 03002'!B5</f>
        <v>Inner Bearing Support</v>
      </c>
      <c r="C11" s="74">
        <f>'SU 03002'!N2</f>
        <v>3.3353805440000004</v>
      </c>
      <c r="D11" s="166">
        <f>SU_03002_q</f>
        <v>2</v>
      </c>
      <c r="E11" s="74">
        <f t="shared" si="0"/>
        <v>6.6707610880000008</v>
      </c>
      <c r="F11" s="161"/>
      <c r="G11" s="161"/>
      <c r="H11" s="161"/>
      <c r="I11" s="161"/>
      <c r="J11" s="161"/>
      <c r="K11" s="161"/>
      <c r="L11" s="161"/>
      <c r="M11" s="161"/>
      <c r="N11" s="161"/>
      <c r="O11" s="160"/>
    </row>
    <row r="12" spans="1:15" x14ac:dyDescent="0.3">
      <c r="A12" s="165">
        <v>30</v>
      </c>
      <c r="B12" s="86" t="str">
        <f>'SU 03003'!B5</f>
        <v>Upper Back A-arm tube (Front)  Carbon Fiber Tube</v>
      </c>
      <c r="C12" s="74">
        <f>'SU 03003'!N2</f>
        <v>10.876934879999999</v>
      </c>
      <c r="D12" s="166">
        <f>SU_03003_q</f>
        <v>1</v>
      </c>
      <c r="E12" s="74">
        <f t="shared" si="0"/>
        <v>10.876934879999999</v>
      </c>
      <c r="F12" s="161"/>
      <c r="G12" s="161"/>
      <c r="H12" s="161"/>
      <c r="I12" s="161"/>
      <c r="J12" s="161"/>
      <c r="K12" s="161"/>
      <c r="L12" s="161"/>
      <c r="M12" s="161"/>
      <c r="N12" s="161"/>
      <c r="O12" s="64"/>
    </row>
    <row r="13" spans="1:15" s="167" customFormat="1" x14ac:dyDescent="0.3">
      <c r="A13" s="165">
        <v>40</v>
      </c>
      <c r="B13" s="86" t="str">
        <f>'SU 03004'!B5</f>
        <v>Upper Back A-arm tube (Back)  Carbon Fiber Tube</v>
      </c>
      <c r="C13" s="74">
        <f>'SU 03004'!N2</f>
        <v>4.3445228399999989</v>
      </c>
      <c r="D13" s="166">
        <f>SU_03004_q</f>
        <v>1</v>
      </c>
      <c r="E13" s="74">
        <f t="shared" si="0"/>
        <v>4.3445228399999989</v>
      </c>
      <c r="F13" s="161"/>
      <c r="G13" s="161"/>
      <c r="H13" s="161"/>
      <c r="I13" s="161"/>
      <c r="J13" s="161"/>
      <c r="K13" s="161"/>
      <c r="L13" s="161"/>
      <c r="M13" s="161"/>
      <c r="N13" s="161"/>
      <c r="O13" s="64"/>
    </row>
    <row r="14" spans="1:15" s="167" customFormat="1" x14ac:dyDescent="0.3">
      <c r="A14" s="165">
        <v>50</v>
      </c>
      <c r="B14" s="86" t="str">
        <f>'SU 03005'!B5</f>
        <v>Spacer 1</v>
      </c>
      <c r="C14" s="74">
        <f>'SU 03005'!N2</f>
        <v>2.6577472800000002</v>
      </c>
      <c r="D14" s="166">
        <f>SU_03005_q</f>
        <v>2</v>
      </c>
      <c r="E14" s="74">
        <f t="shared" si="0"/>
        <v>5.3154945600000003</v>
      </c>
      <c r="F14" s="161"/>
      <c r="G14" s="161"/>
      <c r="H14" s="161"/>
      <c r="I14" s="161"/>
      <c r="J14" s="161"/>
      <c r="K14" s="161"/>
      <c r="L14" s="161"/>
      <c r="M14" s="161"/>
      <c r="N14" s="161"/>
      <c r="O14" s="168"/>
    </row>
    <row r="15" spans="1:15" s="167" customFormat="1" x14ac:dyDescent="0.3">
      <c r="A15" s="165">
        <v>60</v>
      </c>
      <c r="B15" s="86" t="str">
        <f>'SU 03006'!B5</f>
        <v>Spacer 2</v>
      </c>
      <c r="C15" s="74">
        <f>'SU 03006'!N2</f>
        <v>1.1551782399999999</v>
      </c>
      <c r="D15" s="166">
        <f>SU_03006_q</f>
        <v>4</v>
      </c>
      <c r="E15" s="74"/>
      <c r="F15" s="161"/>
      <c r="G15" s="161"/>
      <c r="H15" s="161"/>
      <c r="I15" s="161"/>
      <c r="J15" s="161"/>
      <c r="K15" s="161"/>
      <c r="L15" s="161"/>
      <c r="M15" s="161"/>
      <c r="N15" s="161"/>
      <c r="O15" s="168"/>
    </row>
    <row r="16" spans="1:15" s="167" customFormat="1" x14ac:dyDescent="0.3">
      <c r="A16" s="165">
        <v>70</v>
      </c>
      <c r="B16" s="86" t="str">
        <f>'SU 03007'!B5</f>
        <v>Outboard A-arm Insert</v>
      </c>
      <c r="C16" s="74">
        <f>'SU 03007'!N2</f>
        <v>0.47719727680000001</v>
      </c>
      <c r="D16" s="166">
        <f>SU_03007_q</f>
        <v>2</v>
      </c>
      <c r="E16" s="74">
        <f t="shared" si="0"/>
        <v>0.95439455360000003</v>
      </c>
      <c r="F16" s="161"/>
      <c r="G16" s="161"/>
      <c r="H16" s="161"/>
      <c r="I16" s="161"/>
      <c r="J16" s="161"/>
      <c r="K16" s="161"/>
      <c r="L16" s="161"/>
      <c r="M16" s="161"/>
      <c r="N16" s="161"/>
      <c r="O16" s="168"/>
    </row>
    <row r="17" spans="1:15" s="17" customFormat="1" x14ac:dyDescent="0.3">
      <c r="A17" s="497">
        <v>80</v>
      </c>
      <c r="B17" s="577" t="str">
        <f>'SU 03008'!B5</f>
        <v>Front up bracket</v>
      </c>
      <c r="C17" s="503">
        <f>'SU 03008'!N2</f>
        <v>1.3808240000000001</v>
      </c>
      <c r="D17" s="487">
        <f>SU_03008_q</f>
        <v>2</v>
      </c>
      <c r="E17" s="503">
        <f t="shared" si="0"/>
        <v>2.7616480000000001</v>
      </c>
      <c r="F17" s="353"/>
      <c r="G17" s="353"/>
      <c r="H17" s="353"/>
      <c r="I17" s="353"/>
      <c r="J17" s="353"/>
      <c r="K17" s="353"/>
      <c r="L17" s="353"/>
      <c r="M17" s="353"/>
      <c r="N17" s="353"/>
      <c r="O17" s="358"/>
    </row>
    <row r="18" spans="1:15" s="17" customFormat="1" x14ac:dyDescent="0.3">
      <c r="A18" s="497">
        <v>90</v>
      </c>
      <c r="B18" s="577" t="str">
        <f>'SU 03009'!B5</f>
        <v>Front down bracket</v>
      </c>
      <c r="C18" s="503">
        <f>'SU 03009'!N2</f>
        <v>1.3808240000000001</v>
      </c>
      <c r="D18" s="487">
        <f>SU_03009_q</f>
        <v>2</v>
      </c>
      <c r="E18" s="503">
        <f t="shared" si="0"/>
        <v>2.7616480000000001</v>
      </c>
      <c r="F18" s="353"/>
      <c r="G18" s="353"/>
      <c r="H18" s="353"/>
      <c r="I18" s="353"/>
      <c r="J18" s="353"/>
      <c r="K18" s="353"/>
      <c r="L18" s="353"/>
      <c r="M18" s="353"/>
      <c r="N18" s="353"/>
      <c r="O18" s="358"/>
    </row>
    <row r="19" spans="1:15" s="17" customFormat="1" x14ac:dyDescent="0.3">
      <c r="A19" s="497">
        <v>100</v>
      </c>
      <c r="B19" s="577" t="str">
        <f>'SU 03010'!B5</f>
        <v>Rear up bracket</v>
      </c>
      <c r="C19" s="503">
        <f>'SU 03010'!N2</f>
        <v>1.3808240000000001</v>
      </c>
      <c r="D19" s="487">
        <f>SU_03010_q</f>
        <v>2</v>
      </c>
      <c r="E19" s="503">
        <f t="shared" si="0"/>
        <v>2.7616480000000001</v>
      </c>
      <c r="F19" s="353"/>
      <c r="G19" s="353"/>
      <c r="H19" s="353"/>
      <c r="I19" s="353"/>
      <c r="J19" s="353"/>
      <c r="K19" s="353"/>
      <c r="L19" s="353"/>
      <c r="M19" s="353"/>
      <c r="N19" s="353"/>
      <c r="O19" s="358"/>
    </row>
    <row r="20" spans="1:15" s="17" customFormat="1" x14ac:dyDescent="0.3">
      <c r="A20" s="497">
        <v>110</v>
      </c>
      <c r="B20" s="577" t="str">
        <f>'SU 03011'!B5</f>
        <v>Rear down bracket</v>
      </c>
      <c r="C20" s="503">
        <f>'SU 03011'!N2</f>
        <v>1.3808240000000001</v>
      </c>
      <c r="D20" s="487">
        <f>SU_03011_q</f>
        <v>2</v>
      </c>
      <c r="E20" s="503">
        <f t="shared" si="0"/>
        <v>2.7616480000000001</v>
      </c>
      <c r="F20" s="353"/>
      <c r="G20" s="353"/>
      <c r="H20" s="353"/>
      <c r="I20" s="353"/>
      <c r="J20" s="353"/>
      <c r="K20" s="353"/>
      <c r="L20" s="353"/>
      <c r="M20" s="353"/>
      <c r="N20" s="353"/>
      <c r="O20" s="358"/>
    </row>
    <row r="21" spans="1:15" x14ac:dyDescent="0.3">
      <c r="A21" s="164"/>
      <c r="B21" s="158"/>
      <c r="C21" s="158"/>
      <c r="D21" s="169" t="s">
        <v>18</v>
      </c>
      <c r="E21" s="170">
        <f>SUM(E10:E16)</f>
        <v>44.64759845599999</v>
      </c>
      <c r="F21" s="161"/>
      <c r="G21" s="161"/>
      <c r="H21" s="161"/>
      <c r="I21" s="161"/>
      <c r="J21" s="161"/>
      <c r="K21" s="161"/>
      <c r="L21" s="161"/>
      <c r="M21" s="161"/>
      <c r="N21" s="161"/>
      <c r="O21" s="160"/>
    </row>
    <row r="22" spans="1:15" x14ac:dyDescent="0.3">
      <c r="A22" s="164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60"/>
    </row>
    <row r="23" spans="1:15" x14ac:dyDescent="0.3">
      <c r="A23" s="156" t="s">
        <v>14</v>
      </c>
      <c r="B23" s="156" t="s">
        <v>19</v>
      </c>
      <c r="C23" s="156" t="s">
        <v>20</v>
      </c>
      <c r="D23" s="156" t="s">
        <v>21</v>
      </c>
      <c r="E23" s="156" t="s">
        <v>22</v>
      </c>
      <c r="F23" s="156" t="s">
        <v>23</v>
      </c>
      <c r="G23" s="156" t="s">
        <v>24</v>
      </c>
      <c r="H23" s="156" t="s">
        <v>25</v>
      </c>
      <c r="I23" s="156" t="s">
        <v>26</v>
      </c>
      <c r="J23" s="156" t="s">
        <v>27</v>
      </c>
      <c r="K23" s="156" t="s">
        <v>28</v>
      </c>
      <c r="L23" s="156" t="s">
        <v>29</v>
      </c>
      <c r="M23" s="156" t="s">
        <v>17</v>
      </c>
      <c r="N23" s="156" t="s">
        <v>18</v>
      </c>
      <c r="O23" s="160"/>
    </row>
    <row r="24" spans="1:15" ht="14.4" customHeight="1" x14ac:dyDescent="0.3">
      <c r="A24" s="165">
        <v>10</v>
      </c>
      <c r="B24" s="165" t="s">
        <v>131</v>
      </c>
      <c r="C24" s="165"/>
      <c r="D24" s="127">
        <f>0.03*E24^2+5</f>
        <v>6.92</v>
      </c>
      <c r="E24" s="165">
        <v>8</v>
      </c>
      <c r="F24" s="165" t="s">
        <v>30</v>
      </c>
      <c r="G24" s="165"/>
      <c r="H24" s="75"/>
      <c r="I24" s="171"/>
      <c r="J24" s="77"/>
      <c r="K24" s="75"/>
      <c r="L24" s="75"/>
      <c r="M24" s="81">
        <v>3</v>
      </c>
      <c r="N24" s="74">
        <f>M24*D24</f>
        <v>20.759999999999998</v>
      </c>
      <c r="O24" s="160"/>
    </row>
    <row r="25" spans="1:15" s="178" customFormat="1" ht="14.4" customHeight="1" x14ac:dyDescent="0.3">
      <c r="A25" s="165">
        <v>20</v>
      </c>
      <c r="B25" s="172" t="s">
        <v>136</v>
      </c>
      <c r="C25" s="173" t="s">
        <v>137</v>
      </c>
      <c r="D25" s="74"/>
      <c r="E25" s="174"/>
      <c r="F25" s="174"/>
      <c r="G25" s="174"/>
      <c r="H25" s="75"/>
      <c r="I25" s="175"/>
      <c r="J25" s="97"/>
      <c r="K25" s="78"/>
      <c r="L25" s="176"/>
      <c r="M25" s="80"/>
      <c r="N25" s="74">
        <f>M25*D25</f>
        <v>0</v>
      </c>
      <c r="O25" s="177"/>
    </row>
    <row r="26" spans="1:15" ht="14.4" customHeight="1" x14ac:dyDescent="0.3">
      <c r="A26" s="165">
        <v>30</v>
      </c>
      <c r="B26" s="172" t="s">
        <v>136</v>
      </c>
      <c r="C26" s="173" t="s">
        <v>138</v>
      </c>
      <c r="D26" s="74"/>
      <c r="E26" s="165"/>
      <c r="F26" s="165"/>
      <c r="G26" s="165"/>
      <c r="H26" s="75"/>
      <c r="I26" s="80"/>
      <c r="J26" s="81"/>
      <c r="K26" s="75"/>
      <c r="L26" s="176"/>
      <c r="M26" s="75"/>
      <c r="N26" s="74">
        <f>M26*D26</f>
        <v>0</v>
      </c>
      <c r="O26" s="160"/>
    </row>
    <row r="27" spans="1:15" x14ac:dyDescent="0.3">
      <c r="A27" s="179"/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56" t="s">
        <v>18</v>
      </c>
      <c r="N27" s="170">
        <f>SUM(N24:N26)</f>
        <v>20.759999999999998</v>
      </c>
      <c r="O27" s="160"/>
    </row>
    <row r="28" spans="1:15" x14ac:dyDescent="0.3">
      <c r="A28" s="164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60"/>
    </row>
    <row r="29" spans="1:15" s="182" customFormat="1" x14ac:dyDescent="0.3">
      <c r="A29" s="156" t="s">
        <v>14</v>
      </c>
      <c r="B29" s="156" t="s">
        <v>31</v>
      </c>
      <c r="C29" s="156" t="s">
        <v>20</v>
      </c>
      <c r="D29" s="156" t="s">
        <v>21</v>
      </c>
      <c r="E29" s="156" t="s">
        <v>32</v>
      </c>
      <c r="F29" s="156" t="s">
        <v>17</v>
      </c>
      <c r="G29" s="156" t="s">
        <v>33</v>
      </c>
      <c r="H29" s="156" t="s">
        <v>34</v>
      </c>
      <c r="I29" s="156" t="s">
        <v>18</v>
      </c>
      <c r="J29" s="180"/>
      <c r="K29" s="180"/>
      <c r="L29" s="180"/>
      <c r="M29" s="180"/>
      <c r="N29" s="180"/>
      <c r="O29" s="181"/>
    </row>
    <row r="30" spans="1:15" s="184" customFormat="1" x14ac:dyDescent="0.3">
      <c r="A30" s="226">
        <v>10</v>
      </c>
      <c r="B30" s="288" t="s">
        <v>142</v>
      </c>
      <c r="C30" s="227" t="s">
        <v>240</v>
      </c>
      <c r="D30" s="285">
        <v>0.02</v>
      </c>
      <c r="E30" s="226" t="s">
        <v>140</v>
      </c>
      <c r="F30" s="237">
        <v>8.66</v>
      </c>
      <c r="G30" s="237" t="s">
        <v>224</v>
      </c>
      <c r="H30" s="237">
        <v>2</v>
      </c>
      <c r="I30" s="285">
        <f t="shared" ref="I30:I51" si="1">IF(H30="",D30*F30,D30*F30*H30)</f>
        <v>0.34639999999999999</v>
      </c>
      <c r="J30" s="228"/>
      <c r="K30" s="228"/>
      <c r="L30" s="228"/>
      <c r="M30" s="228"/>
      <c r="N30" s="228"/>
      <c r="O30" s="229"/>
    </row>
    <row r="31" spans="1:15" s="184" customFormat="1" x14ac:dyDescent="0.3">
      <c r="A31" s="226">
        <v>20</v>
      </c>
      <c r="B31" s="288" t="s">
        <v>139</v>
      </c>
      <c r="C31" s="227" t="s">
        <v>241</v>
      </c>
      <c r="D31" s="285">
        <v>0.02</v>
      </c>
      <c r="E31" s="226" t="s">
        <v>140</v>
      </c>
      <c r="F31" s="237">
        <v>8.66</v>
      </c>
      <c r="G31" s="237" t="s">
        <v>224</v>
      </c>
      <c r="H31" s="237">
        <v>2</v>
      </c>
      <c r="I31" s="285">
        <f t="shared" si="1"/>
        <v>0.34639999999999999</v>
      </c>
      <c r="J31" s="230"/>
      <c r="K31" s="230"/>
      <c r="L31" s="230"/>
      <c r="M31" s="230"/>
      <c r="N31" s="230"/>
      <c r="O31" s="231"/>
    </row>
    <row r="32" spans="1:15" s="184" customFormat="1" x14ac:dyDescent="0.3">
      <c r="A32" s="226">
        <v>30</v>
      </c>
      <c r="B32" s="288" t="s">
        <v>142</v>
      </c>
      <c r="C32" s="227" t="s">
        <v>243</v>
      </c>
      <c r="D32" s="285">
        <v>0.02</v>
      </c>
      <c r="E32" s="226" t="s">
        <v>140</v>
      </c>
      <c r="F32" s="237">
        <v>8.66</v>
      </c>
      <c r="G32" s="237" t="s">
        <v>224</v>
      </c>
      <c r="H32" s="237">
        <v>2</v>
      </c>
      <c r="I32" s="285">
        <f t="shared" si="1"/>
        <v>0.34639999999999999</v>
      </c>
      <c r="J32" s="228"/>
      <c r="K32" s="228"/>
      <c r="L32" s="228"/>
      <c r="M32" s="228"/>
      <c r="N32" s="228"/>
      <c r="O32" s="229"/>
    </row>
    <row r="33" spans="1:15" s="184" customFormat="1" x14ac:dyDescent="0.3">
      <c r="A33" s="226">
        <v>40</v>
      </c>
      <c r="B33" s="288" t="s">
        <v>225</v>
      </c>
      <c r="C33" s="232" t="s">
        <v>245</v>
      </c>
      <c r="D33" s="285">
        <v>0.06</v>
      </c>
      <c r="E33" s="288" t="s">
        <v>32</v>
      </c>
      <c r="F33" s="237">
        <v>1</v>
      </c>
      <c r="G33" s="237" t="s">
        <v>224</v>
      </c>
      <c r="H33" s="237">
        <v>2</v>
      </c>
      <c r="I33" s="285">
        <f t="shared" si="1"/>
        <v>0.12</v>
      </c>
      <c r="J33" s="230"/>
      <c r="K33" s="230"/>
      <c r="L33" s="230"/>
      <c r="M33" s="230"/>
      <c r="N33" s="230"/>
      <c r="O33" s="231"/>
    </row>
    <row r="34" spans="1:15" s="184" customFormat="1" x14ac:dyDescent="0.3">
      <c r="A34" s="226">
        <v>50</v>
      </c>
      <c r="B34" s="288" t="s">
        <v>142</v>
      </c>
      <c r="C34" s="227" t="s">
        <v>246</v>
      </c>
      <c r="D34" s="285">
        <v>0.02</v>
      </c>
      <c r="E34" s="226" t="s">
        <v>140</v>
      </c>
      <c r="F34" s="237">
        <v>12.43</v>
      </c>
      <c r="G34" s="237" t="s">
        <v>224</v>
      </c>
      <c r="H34" s="237">
        <v>2</v>
      </c>
      <c r="I34" s="285">
        <f t="shared" si="1"/>
        <v>0.49719999999999998</v>
      </c>
      <c r="J34" s="228"/>
      <c r="K34" s="228"/>
      <c r="L34" s="228"/>
      <c r="M34" s="228"/>
      <c r="N34" s="228"/>
      <c r="O34" s="229"/>
    </row>
    <row r="35" spans="1:15" s="184" customFormat="1" x14ac:dyDescent="0.3">
      <c r="A35" s="226">
        <v>60</v>
      </c>
      <c r="B35" s="288" t="s">
        <v>139</v>
      </c>
      <c r="C35" s="227" t="s">
        <v>247</v>
      </c>
      <c r="D35" s="285">
        <v>0.02</v>
      </c>
      <c r="E35" s="226" t="s">
        <v>140</v>
      </c>
      <c r="F35" s="237">
        <v>12.43</v>
      </c>
      <c r="G35" s="237" t="s">
        <v>224</v>
      </c>
      <c r="H35" s="237">
        <v>2</v>
      </c>
      <c r="I35" s="285">
        <f t="shared" si="1"/>
        <v>0.49719999999999998</v>
      </c>
      <c r="J35" s="230"/>
      <c r="K35" s="230"/>
      <c r="L35" s="230"/>
      <c r="M35" s="230"/>
      <c r="N35" s="230"/>
      <c r="O35" s="231"/>
    </row>
    <row r="36" spans="1:15" s="184" customFormat="1" x14ac:dyDescent="0.3">
      <c r="A36" s="226">
        <v>70</v>
      </c>
      <c r="B36" s="288" t="s">
        <v>142</v>
      </c>
      <c r="C36" s="227" t="s">
        <v>226</v>
      </c>
      <c r="D36" s="285">
        <v>0.02</v>
      </c>
      <c r="E36" s="226" t="s">
        <v>140</v>
      </c>
      <c r="F36" s="237">
        <v>12.43</v>
      </c>
      <c r="G36" s="237" t="s">
        <v>224</v>
      </c>
      <c r="H36" s="237">
        <v>2</v>
      </c>
      <c r="I36" s="285">
        <f t="shared" si="1"/>
        <v>0.49719999999999998</v>
      </c>
      <c r="J36" s="228"/>
      <c r="K36" s="228"/>
      <c r="L36" s="228"/>
      <c r="M36" s="228"/>
      <c r="N36" s="228"/>
      <c r="O36" s="229"/>
    </row>
    <row r="37" spans="1:15" s="184" customFormat="1" x14ac:dyDescent="0.3">
      <c r="A37" s="226">
        <v>80</v>
      </c>
      <c r="B37" s="288" t="s">
        <v>225</v>
      </c>
      <c r="C37" s="232" t="s">
        <v>248</v>
      </c>
      <c r="D37" s="285">
        <v>0.14000000000000001</v>
      </c>
      <c r="E37" s="288" t="s">
        <v>32</v>
      </c>
      <c r="F37" s="237">
        <v>1</v>
      </c>
      <c r="G37" s="237" t="s">
        <v>224</v>
      </c>
      <c r="H37" s="237">
        <v>2</v>
      </c>
      <c r="I37" s="285">
        <f t="shared" si="1"/>
        <v>0.28000000000000003</v>
      </c>
      <c r="J37" s="233"/>
      <c r="K37" s="233"/>
      <c r="L37" s="233"/>
      <c r="M37" s="233"/>
      <c r="N37" s="233"/>
      <c r="O37" s="234"/>
    </row>
    <row r="38" spans="1:15" s="184" customFormat="1" x14ac:dyDescent="0.3">
      <c r="A38" s="226">
        <v>90</v>
      </c>
      <c r="B38" s="288" t="s">
        <v>142</v>
      </c>
      <c r="C38" s="227" t="s">
        <v>242</v>
      </c>
      <c r="D38" s="285">
        <v>0.02</v>
      </c>
      <c r="E38" s="226" t="s">
        <v>140</v>
      </c>
      <c r="F38" s="237">
        <v>12.43</v>
      </c>
      <c r="G38" s="237" t="s">
        <v>224</v>
      </c>
      <c r="H38" s="237">
        <v>2</v>
      </c>
      <c r="I38" s="285">
        <f t="shared" si="1"/>
        <v>0.49719999999999998</v>
      </c>
      <c r="J38" s="228"/>
      <c r="K38" s="228"/>
      <c r="L38" s="228"/>
      <c r="M38" s="228"/>
      <c r="N38" s="228"/>
      <c r="O38" s="229"/>
    </row>
    <row r="39" spans="1:15" s="184" customFormat="1" x14ac:dyDescent="0.3">
      <c r="A39" s="226">
        <v>100</v>
      </c>
      <c r="B39" s="288" t="s">
        <v>139</v>
      </c>
      <c r="C39" s="227" t="s">
        <v>244</v>
      </c>
      <c r="D39" s="285">
        <v>0.18</v>
      </c>
      <c r="E39" s="226" t="s">
        <v>140</v>
      </c>
      <c r="F39" s="237">
        <v>12.43</v>
      </c>
      <c r="G39" s="237" t="s">
        <v>224</v>
      </c>
      <c r="H39" s="237">
        <v>2</v>
      </c>
      <c r="I39" s="285">
        <f t="shared" si="1"/>
        <v>4.4748000000000001</v>
      </c>
      <c r="J39" s="233"/>
      <c r="K39" s="233"/>
      <c r="L39" s="233"/>
      <c r="M39" s="233"/>
      <c r="N39" s="233"/>
      <c r="O39" s="229"/>
    </row>
    <row r="40" spans="1:15" s="184" customFormat="1" x14ac:dyDescent="0.3">
      <c r="A40" s="226">
        <v>110</v>
      </c>
      <c r="B40" s="288" t="s">
        <v>142</v>
      </c>
      <c r="C40" s="227" t="s">
        <v>226</v>
      </c>
      <c r="D40" s="285">
        <v>0.02</v>
      </c>
      <c r="E40" s="226" t="s">
        <v>140</v>
      </c>
      <c r="F40" s="237">
        <v>12.43</v>
      </c>
      <c r="G40" s="237" t="s">
        <v>224</v>
      </c>
      <c r="H40" s="237">
        <v>2</v>
      </c>
      <c r="I40" s="285">
        <f t="shared" si="1"/>
        <v>0.49719999999999998</v>
      </c>
      <c r="J40" s="228"/>
      <c r="K40" s="228"/>
      <c r="L40" s="228"/>
      <c r="M40" s="228"/>
      <c r="N40" s="228"/>
      <c r="O40" s="229"/>
    </row>
    <row r="41" spans="1:15" s="184" customFormat="1" x14ac:dyDescent="0.3">
      <c r="A41" s="226">
        <v>120</v>
      </c>
      <c r="B41" s="288" t="s">
        <v>225</v>
      </c>
      <c r="C41" s="232" t="s">
        <v>249</v>
      </c>
      <c r="D41" s="285">
        <v>0.22</v>
      </c>
      <c r="E41" s="288" t="s">
        <v>32</v>
      </c>
      <c r="F41" s="237">
        <v>1</v>
      </c>
      <c r="G41" s="237" t="s">
        <v>224</v>
      </c>
      <c r="H41" s="237">
        <v>2</v>
      </c>
      <c r="I41" s="285">
        <f t="shared" si="1"/>
        <v>0.44</v>
      </c>
      <c r="J41" s="233"/>
      <c r="K41" s="233"/>
      <c r="L41" s="233"/>
      <c r="M41" s="233"/>
      <c r="N41" s="233"/>
      <c r="O41" s="229"/>
    </row>
    <row r="42" spans="1:15" s="184" customFormat="1" x14ac:dyDescent="0.3">
      <c r="A42" s="226">
        <v>130</v>
      </c>
      <c r="B42" s="288" t="s">
        <v>142</v>
      </c>
      <c r="C42" s="227" t="s">
        <v>227</v>
      </c>
      <c r="D42" s="285">
        <v>0.02</v>
      </c>
      <c r="E42" s="226" t="s">
        <v>140</v>
      </c>
      <c r="F42" s="237">
        <v>4.01</v>
      </c>
      <c r="G42" s="237" t="s">
        <v>228</v>
      </c>
      <c r="H42" s="237">
        <v>3</v>
      </c>
      <c r="I42" s="285">
        <f t="shared" si="1"/>
        <v>0.24059999999999998</v>
      </c>
      <c r="J42" s="228"/>
      <c r="K42" s="228"/>
      <c r="L42" s="228"/>
      <c r="M42" s="228"/>
      <c r="N42" s="228"/>
      <c r="O42" s="229"/>
    </row>
    <row r="43" spans="1:15" s="184" customFormat="1" x14ac:dyDescent="0.3">
      <c r="A43" s="226">
        <v>140</v>
      </c>
      <c r="B43" s="235" t="s">
        <v>139</v>
      </c>
      <c r="C43" s="227" t="s">
        <v>229</v>
      </c>
      <c r="D43" s="285">
        <v>0.02</v>
      </c>
      <c r="E43" s="226" t="s">
        <v>140</v>
      </c>
      <c r="F43" s="237">
        <v>4.01</v>
      </c>
      <c r="G43" s="237" t="s">
        <v>228</v>
      </c>
      <c r="H43" s="237">
        <v>3</v>
      </c>
      <c r="I43" s="285">
        <f t="shared" si="1"/>
        <v>0.24059999999999998</v>
      </c>
      <c r="J43" s="233"/>
      <c r="K43" s="233"/>
      <c r="L43" s="233"/>
      <c r="M43" s="233"/>
      <c r="N43" s="233"/>
      <c r="O43" s="229"/>
    </row>
    <row r="44" spans="1:15" s="184" customFormat="1" x14ac:dyDescent="0.3">
      <c r="A44" s="226">
        <v>150</v>
      </c>
      <c r="B44" s="288" t="s">
        <v>225</v>
      </c>
      <c r="C44" s="227" t="s">
        <v>230</v>
      </c>
      <c r="D44" s="285">
        <v>0.3</v>
      </c>
      <c r="E44" s="288" t="s">
        <v>32</v>
      </c>
      <c r="F44" s="237">
        <v>1</v>
      </c>
      <c r="G44" s="237" t="s">
        <v>228</v>
      </c>
      <c r="H44" s="237">
        <v>3</v>
      </c>
      <c r="I44" s="285">
        <f t="shared" si="1"/>
        <v>0.89999999999999991</v>
      </c>
      <c r="J44" s="233"/>
      <c r="K44" s="233"/>
      <c r="L44" s="233"/>
      <c r="M44" s="233"/>
      <c r="N44" s="233"/>
      <c r="O44" s="229"/>
    </row>
    <row r="45" spans="1:15" s="184" customFormat="1" x14ac:dyDescent="0.3">
      <c r="A45" s="226">
        <v>160</v>
      </c>
      <c r="B45" s="226" t="s">
        <v>231</v>
      </c>
      <c r="C45" s="227" t="s">
        <v>232</v>
      </c>
      <c r="D45" s="285">
        <v>0.15</v>
      </c>
      <c r="E45" s="226" t="s">
        <v>140</v>
      </c>
      <c r="F45" s="237">
        <v>22</v>
      </c>
      <c r="G45" s="237"/>
      <c r="H45" s="221"/>
      <c r="I45" s="285">
        <f t="shared" si="1"/>
        <v>3.3</v>
      </c>
      <c r="J45" s="233"/>
      <c r="K45" s="233"/>
      <c r="L45" s="233"/>
      <c r="M45" s="233"/>
      <c r="N45" s="233"/>
      <c r="O45" s="229"/>
    </row>
    <row r="46" spans="1:15" s="184" customFormat="1" x14ac:dyDescent="0.3">
      <c r="A46" s="226">
        <v>170</v>
      </c>
      <c r="B46" s="288" t="s">
        <v>233</v>
      </c>
      <c r="C46" s="232" t="s">
        <v>234</v>
      </c>
      <c r="D46" s="285">
        <v>5.25</v>
      </c>
      <c r="E46" s="288" t="s">
        <v>143</v>
      </c>
      <c r="F46" s="237">
        <v>0.01</v>
      </c>
      <c r="G46" s="237"/>
      <c r="H46" s="221"/>
      <c r="I46" s="285">
        <f t="shared" si="1"/>
        <v>5.2499999999999998E-2</v>
      </c>
      <c r="J46" s="233"/>
      <c r="K46" s="233"/>
      <c r="L46" s="233"/>
      <c r="M46" s="236"/>
      <c r="N46" s="233"/>
      <c r="O46" s="229"/>
    </row>
    <row r="47" spans="1:15" s="184" customFormat="1" x14ac:dyDescent="0.3">
      <c r="A47" s="226">
        <v>180</v>
      </c>
      <c r="B47" s="226" t="s">
        <v>225</v>
      </c>
      <c r="C47" s="227" t="s">
        <v>235</v>
      </c>
      <c r="D47" s="285">
        <v>0.14000000000000001</v>
      </c>
      <c r="E47" s="226" t="s">
        <v>32</v>
      </c>
      <c r="F47" s="237">
        <v>1</v>
      </c>
      <c r="G47" s="237"/>
      <c r="H47" s="221"/>
      <c r="I47" s="285">
        <f t="shared" si="1"/>
        <v>0.14000000000000001</v>
      </c>
      <c r="J47" s="233"/>
      <c r="K47" s="233"/>
      <c r="L47" s="233"/>
      <c r="M47" s="233"/>
      <c r="N47" s="233"/>
      <c r="O47" s="229"/>
    </row>
    <row r="48" spans="1:15" s="184" customFormat="1" x14ac:dyDescent="0.3">
      <c r="A48" s="226">
        <v>190</v>
      </c>
      <c r="B48" s="288" t="s">
        <v>141</v>
      </c>
      <c r="C48" s="232" t="s">
        <v>236</v>
      </c>
      <c r="D48" s="285">
        <v>0.13</v>
      </c>
      <c r="E48" s="288" t="s">
        <v>32</v>
      </c>
      <c r="F48" s="237">
        <v>4</v>
      </c>
      <c r="G48" s="237"/>
      <c r="H48" s="221"/>
      <c r="I48" s="285">
        <f t="shared" si="1"/>
        <v>0.52</v>
      </c>
      <c r="J48" s="233"/>
      <c r="K48" s="233"/>
      <c r="L48" s="233"/>
      <c r="M48" s="233"/>
      <c r="N48" s="233"/>
      <c r="O48" s="229"/>
    </row>
    <row r="49" spans="1:15" s="184" customFormat="1" x14ac:dyDescent="0.3">
      <c r="A49" s="226">
        <v>200</v>
      </c>
      <c r="B49" s="288" t="s">
        <v>141</v>
      </c>
      <c r="C49" s="232" t="s">
        <v>237</v>
      </c>
      <c r="D49" s="285">
        <v>0.13</v>
      </c>
      <c r="E49" s="288" t="s">
        <v>32</v>
      </c>
      <c r="F49" s="237">
        <v>8</v>
      </c>
      <c r="G49" s="237"/>
      <c r="H49" s="221"/>
      <c r="I49" s="285">
        <f t="shared" si="1"/>
        <v>1.04</v>
      </c>
      <c r="J49" s="233"/>
      <c r="K49" s="233"/>
      <c r="L49" s="233"/>
      <c r="M49" s="233"/>
      <c r="N49" s="233"/>
      <c r="O49" s="229"/>
    </row>
    <row r="50" spans="1:15" s="184" customFormat="1" x14ac:dyDescent="0.3">
      <c r="A50" s="226">
        <v>210</v>
      </c>
      <c r="B50" s="226" t="s">
        <v>144</v>
      </c>
      <c r="C50" s="227" t="s">
        <v>238</v>
      </c>
      <c r="D50" s="285">
        <v>0.13</v>
      </c>
      <c r="E50" s="226" t="s">
        <v>32</v>
      </c>
      <c r="F50" s="237">
        <v>2</v>
      </c>
      <c r="G50" s="237"/>
      <c r="H50" s="221"/>
      <c r="I50" s="285">
        <f t="shared" si="1"/>
        <v>0.26</v>
      </c>
      <c r="J50" s="233"/>
      <c r="K50" s="233"/>
      <c r="L50" s="233"/>
      <c r="M50" s="233"/>
      <c r="N50" s="233"/>
      <c r="O50" s="229"/>
    </row>
    <row r="51" spans="1:15" s="184" customFormat="1" x14ac:dyDescent="0.3">
      <c r="A51" s="226">
        <v>220</v>
      </c>
      <c r="B51" s="288" t="s">
        <v>145</v>
      </c>
      <c r="C51" s="232" t="s">
        <v>239</v>
      </c>
      <c r="D51" s="285">
        <v>0.25</v>
      </c>
      <c r="E51" s="288" t="s">
        <v>32</v>
      </c>
      <c r="F51" s="237">
        <v>2</v>
      </c>
      <c r="G51" s="237"/>
      <c r="H51" s="221"/>
      <c r="I51" s="285">
        <f t="shared" si="1"/>
        <v>0.5</v>
      </c>
      <c r="J51" s="233"/>
      <c r="K51" s="233"/>
      <c r="L51" s="233"/>
      <c r="M51" s="233"/>
      <c r="N51" s="233"/>
      <c r="O51" s="234"/>
    </row>
    <row r="52" spans="1:15" x14ac:dyDescent="0.3">
      <c r="A52" s="179"/>
      <c r="B52" s="180"/>
      <c r="C52" s="180"/>
      <c r="D52" s="180"/>
      <c r="E52" s="180"/>
      <c r="F52" s="180"/>
      <c r="G52" s="180"/>
      <c r="H52" s="169" t="s">
        <v>18</v>
      </c>
      <c r="I52" s="170">
        <f>SUM(I30:I51)</f>
        <v>16.033700000000003</v>
      </c>
      <c r="J52" s="158"/>
      <c r="K52" s="158"/>
      <c r="L52" s="158"/>
      <c r="M52" s="158"/>
      <c r="N52" s="158"/>
      <c r="O52" s="160"/>
    </row>
    <row r="53" spans="1:15" x14ac:dyDescent="0.3">
      <c r="A53" s="164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60"/>
    </row>
    <row r="54" spans="1:15" x14ac:dyDescent="0.3">
      <c r="A54" s="156" t="s">
        <v>14</v>
      </c>
      <c r="B54" s="156" t="s">
        <v>36</v>
      </c>
      <c r="C54" s="156" t="s">
        <v>20</v>
      </c>
      <c r="D54" s="156" t="s">
        <v>21</v>
      </c>
      <c r="E54" s="156" t="s">
        <v>22</v>
      </c>
      <c r="F54" s="156" t="s">
        <v>23</v>
      </c>
      <c r="G54" s="156" t="s">
        <v>24</v>
      </c>
      <c r="H54" s="156" t="s">
        <v>25</v>
      </c>
      <c r="I54" s="156" t="s">
        <v>17</v>
      </c>
      <c r="J54" s="156" t="s">
        <v>18</v>
      </c>
      <c r="K54" s="158"/>
      <c r="L54" s="158"/>
      <c r="M54" s="158"/>
      <c r="N54" s="158"/>
      <c r="O54" s="160"/>
    </row>
    <row r="55" spans="1:15" x14ac:dyDescent="0.3">
      <c r="A55" s="172">
        <v>10</v>
      </c>
      <c r="B55" s="172" t="s">
        <v>146</v>
      </c>
      <c r="C55" s="172" t="s">
        <v>147</v>
      </c>
      <c r="D55" s="185">
        <f>0.8/105154*E55^2*G55*SQRT(G55)+(0.003*EXP(0.319*E55))</f>
        <v>0.16167651505774214</v>
      </c>
      <c r="E55" s="172">
        <v>8</v>
      </c>
      <c r="F55" s="130" t="s">
        <v>30</v>
      </c>
      <c r="G55" s="186">
        <v>40</v>
      </c>
      <c r="H55" s="183" t="s">
        <v>30</v>
      </c>
      <c r="I55" s="131">
        <v>2</v>
      </c>
      <c r="J55" s="132">
        <f>D55*I55</f>
        <v>0.32335303011548427</v>
      </c>
      <c r="K55" s="158"/>
      <c r="L55" s="158"/>
      <c r="M55" s="158"/>
      <c r="N55" s="158"/>
      <c r="O55" s="160"/>
    </row>
    <row r="56" spans="1:15" x14ac:dyDescent="0.3">
      <c r="A56" s="172">
        <v>20</v>
      </c>
      <c r="B56" s="172" t="s">
        <v>146</v>
      </c>
      <c r="C56" s="172" t="s">
        <v>148</v>
      </c>
      <c r="D56" s="185">
        <f>0.8/105154*E56^2*G56*SQRT(G56)+(0.003*EXP(0.319*E56))</f>
        <v>0.26479118861318168</v>
      </c>
      <c r="E56" s="172">
        <v>8</v>
      </c>
      <c r="F56" s="130" t="s">
        <v>30</v>
      </c>
      <c r="G56" s="186">
        <v>60</v>
      </c>
      <c r="H56" s="183" t="s">
        <v>30</v>
      </c>
      <c r="I56" s="133">
        <v>1</v>
      </c>
      <c r="J56" s="129">
        <f>D56*I56</f>
        <v>0.26479118861318168</v>
      </c>
      <c r="K56" s="158"/>
      <c r="L56" s="158"/>
      <c r="M56" s="158"/>
      <c r="N56" s="158"/>
      <c r="O56" s="160"/>
    </row>
    <row r="57" spans="1:15" x14ac:dyDescent="0.3">
      <c r="A57" s="172">
        <v>30</v>
      </c>
      <c r="B57" s="172" t="s">
        <v>149</v>
      </c>
      <c r="C57" s="172" t="s">
        <v>150</v>
      </c>
      <c r="D57" s="187">
        <f>(0.009*EXP(0.2*E57))</f>
        <v>4.4577291819556032E-2</v>
      </c>
      <c r="E57" s="172">
        <v>8</v>
      </c>
      <c r="F57" s="130" t="s">
        <v>30</v>
      </c>
      <c r="G57" s="172"/>
      <c r="H57" s="183"/>
      <c r="I57" s="133">
        <v>3</v>
      </c>
      <c r="J57" s="129">
        <f>D57*I57</f>
        <v>0.1337318754586681</v>
      </c>
      <c r="K57" s="158"/>
      <c r="L57" s="158"/>
      <c r="M57" s="158"/>
      <c r="N57" s="158"/>
      <c r="O57" s="160"/>
    </row>
    <row r="58" spans="1:15" x14ac:dyDescent="0.3">
      <c r="A58" s="172">
        <v>40</v>
      </c>
      <c r="B58" s="172" t="s">
        <v>151</v>
      </c>
      <c r="C58" s="172" t="s">
        <v>152</v>
      </c>
      <c r="D58" s="172">
        <v>0.01</v>
      </c>
      <c r="E58" s="172">
        <v>8</v>
      </c>
      <c r="F58" s="130" t="s">
        <v>30</v>
      </c>
      <c r="G58" s="172"/>
      <c r="H58" s="183"/>
      <c r="I58" s="133">
        <v>6</v>
      </c>
      <c r="J58" s="129">
        <f>D58*I58</f>
        <v>0.06</v>
      </c>
      <c r="K58" s="188"/>
      <c r="L58" s="188"/>
      <c r="M58" s="188"/>
      <c r="N58" s="188"/>
      <c r="O58" s="160"/>
    </row>
    <row r="59" spans="1:15" x14ac:dyDescent="0.3">
      <c r="A59" s="179"/>
      <c r="B59" s="180"/>
      <c r="C59" s="180"/>
      <c r="D59" s="180"/>
      <c r="E59" s="180"/>
      <c r="F59" s="180"/>
      <c r="G59" s="180"/>
      <c r="H59" s="180"/>
      <c r="I59" s="169" t="s">
        <v>18</v>
      </c>
      <c r="J59" s="170">
        <f>SUM(J55:J58)</f>
        <v>0.78187609418733417</v>
      </c>
      <c r="K59" s="158"/>
      <c r="L59" s="158"/>
      <c r="M59" s="158"/>
      <c r="N59" s="158"/>
      <c r="O59" s="160"/>
    </row>
    <row r="60" spans="1:15" x14ac:dyDescent="0.3">
      <c r="A60" s="164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60"/>
    </row>
    <row r="61" spans="1:15" s="184" customFormat="1" x14ac:dyDescent="0.3">
      <c r="A61" s="247" t="s">
        <v>14</v>
      </c>
      <c r="B61" s="98" t="s">
        <v>250</v>
      </c>
      <c r="C61" s="98" t="s">
        <v>20</v>
      </c>
      <c r="D61" s="98" t="s">
        <v>21</v>
      </c>
      <c r="E61" s="98" t="s">
        <v>32</v>
      </c>
      <c r="F61" s="98" t="s">
        <v>17</v>
      </c>
      <c r="G61" s="98" t="s">
        <v>251</v>
      </c>
      <c r="H61" s="98" t="s">
        <v>252</v>
      </c>
      <c r="I61" s="98" t="s">
        <v>18</v>
      </c>
      <c r="J61" s="228"/>
      <c r="K61" s="230"/>
      <c r="L61" s="230"/>
      <c r="M61" s="230"/>
      <c r="N61" s="230"/>
      <c r="O61" s="231"/>
    </row>
    <row r="62" spans="1:15" s="184" customFormat="1" x14ac:dyDescent="0.3">
      <c r="A62" s="226">
        <v>10</v>
      </c>
      <c r="B62" s="226" t="s">
        <v>253</v>
      </c>
      <c r="C62" s="226" t="s">
        <v>254</v>
      </c>
      <c r="D62" s="284">
        <v>500</v>
      </c>
      <c r="E62" s="226" t="s">
        <v>255</v>
      </c>
      <c r="F62" s="226">
        <f>8</f>
        <v>8</v>
      </c>
      <c r="G62" s="226">
        <v>3000</v>
      </c>
      <c r="H62" s="226">
        <v>1</v>
      </c>
      <c r="I62" s="286">
        <f>D62*F62/G62*H62</f>
        <v>1.3333333333333333</v>
      </c>
      <c r="J62" s="228"/>
      <c r="K62" s="230"/>
      <c r="L62" s="230"/>
      <c r="M62" s="230"/>
      <c r="N62" s="230"/>
      <c r="O62" s="231"/>
    </row>
    <row r="63" spans="1:15" s="184" customFormat="1" x14ac:dyDescent="0.3">
      <c r="A63" s="250"/>
      <c r="B63" s="228"/>
      <c r="C63" s="228"/>
      <c r="D63" s="228"/>
      <c r="E63" s="228"/>
      <c r="F63" s="228"/>
      <c r="G63" s="228"/>
      <c r="H63" s="252" t="s">
        <v>18</v>
      </c>
      <c r="I63" s="251">
        <f>SUM(I62:I62)</f>
        <v>1.3333333333333333</v>
      </c>
      <c r="J63" s="228"/>
      <c r="K63" s="230"/>
      <c r="L63" s="230"/>
      <c r="M63" s="230"/>
      <c r="N63" s="230"/>
      <c r="O63" s="231"/>
    </row>
    <row r="64" spans="1:15" ht="15" thickBot="1" x14ac:dyDescent="0.35">
      <c r="A64" s="189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1"/>
    </row>
    <row r="65" spans="1:14" x14ac:dyDescent="0.3">
      <c r="A65" s="158"/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</row>
  </sheetData>
  <hyperlinks>
    <hyperlink ref="B10" location="SU_03001" display="SU_03001"/>
    <hyperlink ref="B11:B13" location="BR_01001" display="BR_01001"/>
    <hyperlink ref="B14" location="SU_03005" display="SU_03005"/>
    <hyperlink ref="B16" location="SU_03007" display="SU_03007"/>
    <hyperlink ref="B11" location="SU_03002" display="SU_03002"/>
    <hyperlink ref="B12" location="SU_03003" display="SU_03003"/>
    <hyperlink ref="B13" location="SU_03004" display="SU_03004"/>
    <hyperlink ref="B15" location="SU_03006" display="SU_03006"/>
    <hyperlink ref="E2" location="SU_A0300_BOM" display="Back to BOM"/>
    <hyperlink ref="B17" location="SU_02008" display="SU_02008"/>
    <hyperlink ref="B18" location="SU_02009" display="SU_02009"/>
    <hyperlink ref="B19" location="SU_02010" display="SU_02010"/>
    <hyperlink ref="B20" location="SU_02011" display="SU_02011"/>
  </hyperlinks>
  <pageMargins left="0.7" right="0.7" top="0.75" bottom="0.75" header="0.51180555555555496" footer="0.3"/>
  <pageSetup paperSize="9" scale="37" firstPageNumber="0" fitToHeight="0" orientation="portrait" r:id="rId1"/>
  <headerFooter>
    <oddFooter>&amp;C&amp;P</oddFooter>
  </headerFooter>
  <rowBreaks count="1" manualBreakCount="1">
    <brk id="64" max="16383" man="1"/>
  </rowBreaks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S27"/>
  <sheetViews>
    <sheetView zoomScale="106" zoomScaleNormal="106" workbookViewId="0">
      <selection activeCell="G2" sqref="G2"/>
    </sheetView>
  </sheetViews>
  <sheetFormatPr baseColWidth="10" defaultColWidth="9.109375" defaultRowHeight="14.4" x14ac:dyDescent="0.3"/>
  <cols>
    <col min="1" max="1" width="9.109375" style="155"/>
    <col min="2" max="2" width="17.21875" style="155" customWidth="1"/>
    <col min="3" max="3" width="29.6640625" style="155" customWidth="1"/>
    <col min="4" max="9" width="9.109375" style="155"/>
    <col min="10" max="10" width="12.5546875" style="155" customWidth="1"/>
    <col min="11" max="14" width="9.109375" style="155"/>
    <col min="15" max="15" width="3.109375" style="155" customWidth="1"/>
    <col min="16" max="17" width="9.109375" style="155"/>
    <col min="18" max="19" width="16.33203125" style="155" bestFit="1" customWidth="1"/>
    <col min="20" max="16384" width="9.109375" style="155"/>
  </cols>
  <sheetData>
    <row r="1" spans="1:19" x14ac:dyDescent="0.3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9" x14ac:dyDescent="0.3">
      <c r="A2" s="192" t="s">
        <v>0</v>
      </c>
      <c r="B2" s="157" t="s">
        <v>37</v>
      </c>
      <c r="C2" s="158"/>
      <c r="D2" s="158"/>
      <c r="E2" s="158"/>
      <c r="F2" s="158"/>
      <c r="G2" s="88" t="s">
        <v>126</v>
      </c>
      <c r="H2" s="158"/>
      <c r="I2" s="158"/>
      <c r="J2" s="193" t="s">
        <v>1</v>
      </c>
      <c r="K2" s="159">
        <v>81</v>
      </c>
      <c r="L2" s="158"/>
      <c r="M2" s="192" t="s">
        <v>16</v>
      </c>
      <c r="N2" s="74">
        <f>SU_03001_m+SU_03001_p</f>
        <v>16.4854905344</v>
      </c>
      <c r="O2" s="160"/>
    </row>
    <row r="3" spans="1:19" x14ac:dyDescent="0.3">
      <c r="A3" s="192" t="s">
        <v>3</v>
      </c>
      <c r="B3" s="157" t="str">
        <f>'SU A0300'!B3</f>
        <v>Suspension &amp; Shocks</v>
      </c>
      <c r="C3" s="158"/>
      <c r="D3" s="192" t="s">
        <v>6</v>
      </c>
      <c r="E3" s="89" t="s">
        <v>86</v>
      </c>
      <c r="F3" s="158"/>
      <c r="G3" s="158"/>
      <c r="H3" s="158"/>
      <c r="I3" s="158"/>
      <c r="J3" s="158"/>
      <c r="K3" s="158"/>
      <c r="L3" s="158"/>
      <c r="M3" s="192" t="s">
        <v>4</v>
      </c>
      <c r="N3" s="82">
        <v>1</v>
      </c>
      <c r="O3" s="160"/>
    </row>
    <row r="4" spans="1:19" x14ac:dyDescent="0.3">
      <c r="A4" s="192" t="s">
        <v>5</v>
      </c>
      <c r="B4" s="88" t="s">
        <v>197</v>
      </c>
      <c r="C4" s="158"/>
      <c r="D4" s="192" t="s">
        <v>8</v>
      </c>
      <c r="E4" s="158"/>
      <c r="F4" s="158"/>
      <c r="G4" s="158"/>
      <c r="H4" s="158"/>
      <c r="I4" s="158"/>
      <c r="J4" s="194" t="s">
        <v>6</v>
      </c>
      <c r="K4" s="158"/>
      <c r="L4" s="158"/>
      <c r="M4" s="158"/>
      <c r="N4" s="158"/>
      <c r="O4" s="160"/>
    </row>
    <row r="5" spans="1:19" x14ac:dyDescent="0.3">
      <c r="A5" s="192" t="s">
        <v>15</v>
      </c>
      <c r="B5" s="163" t="s">
        <v>199</v>
      </c>
      <c r="C5" s="158"/>
      <c r="D5" s="192" t="s">
        <v>12</v>
      </c>
      <c r="E5" s="158"/>
      <c r="F5" s="158"/>
      <c r="G5" s="158"/>
      <c r="H5" s="158"/>
      <c r="I5" s="158"/>
      <c r="J5" s="194" t="s">
        <v>8</v>
      </c>
      <c r="K5" s="158"/>
      <c r="L5" s="158"/>
      <c r="M5" s="192" t="s">
        <v>9</v>
      </c>
      <c r="N5" s="74">
        <f>N3*N2</f>
        <v>16.4854905344</v>
      </c>
      <c r="O5" s="160"/>
    </row>
    <row r="6" spans="1:19" x14ac:dyDescent="0.3">
      <c r="A6" s="192" t="s">
        <v>7</v>
      </c>
      <c r="B6" s="195" t="s">
        <v>203</v>
      </c>
      <c r="C6" s="158"/>
      <c r="D6" s="158"/>
      <c r="E6" s="158"/>
      <c r="F6" s="158"/>
      <c r="G6" s="158"/>
      <c r="H6" s="158"/>
      <c r="I6" s="158"/>
      <c r="J6" s="194" t="s">
        <v>12</v>
      </c>
      <c r="K6" s="158"/>
      <c r="L6" s="158"/>
      <c r="M6" s="158"/>
      <c r="N6" s="158"/>
      <c r="O6" s="160"/>
    </row>
    <row r="7" spans="1:19" x14ac:dyDescent="0.3">
      <c r="A7" s="192" t="s">
        <v>10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60"/>
    </row>
    <row r="8" spans="1:19" x14ac:dyDescent="0.3">
      <c r="A8" s="192" t="s">
        <v>13</v>
      </c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60"/>
    </row>
    <row r="9" spans="1:19" x14ac:dyDescent="0.3">
      <c r="A9" s="196"/>
      <c r="B9" s="197"/>
      <c r="C9" s="197"/>
      <c r="D9" s="197"/>
      <c r="E9" s="197"/>
      <c r="F9" s="158"/>
      <c r="G9" s="158"/>
      <c r="H9" s="158"/>
      <c r="I9" s="158"/>
      <c r="J9" s="158"/>
      <c r="K9" s="158"/>
      <c r="L9" s="158"/>
      <c r="M9" s="158"/>
      <c r="N9" s="158"/>
      <c r="O9" s="160"/>
    </row>
    <row r="10" spans="1:19" x14ac:dyDescent="0.3">
      <c r="A10" s="198" t="s">
        <v>14</v>
      </c>
      <c r="B10" s="199" t="s">
        <v>19</v>
      </c>
      <c r="C10" s="199" t="s">
        <v>20</v>
      </c>
      <c r="D10" s="199" t="s">
        <v>21</v>
      </c>
      <c r="E10" s="199" t="s">
        <v>22</v>
      </c>
      <c r="F10" s="200" t="s">
        <v>23</v>
      </c>
      <c r="G10" s="200" t="s">
        <v>24</v>
      </c>
      <c r="H10" s="200" t="s">
        <v>25</v>
      </c>
      <c r="I10" s="200" t="s">
        <v>26</v>
      </c>
      <c r="J10" s="200" t="s">
        <v>27</v>
      </c>
      <c r="K10" s="200" t="s">
        <v>28</v>
      </c>
      <c r="L10" s="200" t="s">
        <v>29</v>
      </c>
      <c r="M10" s="200" t="s">
        <v>17</v>
      </c>
      <c r="N10" s="200" t="s">
        <v>18</v>
      </c>
      <c r="O10" s="160"/>
    </row>
    <row r="11" spans="1:19" s="178" customFormat="1" x14ac:dyDescent="0.3">
      <c r="A11" s="85">
        <v>10</v>
      </c>
      <c r="B11" s="26" t="s">
        <v>132</v>
      </c>
      <c r="C11" s="20" t="s">
        <v>38</v>
      </c>
      <c r="D11" s="289">
        <f>4.2</f>
        <v>4.2</v>
      </c>
      <c r="E11" s="203"/>
      <c r="F11" s="203"/>
      <c r="G11" s="203"/>
      <c r="H11" s="19"/>
      <c r="I11" s="204" t="s">
        <v>133</v>
      </c>
      <c r="J11" s="253">
        <f>63*62/1000000</f>
        <v>3.9060000000000002E-3</v>
      </c>
      <c r="K11" s="591">
        <v>5.6000000000000001E-2</v>
      </c>
      <c r="L11" s="176">
        <v>2712</v>
      </c>
      <c r="M11" s="23">
        <v>1</v>
      </c>
      <c r="N11" s="30">
        <f>D11*M11*L11*K11*J11</f>
        <v>2.4914905344</v>
      </c>
      <c r="O11" s="177"/>
    </row>
    <row r="12" spans="1:19" x14ac:dyDescent="0.3">
      <c r="A12" s="179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205" t="s">
        <v>18</v>
      </c>
      <c r="N12" s="206">
        <f>SUM(N11:N11)</f>
        <v>2.4914905344</v>
      </c>
      <c r="O12" s="160"/>
    </row>
    <row r="13" spans="1:19" x14ac:dyDescent="0.3">
      <c r="A13" s="164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60"/>
      <c r="S13" s="207"/>
    </row>
    <row r="14" spans="1:19" x14ac:dyDescent="0.3">
      <c r="A14" s="208" t="s">
        <v>14</v>
      </c>
      <c r="B14" s="200" t="s">
        <v>31</v>
      </c>
      <c r="C14" s="200" t="s">
        <v>20</v>
      </c>
      <c r="D14" s="200" t="s">
        <v>21</v>
      </c>
      <c r="E14" s="200" t="s">
        <v>32</v>
      </c>
      <c r="F14" s="200" t="s">
        <v>17</v>
      </c>
      <c r="G14" s="200" t="s">
        <v>33</v>
      </c>
      <c r="H14" s="200" t="s">
        <v>34</v>
      </c>
      <c r="I14" s="200" t="s">
        <v>18</v>
      </c>
      <c r="J14" s="180"/>
      <c r="K14" s="180"/>
      <c r="L14" s="180"/>
      <c r="M14" s="180"/>
      <c r="N14" s="180"/>
      <c r="O14" s="160"/>
      <c r="R14" s="207"/>
    </row>
    <row r="15" spans="1:19" s="25" customFormat="1" ht="28.8" customHeight="1" x14ac:dyDescent="0.3">
      <c r="A15" s="254">
        <v>10</v>
      </c>
      <c r="B15" s="255" t="s">
        <v>39</v>
      </c>
      <c r="C15" s="254"/>
      <c r="D15" s="256">
        <v>1.3</v>
      </c>
      <c r="E15" s="255" t="s">
        <v>32</v>
      </c>
      <c r="F15" s="261">
        <v>1</v>
      </c>
      <c r="G15" s="31"/>
      <c r="H15" s="31"/>
      <c r="I15" s="32">
        <f t="shared" ref="I15:I25" si="0">IF(H15="",D15*F15,D15*F15*H15)</f>
        <v>1.3</v>
      </c>
      <c r="J15" s="58"/>
      <c r="K15" s="58"/>
      <c r="L15" s="58"/>
      <c r="M15" s="58"/>
      <c r="N15" s="58"/>
      <c r="O15" s="68"/>
    </row>
    <row r="16" spans="1:19" customFormat="1" ht="25.8" customHeight="1" x14ac:dyDescent="0.3">
      <c r="A16" s="257">
        <v>20</v>
      </c>
      <c r="B16" s="255" t="s">
        <v>159</v>
      </c>
      <c r="C16" s="258" t="s">
        <v>317</v>
      </c>
      <c r="D16" s="259">
        <v>0.04</v>
      </c>
      <c r="E16" s="257" t="s">
        <v>161</v>
      </c>
      <c r="F16" s="260">
        <v>174</v>
      </c>
      <c r="G16" s="27"/>
      <c r="H16" s="26"/>
      <c r="I16" s="32">
        <f t="shared" si="0"/>
        <v>6.96</v>
      </c>
      <c r="J16" s="56"/>
      <c r="K16" s="56"/>
      <c r="L16" s="56"/>
      <c r="M16" s="56"/>
      <c r="N16" s="56"/>
      <c r="O16" s="62"/>
      <c r="R16" s="135"/>
    </row>
    <row r="17" spans="1:18" s="17" customFormat="1" ht="15" customHeight="1" x14ac:dyDescent="0.3">
      <c r="A17" s="254">
        <v>30</v>
      </c>
      <c r="B17" s="255" t="s">
        <v>158</v>
      </c>
      <c r="C17" s="254"/>
      <c r="D17" s="256">
        <v>0.65</v>
      </c>
      <c r="E17" s="255" t="s">
        <v>32</v>
      </c>
      <c r="F17" s="261">
        <v>1</v>
      </c>
      <c r="G17" s="26"/>
      <c r="H17" s="26"/>
      <c r="I17" s="32">
        <f t="shared" si="0"/>
        <v>0.65</v>
      </c>
      <c r="J17" s="57"/>
      <c r="K17" s="57"/>
      <c r="L17" s="57"/>
      <c r="M17" s="57"/>
      <c r="N17" s="57"/>
      <c r="O17" s="65"/>
      <c r="R17" s="136"/>
    </row>
    <row r="18" spans="1:18" customFormat="1" ht="18.600000000000001" customHeight="1" x14ac:dyDescent="0.3">
      <c r="A18" s="257">
        <v>40</v>
      </c>
      <c r="B18" s="255" t="s">
        <v>159</v>
      </c>
      <c r="C18" s="258" t="s">
        <v>257</v>
      </c>
      <c r="D18" s="259">
        <v>0.04</v>
      </c>
      <c r="E18" s="257" t="s">
        <v>161</v>
      </c>
      <c r="F18" s="260">
        <v>2.2999999999999998</v>
      </c>
      <c r="G18" s="27"/>
      <c r="H18" s="26"/>
      <c r="I18" s="32">
        <f t="shared" si="0"/>
        <v>9.1999999999999998E-2</v>
      </c>
      <c r="J18" s="56"/>
      <c r="K18" s="56"/>
      <c r="L18" s="56"/>
      <c r="M18" s="56"/>
      <c r="N18" s="56"/>
      <c r="O18" s="62"/>
      <c r="R18" s="135"/>
    </row>
    <row r="19" spans="1:18" customFormat="1" ht="28.2" customHeight="1" x14ac:dyDescent="0.3">
      <c r="A19" s="254">
        <v>50</v>
      </c>
      <c r="B19" s="255" t="s">
        <v>158</v>
      </c>
      <c r="C19" s="254"/>
      <c r="D19" s="256">
        <v>0.65</v>
      </c>
      <c r="E19" s="255" t="s">
        <v>32</v>
      </c>
      <c r="F19" s="261">
        <v>1</v>
      </c>
      <c r="G19" s="26"/>
      <c r="H19" s="26"/>
      <c r="I19" s="32">
        <f t="shared" si="0"/>
        <v>0.65</v>
      </c>
      <c r="J19" s="56"/>
      <c r="K19" s="56"/>
      <c r="L19" s="56"/>
      <c r="M19" s="56"/>
      <c r="N19" s="56"/>
      <c r="O19" s="62"/>
      <c r="R19" s="135"/>
    </row>
    <row r="20" spans="1:18" customFormat="1" ht="15" customHeight="1" x14ac:dyDescent="0.3">
      <c r="A20" s="257">
        <v>60</v>
      </c>
      <c r="B20" s="255" t="s">
        <v>159</v>
      </c>
      <c r="C20" s="258" t="s">
        <v>258</v>
      </c>
      <c r="D20" s="259">
        <v>0.04</v>
      </c>
      <c r="E20" s="257" t="s">
        <v>161</v>
      </c>
      <c r="F20" s="260">
        <v>2.2999999999999998</v>
      </c>
      <c r="G20" s="26"/>
      <c r="H20" s="26"/>
      <c r="I20" s="32">
        <f t="shared" si="0"/>
        <v>9.1999999999999998E-2</v>
      </c>
      <c r="J20" s="56"/>
      <c r="K20" s="56"/>
      <c r="L20" s="56"/>
      <c r="M20" s="56"/>
      <c r="N20" s="56"/>
      <c r="O20" s="62"/>
      <c r="R20" s="135"/>
    </row>
    <row r="21" spans="1:18" customFormat="1" ht="14.4" customHeight="1" x14ac:dyDescent="0.3">
      <c r="A21" s="254">
        <v>70</v>
      </c>
      <c r="B21" s="255" t="s">
        <v>158</v>
      </c>
      <c r="C21" s="254"/>
      <c r="D21" s="256">
        <v>0.65</v>
      </c>
      <c r="E21" s="255" t="s">
        <v>32</v>
      </c>
      <c r="F21" s="261">
        <v>1</v>
      </c>
      <c r="G21" s="26"/>
      <c r="H21" s="26"/>
      <c r="I21" s="32">
        <f t="shared" si="0"/>
        <v>0.65</v>
      </c>
      <c r="J21" s="56"/>
      <c r="K21" s="56"/>
      <c r="L21" s="56"/>
      <c r="M21" s="56"/>
      <c r="N21" s="56"/>
      <c r="O21" s="62"/>
      <c r="R21" s="135"/>
    </row>
    <row r="22" spans="1:18" customFormat="1" ht="29.4" customHeight="1" x14ac:dyDescent="0.3">
      <c r="A22" s="257">
        <v>80</v>
      </c>
      <c r="B22" s="255" t="s">
        <v>159</v>
      </c>
      <c r="C22" s="258" t="s">
        <v>259</v>
      </c>
      <c r="D22" s="259">
        <v>0.04</v>
      </c>
      <c r="E22" s="257" t="s">
        <v>161</v>
      </c>
      <c r="F22" s="260">
        <v>8</v>
      </c>
      <c r="G22" s="26"/>
      <c r="H22" s="26"/>
      <c r="I22" s="32">
        <f t="shared" si="0"/>
        <v>0.32</v>
      </c>
      <c r="J22" s="56"/>
      <c r="K22" s="56"/>
      <c r="L22" s="56"/>
      <c r="M22" s="56"/>
      <c r="N22" s="56"/>
      <c r="O22" s="62"/>
      <c r="R22" s="135"/>
    </row>
    <row r="23" spans="1:18" customFormat="1" ht="28.8" customHeight="1" x14ac:dyDescent="0.3">
      <c r="A23" s="254">
        <v>90</v>
      </c>
      <c r="B23" s="255" t="s">
        <v>158</v>
      </c>
      <c r="C23" s="254"/>
      <c r="D23" s="256">
        <v>0.65</v>
      </c>
      <c r="E23" s="255" t="s">
        <v>32</v>
      </c>
      <c r="F23" s="261">
        <v>1</v>
      </c>
      <c r="G23" s="26"/>
      <c r="H23" s="26"/>
      <c r="I23" s="32">
        <f t="shared" si="0"/>
        <v>0.65</v>
      </c>
      <c r="J23" s="56"/>
      <c r="K23" s="56"/>
      <c r="L23" s="56"/>
      <c r="M23" s="56"/>
      <c r="N23" s="56"/>
      <c r="O23" s="62"/>
      <c r="R23" s="135"/>
    </row>
    <row r="24" spans="1:18" customFormat="1" ht="18.600000000000001" customHeight="1" x14ac:dyDescent="0.3">
      <c r="A24" s="257">
        <v>100</v>
      </c>
      <c r="B24" s="255" t="s">
        <v>159</v>
      </c>
      <c r="C24" s="258" t="s">
        <v>260</v>
      </c>
      <c r="D24" s="259">
        <v>0.04</v>
      </c>
      <c r="E24" s="257" t="s">
        <v>161</v>
      </c>
      <c r="F24" s="260">
        <v>57</v>
      </c>
      <c r="G24" s="26"/>
      <c r="H24" s="26"/>
      <c r="I24" s="32">
        <f t="shared" si="0"/>
        <v>2.2800000000000002</v>
      </c>
      <c r="J24" s="56"/>
      <c r="K24" s="56"/>
      <c r="L24" s="56"/>
      <c r="M24" s="56"/>
      <c r="N24" s="56"/>
      <c r="O24" s="62"/>
      <c r="R24" s="135"/>
    </row>
    <row r="25" spans="1:18" customFormat="1" ht="26.4" customHeight="1" x14ac:dyDescent="0.3">
      <c r="A25" s="254">
        <v>110</v>
      </c>
      <c r="B25" s="255" t="s">
        <v>261</v>
      </c>
      <c r="C25" s="258" t="s">
        <v>262</v>
      </c>
      <c r="D25" s="259">
        <v>0.35</v>
      </c>
      <c r="E25" s="257"/>
      <c r="F25" s="260">
        <v>1</v>
      </c>
      <c r="G25" s="26"/>
      <c r="H25" s="26"/>
      <c r="I25" s="32">
        <f t="shared" si="0"/>
        <v>0.35</v>
      </c>
      <c r="J25" s="56"/>
      <c r="K25" s="56"/>
      <c r="L25" s="56"/>
      <c r="M25" s="56"/>
      <c r="N25" s="56"/>
      <c r="O25" s="62"/>
    </row>
    <row r="26" spans="1:18" x14ac:dyDescent="0.3">
      <c r="A26" s="179"/>
      <c r="B26" s="180"/>
      <c r="C26" s="180"/>
      <c r="D26" s="180"/>
      <c r="E26" s="180"/>
      <c r="F26" s="180"/>
      <c r="G26" s="180"/>
      <c r="H26" s="214" t="s">
        <v>18</v>
      </c>
      <c r="I26" s="206">
        <f>SUM(I15:I25)</f>
        <v>13.994000000000002</v>
      </c>
      <c r="J26" s="180"/>
      <c r="K26" s="180"/>
      <c r="L26" s="180"/>
      <c r="M26" s="180"/>
      <c r="N26" s="180"/>
      <c r="O26" s="160"/>
    </row>
    <row r="27" spans="1:18" ht="15" thickBot="1" x14ac:dyDescent="0.35">
      <c r="A27" s="189"/>
      <c r="B27" s="190"/>
      <c r="C27" s="190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1"/>
    </row>
  </sheetData>
  <hyperlinks>
    <hyperlink ref="B4" location="SU_A0300" display="Upper Back A-arm"/>
    <hyperlink ref="E3" location="dSU_03001" display="Drawing"/>
    <hyperlink ref="G2" location="SU_A0300_BOM" display="Back to BOM"/>
  </hyperlinks>
  <pageMargins left="0.78749999999999998" right="0.78749999999999998" top="1.05277777777778" bottom="1.05277777777778" header="0.78749999999999998" footer="0.78749999999999998"/>
  <pageSetup paperSize="9" scale="52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7" max="16383" man="1"/>
    <brk id="61" max="16383" man="1"/>
  </rowBreaks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zoomScale="106" zoomScaleNormal="106" workbookViewId="0">
      <selection activeCell="B1" sqref="B1"/>
    </sheetView>
  </sheetViews>
  <sheetFormatPr baseColWidth="10" defaultColWidth="11.44140625" defaultRowHeight="14.4" x14ac:dyDescent="0.3"/>
  <cols>
    <col min="1" max="1" width="14" style="155" customWidth="1"/>
    <col min="2" max="16384" width="11.44140625" style="155"/>
  </cols>
  <sheetData>
    <row r="1" spans="1:2" x14ac:dyDescent="0.3">
      <c r="A1" s="155" t="s">
        <v>170</v>
      </c>
      <c r="B1" s="89" t="str">
        <f>SU_03001</f>
        <v>SU 03001</v>
      </c>
    </row>
  </sheetData>
  <hyperlinks>
    <hyperlink ref="B1" location="SU_03001" display="SU_03001"/>
  </hyperlinks>
  <pageMargins left="0.7" right="0.7" top="0.75" bottom="0.75" header="0.3" footer="0.3"/>
  <pageSetup paperSize="9" scale="68" fitToHeight="0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S22"/>
  <sheetViews>
    <sheetView zoomScale="106" zoomScaleNormal="106" workbookViewId="0">
      <selection activeCell="G2" sqref="G2"/>
    </sheetView>
  </sheetViews>
  <sheetFormatPr baseColWidth="10" defaultColWidth="11.44140625" defaultRowHeight="14.4" x14ac:dyDescent="0.3"/>
  <cols>
    <col min="1" max="1" width="11.44140625" style="155"/>
    <col min="2" max="2" width="23.109375" style="155" customWidth="1"/>
    <col min="3" max="6" width="11.44140625" style="155"/>
    <col min="7" max="7" width="18" style="155" customWidth="1"/>
    <col min="8" max="8" width="11.44140625" style="155"/>
    <col min="9" max="9" width="21.44140625" style="155" customWidth="1"/>
    <col min="10" max="17" width="11.44140625" style="155"/>
    <col min="18" max="18" width="13.88671875" style="155" bestFit="1" customWidth="1"/>
    <col min="19" max="16384" width="11.44140625" style="155"/>
  </cols>
  <sheetData>
    <row r="1" spans="1:19" x14ac:dyDescent="0.3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9" x14ac:dyDescent="0.3">
      <c r="A2" s="192" t="s">
        <v>0</v>
      </c>
      <c r="B2" s="157" t="s">
        <v>37</v>
      </c>
      <c r="C2" s="158"/>
      <c r="D2" s="158"/>
      <c r="E2" s="158"/>
      <c r="F2" s="158"/>
      <c r="G2" s="88" t="s">
        <v>126</v>
      </c>
      <c r="H2" s="158"/>
      <c r="I2" s="158"/>
      <c r="J2" s="193" t="s">
        <v>1</v>
      </c>
      <c r="K2" s="159">
        <v>81</v>
      </c>
      <c r="L2" s="158"/>
      <c r="M2" s="192" t="s">
        <v>16</v>
      </c>
      <c r="N2" s="74">
        <f>N12+I21</f>
        <v>3.3353805440000004</v>
      </c>
      <c r="O2" s="160"/>
    </row>
    <row r="3" spans="1:19" x14ac:dyDescent="0.3">
      <c r="A3" s="192" t="s">
        <v>3</v>
      </c>
      <c r="B3" s="157" t="str">
        <f>'SU A0300'!B3</f>
        <v>Suspension &amp; Shocks</v>
      </c>
      <c r="C3" s="158"/>
      <c r="D3" s="192" t="s">
        <v>6</v>
      </c>
      <c r="E3" s="89" t="s">
        <v>86</v>
      </c>
      <c r="F3" s="158"/>
      <c r="G3" s="158"/>
      <c r="H3" s="158"/>
      <c r="I3" s="158"/>
      <c r="J3" s="158"/>
      <c r="K3" s="158"/>
      <c r="L3" s="158"/>
      <c r="M3" s="192" t="s">
        <v>4</v>
      </c>
      <c r="N3" s="82">
        <v>2</v>
      </c>
      <c r="O3" s="160"/>
    </row>
    <row r="4" spans="1:19" x14ac:dyDescent="0.3">
      <c r="A4" s="192" t="s">
        <v>5</v>
      </c>
      <c r="B4" s="88" t="s">
        <v>197</v>
      </c>
      <c r="C4" s="158"/>
      <c r="D4" s="192" t="s">
        <v>8</v>
      </c>
      <c r="E4" s="158"/>
      <c r="F4" s="158"/>
      <c r="G4" s="158"/>
      <c r="H4" s="158"/>
      <c r="I4" s="158"/>
      <c r="J4" s="194" t="s">
        <v>6</v>
      </c>
      <c r="K4" s="158"/>
      <c r="L4" s="158"/>
      <c r="M4" s="158"/>
      <c r="N4" s="158"/>
      <c r="O4" s="160"/>
    </row>
    <row r="5" spans="1:19" x14ac:dyDescent="0.3">
      <c r="A5" s="215" t="s">
        <v>15</v>
      </c>
      <c r="B5" s="216" t="s">
        <v>157</v>
      </c>
      <c r="C5" s="158"/>
      <c r="D5" s="192" t="s">
        <v>12</v>
      </c>
      <c r="E5" s="158"/>
      <c r="F5" s="158"/>
      <c r="G5" s="158"/>
      <c r="H5" s="158"/>
      <c r="I5" s="158"/>
      <c r="J5" s="194" t="s">
        <v>8</v>
      </c>
      <c r="K5" s="158"/>
      <c r="L5" s="158"/>
      <c r="M5" s="192" t="s">
        <v>9</v>
      </c>
      <c r="N5" s="74">
        <f>N3*N2</f>
        <v>6.6707610880000008</v>
      </c>
      <c r="O5" s="160"/>
    </row>
    <row r="6" spans="1:19" x14ac:dyDescent="0.3">
      <c r="A6" s="192" t="s">
        <v>7</v>
      </c>
      <c r="B6" s="195" t="s">
        <v>202</v>
      </c>
      <c r="C6" s="158"/>
      <c r="D6" s="158"/>
      <c r="E6" s="158"/>
      <c r="F6" s="158"/>
      <c r="G6" s="158"/>
      <c r="H6" s="158"/>
      <c r="I6" s="158"/>
      <c r="J6" s="194" t="s">
        <v>12</v>
      </c>
      <c r="K6" s="158"/>
      <c r="L6" s="158"/>
      <c r="M6" s="158"/>
      <c r="N6" s="158"/>
      <c r="O6" s="160"/>
    </row>
    <row r="7" spans="1:19" x14ac:dyDescent="0.3">
      <c r="A7" s="192" t="s">
        <v>10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60"/>
    </row>
    <row r="8" spans="1:19" x14ac:dyDescent="0.3">
      <c r="A8" s="192" t="s">
        <v>13</v>
      </c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60"/>
    </row>
    <row r="9" spans="1:19" x14ac:dyDescent="0.3">
      <c r="A9" s="196"/>
      <c r="B9" s="197"/>
      <c r="C9" s="197"/>
      <c r="D9" s="197"/>
      <c r="E9" s="197"/>
      <c r="F9" s="158"/>
      <c r="G9" s="158"/>
      <c r="H9" s="158"/>
      <c r="I9" s="158"/>
      <c r="J9" s="158"/>
      <c r="K9" s="158"/>
      <c r="L9" s="158"/>
      <c r="M9" s="158"/>
      <c r="N9" s="158"/>
      <c r="O9" s="160"/>
    </row>
    <row r="10" spans="1:19" customFormat="1" x14ac:dyDescent="0.3">
      <c r="A10" s="105" t="s">
        <v>14</v>
      </c>
      <c r="B10" s="106" t="s">
        <v>19</v>
      </c>
      <c r="C10" s="106" t="s">
        <v>20</v>
      </c>
      <c r="D10" s="106" t="s">
        <v>21</v>
      </c>
      <c r="E10" s="106" t="s">
        <v>22</v>
      </c>
      <c r="F10" s="107" t="s">
        <v>23</v>
      </c>
      <c r="G10" s="107" t="s">
        <v>24</v>
      </c>
      <c r="H10" s="107" t="s">
        <v>25</v>
      </c>
      <c r="I10" s="107" t="s">
        <v>26</v>
      </c>
      <c r="J10" s="107" t="s">
        <v>27</v>
      </c>
      <c r="K10" s="107" t="s">
        <v>28</v>
      </c>
      <c r="L10" s="107" t="s">
        <v>29</v>
      </c>
      <c r="M10" s="107" t="s">
        <v>17</v>
      </c>
      <c r="N10" s="107" t="s">
        <v>18</v>
      </c>
      <c r="O10" s="62"/>
    </row>
    <row r="11" spans="1:19" customFormat="1" x14ac:dyDescent="0.3">
      <c r="A11" s="85">
        <v>10</v>
      </c>
      <c r="B11" s="26" t="s">
        <v>132</v>
      </c>
      <c r="C11" s="20" t="s">
        <v>38</v>
      </c>
      <c r="D11" s="289">
        <f>4.2</f>
        <v>4.2</v>
      </c>
      <c r="E11" s="263">
        <f>J11*K11*L11</f>
        <v>0.20437632</v>
      </c>
      <c r="F11" s="20" t="s">
        <v>162</v>
      </c>
      <c r="G11" s="20"/>
      <c r="H11" s="290"/>
      <c r="I11" s="21" t="s">
        <v>163</v>
      </c>
      <c r="J11" s="253">
        <f>3.14*20*20/1000000</f>
        <v>1.256E-3</v>
      </c>
      <c r="K11" s="262">
        <v>0.06</v>
      </c>
      <c r="L11" s="79">
        <v>2712</v>
      </c>
      <c r="M11" s="23">
        <v>1</v>
      </c>
      <c r="N11" s="289">
        <f>D11*E11*M11</f>
        <v>0.85838054400000008</v>
      </c>
      <c r="O11" s="66"/>
      <c r="P11" s="22"/>
      <c r="Q11" s="22"/>
      <c r="R11" s="22"/>
      <c r="S11" s="22"/>
    </row>
    <row r="12" spans="1:19" x14ac:dyDescent="0.3">
      <c r="A12" s="179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205" t="s">
        <v>18</v>
      </c>
      <c r="N12" s="206">
        <f>SUM(N11:N11)</f>
        <v>0.85838054400000008</v>
      </c>
      <c r="O12" s="160"/>
    </row>
    <row r="13" spans="1:19" x14ac:dyDescent="0.3">
      <c r="A13" s="164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60"/>
      <c r="R13" s="207">
        <f>J11*K11/4</f>
        <v>1.8839999999999999E-5</v>
      </c>
      <c r="S13" s="207"/>
    </row>
    <row r="14" spans="1:19" customFormat="1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4"/>
      <c r="K14" s="24"/>
      <c r="L14" s="24"/>
      <c r="M14" s="24"/>
      <c r="N14" s="24"/>
      <c r="O14" s="62"/>
      <c r="R14" s="135"/>
    </row>
    <row r="15" spans="1:19" customFormat="1" ht="26.4" customHeight="1" x14ac:dyDescent="0.3">
      <c r="A15" s="339">
        <v>10</v>
      </c>
      <c r="B15" s="340" t="s">
        <v>39</v>
      </c>
      <c r="C15" s="339"/>
      <c r="D15" s="341">
        <v>1.3</v>
      </c>
      <c r="E15" s="340" t="s">
        <v>32</v>
      </c>
      <c r="F15" s="339">
        <v>1</v>
      </c>
      <c r="G15" s="339" t="s">
        <v>295</v>
      </c>
      <c r="H15" s="339">
        <v>0.5</v>
      </c>
      <c r="I15" s="342">
        <f t="shared" ref="I15:I20" si="0">IF(H15="",D15*F15,D15*F15*H15)</f>
        <v>0.65</v>
      </c>
      <c r="J15" s="58"/>
      <c r="K15" s="58"/>
      <c r="L15" s="58"/>
      <c r="M15" s="58"/>
      <c r="N15" s="58"/>
      <c r="O15" s="68"/>
      <c r="P15" s="25"/>
      <c r="Q15" s="25"/>
      <c r="R15" s="137"/>
      <c r="S15" s="25"/>
    </row>
    <row r="16" spans="1:19" customFormat="1" ht="28.2" customHeight="1" x14ac:dyDescent="0.3">
      <c r="A16" s="343">
        <v>20</v>
      </c>
      <c r="B16" s="340" t="s">
        <v>159</v>
      </c>
      <c r="C16" s="344" t="s">
        <v>263</v>
      </c>
      <c r="D16" s="345">
        <v>0.04</v>
      </c>
      <c r="E16" s="343" t="s">
        <v>161</v>
      </c>
      <c r="F16" s="346">
        <v>17</v>
      </c>
      <c r="G16" s="340" t="s">
        <v>264</v>
      </c>
      <c r="H16" s="237">
        <v>1</v>
      </c>
      <c r="I16" s="347">
        <f t="shared" si="0"/>
        <v>0.68</v>
      </c>
      <c r="J16" s="56"/>
      <c r="K16" s="56"/>
      <c r="L16" s="56"/>
      <c r="M16" s="56"/>
      <c r="N16" s="56"/>
      <c r="O16" s="62"/>
      <c r="R16" s="135"/>
    </row>
    <row r="17" spans="1:19" customFormat="1" ht="25.8" customHeight="1" x14ac:dyDescent="0.3">
      <c r="A17" s="339">
        <v>30</v>
      </c>
      <c r="B17" s="340" t="s">
        <v>158</v>
      </c>
      <c r="C17" s="339"/>
      <c r="D17" s="341">
        <v>0.65</v>
      </c>
      <c r="E17" s="340" t="s">
        <v>32</v>
      </c>
      <c r="F17" s="339">
        <v>1</v>
      </c>
      <c r="G17" s="339" t="s">
        <v>295</v>
      </c>
      <c r="H17" s="339">
        <v>0.5</v>
      </c>
      <c r="I17" s="342">
        <f t="shared" si="0"/>
        <v>0.32500000000000001</v>
      </c>
      <c r="J17" s="57"/>
      <c r="K17" s="57"/>
      <c r="L17" s="57"/>
      <c r="M17" s="57"/>
      <c r="N17" s="57"/>
      <c r="O17" s="65"/>
      <c r="P17" s="17"/>
      <c r="Q17" s="17"/>
      <c r="R17" s="136"/>
      <c r="S17" s="17"/>
    </row>
    <row r="18" spans="1:19" customFormat="1" ht="15.6" customHeight="1" x14ac:dyDescent="0.3">
      <c r="A18" s="343">
        <v>40</v>
      </c>
      <c r="B18" s="340" t="s">
        <v>159</v>
      </c>
      <c r="C18" s="344" t="s">
        <v>265</v>
      </c>
      <c r="D18" s="345">
        <v>0.04</v>
      </c>
      <c r="E18" s="343" t="s">
        <v>161</v>
      </c>
      <c r="F18" s="346">
        <v>2</v>
      </c>
      <c r="G18" s="340" t="s">
        <v>264</v>
      </c>
      <c r="H18" s="237">
        <v>1</v>
      </c>
      <c r="I18" s="347">
        <f t="shared" si="0"/>
        <v>0.08</v>
      </c>
      <c r="J18" s="56"/>
      <c r="K18" s="56"/>
      <c r="L18" s="56"/>
      <c r="M18" s="56"/>
      <c r="N18" s="56"/>
      <c r="O18" s="62"/>
      <c r="R18" s="135"/>
    </row>
    <row r="19" spans="1:19" customFormat="1" x14ac:dyDescent="0.3">
      <c r="A19" s="339">
        <v>50</v>
      </c>
      <c r="B19" s="340" t="s">
        <v>158</v>
      </c>
      <c r="C19" s="339"/>
      <c r="D19" s="341">
        <v>0.65</v>
      </c>
      <c r="E19" s="340" t="s">
        <v>32</v>
      </c>
      <c r="F19" s="339">
        <v>1</v>
      </c>
      <c r="G19" s="339"/>
      <c r="H19" s="339"/>
      <c r="I19" s="342">
        <f t="shared" si="0"/>
        <v>0.65</v>
      </c>
      <c r="J19" s="56"/>
      <c r="K19" s="56"/>
      <c r="L19" s="56"/>
      <c r="M19" s="56"/>
      <c r="N19" s="56"/>
      <c r="O19" s="62"/>
      <c r="R19" s="135"/>
    </row>
    <row r="20" spans="1:19" customFormat="1" ht="14.4" customHeight="1" x14ac:dyDescent="0.3">
      <c r="A20" s="343">
        <v>60</v>
      </c>
      <c r="B20" s="340" t="s">
        <v>159</v>
      </c>
      <c r="C20" s="344" t="s">
        <v>266</v>
      </c>
      <c r="D20" s="345">
        <v>0.04</v>
      </c>
      <c r="E20" s="343" t="s">
        <v>161</v>
      </c>
      <c r="F20" s="346">
        <v>2.2999999999999998</v>
      </c>
      <c r="G20" s="340" t="s">
        <v>264</v>
      </c>
      <c r="H20" s="237">
        <v>1</v>
      </c>
      <c r="I20" s="347">
        <f t="shared" si="0"/>
        <v>9.1999999999999998E-2</v>
      </c>
      <c r="J20" s="56"/>
      <c r="K20" s="56"/>
      <c r="L20" s="56"/>
      <c r="M20" s="56"/>
      <c r="N20" s="56"/>
      <c r="O20" s="62"/>
    </row>
    <row r="21" spans="1:19" x14ac:dyDescent="0.3">
      <c r="A21" s="179"/>
      <c r="B21" s="180"/>
      <c r="C21" s="180"/>
      <c r="D21" s="180"/>
      <c r="E21" s="180"/>
      <c r="F21" s="180"/>
      <c r="G21" s="180"/>
      <c r="H21" s="214" t="s">
        <v>18</v>
      </c>
      <c r="I21" s="206">
        <f>SUM(I15:I20)</f>
        <v>2.4770000000000003</v>
      </c>
      <c r="J21" s="180"/>
      <c r="K21" s="180"/>
      <c r="L21" s="180"/>
      <c r="M21" s="180"/>
      <c r="N21" s="180"/>
      <c r="O21" s="160"/>
    </row>
    <row r="22" spans="1:19" ht="15" thickBot="1" x14ac:dyDescent="0.35">
      <c r="A22" s="189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1"/>
    </row>
  </sheetData>
  <hyperlinks>
    <hyperlink ref="B4" location="SU_A0300" display="Upper Back A-arm"/>
    <hyperlink ref="E3" location="dSU_03002" display="Drawing"/>
    <hyperlink ref="G2" location="SU_A0300_BOM" display="Back to BOM"/>
  </hyperlinks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6"/>
  <sheetViews>
    <sheetView zoomScale="106" zoomScaleNormal="106" workbookViewId="0">
      <selection activeCell="B2" sqref="B2"/>
    </sheetView>
  </sheetViews>
  <sheetFormatPr baseColWidth="10" defaultColWidth="11.44140625" defaultRowHeight="14.4" x14ac:dyDescent="0.3"/>
  <cols>
    <col min="1" max="1" width="18.88671875" style="155" customWidth="1"/>
    <col min="2" max="16384" width="11.44140625" style="155"/>
  </cols>
  <sheetData>
    <row r="1" spans="1:2" x14ac:dyDescent="0.3">
      <c r="A1" s="155" t="s">
        <v>170</v>
      </c>
      <c r="B1" s="89" t="str">
        <f>SU_03002</f>
        <v>SU 03002</v>
      </c>
    </row>
    <row r="4" spans="1:2" x14ac:dyDescent="0.3">
      <c r="B4" s="155" t="s">
        <v>176</v>
      </c>
    </row>
    <row r="5" spans="1:2" x14ac:dyDescent="0.3">
      <c r="B5" s="155" t="s">
        <v>177</v>
      </c>
    </row>
    <row r="6" spans="1:2" x14ac:dyDescent="0.3">
      <c r="B6" s="219"/>
    </row>
  </sheetData>
  <hyperlinks>
    <hyperlink ref="B1" location="SU_03002" display="SU_03002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4" customWidth="1"/>
  </cols>
  <sheetData>
    <row r="1" spans="1:2" x14ac:dyDescent="0.3">
      <c r="A1" t="s">
        <v>170</v>
      </c>
      <c r="B1" s="89" t="str">
        <f>SU_01001</f>
        <v>SU_01001</v>
      </c>
    </row>
  </sheetData>
  <hyperlinks>
    <hyperlink ref="B1" location="SU_01001" display="SU_01001"/>
  </hyperlinks>
  <pageMargins left="0.7" right="0.7" top="0.75" bottom="0.75" header="0.3" footer="0.3"/>
  <pageSetup paperSize="9" fitToHeight="0" orientation="landscape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90" zoomScaleNormal="90" workbookViewId="0">
      <selection activeCell="G2" sqref="G2"/>
    </sheetView>
  </sheetViews>
  <sheetFormatPr baseColWidth="10" defaultColWidth="11.44140625" defaultRowHeight="14.4" x14ac:dyDescent="0.3"/>
  <cols>
    <col min="1" max="1" width="11.44140625" style="155"/>
    <col min="2" max="2" width="20.44140625" style="155" customWidth="1"/>
    <col min="3" max="3" width="33" style="155" customWidth="1"/>
    <col min="4" max="4" width="11.44140625" style="155"/>
    <col min="5" max="5" width="17" style="155" customWidth="1"/>
    <col min="6" max="16384" width="11.44140625" style="155"/>
  </cols>
  <sheetData>
    <row r="1" spans="1:15" x14ac:dyDescent="0.3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5" x14ac:dyDescent="0.3">
      <c r="A2" s="192" t="s">
        <v>0</v>
      </c>
      <c r="B2" s="157" t="s">
        <v>37</v>
      </c>
      <c r="C2" s="158"/>
      <c r="D2" s="158"/>
      <c r="E2" s="158"/>
      <c r="F2" s="158"/>
      <c r="G2" s="88" t="s">
        <v>126</v>
      </c>
      <c r="H2" s="158"/>
      <c r="I2" s="158"/>
      <c r="J2" s="193" t="s">
        <v>1</v>
      </c>
      <c r="K2" s="159">
        <v>81</v>
      </c>
      <c r="L2" s="158"/>
      <c r="M2" s="192" t="s">
        <v>16</v>
      </c>
      <c r="N2" s="74">
        <f>N12+I16</f>
        <v>10.876934879999999</v>
      </c>
      <c r="O2" s="160"/>
    </row>
    <row r="3" spans="1:15" x14ac:dyDescent="0.3">
      <c r="A3" s="192" t="s">
        <v>3</v>
      </c>
      <c r="B3" s="157" t="str">
        <f>'SU A0300'!B3</f>
        <v>Suspension &amp; Shocks</v>
      </c>
      <c r="C3" s="158"/>
      <c r="D3" s="192" t="s">
        <v>6</v>
      </c>
      <c r="E3" s="155" t="s">
        <v>86</v>
      </c>
      <c r="F3" s="158"/>
      <c r="G3" s="158"/>
      <c r="H3" s="158"/>
      <c r="I3" s="158"/>
      <c r="J3" s="158"/>
      <c r="K3" s="158"/>
      <c r="L3" s="158"/>
      <c r="M3" s="192" t="s">
        <v>4</v>
      </c>
      <c r="N3" s="82">
        <v>1</v>
      </c>
      <c r="O3" s="160"/>
    </row>
    <row r="4" spans="1:15" x14ac:dyDescent="0.3">
      <c r="A4" s="192" t="s">
        <v>5</v>
      </c>
      <c r="B4" s="88" t="s">
        <v>197</v>
      </c>
      <c r="C4" s="158"/>
      <c r="D4" s="192" t="s">
        <v>8</v>
      </c>
      <c r="E4" s="158"/>
      <c r="F4" s="158"/>
      <c r="G4" s="158"/>
      <c r="H4" s="158"/>
      <c r="I4" s="158"/>
      <c r="J4" s="194" t="s">
        <v>6</v>
      </c>
      <c r="K4" s="158"/>
      <c r="L4" s="158"/>
      <c r="M4" s="158"/>
      <c r="N4" s="158"/>
      <c r="O4" s="160"/>
    </row>
    <row r="5" spans="1:15" x14ac:dyDescent="0.3">
      <c r="A5" s="192" t="s">
        <v>15</v>
      </c>
      <c r="B5" s="73" t="s">
        <v>200</v>
      </c>
      <c r="C5" s="158"/>
      <c r="D5" s="192" t="s">
        <v>12</v>
      </c>
      <c r="E5" s="158"/>
      <c r="F5" s="158"/>
      <c r="G5" s="158"/>
      <c r="H5" s="158"/>
      <c r="I5" s="158"/>
      <c r="J5" s="194" t="s">
        <v>8</v>
      </c>
      <c r="K5" s="158"/>
      <c r="L5" s="158"/>
      <c r="M5" s="192" t="s">
        <v>9</v>
      </c>
      <c r="N5" s="74">
        <f>N3*N2</f>
        <v>10.876934879999999</v>
      </c>
      <c r="O5" s="160"/>
    </row>
    <row r="6" spans="1:15" x14ac:dyDescent="0.3">
      <c r="A6" s="192" t="s">
        <v>7</v>
      </c>
      <c r="B6" s="195" t="s">
        <v>204</v>
      </c>
      <c r="C6" s="158"/>
      <c r="D6" s="158"/>
      <c r="E6" s="158"/>
      <c r="F6" s="158"/>
      <c r="G6" s="158"/>
      <c r="H6" s="158"/>
      <c r="I6" s="158"/>
      <c r="J6" s="194" t="s">
        <v>12</v>
      </c>
      <c r="K6" s="158"/>
      <c r="L6" s="158"/>
      <c r="M6" s="158"/>
      <c r="N6" s="158"/>
      <c r="O6" s="160"/>
    </row>
    <row r="7" spans="1:15" x14ac:dyDescent="0.3">
      <c r="A7" s="192" t="s">
        <v>10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60"/>
    </row>
    <row r="8" spans="1:15" x14ac:dyDescent="0.3">
      <c r="A8" s="192" t="s">
        <v>13</v>
      </c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60"/>
    </row>
    <row r="9" spans="1:15" x14ac:dyDescent="0.3">
      <c r="A9" s="196"/>
      <c r="B9" s="197"/>
      <c r="C9" s="197"/>
      <c r="D9" s="197"/>
      <c r="E9" s="197"/>
      <c r="F9" s="158"/>
      <c r="G9" s="158"/>
      <c r="H9" s="158"/>
      <c r="I9" s="158"/>
      <c r="J9" s="158"/>
      <c r="K9" s="158"/>
      <c r="L9" s="158"/>
      <c r="M9" s="158"/>
      <c r="N9" s="158"/>
      <c r="O9" s="160"/>
    </row>
    <row r="10" spans="1:15" x14ac:dyDescent="0.3">
      <c r="A10" s="198" t="s">
        <v>14</v>
      </c>
      <c r="B10" s="199" t="s">
        <v>19</v>
      </c>
      <c r="C10" s="199" t="s">
        <v>20</v>
      </c>
      <c r="D10" s="199" t="s">
        <v>21</v>
      </c>
      <c r="E10" s="199" t="s">
        <v>22</v>
      </c>
      <c r="F10" s="200" t="s">
        <v>23</v>
      </c>
      <c r="G10" s="200" t="s">
        <v>24</v>
      </c>
      <c r="H10" s="200" t="s">
        <v>25</v>
      </c>
      <c r="I10" s="200" t="s">
        <v>26</v>
      </c>
      <c r="J10" s="200" t="s">
        <v>27</v>
      </c>
      <c r="K10" s="200" t="s">
        <v>28</v>
      </c>
      <c r="L10" s="200" t="s">
        <v>29</v>
      </c>
      <c r="M10" s="200" t="s">
        <v>17</v>
      </c>
      <c r="N10" s="200" t="s">
        <v>18</v>
      </c>
      <c r="O10" s="160"/>
    </row>
    <row r="11" spans="1:15" x14ac:dyDescent="0.3">
      <c r="A11" s="85">
        <v>10</v>
      </c>
      <c r="B11" s="145" t="s">
        <v>188</v>
      </c>
      <c r="C11" s="146" t="s">
        <v>189</v>
      </c>
      <c r="D11" s="149">
        <f>200*E11*L11</f>
        <v>9.6683865599999983</v>
      </c>
      <c r="E11" s="21">
        <f>J11*K11</f>
        <v>3.0596159999999994E-5</v>
      </c>
      <c r="F11" s="20" t="s">
        <v>190</v>
      </c>
      <c r="G11" s="20"/>
      <c r="H11" s="19"/>
      <c r="I11" s="21" t="s">
        <v>164</v>
      </c>
      <c r="J11" s="253">
        <f>3.14*(0.008*0.008-0.006*0.006)</f>
        <v>8.7919999999999985E-5</v>
      </c>
      <c r="K11" s="78">
        <v>0.34799999999999998</v>
      </c>
      <c r="L11" s="79">
        <v>1580</v>
      </c>
      <c r="M11" s="147">
        <v>1</v>
      </c>
      <c r="N11" s="30">
        <f>D11*M11</f>
        <v>9.6683865599999983</v>
      </c>
      <c r="O11" s="177"/>
    </row>
    <row r="12" spans="1:15" x14ac:dyDescent="0.3">
      <c r="A12" s="179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205" t="s">
        <v>18</v>
      </c>
      <c r="N12" s="206">
        <f>SUM(N11:N11)</f>
        <v>9.6683865599999983</v>
      </c>
      <c r="O12" s="160"/>
    </row>
    <row r="13" spans="1:15" x14ac:dyDescent="0.3">
      <c r="A13" s="164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60"/>
    </row>
    <row r="14" spans="1:15" x14ac:dyDescent="0.3">
      <c r="A14" s="208" t="s">
        <v>14</v>
      </c>
      <c r="B14" s="200" t="s">
        <v>31</v>
      </c>
      <c r="C14" s="200" t="s">
        <v>20</v>
      </c>
      <c r="D14" s="200" t="s">
        <v>21</v>
      </c>
      <c r="E14" s="200" t="s">
        <v>32</v>
      </c>
      <c r="F14" s="200" t="s">
        <v>17</v>
      </c>
      <c r="G14" s="200" t="s">
        <v>33</v>
      </c>
      <c r="H14" s="200" t="s">
        <v>34</v>
      </c>
      <c r="I14" s="200" t="s">
        <v>18</v>
      </c>
      <c r="J14" s="180"/>
      <c r="K14" s="180"/>
      <c r="L14" s="180"/>
      <c r="M14" s="180"/>
      <c r="N14" s="180"/>
      <c r="O14" s="160"/>
    </row>
    <row r="15" spans="1:15" ht="29.4" customHeight="1" x14ac:dyDescent="0.3">
      <c r="A15" s="145">
        <v>10</v>
      </c>
      <c r="B15" s="145" t="s">
        <v>210</v>
      </c>
      <c r="C15" s="145" t="s">
        <v>211</v>
      </c>
      <c r="D15" s="223">
        <v>25</v>
      </c>
      <c r="E15" s="222" t="s">
        <v>212</v>
      </c>
      <c r="F15" s="225">
        <f>J11*K11*L11</f>
        <v>4.8341932799999994E-2</v>
      </c>
      <c r="G15" s="221"/>
      <c r="H15" s="221"/>
      <c r="I15" s="224">
        <f>IF(H15="",D15*F15,D15*F15*H15)</f>
        <v>1.2085483199999998</v>
      </c>
      <c r="J15" s="188"/>
      <c r="K15" s="188"/>
      <c r="L15" s="188"/>
      <c r="M15" s="188"/>
      <c r="N15" s="188"/>
      <c r="O15" s="181"/>
    </row>
    <row r="16" spans="1:15" x14ac:dyDescent="0.3">
      <c r="A16" s="179"/>
      <c r="B16" s="180"/>
      <c r="C16" s="180"/>
      <c r="D16" s="180"/>
      <c r="E16" s="180"/>
      <c r="F16" s="180"/>
      <c r="G16" s="180"/>
      <c r="H16" s="214" t="s">
        <v>18</v>
      </c>
      <c r="I16" s="206">
        <f>SUM(I15:I15)</f>
        <v>1.2085483199999998</v>
      </c>
      <c r="J16" s="180"/>
      <c r="K16" s="180"/>
      <c r="L16" s="180"/>
      <c r="M16" s="180"/>
      <c r="N16" s="180"/>
      <c r="O16" s="160"/>
    </row>
    <row r="17" spans="1:15" ht="15" thickBot="1" x14ac:dyDescent="0.35">
      <c r="A17" s="189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1"/>
    </row>
  </sheetData>
  <hyperlinks>
    <hyperlink ref="B4" location="SU_A0300" display="Upper Back A-arm"/>
    <hyperlink ref="G2" location="SU_A0300_BOM" display="Back to BOM"/>
  </hyperlink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90" zoomScaleNormal="90" workbookViewId="0">
      <selection activeCell="L16" sqref="L16"/>
    </sheetView>
  </sheetViews>
  <sheetFormatPr baseColWidth="10" defaultColWidth="11.44140625" defaultRowHeight="14.4" x14ac:dyDescent="0.3"/>
  <cols>
    <col min="1" max="1" width="11.44140625" style="155"/>
    <col min="2" max="2" width="33.88671875" style="155" customWidth="1"/>
    <col min="3" max="3" width="46.6640625" style="155" customWidth="1"/>
    <col min="4" max="4" width="11.44140625" style="155"/>
    <col min="5" max="5" width="18.33203125" style="155" customWidth="1"/>
    <col min="6" max="16384" width="11.44140625" style="155"/>
  </cols>
  <sheetData>
    <row r="1" spans="1:15" x14ac:dyDescent="0.3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5" x14ac:dyDescent="0.3">
      <c r="A2" s="192" t="s">
        <v>0</v>
      </c>
      <c r="B2" s="157" t="s">
        <v>37</v>
      </c>
      <c r="C2" s="158"/>
      <c r="D2" s="158"/>
      <c r="E2" s="158"/>
      <c r="F2" s="158"/>
      <c r="G2" s="88" t="s">
        <v>126</v>
      </c>
      <c r="H2" s="158"/>
      <c r="I2" s="158"/>
      <c r="J2" s="193" t="s">
        <v>1</v>
      </c>
      <c r="K2" s="159">
        <v>81</v>
      </c>
      <c r="L2" s="158"/>
      <c r="M2" s="192" t="s">
        <v>16</v>
      </c>
      <c r="N2" s="74">
        <f>N12+I16</f>
        <v>4.3445228399999989</v>
      </c>
      <c r="O2" s="160"/>
    </row>
    <row r="3" spans="1:15" x14ac:dyDescent="0.3">
      <c r="A3" s="192" t="s">
        <v>3</v>
      </c>
      <c r="B3" s="157" t="str">
        <f>'SU A0300'!B3</f>
        <v>Suspension &amp; Shocks</v>
      </c>
      <c r="C3" s="158"/>
      <c r="D3" s="192" t="s">
        <v>6</v>
      </c>
      <c r="E3" s="155" t="s">
        <v>86</v>
      </c>
      <c r="F3" s="158"/>
      <c r="G3" s="158"/>
      <c r="H3" s="158"/>
      <c r="I3" s="158"/>
      <c r="J3" s="158"/>
      <c r="K3" s="158"/>
      <c r="L3" s="158"/>
      <c r="M3" s="192" t="s">
        <v>4</v>
      </c>
      <c r="N3" s="82">
        <v>1</v>
      </c>
      <c r="O3" s="160"/>
    </row>
    <row r="4" spans="1:15" x14ac:dyDescent="0.3">
      <c r="A4" s="192" t="s">
        <v>5</v>
      </c>
      <c r="B4" s="88" t="s">
        <v>197</v>
      </c>
      <c r="C4" s="158"/>
      <c r="D4" s="192" t="s">
        <v>8</v>
      </c>
      <c r="E4" s="158"/>
      <c r="F4" s="158"/>
      <c r="G4" s="158"/>
      <c r="H4" s="158"/>
      <c r="I4" s="158"/>
      <c r="J4" s="194" t="s">
        <v>6</v>
      </c>
      <c r="K4" s="158"/>
      <c r="L4" s="158"/>
      <c r="M4" s="158"/>
      <c r="N4" s="158"/>
      <c r="O4" s="160"/>
    </row>
    <row r="5" spans="1:15" x14ac:dyDescent="0.3">
      <c r="A5" s="192" t="s">
        <v>15</v>
      </c>
      <c r="B5" s="73" t="s">
        <v>201</v>
      </c>
      <c r="C5" s="158"/>
      <c r="D5" s="192" t="s">
        <v>12</v>
      </c>
      <c r="E5" s="158"/>
      <c r="F5" s="158"/>
      <c r="G5" s="158"/>
      <c r="H5" s="158"/>
      <c r="I5" s="158"/>
      <c r="J5" s="194" t="s">
        <v>8</v>
      </c>
      <c r="K5" s="158"/>
      <c r="L5" s="158"/>
      <c r="M5" s="192" t="s">
        <v>9</v>
      </c>
      <c r="N5" s="74">
        <f>N3*N2</f>
        <v>4.3445228399999989</v>
      </c>
      <c r="O5" s="160"/>
    </row>
    <row r="6" spans="1:15" x14ac:dyDescent="0.3">
      <c r="A6" s="192" t="s">
        <v>7</v>
      </c>
      <c r="B6" s="195" t="s">
        <v>208</v>
      </c>
      <c r="C6" s="158"/>
      <c r="D6" s="158"/>
      <c r="E6" s="158"/>
      <c r="F6" s="158"/>
      <c r="G6" s="158"/>
      <c r="H6" s="158"/>
      <c r="I6" s="158"/>
      <c r="J6" s="194" t="s">
        <v>12</v>
      </c>
      <c r="K6" s="158"/>
      <c r="L6" s="158"/>
      <c r="M6" s="158"/>
      <c r="N6" s="158"/>
      <c r="O6" s="160"/>
    </row>
    <row r="7" spans="1:15" x14ac:dyDescent="0.3">
      <c r="A7" s="192" t="s">
        <v>10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60"/>
    </row>
    <row r="8" spans="1:15" x14ac:dyDescent="0.3">
      <c r="A8" s="192" t="s">
        <v>13</v>
      </c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60"/>
    </row>
    <row r="9" spans="1:15" x14ac:dyDescent="0.3">
      <c r="A9" s="196"/>
      <c r="B9" s="197"/>
      <c r="C9" s="197"/>
      <c r="D9" s="197"/>
      <c r="E9" s="197"/>
      <c r="F9" s="158"/>
      <c r="G9" s="158"/>
      <c r="H9" s="158"/>
      <c r="I9" s="158"/>
      <c r="J9" s="158"/>
      <c r="K9" s="158"/>
      <c r="L9" s="158"/>
      <c r="M9" s="158"/>
      <c r="N9" s="158"/>
      <c r="O9" s="160"/>
    </row>
    <row r="10" spans="1:15" x14ac:dyDescent="0.3">
      <c r="A10" s="198" t="s">
        <v>14</v>
      </c>
      <c r="B10" s="199" t="s">
        <v>19</v>
      </c>
      <c r="C10" s="199" t="s">
        <v>20</v>
      </c>
      <c r="D10" s="199" t="s">
        <v>21</v>
      </c>
      <c r="E10" s="199" t="s">
        <v>22</v>
      </c>
      <c r="F10" s="200" t="s">
        <v>23</v>
      </c>
      <c r="G10" s="200" t="s">
        <v>24</v>
      </c>
      <c r="H10" s="200" t="s">
        <v>25</v>
      </c>
      <c r="I10" s="200" t="s">
        <v>26</v>
      </c>
      <c r="J10" s="200" t="s">
        <v>27</v>
      </c>
      <c r="K10" s="200" t="s">
        <v>28</v>
      </c>
      <c r="L10" s="200" t="s">
        <v>29</v>
      </c>
      <c r="M10" s="200" t="s">
        <v>17</v>
      </c>
      <c r="N10" s="200" t="s">
        <v>18</v>
      </c>
      <c r="O10" s="160"/>
    </row>
    <row r="11" spans="1:15" x14ac:dyDescent="0.3">
      <c r="A11" s="85">
        <v>10</v>
      </c>
      <c r="B11" s="145" t="s">
        <v>188</v>
      </c>
      <c r="C11" s="146" t="s">
        <v>189</v>
      </c>
      <c r="D11" s="149">
        <f>200*E11*L11</f>
        <v>3.8617980799999994</v>
      </c>
      <c r="E11" s="253">
        <f>J11*K11</f>
        <v>1.2220879999999999E-5</v>
      </c>
      <c r="F11" s="20" t="s">
        <v>190</v>
      </c>
      <c r="G11" s="20"/>
      <c r="H11" s="19"/>
      <c r="I11" s="21" t="s">
        <v>164</v>
      </c>
      <c r="J11" s="253">
        <f>3.14*(0.008*0.008-0.006*0.006)</f>
        <v>8.7919999999999985E-5</v>
      </c>
      <c r="K11" s="78">
        <v>0.13900000000000001</v>
      </c>
      <c r="L11" s="79">
        <v>1580</v>
      </c>
      <c r="M11" s="147">
        <v>1</v>
      </c>
      <c r="N11" s="30">
        <f>D11*M11</f>
        <v>3.8617980799999994</v>
      </c>
      <c r="O11" s="177"/>
    </row>
    <row r="12" spans="1:15" x14ac:dyDescent="0.3">
      <c r="A12" s="179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205" t="s">
        <v>18</v>
      </c>
      <c r="N12" s="206">
        <f>SUM(N11:N11)</f>
        <v>3.8617980799999994</v>
      </c>
      <c r="O12" s="160"/>
    </row>
    <row r="13" spans="1:15" x14ac:dyDescent="0.3">
      <c r="A13" s="164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60"/>
    </row>
    <row r="14" spans="1:15" x14ac:dyDescent="0.3">
      <c r="A14" s="208" t="s">
        <v>14</v>
      </c>
      <c r="B14" s="200" t="s">
        <v>31</v>
      </c>
      <c r="C14" s="200" t="s">
        <v>20</v>
      </c>
      <c r="D14" s="200" t="s">
        <v>21</v>
      </c>
      <c r="E14" s="200" t="s">
        <v>32</v>
      </c>
      <c r="F14" s="200" t="s">
        <v>17</v>
      </c>
      <c r="G14" s="200" t="s">
        <v>33</v>
      </c>
      <c r="H14" s="200" t="s">
        <v>34</v>
      </c>
      <c r="I14" s="200" t="s">
        <v>18</v>
      </c>
      <c r="J14" s="180"/>
      <c r="K14" s="180"/>
      <c r="L14" s="180"/>
      <c r="M14" s="180"/>
      <c r="N14" s="180"/>
      <c r="O14" s="160"/>
    </row>
    <row r="15" spans="1:15" x14ac:dyDescent="0.3">
      <c r="A15" s="145">
        <v>10</v>
      </c>
      <c r="B15" s="145" t="s">
        <v>210</v>
      </c>
      <c r="C15" s="145" t="s">
        <v>211</v>
      </c>
      <c r="D15" s="223">
        <v>25</v>
      </c>
      <c r="E15" s="222" t="s">
        <v>212</v>
      </c>
      <c r="F15" s="225">
        <f>J11*K11*L11</f>
        <v>1.9308990399999997E-2</v>
      </c>
      <c r="G15" s="221"/>
      <c r="H15" s="221"/>
      <c r="I15" s="224">
        <f>IF(H15="",D15*F15,D15*F15*H15)</f>
        <v>0.48272475999999992</v>
      </c>
      <c r="J15" s="188"/>
      <c r="K15" s="188"/>
      <c r="L15" s="188"/>
      <c r="M15" s="188"/>
      <c r="N15" s="188"/>
      <c r="O15" s="181"/>
    </row>
    <row r="16" spans="1:15" x14ac:dyDescent="0.3">
      <c r="A16" s="179"/>
      <c r="B16" s="180"/>
      <c r="C16" s="180"/>
      <c r="D16" s="180"/>
      <c r="E16" s="180"/>
      <c r="F16" s="180"/>
      <c r="G16" s="180"/>
      <c r="H16" s="214" t="s">
        <v>18</v>
      </c>
      <c r="I16" s="206">
        <f>SUM(I15:I15)</f>
        <v>0.48272475999999992</v>
      </c>
      <c r="J16" s="180"/>
      <c r="K16" s="180"/>
      <c r="L16" s="180"/>
      <c r="M16" s="180"/>
      <c r="N16" s="180"/>
      <c r="O16" s="160"/>
    </row>
    <row r="17" spans="1:15" ht="15" thickBot="1" x14ac:dyDescent="0.35">
      <c r="A17" s="189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1"/>
    </row>
  </sheetData>
  <hyperlinks>
    <hyperlink ref="B4" location="SU_A0300" display="Upper Back A-arm"/>
    <hyperlink ref="G2" location="SU_A0300_BOM" display="Back to BOM"/>
  </hyperlink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2"/>
  <sheetViews>
    <sheetView zoomScale="90" zoomScaleNormal="90" workbookViewId="0">
      <selection activeCell="B4" sqref="B4"/>
    </sheetView>
  </sheetViews>
  <sheetFormatPr baseColWidth="10" defaultColWidth="11.44140625" defaultRowHeight="14.4" x14ac:dyDescent="0.3"/>
  <cols>
    <col min="1" max="1" width="11.44140625" style="155"/>
    <col min="2" max="2" width="25.109375" style="155" customWidth="1"/>
    <col min="3" max="3" width="30.5546875" style="155" customWidth="1"/>
    <col min="4" max="8" width="11.44140625" style="155"/>
    <col min="9" max="9" width="14" style="155" customWidth="1"/>
    <col min="10" max="16" width="11.44140625" style="155"/>
    <col min="17" max="17" width="12.88671875" style="155" bestFit="1" customWidth="1"/>
    <col min="18" max="16384" width="11.44140625" style="155"/>
  </cols>
  <sheetData>
    <row r="1" spans="1:17" x14ac:dyDescent="0.3">
      <c r="A1" s="592"/>
      <c r="B1" s="593"/>
      <c r="C1" s="593"/>
      <c r="D1" s="593"/>
      <c r="E1" s="593"/>
      <c r="F1" s="593"/>
      <c r="G1" s="593"/>
      <c r="H1" s="593"/>
      <c r="I1" s="593"/>
      <c r="J1" s="593"/>
      <c r="K1" s="593"/>
      <c r="L1" s="593"/>
      <c r="M1" s="593"/>
      <c r="N1" s="593"/>
      <c r="O1" s="594"/>
    </row>
    <row r="2" spans="1:17" x14ac:dyDescent="0.3">
      <c r="A2" s="595" t="s">
        <v>0</v>
      </c>
      <c r="B2" s="596" t="s">
        <v>37</v>
      </c>
      <c r="C2" s="596"/>
      <c r="D2" s="596"/>
      <c r="E2" s="596"/>
      <c r="F2" s="596"/>
      <c r="G2" s="597" t="s">
        <v>126</v>
      </c>
      <c r="H2" s="596"/>
      <c r="I2" s="596"/>
      <c r="J2" s="598" t="s">
        <v>1</v>
      </c>
      <c r="K2" s="599">
        <v>81</v>
      </c>
      <c r="L2" s="596"/>
      <c r="M2" s="595" t="s">
        <v>16</v>
      </c>
      <c r="N2" s="600">
        <f>N12+I21</f>
        <v>2.6577472800000002</v>
      </c>
      <c r="O2" s="601"/>
    </row>
    <row r="3" spans="1:17" x14ac:dyDescent="0.3">
      <c r="A3" s="595" t="s">
        <v>3</v>
      </c>
      <c r="B3" s="596" t="str">
        <f>'SU A0300'!B3</f>
        <v>Suspension &amp; Shocks</v>
      </c>
      <c r="C3" s="596"/>
      <c r="D3" s="595" t="s">
        <v>6</v>
      </c>
      <c r="E3" s="602" t="s">
        <v>86</v>
      </c>
      <c r="F3" s="596"/>
      <c r="G3" s="596"/>
      <c r="H3" s="596"/>
      <c r="I3" s="596"/>
      <c r="J3" s="596"/>
      <c r="K3" s="596"/>
      <c r="L3" s="596"/>
      <c r="M3" s="595" t="s">
        <v>4</v>
      </c>
      <c r="N3" s="603">
        <v>2</v>
      </c>
      <c r="O3" s="601"/>
    </row>
    <row r="4" spans="1:17" x14ac:dyDescent="0.3">
      <c r="A4" s="595" t="s">
        <v>5</v>
      </c>
      <c r="B4" s="597" t="s">
        <v>197</v>
      </c>
      <c r="C4" s="596"/>
      <c r="D4" s="595" t="s">
        <v>8</v>
      </c>
      <c r="E4" s="596"/>
      <c r="F4" s="596"/>
      <c r="G4" s="596"/>
      <c r="H4" s="596"/>
      <c r="I4" s="596"/>
      <c r="J4" s="604" t="s">
        <v>6</v>
      </c>
      <c r="K4" s="596"/>
      <c r="L4" s="596"/>
      <c r="M4" s="596"/>
      <c r="N4" s="596"/>
      <c r="O4" s="601"/>
    </row>
    <row r="5" spans="1:17" x14ac:dyDescent="0.3">
      <c r="A5" s="595" t="s">
        <v>15</v>
      </c>
      <c r="B5" s="605" t="s">
        <v>193</v>
      </c>
      <c r="C5" s="596"/>
      <c r="D5" s="595" t="s">
        <v>12</v>
      </c>
      <c r="E5" s="596"/>
      <c r="F5" s="596"/>
      <c r="G5" s="596"/>
      <c r="H5" s="596"/>
      <c r="I5" s="596"/>
      <c r="J5" s="604" t="s">
        <v>8</v>
      </c>
      <c r="K5" s="596"/>
      <c r="L5" s="596"/>
      <c r="M5" s="595" t="s">
        <v>9</v>
      </c>
      <c r="N5" s="600">
        <f>N3*N2</f>
        <v>5.3154945600000003</v>
      </c>
      <c r="O5" s="601"/>
    </row>
    <row r="6" spans="1:17" x14ac:dyDescent="0.3">
      <c r="A6" s="595" t="s">
        <v>7</v>
      </c>
      <c r="B6" s="606" t="s">
        <v>207</v>
      </c>
      <c r="C6" s="596"/>
      <c r="D6" s="596"/>
      <c r="E6" s="596"/>
      <c r="F6" s="596"/>
      <c r="G6" s="596"/>
      <c r="H6" s="596"/>
      <c r="I6" s="596"/>
      <c r="J6" s="604" t="s">
        <v>12</v>
      </c>
      <c r="K6" s="596"/>
      <c r="L6" s="596"/>
      <c r="M6" s="596"/>
      <c r="N6" s="596"/>
      <c r="O6" s="601"/>
    </row>
    <row r="7" spans="1:17" x14ac:dyDescent="0.3">
      <c r="A7" s="595" t="s">
        <v>10</v>
      </c>
      <c r="B7" s="596"/>
      <c r="C7" s="596"/>
      <c r="D7" s="596"/>
      <c r="E7" s="596"/>
      <c r="F7" s="596"/>
      <c r="G7" s="596"/>
      <c r="H7" s="596"/>
      <c r="I7" s="596"/>
      <c r="J7" s="596"/>
      <c r="K7" s="596"/>
      <c r="L7" s="596"/>
      <c r="M7" s="596"/>
      <c r="N7" s="596"/>
      <c r="O7" s="601"/>
    </row>
    <row r="8" spans="1:17" x14ac:dyDescent="0.3">
      <c r="A8" s="595" t="s">
        <v>13</v>
      </c>
      <c r="B8" s="596"/>
      <c r="C8" s="596"/>
      <c r="D8" s="596"/>
      <c r="E8" s="596"/>
      <c r="F8" s="596"/>
      <c r="G8" s="596"/>
      <c r="H8" s="596"/>
      <c r="I8" s="596"/>
      <c r="J8" s="596"/>
      <c r="K8" s="596"/>
      <c r="L8" s="596"/>
      <c r="M8" s="596"/>
      <c r="N8" s="596"/>
      <c r="O8" s="601"/>
    </row>
    <row r="9" spans="1:17" x14ac:dyDescent="0.3">
      <c r="A9" s="607"/>
      <c r="B9" s="608"/>
      <c r="C9" s="608"/>
      <c r="D9" s="608"/>
      <c r="E9" s="608"/>
      <c r="F9" s="596"/>
      <c r="G9" s="596"/>
      <c r="H9" s="596"/>
      <c r="I9" s="596"/>
      <c r="J9" s="596"/>
      <c r="K9" s="596"/>
      <c r="L9" s="596"/>
      <c r="M9" s="596"/>
      <c r="N9" s="596"/>
      <c r="O9" s="601"/>
    </row>
    <row r="10" spans="1:17" x14ac:dyDescent="0.3">
      <c r="A10" s="609" t="s">
        <v>14</v>
      </c>
      <c r="B10" s="610" t="s">
        <v>19</v>
      </c>
      <c r="C10" s="610" t="s">
        <v>20</v>
      </c>
      <c r="D10" s="610" t="s">
        <v>21</v>
      </c>
      <c r="E10" s="610" t="s">
        <v>22</v>
      </c>
      <c r="F10" s="611" t="s">
        <v>23</v>
      </c>
      <c r="G10" s="611" t="s">
        <v>24</v>
      </c>
      <c r="H10" s="611" t="s">
        <v>25</v>
      </c>
      <c r="I10" s="611" t="s">
        <v>26</v>
      </c>
      <c r="J10" s="611" t="s">
        <v>27</v>
      </c>
      <c r="K10" s="611" t="s">
        <v>28</v>
      </c>
      <c r="L10" s="611" t="s">
        <v>29</v>
      </c>
      <c r="M10" s="611" t="s">
        <v>17</v>
      </c>
      <c r="N10" s="611" t="s">
        <v>18</v>
      </c>
      <c r="O10" s="601"/>
    </row>
    <row r="11" spans="1:17" x14ac:dyDescent="0.3">
      <c r="A11" s="612">
        <v>10</v>
      </c>
      <c r="B11" s="613" t="s">
        <v>166</v>
      </c>
      <c r="C11" s="614" t="s">
        <v>38</v>
      </c>
      <c r="D11" s="615">
        <v>2.25</v>
      </c>
      <c r="E11" s="616">
        <f>J11*K11*L11/1000000000</f>
        <v>7.8876800000000011E-3</v>
      </c>
      <c r="F11" s="614" t="s">
        <v>162</v>
      </c>
      <c r="G11" s="614"/>
      <c r="H11" s="617"/>
      <c r="I11" s="618" t="s">
        <v>165</v>
      </c>
      <c r="J11" s="619">
        <f>3.14*8*8</f>
        <v>200.96</v>
      </c>
      <c r="K11" s="620">
        <v>5</v>
      </c>
      <c r="L11" s="621">
        <v>7850</v>
      </c>
      <c r="M11" s="622">
        <v>1</v>
      </c>
      <c r="N11" s="615">
        <f>D11*E11</f>
        <v>1.7747280000000004E-2</v>
      </c>
      <c r="O11" s="623"/>
      <c r="Q11" s="207"/>
    </row>
    <row r="12" spans="1:17" x14ac:dyDescent="0.3">
      <c r="A12" s="624"/>
      <c r="B12" s="625"/>
      <c r="C12" s="625"/>
      <c r="D12" s="625"/>
      <c r="E12" s="625"/>
      <c r="F12" s="625"/>
      <c r="G12" s="625"/>
      <c r="H12" s="625"/>
      <c r="I12" s="625"/>
      <c r="J12" s="625"/>
      <c r="K12" s="625"/>
      <c r="L12" s="625"/>
      <c r="M12" s="626" t="s">
        <v>18</v>
      </c>
      <c r="N12" s="627">
        <f>SUM(N11:N11)</f>
        <v>1.7747280000000004E-2</v>
      </c>
      <c r="O12" s="601"/>
    </row>
    <row r="13" spans="1:17" x14ac:dyDescent="0.3">
      <c r="A13" s="628"/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6"/>
      <c r="N13" s="596"/>
      <c r="O13" s="601"/>
    </row>
    <row r="14" spans="1:17" x14ac:dyDescent="0.3">
      <c r="A14" s="629" t="s">
        <v>14</v>
      </c>
      <c r="B14" s="611" t="s">
        <v>31</v>
      </c>
      <c r="C14" s="611" t="s">
        <v>20</v>
      </c>
      <c r="D14" s="611" t="s">
        <v>21</v>
      </c>
      <c r="E14" s="611" t="s">
        <v>32</v>
      </c>
      <c r="F14" s="611" t="s">
        <v>17</v>
      </c>
      <c r="G14" s="611" t="s">
        <v>33</v>
      </c>
      <c r="H14" s="611" t="s">
        <v>34</v>
      </c>
      <c r="I14" s="611" t="s">
        <v>18</v>
      </c>
      <c r="J14" s="625"/>
      <c r="K14" s="625"/>
      <c r="L14" s="625"/>
      <c r="M14" s="625"/>
      <c r="N14" s="625"/>
      <c r="O14" s="601"/>
    </row>
    <row r="15" spans="1:17" ht="28.8" x14ac:dyDescent="0.3">
      <c r="A15" s="630">
        <v>10</v>
      </c>
      <c r="B15" s="631" t="s">
        <v>39</v>
      </c>
      <c r="C15" s="632" t="s">
        <v>134</v>
      </c>
      <c r="D15" s="633">
        <v>1.3</v>
      </c>
      <c r="E15" s="631" t="s">
        <v>35</v>
      </c>
      <c r="F15" s="632">
        <v>1</v>
      </c>
      <c r="G15" s="632"/>
      <c r="H15" s="632"/>
      <c r="I15" s="633">
        <f t="shared" ref="I15:I20" si="0">IF(H15="",D15*F15,D15*F15*H15)</f>
        <v>1.3</v>
      </c>
      <c r="J15" s="634"/>
      <c r="K15" s="634"/>
      <c r="L15" s="634"/>
      <c r="M15" s="634"/>
      <c r="N15" s="634"/>
      <c r="O15" s="635"/>
    </row>
    <row r="16" spans="1:17" x14ac:dyDescent="0.3">
      <c r="A16" s="636">
        <v>20</v>
      </c>
      <c r="B16" s="637" t="s">
        <v>159</v>
      </c>
      <c r="C16" s="638" t="s">
        <v>167</v>
      </c>
      <c r="D16" s="615">
        <v>0.04</v>
      </c>
      <c r="E16" s="631" t="s">
        <v>161</v>
      </c>
      <c r="F16" s="639">
        <v>0.4</v>
      </c>
      <c r="G16" s="631"/>
      <c r="H16" s="638"/>
      <c r="I16" s="615">
        <f t="shared" si="0"/>
        <v>1.6E-2</v>
      </c>
      <c r="J16" s="596"/>
      <c r="K16" s="596"/>
      <c r="L16" s="596"/>
      <c r="M16" s="596"/>
      <c r="N16" s="596"/>
      <c r="O16" s="601"/>
    </row>
    <row r="17" spans="1:15" x14ac:dyDescent="0.3">
      <c r="A17" s="636">
        <v>30</v>
      </c>
      <c r="B17" s="637" t="s">
        <v>158</v>
      </c>
      <c r="C17" s="638" t="s">
        <v>160</v>
      </c>
      <c r="D17" s="615">
        <v>0.65</v>
      </c>
      <c r="E17" s="631" t="s">
        <v>35</v>
      </c>
      <c r="F17" s="638">
        <v>1</v>
      </c>
      <c r="G17" s="638"/>
      <c r="H17" s="638"/>
      <c r="I17" s="615">
        <f t="shared" si="0"/>
        <v>0.65</v>
      </c>
      <c r="J17" s="596"/>
      <c r="K17" s="596"/>
      <c r="L17" s="596"/>
      <c r="M17" s="596"/>
      <c r="N17" s="596"/>
      <c r="O17" s="601"/>
    </row>
    <row r="18" spans="1:15" x14ac:dyDescent="0.3">
      <c r="A18" s="636">
        <v>40</v>
      </c>
      <c r="B18" s="637" t="s">
        <v>159</v>
      </c>
      <c r="C18" s="638" t="s">
        <v>169</v>
      </c>
      <c r="D18" s="615">
        <v>0.04</v>
      </c>
      <c r="E18" s="631" t="s">
        <v>161</v>
      </c>
      <c r="F18" s="639">
        <v>0.56000000000000005</v>
      </c>
      <c r="G18" s="631"/>
      <c r="H18" s="638"/>
      <c r="I18" s="615">
        <f t="shared" si="0"/>
        <v>2.2400000000000003E-2</v>
      </c>
      <c r="J18" s="596"/>
      <c r="K18" s="596"/>
      <c r="L18" s="596"/>
      <c r="M18" s="596"/>
      <c r="N18" s="596"/>
      <c r="O18" s="601"/>
    </row>
    <row r="19" spans="1:15" x14ac:dyDescent="0.3">
      <c r="A19" s="636">
        <v>50</v>
      </c>
      <c r="B19" s="637" t="s">
        <v>158</v>
      </c>
      <c r="C19" s="638" t="s">
        <v>160</v>
      </c>
      <c r="D19" s="615">
        <v>0.65</v>
      </c>
      <c r="E19" s="631" t="s">
        <v>35</v>
      </c>
      <c r="F19" s="638">
        <v>1</v>
      </c>
      <c r="G19" s="638"/>
      <c r="H19" s="638"/>
      <c r="I19" s="615">
        <f t="shared" si="0"/>
        <v>0.65</v>
      </c>
      <c r="J19" s="596"/>
      <c r="K19" s="596"/>
      <c r="L19" s="596"/>
      <c r="M19" s="596"/>
      <c r="N19" s="596"/>
      <c r="O19" s="601"/>
    </row>
    <row r="20" spans="1:15" x14ac:dyDescent="0.3">
      <c r="A20" s="636">
        <v>60</v>
      </c>
      <c r="B20" s="637" t="s">
        <v>159</v>
      </c>
      <c r="C20" s="638" t="s">
        <v>168</v>
      </c>
      <c r="D20" s="615">
        <v>0.04</v>
      </c>
      <c r="E20" s="631" t="s">
        <v>161</v>
      </c>
      <c r="F20" s="638">
        <v>0.04</v>
      </c>
      <c r="G20" s="638"/>
      <c r="H20" s="638"/>
      <c r="I20" s="615">
        <f t="shared" si="0"/>
        <v>1.6000000000000001E-3</v>
      </c>
      <c r="J20" s="596"/>
      <c r="K20" s="596"/>
      <c r="L20" s="596"/>
      <c r="M20" s="596"/>
      <c r="N20" s="596"/>
      <c r="O20" s="601"/>
    </row>
    <row r="21" spans="1:15" x14ac:dyDescent="0.3">
      <c r="A21" s="624"/>
      <c r="B21" s="625"/>
      <c r="C21" s="625"/>
      <c r="D21" s="625"/>
      <c r="E21" s="625"/>
      <c r="F21" s="625"/>
      <c r="G21" s="625"/>
      <c r="H21" s="640" t="s">
        <v>18</v>
      </c>
      <c r="I21" s="627">
        <f>SUM(I15:I20)</f>
        <v>2.64</v>
      </c>
      <c r="J21" s="625"/>
      <c r="K21" s="625"/>
      <c r="L21" s="625"/>
      <c r="M21" s="625"/>
      <c r="N21" s="625"/>
      <c r="O21" s="601"/>
    </row>
    <row r="22" spans="1:15" ht="15" thickBot="1" x14ac:dyDescent="0.35">
      <c r="A22" s="641"/>
      <c r="B22" s="642"/>
      <c r="C22" s="642"/>
      <c r="D22" s="642"/>
      <c r="E22" s="642"/>
      <c r="F22" s="642"/>
      <c r="G22" s="642"/>
      <c r="H22" s="642"/>
      <c r="I22" s="642"/>
      <c r="J22" s="642"/>
      <c r="K22" s="642"/>
      <c r="L22" s="642"/>
      <c r="M22" s="642"/>
      <c r="N22" s="642"/>
      <c r="O22" s="643"/>
    </row>
  </sheetData>
  <hyperlinks>
    <hyperlink ref="B4" location="SU_A0300" display="Upper Back A-arm"/>
    <hyperlink ref="E3" location="dSU_03005" display="Drawing"/>
    <hyperlink ref="G2" location="SU_A0300_BOM" display="Back to BOM"/>
  </hyperlink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zoomScale="106" zoomScaleNormal="106" workbookViewId="0"/>
  </sheetViews>
  <sheetFormatPr baseColWidth="10" defaultColWidth="11.44140625" defaultRowHeight="14.4" x14ac:dyDescent="0.3"/>
  <cols>
    <col min="1" max="1" width="14.21875" style="155" customWidth="1"/>
    <col min="2" max="16384" width="11.44140625" style="155"/>
  </cols>
  <sheetData>
    <row r="1" spans="1:2" x14ac:dyDescent="0.3">
      <c r="A1" s="155" t="s">
        <v>170</v>
      </c>
      <c r="B1" s="220" t="str">
        <f>'SU 03005'!B6</f>
        <v>SU 03005</v>
      </c>
    </row>
  </sheetData>
  <hyperlinks>
    <hyperlink ref="B1" location="SU_03005" display="SU_03005"/>
  </hyperlinks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P20"/>
  <sheetViews>
    <sheetView workbookViewId="0">
      <selection activeCell="G2" sqref="G2"/>
    </sheetView>
  </sheetViews>
  <sheetFormatPr baseColWidth="10" defaultRowHeight="14.4" x14ac:dyDescent="0.3"/>
  <cols>
    <col min="2" max="2" width="19.33203125" customWidth="1"/>
    <col min="3" max="3" width="19.21875" customWidth="1"/>
  </cols>
  <sheetData>
    <row r="1" spans="1:16" x14ac:dyDescent="0.3">
      <c r="A1" s="592"/>
      <c r="B1" s="593"/>
      <c r="C1" s="593"/>
      <c r="D1" s="593"/>
      <c r="E1" s="593"/>
      <c r="F1" s="593"/>
      <c r="G1" s="593"/>
      <c r="H1" s="593"/>
      <c r="I1" s="593"/>
      <c r="J1" s="593"/>
      <c r="K1" s="593"/>
      <c r="L1" s="593"/>
      <c r="M1" s="593"/>
      <c r="N1" s="593"/>
      <c r="O1" s="594"/>
      <c r="P1" s="155"/>
    </row>
    <row r="2" spans="1:16" x14ac:dyDescent="0.3">
      <c r="A2" s="595" t="s">
        <v>0</v>
      </c>
      <c r="B2" s="596" t="s">
        <v>37</v>
      </c>
      <c r="C2" s="596"/>
      <c r="D2" s="596"/>
      <c r="E2" s="596"/>
      <c r="F2" s="596"/>
      <c r="G2" s="597" t="s">
        <v>126</v>
      </c>
      <c r="H2" s="596"/>
      <c r="I2" s="596"/>
      <c r="J2" s="598" t="s">
        <v>1</v>
      </c>
      <c r="K2" s="599">
        <v>81</v>
      </c>
      <c r="L2" s="596"/>
      <c r="M2" s="595" t="s">
        <v>16</v>
      </c>
      <c r="N2" s="600">
        <f>N12+I18</f>
        <v>1.1551782399999999</v>
      </c>
      <c r="O2" s="601"/>
      <c r="P2" s="155"/>
    </row>
    <row r="3" spans="1:16" x14ac:dyDescent="0.3">
      <c r="A3" s="595" t="s">
        <v>3</v>
      </c>
      <c r="B3" s="596" t="str">
        <f>'SU A0300'!B3</f>
        <v>Suspension &amp; Shocks</v>
      </c>
      <c r="C3" s="596"/>
      <c r="D3" s="595" t="s">
        <v>6</v>
      </c>
      <c r="E3" s="602" t="s">
        <v>86</v>
      </c>
      <c r="F3" s="596"/>
      <c r="G3" s="596"/>
      <c r="H3" s="596"/>
      <c r="I3" s="596"/>
      <c r="J3" s="596"/>
      <c r="K3" s="596"/>
      <c r="L3" s="596"/>
      <c r="M3" s="595" t="s">
        <v>4</v>
      </c>
      <c r="N3" s="603">
        <v>4</v>
      </c>
      <c r="O3" s="601"/>
      <c r="P3" s="155"/>
    </row>
    <row r="4" spans="1:16" x14ac:dyDescent="0.3">
      <c r="A4" s="595" t="s">
        <v>5</v>
      </c>
      <c r="B4" s="597" t="s">
        <v>197</v>
      </c>
      <c r="C4" s="596"/>
      <c r="D4" s="595" t="s">
        <v>8</v>
      </c>
      <c r="E4" s="596"/>
      <c r="F4" s="596"/>
      <c r="G4" s="596"/>
      <c r="H4" s="596"/>
      <c r="I4" s="596"/>
      <c r="J4" s="604" t="s">
        <v>6</v>
      </c>
      <c r="K4" s="596"/>
      <c r="L4" s="596"/>
      <c r="M4" s="596"/>
      <c r="N4" s="596"/>
      <c r="O4" s="601"/>
      <c r="P4" s="155"/>
    </row>
    <row r="5" spans="1:16" x14ac:dyDescent="0.3">
      <c r="A5" s="595" t="s">
        <v>15</v>
      </c>
      <c r="B5" s="605" t="s">
        <v>192</v>
      </c>
      <c r="C5" s="596"/>
      <c r="D5" s="595" t="s">
        <v>12</v>
      </c>
      <c r="E5" s="596"/>
      <c r="F5" s="596"/>
      <c r="G5" s="596"/>
      <c r="H5" s="596"/>
      <c r="I5" s="596"/>
      <c r="J5" s="604" t="s">
        <v>8</v>
      </c>
      <c r="K5" s="596"/>
      <c r="L5" s="596"/>
      <c r="M5" s="595" t="s">
        <v>9</v>
      </c>
      <c r="N5" s="600">
        <f>N3*N2</f>
        <v>4.6207129599999996</v>
      </c>
      <c r="O5" s="601"/>
      <c r="P5" s="155"/>
    </row>
    <row r="6" spans="1:16" x14ac:dyDescent="0.3">
      <c r="A6" s="595" t="s">
        <v>7</v>
      </c>
      <c r="B6" s="606" t="s">
        <v>206</v>
      </c>
      <c r="C6" s="596"/>
      <c r="D6" s="596"/>
      <c r="E6" s="596"/>
      <c r="F6" s="596"/>
      <c r="G6" s="596"/>
      <c r="H6" s="596"/>
      <c r="I6" s="596"/>
      <c r="J6" s="604" t="s">
        <v>12</v>
      </c>
      <c r="K6" s="596"/>
      <c r="L6" s="596"/>
      <c r="M6" s="596"/>
      <c r="N6" s="596"/>
      <c r="O6" s="601"/>
      <c r="P6" s="155"/>
    </row>
    <row r="7" spans="1:16" x14ac:dyDescent="0.3">
      <c r="A7" s="595" t="s">
        <v>10</v>
      </c>
      <c r="B7" s="596"/>
      <c r="C7" s="596"/>
      <c r="D7" s="596"/>
      <c r="E7" s="596"/>
      <c r="F7" s="596"/>
      <c r="G7" s="596"/>
      <c r="H7" s="596"/>
      <c r="I7" s="596"/>
      <c r="J7" s="596"/>
      <c r="K7" s="596"/>
      <c r="L7" s="596"/>
      <c r="M7" s="596"/>
      <c r="N7" s="596"/>
      <c r="O7" s="601"/>
      <c r="P7" s="155"/>
    </row>
    <row r="8" spans="1:16" x14ac:dyDescent="0.3">
      <c r="A8" s="595" t="s">
        <v>13</v>
      </c>
      <c r="B8" s="596"/>
      <c r="C8" s="596"/>
      <c r="D8" s="596"/>
      <c r="E8" s="596"/>
      <c r="F8" s="596"/>
      <c r="G8" s="596"/>
      <c r="H8" s="596"/>
      <c r="I8" s="596"/>
      <c r="J8" s="596"/>
      <c r="K8" s="596"/>
      <c r="L8" s="596"/>
      <c r="M8" s="596"/>
      <c r="N8" s="596"/>
      <c r="O8" s="601"/>
      <c r="P8" s="155"/>
    </row>
    <row r="9" spans="1:16" x14ac:dyDescent="0.3">
      <c r="A9" s="607"/>
      <c r="B9" s="608"/>
      <c r="C9" s="608"/>
      <c r="D9" s="608"/>
      <c r="E9" s="608"/>
      <c r="F9" s="596"/>
      <c r="G9" s="596"/>
      <c r="H9" s="596"/>
      <c r="I9" s="596"/>
      <c r="J9" s="596"/>
      <c r="K9" s="596"/>
      <c r="L9" s="596"/>
      <c r="M9" s="596"/>
      <c r="N9" s="596"/>
      <c r="O9" s="601"/>
      <c r="P9" s="155"/>
    </row>
    <row r="10" spans="1:16" x14ac:dyDescent="0.3">
      <c r="A10" s="609" t="s">
        <v>14</v>
      </c>
      <c r="B10" s="610" t="s">
        <v>19</v>
      </c>
      <c r="C10" s="610" t="s">
        <v>20</v>
      </c>
      <c r="D10" s="610" t="s">
        <v>21</v>
      </c>
      <c r="E10" s="610" t="s">
        <v>22</v>
      </c>
      <c r="F10" s="611" t="s">
        <v>23</v>
      </c>
      <c r="G10" s="611" t="s">
        <v>24</v>
      </c>
      <c r="H10" s="611" t="s">
        <v>25</v>
      </c>
      <c r="I10" s="611" t="s">
        <v>26</v>
      </c>
      <c r="J10" s="611" t="s">
        <v>27</v>
      </c>
      <c r="K10" s="611" t="s">
        <v>28</v>
      </c>
      <c r="L10" s="611" t="s">
        <v>29</v>
      </c>
      <c r="M10" s="611" t="s">
        <v>17</v>
      </c>
      <c r="N10" s="611" t="s">
        <v>18</v>
      </c>
      <c r="O10" s="601"/>
      <c r="P10" s="155"/>
    </row>
    <row r="11" spans="1:16" x14ac:dyDescent="0.3">
      <c r="A11" s="323">
        <v>10</v>
      </c>
      <c r="B11" s="524" t="s">
        <v>278</v>
      </c>
      <c r="C11" s="574"/>
      <c r="D11" s="575">
        <v>2.25</v>
      </c>
      <c r="E11" s="375">
        <f>J11*K11*L11</f>
        <v>6.3101440000000009E-2</v>
      </c>
      <c r="F11" s="373" t="s">
        <v>162</v>
      </c>
      <c r="G11" s="373"/>
      <c r="H11" s="374"/>
      <c r="I11" s="375" t="s">
        <v>165</v>
      </c>
      <c r="J11" s="376">
        <f>3.14*8*8/1000000</f>
        <v>2.0096E-4</v>
      </c>
      <c r="K11" s="402">
        <v>0.04</v>
      </c>
      <c r="L11" s="378">
        <v>7850</v>
      </c>
      <c r="M11" s="379">
        <v>1</v>
      </c>
      <c r="N11" s="380">
        <f>D11*E11*M11</f>
        <v>0.14197824000000003</v>
      </c>
      <c r="O11" s="381"/>
    </row>
    <row r="12" spans="1:16" x14ac:dyDescent="0.3">
      <c r="A12" s="624"/>
      <c r="B12" s="625"/>
      <c r="C12" s="625"/>
      <c r="D12" s="625"/>
      <c r="E12" s="625"/>
      <c r="F12" s="625"/>
      <c r="G12" s="625"/>
      <c r="H12" s="625"/>
      <c r="I12" s="625"/>
      <c r="J12" s="625"/>
      <c r="K12" s="625"/>
      <c r="L12" s="625"/>
      <c r="M12" s="626" t="s">
        <v>18</v>
      </c>
      <c r="N12" s="627">
        <f>SUM(N11:N11)</f>
        <v>0.14197824000000003</v>
      </c>
      <c r="O12" s="601"/>
      <c r="P12" s="155"/>
    </row>
    <row r="13" spans="1:16" x14ac:dyDescent="0.3">
      <c r="A13" s="628"/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6"/>
      <c r="N13" s="596"/>
      <c r="O13" s="601"/>
      <c r="P13" s="155"/>
    </row>
    <row r="14" spans="1:16" x14ac:dyDescent="0.3">
      <c r="A14" s="629" t="s">
        <v>14</v>
      </c>
      <c r="B14" s="611" t="s">
        <v>31</v>
      </c>
      <c r="C14" s="611" t="s">
        <v>20</v>
      </c>
      <c r="D14" s="611" t="s">
        <v>21</v>
      </c>
      <c r="E14" s="611" t="s">
        <v>32</v>
      </c>
      <c r="F14" s="611" t="s">
        <v>17</v>
      </c>
      <c r="G14" s="611" t="s">
        <v>33</v>
      </c>
      <c r="H14" s="611" t="s">
        <v>34</v>
      </c>
      <c r="I14" s="611" t="s">
        <v>18</v>
      </c>
      <c r="J14" s="625"/>
      <c r="K14" s="625"/>
      <c r="L14" s="625"/>
      <c r="M14" s="625"/>
      <c r="N14" s="625"/>
      <c r="O14" s="601"/>
      <c r="P14" s="155"/>
    </row>
    <row r="15" spans="1:16" ht="29.4" customHeight="1" x14ac:dyDescent="0.3">
      <c r="A15" s="340">
        <v>10</v>
      </c>
      <c r="B15" s="340" t="s">
        <v>39</v>
      </c>
      <c r="C15" s="340" t="s">
        <v>134</v>
      </c>
      <c r="D15" s="345">
        <v>1.3</v>
      </c>
      <c r="E15" s="340" t="s">
        <v>32</v>
      </c>
      <c r="F15" s="237">
        <v>1</v>
      </c>
      <c r="G15" s="339" t="s">
        <v>295</v>
      </c>
      <c r="H15" s="339">
        <v>0.5</v>
      </c>
      <c r="I15" s="347">
        <f>IF(H15="",D15*F15,D15*F15*H15)</f>
        <v>0.65</v>
      </c>
      <c r="J15" s="389"/>
      <c r="K15" s="389"/>
      <c r="L15" s="389"/>
      <c r="M15" s="389"/>
      <c r="N15" s="389"/>
      <c r="O15" s="390"/>
    </row>
    <row r="16" spans="1:16" x14ac:dyDescent="0.3">
      <c r="A16" s="398">
        <v>20</v>
      </c>
      <c r="B16" s="398" t="s">
        <v>159</v>
      </c>
      <c r="C16" s="398" t="s">
        <v>267</v>
      </c>
      <c r="D16" s="399">
        <v>0.04</v>
      </c>
      <c r="E16" s="398" t="s">
        <v>161</v>
      </c>
      <c r="F16" s="398">
        <v>0.11</v>
      </c>
      <c r="G16" s="398" t="s">
        <v>268</v>
      </c>
      <c r="H16" s="398">
        <v>3</v>
      </c>
      <c r="I16" s="347">
        <f>IF(H16="",D16*F16,D16*F16*H16)</f>
        <v>1.32E-2</v>
      </c>
      <c r="J16" s="353"/>
      <c r="K16" s="353"/>
      <c r="L16" s="353"/>
      <c r="M16" s="353"/>
      <c r="N16" s="353"/>
      <c r="O16" s="358"/>
    </row>
    <row r="17" spans="1:16" x14ac:dyDescent="0.3">
      <c r="A17" s="400">
        <v>30</v>
      </c>
      <c r="B17" s="400" t="s">
        <v>269</v>
      </c>
      <c r="C17" s="400" t="s">
        <v>270</v>
      </c>
      <c r="D17" s="401">
        <v>0.35</v>
      </c>
      <c r="E17" s="400" t="s">
        <v>271</v>
      </c>
      <c r="F17" s="400">
        <v>1</v>
      </c>
      <c r="G17" s="400"/>
      <c r="H17" s="400"/>
      <c r="I17" s="401">
        <f>D17*F17</f>
        <v>0.35</v>
      </c>
      <c r="J17" s="353"/>
      <c r="K17" s="353"/>
      <c r="L17" s="353"/>
      <c r="M17" s="353"/>
      <c r="N17" s="353"/>
      <c r="O17" s="358"/>
    </row>
    <row r="18" spans="1:16" x14ac:dyDescent="0.3">
      <c r="A18" s="624"/>
      <c r="B18" s="625"/>
      <c r="C18" s="625"/>
      <c r="D18" s="625"/>
      <c r="E18" s="625"/>
      <c r="F18" s="625"/>
      <c r="G18" s="625"/>
      <c r="H18" s="640" t="s">
        <v>18</v>
      </c>
      <c r="I18" s="627">
        <f>SUM(I15:I17)</f>
        <v>1.0131999999999999</v>
      </c>
      <c r="J18" s="625"/>
      <c r="K18" s="625"/>
      <c r="L18" s="625"/>
      <c r="M18" s="625"/>
      <c r="N18" s="625"/>
      <c r="O18" s="601"/>
      <c r="P18" s="155"/>
    </row>
    <row r="19" spans="1:16" ht="15" thickBot="1" x14ac:dyDescent="0.35">
      <c r="A19" s="641"/>
      <c r="B19" s="642"/>
      <c r="C19" s="642"/>
      <c r="D19" s="642"/>
      <c r="E19" s="642"/>
      <c r="F19" s="642"/>
      <c r="G19" s="642"/>
      <c r="H19" s="642"/>
      <c r="I19" s="642"/>
      <c r="J19" s="642"/>
      <c r="K19" s="642"/>
      <c r="L19" s="642"/>
      <c r="M19" s="642"/>
      <c r="N19" s="642"/>
      <c r="O19" s="643"/>
      <c r="P19" s="155"/>
    </row>
    <row r="20" spans="1:16" x14ac:dyDescent="0.3">
      <c r="A20" s="155"/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</row>
  </sheetData>
  <hyperlinks>
    <hyperlink ref="G2" location="SU_A0300_BOM" display="Back to BOM"/>
    <hyperlink ref="E3" location="dSU_03006" display="Drawing"/>
    <hyperlink ref="B4" location="SU_A0300" display="Upper Back A-arm"/>
  </hyperlinks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3.44140625" customWidth="1"/>
  </cols>
  <sheetData>
    <row r="1" spans="1:2" x14ac:dyDescent="0.3">
      <c r="A1" s="155" t="s">
        <v>170</v>
      </c>
      <c r="B1" s="220" t="s">
        <v>209</v>
      </c>
    </row>
  </sheetData>
  <hyperlinks>
    <hyperlink ref="B1" location="SU_03006" display="=SU_03006"/>
  </hyperlinks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17"/>
  <sheetViews>
    <sheetView zoomScale="90" zoomScaleNormal="90" workbookViewId="0">
      <selection activeCell="G2" sqref="G2"/>
    </sheetView>
  </sheetViews>
  <sheetFormatPr baseColWidth="10" defaultColWidth="11.44140625" defaultRowHeight="14.4" x14ac:dyDescent="0.3"/>
  <cols>
    <col min="1" max="1" width="11.44140625" style="155"/>
    <col min="2" max="2" width="28.6640625" style="155" customWidth="1"/>
    <col min="3" max="3" width="24.33203125" style="155" customWidth="1"/>
    <col min="4" max="8" width="11.44140625" style="155"/>
    <col min="9" max="9" width="15.33203125" style="155" customWidth="1"/>
    <col min="10" max="16" width="11.44140625" style="155"/>
    <col min="17" max="17" width="12.88671875" style="155" bestFit="1" customWidth="1"/>
    <col min="18" max="16384" width="11.44140625" style="155"/>
  </cols>
  <sheetData>
    <row r="1" spans="1:17" x14ac:dyDescent="0.3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7" x14ac:dyDescent="0.3">
      <c r="A2" s="192" t="s">
        <v>0</v>
      </c>
      <c r="B2" s="157" t="s">
        <v>37</v>
      </c>
      <c r="C2" s="158"/>
      <c r="D2" s="158"/>
      <c r="E2" s="158"/>
      <c r="F2" s="158"/>
      <c r="G2" s="88" t="s">
        <v>126</v>
      </c>
      <c r="H2" s="158"/>
      <c r="I2" s="158"/>
      <c r="J2" s="193" t="s">
        <v>1</v>
      </c>
      <c r="K2" s="159">
        <v>81</v>
      </c>
      <c r="L2" s="158"/>
      <c r="M2" s="192" t="s">
        <v>16</v>
      </c>
      <c r="N2" s="74">
        <f>N12+I16</f>
        <v>0.47719727680000001</v>
      </c>
      <c r="O2" s="160"/>
    </row>
    <row r="3" spans="1:17" x14ac:dyDescent="0.3">
      <c r="A3" s="192" t="s">
        <v>3</v>
      </c>
      <c r="B3" s="157" t="str">
        <f>'SU A0300'!B3</f>
        <v>Suspension &amp; Shocks</v>
      </c>
      <c r="C3" s="158"/>
      <c r="D3" s="192" t="s">
        <v>6</v>
      </c>
      <c r="E3" s="89" t="s">
        <v>86</v>
      </c>
      <c r="F3" s="158"/>
      <c r="G3" s="158"/>
      <c r="H3" s="158"/>
      <c r="I3" s="158"/>
      <c r="J3" s="158"/>
      <c r="K3" s="158"/>
      <c r="L3" s="158"/>
      <c r="M3" s="192" t="s">
        <v>4</v>
      </c>
      <c r="N3" s="82">
        <v>2</v>
      </c>
      <c r="O3" s="160"/>
    </row>
    <row r="4" spans="1:17" x14ac:dyDescent="0.3">
      <c r="A4" s="192" t="s">
        <v>5</v>
      </c>
      <c r="B4" s="88" t="s">
        <v>197</v>
      </c>
      <c r="C4" s="158"/>
      <c r="D4" s="192" t="s">
        <v>8</v>
      </c>
      <c r="E4" s="158"/>
      <c r="F4" s="158"/>
      <c r="G4" s="158"/>
      <c r="H4" s="158"/>
      <c r="I4" s="158"/>
      <c r="J4" s="194" t="s">
        <v>6</v>
      </c>
      <c r="K4" s="158"/>
      <c r="L4" s="158"/>
      <c r="M4" s="158"/>
      <c r="N4" s="158"/>
      <c r="O4" s="160"/>
    </row>
    <row r="5" spans="1:17" x14ac:dyDescent="0.3">
      <c r="A5" s="192" t="s">
        <v>15</v>
      </c>
      <c r="B5" s="165" t="s">
        <v>135</v>
      </c>
      <c r="C5" s="158"/>
      <c r="D5" s="192" t="s">
        <v>12</v>
      </c>
      <c r="E5" s="158"/>
      <c r="F5" s="158"/>
      <c r="G5" s="158"/>
      <c r="H5" s="158"/>
      <c r="I5" s="158"/>
      <c r="J5" s="194" t="s">
        <v>8</v>
      </c>
      <c r="K5" s="158"/>
      <c r="L5" s="158"/>
      <c r="M5" s="192" t="s">
        <v>9</v>
      </c>
      <c r="N5" s="74">
        <f>N3*N2</f>
        <v>0.95439455360000003</v>
      </c>
      <c r="O5" s="160"/>
    </row>
    <row r="6" spans="1:17" x14ac:dyDescent="0.3">
      <c r="A6" s="192" t="s">
        <v>7</v>
      </c>
      <c r="B6" s="195" t="s">
        <v>205</v>
      </c>
      <c r="C6" s="158"/>
      <c r="D6" s="158"/>
      <c r="E6" s="158"/>
      <c r="F6" s="158"/>
      <c r="G6" s="158"/>
      <c r="H6" s="158"/>
      <c r="I6" s="158"/>
      <c r="J6" s="194" t="s">
        <v>12</v>
      </c>
      <c r="K6" s="158"/>
      <c r="L6" s="158"/>
      <c r="M6" s="158"/>
      <c r="N6" s="158"/>
      <c r="O6" s="160"/>
    </row>
    <row r="7" spans="1:17" x14ac:dyDescent="0.3">
      <c r="A7" s="192" t="s">
        <v>10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60"/>
    </row>
    <row r="8" spans="1:17" x14ac:dyDescent="0.3">
      <c r="A8" s="192" t="s">
        <v>13</v>
      </c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60"/>
    </row>
    <row r="9" spans="1:17" x14ac:dyDescent="0.3">
      <c r="A9" s="196"/>
      <c r="B9" s="197"/>
      <c r="C9" s="197"/>
      <c r="D9" s="197"/>
      <c r="E9" s="197"/>
      <c r="F9" s="158"/>
      <c r="G9" s="158"/>
      <c r="H9" s="158"/>
      <c r="I9" s="158"/>
      <c r="J9" s="158"/>
      <c r="K9" s="158"/>
      <c r="L9" s="158"/>
      <c r="M9" s="158"/>
      <c r="N9" s="158"/>
      <c r="O9" s="160"/>
    </row>
    <row r="10" spans="1:17" customFormat="1" x14ac:dyDescent="0.3">
      <c r="A10" s="366" t="s">
        <v>14</v>
      </c>
      <c r="B10" s="367" t="s">
        <v>19</v>
      </c>
      <c r="C10" s="367" t="s">
        <v>20</v>
      </c>
      <c r="D10" s="367" t="s">
        <v>21</v>
      </c>
      <c r="E10" s="367" t="s">
        <v>22</v>
      </c>
      <c r="F10" s="368" t="s">
        <v>23</v>
      </c>
      <c r="G10" s="368" t="s">
        <v>24</v>
      </c>
      <c r="H10" s="368" t="s">
        <v>25</v>
      </c>
      <c r="I10" s="368" t="s">
        <v>26</v>
      </c>
      <c r="J10" s="368" t="s">
        <v>27</v>
      </c>
      <c r="K10" s="368" t="s">
        <v>28</v>
      </c>
      <c r="L10" s="368" t="s">
        <v>29</v>
      </c>
      <c r="M10" s="368" t="s">
        <v>17</v>
      </c>
      <c r="N10" s="368" t="s">
        <v>18</v>
      </c>
      <c r="O10" s="358"/>
    </row>
    <row r="11" spans="1:17" s="184" customFormat="1" ht="17.399999999999999" customHeight="1" x14ac:dyDescent="0.3">
      <c r="A11" s="404">
        <v>10</v>
      </c>
      <c r="B11" s="405" t="s">
        <v>273</v>
      </c>
      <c r="C11" s="404" t="s">
        <v>274</v>
      </c>
      <c r="D11" s="406">
        <v>4.2</v>
      </c>
      <c r="E11" s="407">
        <v>12</v>
      </c>
      <c r="F11" s="404" t="s">
        <v>30</v>
      </c>
      <c r="G11" s="404"/>
      <c r="H11" s="408"/>
      <c r="I11" s="409" t="s">
        <v>275</v>
      </c>
      <c r="J11" s="410">
        <f>3.14*0.006^2</f>
        <v>1.1304E-4</v>
      </c>
      <c r="K11" s="411">
        <v>0.06</v>
      </c>
      <c r="L11" s="416">
        <v>2710</v>
      </c>
      <c r="M11" s="412">
        <v>1</v>
      </c>
      <c r="N11" s="347">
        <f>IF(J11="",D11*M11,D11*J11*K11*L11*M11)</f>
        <v>7.7197276800000006E-2</v>
      </c>
      <c r="O11" s="417"/>
    </row>
    <row r="12" spans="1:17" x14ac:dyDescent="0.3">
      <c r="A12" s="179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205" t="s">
        <v>18</v>
      </c>
      <c r="N12" s="206">
        <f>SUM(N11:N11)</f>
        <v>7.7197276800000006E-2</v>
      </c>
      <c r="O12" s="160"/>
    </row>
    <row r="13" spans="1:17" x14ac:dyDescent="0.3">
      <c r="A13" s="164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60"/>
      <c r="Q13" s="207"/>
    </row>
    <row r="14" spans="1:17" customFormat="1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4"/>
      <c r="K14" s="24"/>
      <c r="L14" s="24"/>
      <c r="M14" s="24"/>
      <c r="N14" s="24"/>
      <c r="O14" s="62"/>
    </row>
    <row r="15" spans="1:17" customFormat="1" x14ac:dyDescent="0.3">
      <c r="A15" s="343">
        <v>10</v>
      </c>
      <c r="B15" s="340" t="s">
        <v>272</v>
      </c>
      <c r="C15" s="413"/>
      <c r="D15" s="414">
        <v>0.4</v>
      </c>
      <c r="E15" s="343" t="s">
        <v>40</v>
      </c>
      <c r="F15" s="343">
        <v>1</v>
      </c>
      <c r="G15" s="343"/>
      <c r="H15" s="343"/>
      <c r="I15" s="415">
        <f>IF(H15="",D15*F15,D15*F15*H15)</f>
        <v>0.4</v>
      </c>
      <c r="J15" s="389"/>
      <c r="K15" s="389"/>
      <c r="L15" s="389"/>
      <c r="M15" s="389"/>
      <c r="N15" s="389"/>
      <c r="O15" s="390"/>
    </row>
    <row r="16" spans="1:17" x14ac:dyDescent="0.3">
      <c r="A16" s="179"/>
      <c r="B16" s="180"/>
      <c r="C16" s="180"/>
      <c r="D16" s="180"/>
      <c r="E16" s="180"/>
      <c r="F16" s="180"/>
      <c r="G16" s="180"/>
      <c r="H16" s="214" t="s">
        <v>18</v>
      </c>
      <c r="I16" s="206">
        <f>SUM(I15:I15)</f>
        <v>0.4</v>
      </c>
      <c r="J16" s="180"/>
      <c r="K16" s="180"/>
      <c r="L16" s="180"/>
      <c r="M16" s="180"/>
      <c r="N16" s="180"/>
      <c r="O16" s="160"/>
    </row>
    <row r="17" spans="1:15" ht="15" thickBot="1" x14ac:dyDescent="0.35">
      <c r="A17" s="189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1"/>
    </row>
  </sheetData>
  <hyperlinks>
    <hyperlink ref="E3" location="dSU_03007" display="Drawing"/>
    <hyperlink ref="G2" location="SU_A0300_BOM" display="Back to BOM"/>
    <hyperlink ref="B4" location="SU_A0300" display="Upper Back A-arm"/>
  </hyperlinks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zoomScale="106" zoomScaleNormal="106" workbookViewId="0">
      <selection activeCell="B1" sqref="B1"/>
    </sheetView>
  </sheetViews>
  <sheetFormatPr baseColWidth="10" defaultColWidth="11.44140625" defaultRowHeight="14.4" x14ac:dyDescent="0.3"/>
  <cols>
    <col min="1" max="1" width="20" style="155" customWidth="1"/>
    <col min="2" max="16384" width="11.44140625" style="155"/>
  </cols>
  <sheetData>
    <row r="1" spans="1:2" x14ac:dyDescent="0.3">
      <c r="A1" s="155" t="s">
        <v>170</v>
      </c>
      <c r="B1" s="220" t="str">
        <f>'SU 03007'!B6</f>
        <v>SU 03007</v>
      </c>
    </row>
  </sheetData>
  <hyperlinks>
    <hyperlink ref="B1" location="SU_03007" display="SU_03007"/>
  </hyperlinks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F2" sqref="F2"/>
    </sheetView>
  </sheetViews>
  <sheetFormatPr baseColWidth="10" defaultRowHeight="14.4" x14ac:dyDescent="0.3"/>
  <cols>
    <col min="2" max="2" width="19.5546875" customWidth="1"/>
    <col min="3" max="3" width="20" customWidth="1"/>
    <col min="6" max="6" width="10.77734375" customWidth="1"/>
  </cols>
  <sheetData>
    <row r="1" spans="1:15" x14ac:dyDescent="0.3">
      <c r="A1" s="431"/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3"/>
    </row>
    <row r="2" spans="1:15" x14ac:dyDescent="0.3">
      <c r="A2" s="434" t="s">
        <v>0</v>
      </c>
      <c r="B2" s="16" t="s">
        <v>37</v>
      </c>
      <c r="C2" s="418"/>
      <c r="D2" s="418"/>
      <c r="E2" s="418"/>
      <c r="F2" s="88" t="s">
        <v>126</v>
      </c>
      <c r="G2" s="418"/>
      <c r="H2" s="418"/>
      <c r="I2" s="418"/>
      <c r="J2" s="436" t="s">
        <v>1</v>
      </c>
      <c r="K2" s="419">
        <v>81</v>
      </c>
      <c r="L2" s="418"/>
      <c r="M2" s="420" t="s">
        <v>16</v>
      </c>
      <c r="N2" s="421">
        <f>N13+I21</f>
        <v>1.3808240000000001</v>
      </c>
      <c r="O2" s="437"/>
    </row>
    <row r="3" spans="1:15" x14ac:dyDescent="0.3">
      <c r="A3" s="434" t="s">
        <v>3</v>
      </c>
      <c r="B3" s="16" t="str">
        <f>'SU A0200'!B3</f>
        <v>Suspension &amp; Shocks</v>
      </c>
      <c r="C3" s="419"/>
      <c r="D3" s="351" t="s">
        <v>6</v>
      </c>
      <c r="E3" s="287" t="s">
        <v>86</v>
      </c>
      <c r="F3" s="418"/>
      <c r="G3" s="418"/>
      <c r="H3" s="418"/>
      <c r="I3" s="418"/>
      <c r="J3" s="418"/>
      <c r="K3" s="418"/>
      <c r="L3" s="418"/>
      <c r="M3" s="420" t="s">
        <v>4</v>
      </c>
      <c r="N3" s="422">
        <v>2</v>
      </c>
      <c r="O3" s="437"/>
    </row>
    <row r="4" spans="1:15" x14ac:dyDescent="0.3">
      <c r="A4" s="434" t="s">
        <v>5</v>
      </c>
      <c r="B4" s="88" t="s">
        <v>197</v>
      </c>
      <c r="C4" s="418"/>
      <c r="D4" s="351" t="s">
        <v>8</v>
      </c>
      <c r="E4" s="353"/>
      <c r="F4" s="418"/>
      <c r="G4" s="418"/>
      <c r="H4" s="418"/>
      <c r="I4" s="418"/>
      <c r="J4" s="436" t="s">
        <v>6</v>
      </c>
      <c r="K4" s="418"/>
      <c r="L4" s="418"/>
      <c r="M4" s="418"/>
      <c r="N4" s="418"/>
      <c r="O4" s="437"/>
    </row>
    <row r="5" spans="1:15" x14ac:dyDescent="0.3">
      <c r="A5" s="434" t="s">
        <v>15</v>
      </c>
      <c r="B5" s="439" t="s">
        <v>289</v>
      </c>
      <c r="C5" s="418"/>
      <c r="D5" s="351" t="s">
        <v>12</v>
      </c>
      <c r="E5" s="353"/>
      <c r="F5" s="418"/>
      <c r="G5" s="418"/>
      <c r="H5" s="418"/>
      <c r="I5" s="418"/>
      <c r="J5" s="436" t="s">
        <v>8</v>
      </c>
      <c r="K5" s="418"/>
      <c r="L5" s="418"/>
      <c r="M5" s="420" t="s">
        <v>9</v>
      </c>
      <c r="N5" s="421">
        <f>N3*N2</f>
        <v>2.7616480000000001</v>
      </c>
      <c r="O5" s="437"/>
    </row>
    <row r="6" spans="1:15" x14ac:dyDescent="0.3">
      <c r="A6" s="434" t="s">
        <v>7</v>
      </c>
      <c r="B6" s="440" t="s">
        <v>313</v>
      </c>
      <c r="C6" s="418"/>
      <c r="D6" s="418"/>
      <c r="E6" s="418"/>
      <c r="F6" s="418"/>
      <c r="G6" s="418"/>
      <c r="H6" s="418"/>
      <c r="I6" s="418"/>
      <c r="J6" s="436" t="s">
        <v>12</v>
      </c>
      <c r="K6" s="418"/>
      <c r="L6" s="418"/>
      <c r="M6" s="418"/>
      <c r="N6" s="418"/>
      <c r="O6" s="437"/>
    </row>
    <row r="7" spans="1:15" x14ac:dyDescent="0.3">
      <c r="A7" s="434" t="s">
        <v>10</v>
      </c>
      <c r="B7" s="435" t="s">
        <v>11</v>
      </c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  <c r="N7" s="418"/>
      <c r="O7" s="437"/>
    </row>
    <row r="8" spans="1:15" x14ac:dyDescent="0.3">
      <c r="A8" s="434" t="s">
        <v>13</v>
      </c>
      <c r="B8" s="418" t="s">
        <v>277</v>
      </c>
      <c r="C8" s="418"/>
      <c r="D8" s="418"/>
      <c r="E8" s="418"/>
      <c r="F8" s="418"/>
      <c r="G8" s="418"/>
      <c r="H8" s="418"/>
      <c r="I8" s="418"/>
      <c r="J8" s="418"/>
      <c r="K8" s="418"/>
      <c r="L8" s="418"/>
      <c r="M8" s="418"/>
      <c r="N8" s="418"/>
      <c r="O8" s="437"/>
    </row>
    <row r="9" spans="1:15" x14ac:dyDescent="0.3">
      <c r="A9" s="423"/>
      <c r="B9" s="418"/>
      <c r="C9" s="418"/>
      <c r="D9" s="418"/>
      <c r="E9" s="418"/>
      <c r="F9" s="418"/>
      <c r="G9" s="418"/>
      <c r="H9" s="418"/>
      <c r="I9" s="418"/>
      <c r="J9" s="418"/>
      <c r="K9" s="418"/>
      <c r="L9" s="418"/>
      <c r="M9" s="418"/>
      <c r="N9" s="418"/>
      <c r="O9" s="437"/>
    </row>
    <row r="10" spans="1:15" x14ac:dyDescent="0.3">
      <c r="A10" s="424" t="s">
        <v>14</v>
      </c>
      <c r="B10" s="425" t="s">
        <v>19</v>
      </c>
      <c r="C10" s="425" t="s">
        <v>20</v>
      </c>
      <c r="D10" s="425" t="s">
        <v>21</v>
      </c>
      <c r="E10" s="425" t="s">
        <v>22</v>
      </c>
      <c r="F10" s="425" t="s">
        <v>23</v>
      </c>
      <c r="G10" s="425" t="s">
        <v>24</v>
      </c>
      <c r="H10" s="425" t="s">
        <v>25</v>
      </c>
      <c r="I10" s="425" t="s">
        <v>26</v>
      </c>
      <c r="J10" s="425" t="s">
        <v>27</v>
      </c>
      <c r="K10" s="425" t="s">
        <v>28</v>
      </c>
      <c r="L10" s="425" t="s">
        <v>29</v>
      </c>
      <c r="M10" s="425" t="s">
        <v>17</v>
      </c>
      <c r="N10" s="425" t="s">
        <v>18</v>
      </c>
      <c r="O10" s="437"/>
    </row>
    <row r="11" spans="1:15" ht="43.2" x14ac:dyDescent="0.3">
      <c r="A11" s="441">
        <v>10</v>
      </c>
      <c r="B11" s="442" t="s">
        <v>278</v>
      </c>
      <c r="C11" s="443" t="s">
        <v>279</v>
      </c>
      <c r="D11" s="444">
        <v>2.25</v>
      </c>
      <c r="E11" s="445">
        <f>J11*K11*L11</f>
        <v>4.5215999999999999E-2</v>
      </c>
      <c r="F11" s="446" t="s">
        <v>212</v>
      </c>
      <c r="G11" s="446"/>
      <c r="H11" s="447"/>
      <c r="I11" s="448" t="s">
        <v>309</v>
      </c>
      <c r="J11" s="449">
        <f>0.048*0.024</f>
        <v>1.152E-3</v>
      </c>
      <c r="K11" s="449">
        <v>5.0000000000000001E-3</v>
      </c>
      <c r="L11" s="450">
        <v>7850</v>
      </c>
      <c r="M11" s="450">
        <v>1</v>
      </c>
      <c r="N11" s="451">
        <f>IF(J11="",D11*M11,D11*J11*K11*L11*M11)</f>
        <v>0.10173600000000001</v>
      </c>
      <c r="O11" s="437"/>
    </row>
    <row r="12" spans="1:15" x14ac:dyDescent="0.3">
      <c r="A12" s="441">
        <v>20</v>
      </c>
      <c r="B12" s="442" t="s">
        <v>281</v>
      </c>
      <c r="C12" s="443"/>
      <c r="D12" s="426">
        <v>10</v>
      </c>
      <c r="E12" s="427">
        <f>2*J11</f>
        <v>2.3040000000000001E-3</v>
      </c>
      <c r="F12" s="452" t="s">
        <v>276</v>
      </c>
      <c r="G12" s="446"/>
      <c r="H12" s="447"/>
      <c r="I12" s="448"/>
      <c r="J12" s="449"/>
      <c r="K12" s="447"/>
      <c r="L12" s="450"/>
      <c r="M12" s="450"/>
      <c r="N12" s="451">
        <f>E12*D12</f>
        <v>2.3040000000000001E-2</v>
      </c>
      <c r="O12" s="437"/>
    </row>
    <row r="13" spans="1:15" x14ac:dyDescent="0.3">
      <c r="A13" s="428"/>
      <c r="B13" s="429"/>
      <c r="C13" s="429"/>
      <c r="D13" s="429"/>
      <c r="E13" s="429"/>
      <c r="F13" s="429"/>
      <c r="G13" s="429"/>
      <c r="H13" s="429"/>
      <c r="I13" s="429"/>
      <c r="J13" s="429"/>
      <c r="K13" s="429"/>
      <c r="L13" s="429"/>
      <c r="M13" s="430" t="s">
        <v>18</v>
      </c>
      <c r="N13" s="300">
        <f>SUM(N11:N12)</f>
        <v>0.12477600000000001</v>
      </c>
      <c r="O13" s="437"/>
    </row>
    <row r="14" spans="1:15" x14ac:dyDescent="0.3">
      <c r="A14" s="423"/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8"/>
      <c r="M14" s="418"/>
      <c r="N14" s="418"/>
      <c r="O14" s="437"/>
    </row>
    <row r="15" spans="1:15" x14ac:dyDescent="0.3">
      <c r="A15" s="424" t="s">
        <v>14</v>
      </c>
      <c r="B15" s="425" t="s">
        <v>31</v>
      </c>
      <c r="C15" s="425" t="s">
        <v>20</v>
      </c>
      <c r="D15" s="425" t="s">
        <v>21</v>
      </c>
      <c r="E15" s="425" t="s">
        <v>32</v>
      </c>
      <c r="F15" s="425" t="s">
        <v>17</v>
      </c>
      <c r="G15" s="425" t="s">
        <v>33</v>
      </c>
      <c r="H15" s="425" t="s">
        <v>34</v>
      </c>
      <c r="I15" s="425" t="s">
        <v>18</v>
      </c>
      <c r="J15" s="429"/>
      <c r="K15" s="429"/>
      <c r="L15" s="429"/>
      <c r="M15" s="429"/>
      <c r="N15" s="429"/>
      <c r="O15" s="437"/>
    </row>
    <row r="16" spans="1:15" ht="30" customHeight="1" x14ac:dyDescent="0.3">
      <c r="A16" s="453">
        <v>10</v>
      </c>
      <c r="B16" s="454" t="s">
        <v>39</v>
      </c>
      <c r="C16" s="455" t="s">
        <v>282</v>
      </c>
      <c r="D16" s="456">
        <v>1.3</v>
      </c>
      <c r="E16" s="454" t="s">
        <v>32</v>
      </c>
      <c r="F16" s="311">
        <v>1</v>
      </c>
      <c r="G16" s="455" t="s">
        <v>294</v>
      </c>
      <c r="H16" s="457">
        <v>0.5</v>
      </c>
      <c r="I16" s="458">
        <f>H16*D16</f>
        <v>0.65</v>
      </c>
      <c r="J16" s="311"/>
      <c r="K16" s="418"/>
      <c r="L16" s="418"/>
      <c r="M16" s="418"/>
      <c r="N16" s="418"/>
      <c r="O16" s="437"/>
    </row>
    <row r="17" spans="1:15" x14ac:dyDescent="0.3">
      <c r="A17" s="459">
        <v>20</v>
      </c>
      <c r="B17" s="460" t="s">
        <v>283</v>
      </c>
      <c r="C17" s="308"/>
      <c r="D17" s="456">
        <v>0.01</v>
      </c>
      <c r="E17" s="460" t="s">
        <v>40</v>
      </c>
      <c r="F17" s="461">
        <v>15.5</v>
      </c>
      <c r="G17" s="454"/>
      <c r="H17" s="457"/>
      <c r="I17" s="458">
        <f>IF(H17="",D17*F17,D17*F17*H17)</f>
        <v>0.155</v>
      </c>
      <c r="J17" s="311"/>
      <c r="K17" s="418"/>
      <c r="L17" s="418"/>
      <c r="M17" s="418"/>
      <c r="N17" s="418"/>
      <c r="O17" s="437"/>
    </row>
    <row r="18" spans="1:15" ht="31.2" customHeight="1" x14ac:dyDescent="0.3">
      <c r="A18" s="453">
        <v>30</v>
      </c>
      <c r="B18" s="462" t="s">
        <v>39</v>
      </c>
      <c r="C18" s="463"/>
      <c r="D18" s="464">
        <v>0.65</v>
      </c>
      <c r="E18" s="463" t="s">
        <v>32</v>
      </c>
      <c r="F18" s="463">
        <v>1</v>
      </c>
      <c r="G18" s="455" t="s">
        <v>294</v>
      </c>
      <c r="H18" s="463">
        <v>0.5</v>
      </c>
      <c r="I18" s="465">
        <f t="shared" ref="I18:I19" si="0">IF(H18="",D18*F18,D18*F18*H18)</f>
        <v>0.32500000000000001</v>
      </c>
      <c r="J18" s="311"/>
      <c r="K18" s="418"/>
      <c r="L18" s="418"/>
      <c r="M18" s="418"/>
      <c r="N18" s="418"/>
      <c r="O18" s="437"/>
    </row>
    <row r="19" spans="1:15" x14ac:dyDescent="0.3">
      <c r="A19" s="459">
        <v>40</v>
      </c>
      <c r="B19" s="463" t="s">
        <v>159</v>
      </c>
      <c r="C19" s="463" t="s">
        <v>293</v>
      </c>
      <c r="D19" s="464">
        <v>0.04</v>
      </c>
      <c r="E19" s="463" t="s">
        <v>161</v>
      </c>
      <c r="F19" s="463">
        <v>1</v>
      </c>
      <c r="G19" s="463" t="s">
        <v>268</v>
      </c>
      <c r="H19" s="463">
        <v>3</v>
      </c>
      <c r="I19" s="465">
        <f t="shared" si="0"/>
        <v>0.12</v>
      </c>
      <c r="J19" s="314"/>
      <c r="K19" s="429"/>
      <c r="L19" s="429"/>
      <c r="M19" s="429"/>
      <c r="N19" s="429"/>
      <c r="O19" s="437"/>
    </row>
    <row r="20" spans="1:15" ht="28.8" x14ac:dyDescent="0.3">
      <c r="A20" s="453">
        <v>50</v>
      </c>
      <c r="B20" s="454" t="s">
        <v>233</v>
      </c>
      <c r="C20" s="308" t="s">
        <v>284</v>
      </c>
      <c r="D20" s="315">
        <v>5.25</v>
      </c>
      <c r="E20" s="454" t="s">
        <v>276</v>
      </c>
      <c r="F20" s="466">
        <f>J11</f>
        <v>1.152E-3</v>
      </c>
      <c r="G20" s="454"/>
      <c r="H20" s="457"/>
      <c r="I20" s="465">
        <f>F20*D20</f>
        <v>6.0480000000000004E-3</v>
      </c>
      <c r="J20" s="467"/>
      <c r="K20" s="468"/>
      <c r="L20" s="468"/>
      <c r="M20" s="468"/>
      <c r="N20" s="468"/>
      <c r="O20" s="437"/>
    </row>
    <row r="21" spans="1:15" x14ac:dyDescent="0.3">
      <c r="A21" s="428"/>
      <c r="B21" s="429"/>
      <c r="C21" s="429"/>
      <c r="D21" s="429"/>
      <c r="E21" s="429"/>
      <c r="F21" s="429"/>
      <c r="G21" s="429"/>
      <c r="H21" s="430" t="s">
        <v>18</v>
      </c>
      <c r="I21" s="302">
        <f>SUM(I16:I20)</f>
        <v>1.2560480000000001</v>
      </c>
      <c r="J21" s="468"/>
      <c r="K21" s="468"/>
      <c r="L21" s="468"/>
      <c r="M21" s="468"/>
      <c r="N21" s="468"/>
      <c r="O21" s="437"/>
    </row>
    <row r="22" spans="1:15" ht="15" thickBot="1" x14ac:dyDescent="0.35">
      <c r="A22" s="469"/>
      <c r="B22" s="470"/>
      <c r="C22" s="470"/>
      <c r="D22" s="470"/>
      <c r="E22" s="470"/>
      <c r="F22" s="470"/>
      <c r="G22" s="470"/>
      <c r="H22" s="470"/>
      <c r="I22" s="470"/>
      <c r="J22" s="470"/>
      <c r="K22" s="470"/>
      <c r="L22" s="470"/>
      <c r="M22" s="470"/>
      <c r="N22" s="470"/>
      <c r="O22" s="471"/>
    </row>
  </sheetData>
  <hyperlinks>
    <hyperlink ref="F2" location="SU_A0300_BOM" display="Back to BOM"/>
    <hyperlink ref="E3" location="dSU_03008" display="Drawing"/>
    <hyperlink ref="B4" location="SU_A0300" display="Upper Back A-arm"/>
  </hyperlink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304</v>
      </c>
      <c r="B1" s="287" t="s">
        <v>313</v>
      </c>
    </row>
  </sheetData>
  <hyperlinks>
    <hyperlink ref="B1" location="SU_03008" display="SU_03008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S22"/>
  <sheetViews>
    <sheetView view="pageBreakPreview" zoomScale="60" zoomScaleNormal="85" workbookViewId="0">
      <selection activeCell="G2" sqref="G2"/>
    </sheetView>
  </sheetViews>
  <sheetFormatPr baseColWidth="10" defaultRowHeight="14.4" x14ac:dyDescent="0.3"/>
  <cols>
    <col min="2" max="2" width="23.109375" customWidth="1"/>
    <col min="3" max="3" width="16.6640625" customWidth="1"/>
    <col min="4" max="4" width="8.77734375" customWidth="1"/>
    <col min="7" max="7" width="14" customWidth="1"/>
    <col min="9" max="9" width="21.44140625" customWidth="1"/>
    <col min="15" max="15" width="8.5546875" customWidth="1"/>
    <col min="18" max="18" width="13.88671875" bestFit="1" customWidth="1"/>
  </cols>
  <sheetData>
    <row r="1" spans="1:19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9" x14ac:dyDescent="0.3">
      <c r="A2" s="102" t="s">
        <v>0</v>
      </c>
      <c r="B2" s="16" t="s">
        <v>37</v>
      </c>
      <c r="C2" s="56"/>
      <c r="D2" s="56"/>
      <c r="E2" s="56"/>
      <c r="F2" s="56"/>
      <c r="G2" s="88" t="s">
        <v>126</v>
      </c>
      <c r="H2" s="56"/>
      <c r="I2" s="56"/>
      <c r="J2" s="103" t="s">
        <v>1</v>
      </c>
      <c r="K2" s="83">
        <v>81</v>
      </c>
      <c r="L2" s="56"/>
      <c r="M2" s="102" t="s">
        <v>16</v>
      </c>
      <c r="N2" s="74">
        <f>N12+I21</f>
        <v>3.3353805440000004</v>
      </c>
      <c r="O2" s="62"/>
    </row>
    <row r="3" spans="1:19" x14ac:dyDescent="0.3">
      <c r="A3" s="102" t="s">
        <v>3</v>
      </c>
      <c r="B3" s="16" t="str">
        <f>'SU A0100'!B3</f>
        <v>Suspension &amp; Shocks</v>
      </c>
      <c r="C3" s="56"/>
      <c r="D3" s="102" t="s">
        <v>6</v>
      </c>
      <c r="E3" s="89" t="s">
        <v>86</v>
      </c>
      <c r="F3" s="56"/>
      <c r="G3" s="56"/>
      <c r="H3" s="56"/>
      <c r="I3" s="56"/>
      <c r="J3" s="56"/>
      <c r="K3" s="56"/>
      <c r="L3" s="56"/>
      <c r="M3" s="102" t="s">
        <v>4</v>
      </c>
      <c r="N3" s="82">
        <v>2</v>
      </c>
      <c r="O3" s="62"/>
    </row>
    <row r="4" spans="1:19" x14ac:dyDescent="0.3">
      <c r="A4" s="102" t="s">
        <v>5</v>
      </c>
      <c r="B4" s="88" t="str">
        <f>'SU A0100'!B4</f>
        <v>Upper Front A-arm</v>
      </c>
      <c r="C4" s="56"/>
      <c r="D4" s="102" t="s">
        <v>8</v>
      </c>
      <c r="E4" s="56"/>
      <c r="F4" s="56"/>
      <c r="G4" s="56"/>
      <c r="H4" s="56"/>
      <c r="I4" s="56"/>
      <c r="J4" s="104" t="s">
        <v>6</v>
      </c>
      <c r="K4" s="56"/>
      <c r="L4" s="56"/>
      <c r="M4" s="56"/>
      <c r="N4" s="56"/>
      <c r="O4" s="62"/>
    </row>
    <row r="5" spans="1:19" x14ac:dyDescent="0.3">
      <c r="A5" s="102" t="s">
        <v>15</v>
      </c>
      <c r="B5" s="73" t="s">
        <v>157</v>
      </c>
      <c r="C5" s="56"/>
      <c r="D5" s="102" t="s">
        <v>12</v>
      </c>
      <c r="E5" s="56"/>
      <c r="F5" s="56"/>
      <c r="G5" s="56"/>
      <c r="H5" s="56"/>
      <c r="I5" s="56"/>
      <c r="J5" s="104" t="s">
        <v>8</v>
      </c>
      <c r="K5" s="56"/>
      <c r="L5" s="56"/>
      <c r="M5" s="102" t="s">
        <v>9</v>
      </c>
      <c r="N5" s="74">
        <f>N3*N2</f>
        <v>6.6707610880000008</v>
      </c>
      <c r="O5" s="62"/>
    </row>
    <row r="6" spans="1:19" x14ac:dyDescent="0.3">
      <c r="A6" s="102" t="s">
        <v>7</v>
      </c>
      <c r="B6" s="28" t="s">
        <v>171</v>
      </c>
      <c r="C6" s="56"/>
      <c r="D6" s="56"/>
      <c r="E6" s="56"/>
      <c r="F6" s="56"/>
      <c r="G6" s="56"/>
      <c r="H6" s="56"/>
      <c r="I6" s="56"/>
      <c r="J6" s="104" t="s">
        <v>12</v>
      </c>
      <c r="K6" s="56"/>
      <c r="L6" s="56"/>
      <c r="M6" s="56"/>
      <c r="N6" s="56"/>
      <c r="O6" s="62"/>
    </row>
    <row r="7" spans="1:19" x14ac:dyDescent="0.3">
      <c r="A7" s="102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9" x14ac:dyDescent="0.3">
      <c r="A8" s="102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9" x14ac:dyDescent="0.3">
      <c r="A9" s="84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9" x14ac:dyDescent="0.3">
      <c r="A10" s="105" t="s">
        <v>14</v>
      </c>
      <c r="B10" s="106" t="s">
        <v>19</v>
      </c>
      <c r="C10" s="106" t="s">
        <v>20</v>
      </c>
      <c r="D10" s="106" t="s">
        <v>21</v>
      </c>
      <c r="E10" s="106" t="s">
        <v>22</v>
      </c>
      <c r="F10" s="107" t="s">
        <v>23</v>
      </c>
      <c r="G10" s="107" t="s">
        <v>24</v>
      </c>
      <c r="H10" s="107" t="s">
        <v>25</v>
      </c>
      <c r="I10" s="107" t="s">
        <v>26</v>
      </c>
      <c r="J10" s="107" t="s">
        <v>27</v>
      </c>
      <c r="K10" s="107" t="s">
        <v>28</v>
      </c>
      <c r="L10" s="107" t="s">
        <v>29</v>
      </c>
      <c r="M10" s="107" t="s">
        <v>17</v>
      </c>
      <c r="N10" s="107" t="s">
        <v>18</v>
      </c>
      <c r="O10" s="62"/>
    </row>
    <row r="11" spans="1:19" x14ac:dyDescent="0.3">
      <c r="A11" s="85">
        <v>10</v>
      </c>
      <c r="B11" s="26" t="s">
        <v>132</v>
      </c>
      <c r="C11" s="20" t="s">
        <v>38</v>
      </c>
      <c r="D11" s="30">
        <f>4.2</f>
        <v>4.2</v>
      </c>
      <c r="E11" s="263">
        <f>J11*K11*L11</f>
        <v>0.20437632</v>
      </c>
      <c r="F11" s="20" t="s">
        <v>162</v>
      </c>
      <c r="G11" s="20"/>
      <c r="H11" s="19"/>
      <c r="I11" s="21" t="s">
        <v>163</v>
      </c>
      <c r="J11" s="253">
        <f>3.14*20*20/1000000</f>
        <v>1.256E-3</v>
      </c>
      <c r="K11" s="262">
        <v>0.06</v>
      </c>
      <c r="L11" s="79">
        <v>2712</v>
      </c>
      <c r="M11" s="23">
        <v>1</v>
      </c>
      <c r="N11" s="30">
        <f>D11*E11*M11</f>
        <v>0.85838054400000008</v>
      </c>
      <c r="O11" s="66"/>
      <c r="P11" s="22"/>
      <c r="Q11" s="22"/>
      <c r="R11" s="22"/>
      <c r="S11" s="22"/>
    </row>
    <row r="12" spans="1:19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08" t="s">
        <v>18</v>
      </c>
      <c r="N12" s="109">
        <f>SUM(N11:N11)</f>
        <v>0.85838054400000008</v>
      </c>
      <c r="O12" s="62"/>
    </row>
    <row r="13" spans="1:19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  <c r="R13" s="135"/>
      <c r="S13" s="135"/>
    </row>
    <row r="14" spans="1:19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4"/>
      <c r="K14" s="24"/>
      <c r="L14" s="24"/>
      <c r="M14" s="24"/>
      <c r="N14" s="24"/>
      <c r="O14" s="62"/>
      <c r="R14" s="135"/>
    </row>
    <row r="15" spans="1:19" ht="28.8" x14ac:dyDescent="0.3">
      <c r="A15" s="339">
        <v>10</v>
      </c>
      <c r="B15" s="340" t="s">
        <v>39</v>
      </c>
      <c r="C15" s="339"/>
      <c r="D15" s="341">
        <v>1.3</v>
      </c>
      <c r="E15" s="340" t="s">
        <v>32</v>
      </c>
      <c r="F15" s="339">
        <v>1</v>
      </c>
      <c r="G15" s="339" t="s">
        <v>295</v>
      </c>
      <c r="H15" s="339">
        <v>0.5</v>
      </c>
      <c r="I15" s="342">
        <f t="shared" ref="I15:I20" si="0">IF(H15="",D15*F15,D15*F15*H15)</f>
        <v>0.65</v>
      </c>
      <c r="J15" s="58"/>
      <c r="K15" s="58"/>
      <c r="L15" s="58"/>
      <c r="M15" s="58"/>
      <c r="N15" s="58"/>
      <c r="O15" s="68"/>
      <c r="P15" s="25"/>
      <c r="Q15" s="25"/>
      <c r="R15" s="137"/>
      <c r="S15" s="25"/>
    </row>
    <row r="16" spans="1:19" ht="28.2" customHeight="1" x14ac:dyDescent="0.3">
      <c r="A16" s="343">
        <v>20</v>
      </c>
      <c r="B16" s="340" t="s">
        <v>159</v>
      </c>
      <c r="C16" s="344" t="s">
        <v>263</v>
      </c>
      <c r="D16" s="345">
        <v>0.04</v>
      </c>
      <c r="E16" s="343" t="s">
        <v>161</v>
      </c>
      <c r="F16" s="346">
        <v>17</v>
      </c>
      <c r="G16" s="340" t="s">
        <v>264</v>
      </c>
      <c r="H16" s="237">
        <v>1</v>
      </c>
      <c r="I16" s="347">
        <f t="shared" si="0"/>
        <v>0.68</v>
      </c>
      <c r="J16" s="56"/>
      <c r="K16" s="56"/>
      <c r="L16" s="56"/>
      <c r="M16" s="56"/>
      <c r="N16" s="56"/>
      <c r="O16" s="62"/>
      <c r="R16" s="135"/>
    </row>
    <row r="17" spans="1:19" ht="28.8" x14ac:dyDescent="0.3">
      <c r="A17" s="339">
        <v>30</v>
      </c>
      <c r="B17" s="340" t="s">
        <v>158</v>
      </c>
      <c r="C17" s="339"/>
      <c r="D17" s="341">
        <v>0.65</v>
      </c>
      <c r="E17" s="340" t="s">
        <v>32</v>
      </c>
      <c r="F17" s="339">
        <v>1</v>
      </c>
      <c r="G17" s="339" t="s">
        <v>295</v>
      </c>
      <c r="H17" s="339">
        <v>0.5</v>
      </c>
      <c r="I17" s="342">
        <f t="shared" si="0"/>
        <v>0.32500000000000001</v>
      </c>
      <c r="J17" s="57"/>
      <c r="K17" s="57"/>
      <c r="L17" s="57"/>
      <c r="M17" s="57"/>
      <c r="N17" s="57"/>
      <c r="O17" s="65"/>
      <c r="P17" s="17"/>
      <c r="Q17" s="17"/>
      <c r="R17" s="136"/>
      <c r="S17" s="17"/>
    </row>
    <row r="18" spans="1:19" ht="15.6" customHeight="1" x14ac:dyDescent="0.3">
      <c r="A18" s="343">
        <v>40</v>
      </c>
      <c r="B18" s="340" t="s">
        <v>159</v>
      </c>
      <c r="C18" s="344" t="s">
        <v>265</v>
      </c>
      <c r="D18" s="345">
        <v>0.04</v>
      </c>
      <c r="E18" s="343" t="s">
        <v>161</v>
      </c>
      <c r="F18" s="346">
        <v>2</v>
      </c>
      <c r="G18" s="340" t="s">
        <v>264</v>
      </c>
      <c r="H18" s="237">
        <v>1</v>
      </c>
      <c r="I18" s="347">
        <f t="shared" si="0"/>
        <v>0.08</v>
      </c>
      <c r="J18" s="56"/>
      <c r="K18" s="56"/>
      <c r="L18" s="56"/>
      <c r="M18" s="56"/>
      <c r="N18" s="56"/>
      <c r="O18" s="62"/>
      <c r="R18" s="135"/>
    </row>
    <row r="19" spans="1:19" x14ac:dyDescent="0.3">
      <c r="A19" s="339">
        <v>50</v>
      </c>
      <c r="B19" s="340" t="s">
        <v>158</v>
      </c>
      <c r="C19" s="339"/>
      <c r="D19" s="341">
        <v>0.65</v>
      </c>
      <c r="E19" s="340" t="s">
        <v>32</v>
      </c>
      <c r="F19" s="339">
        <v>1</v>
      </c>
      <c r="G19" s="339"/>
      <c r="H19" s="339"/>
      <c r="I19" s="342">
        <f t="shared" si="0"/>
        <v>0.65</v>
      </c>
      <c r="J19" s="56"/>
      <c r="K19" s="56"/>
      <c r="L19" s="56"/>
      <c r="M19" s="56"/>
      <c r="N19" s="56"/>
      <c r="O19" s="62"/>
      <c r="R19" s="135"/>
    </row>
    <row r="20" spans="1:19" ht="14.4" customHeight="1" x14ac:dyDescent="0.3">
      <c r="A20" s="343">
        <v>60</v>
      </c>
      <c r="B20" s="340" t="s">
        <v>159</v>
      </c>
      <c r="C20" s="344" t="s">
        <v>266</v>
      </c>
      <c r="D20" s="345">
        <v>0.04</v>
      </c>
      <c r="E20" s="343" t="s">
        <v>161</v>
      </c>
      <c r="F20" s="346">
        <v>2.2999999999999998</v>
      </c>
      <c r="G20" s="340" t="s">
        <v>264</v>
      </c>
      <c r="H20" s="237">
        <v>1</v>
      </c>
      <c r="I20" s="347">
        <f t="shared" si="0"/>
        <v>9.1999999999999998E-2</v>
      </c>
      <c r="J20" s="56"/>
      <c r="K20" s="56"/>
      <c r="L20" s="56"/>
      <c r="M20" s="56"/>
      <c r="N20" s="56"/>
      <c r="O20" s="62"/>
    </row>
    <row r="21" spans="1:19" x14ac:dyDescent="0.3">
      <c r="A21" s="67"/>
      <c r="B21" s="24"/>
      <c r="C21" s="24"/>
      <c r="D21" s="24"/>
      <c r="E21" s="24"/>
      <c r="F21" s="24"/>
      <c r="G21" s="24"/>
      <c r="H21" s="111" t="s">
        <v>18</v>
      </c>
      <c r="I21" s="109">
        <f>SUM(I15:I20)</f>
        <v>2.4770000000000003</v>
      </c>
      <c r="J21" s="24"/>
      <c r="K21" s="24"/>
      <c r="L21" s="24"/>
      <c r="M21" s="24"/>
      <c r="N21" s="24"/>
      <c r="O21" s="62"/>
    </row>
    <row r="22" spans="1:19" ht="15" thickBot="1" x14ac:dyDescent="0.35">
      <c r="A22" s="69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1"/>
    </row>
  </sheetData>
  <hyperlinks>
    <hyperlink ref="B4" location="'SU A0100'!A1" display="'SU A0100'!A1"/>
    <hyperlink ref="E3" location="dSU_01002" display="Drawing"/>
    <hyperlink ref="G2" location="SU_A0100_BOM" display="Back to BOM"/>
  </hyperlinks>
  <pageMargins left="0.7" right="0.7" top="0.75" bottom="0.75" header="0.3" footer="0.3"/>
  <pageSetup paperSize="9" scale="41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topLeftCell="A4" workbookViewId="0">
      <selection activeCell="F2" sqref="F2"/>
    </sheetView>
  </sheetViews>
  <sheetFormatPr baseColWidth="10" defaultRowHeight="14.4" x14ac:dyDescent="0.3"/>
  <cols>
    <col min="2" max="2" width="16.6640625" customWidth="1"/>
    <col min="3" max="3" width="17.33203125" customWidth="1"/>
  </cols>
  <sheetData>
    <row r="1" spans="1:15" x14ac:dyDescent="0.3">
      <c r="A1" s="431"/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3"/>
    </row>
    <row r="2" spans="1:15" x14ac:dyDescent="0.3">
      <c r="A2" s="434" t="s">
        <v>0</v>
      </c>
      <c r="B2" s="16" t="s">
        <v>37</v>
      </c>
      <c r="C2" s="418"/>
      <c r="D2" s="418"/>
      <c r="E2" s="418"/>
      <c r="F2" s="88" t="s">
        <v>126</v>
      </c>
      <c r="G2" s="418"/>
      <c r="H2" s="418"/>
      <c r="I2" s="418"/>
      <c r="J2" s="436" t="s">
        <v>1</v>
      </c>
      <c r="K2" s="419">
        <v>81</v>
      </c>
      <c r="L2" s="418"/>
      <c r="M2" s="420" t="s">
        <v>16</v>
      </c>
      <c r="N2" s="421">
        <f>N13+I21</f>
        <v>1.3808240000000001</v>
      </c>
      <c r="O2" s="437"/>
    </row>
    <row r="3" spans="1:15" x14ac:dyDescent="0.3">
      <c r="A3" s="434" t="s">
        <v>3</v>
      </c>
      <c r="B3" s="16" t="str">
        <f>'SU A0200'!B3</f>
        <v>Suspension &amp; Shocks</v>
      </c>
      <c r="C3" s="419"/>
      <c r="D3" s="351" t="s">
        <v>6</v>
      </c>
      <c r="E3" s="287" t="s">
        <v>86</v>
      </c>
      <c r="F3" s="418"/>
      <c r="G3" s="418"/>
      <c r="H3" s="418"/>
      <c r="I3" s="418"/>
      <c r="J3" s="418"/>
      <c r="K3" s="418"/>
      <c r="L3" s="418"/>
      <c r="M3" s="420" t="s">
        <v>4</v>
      </c>
      <c r="N3" s="422">
        <v>2</v>
      </c>
      <c r="O3" s="437"/>
    </row>
    <row r="4" spans="1:15" x14ac:dyDescent="0.3">
      <c r="A4" s="434" t="s">
        <v>5</v>
      </c>
      <c r="B4" s="88" t="s">
        <v>197</v>
      </c>
      <c r="C4" s="418"/>
      <c r="D4" s="351" t="s">
        <v>8</v>
      </c>
      <c r="E4" s="353"/>
      <c r="F4" s="418"/>
      <c r="G4" s="418"/>
      <c r="H4" s="418"/>
      <c r="I4" s="418"/>
      <c r="J4" s="436" t="s">
        <v>6</v>
      </c>
      <c r="K4" s="418"/>
      <c r="L4" s="418"/>
      <c r="M4" s="418"/>
      <c r="N4" s="418"/>
      <c r="O4" s="437"/>
    </row>
    <row r="5" spans="1:15" x14ac:dyDescent="0.3">
      <c r="A5" s="434" t="s">
        <v>15</v>
      </c>
      <c r="B5" s="439" t="s">
        <v>290</v>
      </c>
      <c r="C5" s="418"/>
      <c r="D5" s="351" t="s">
        <v>12</v>
      </c>
      <c r="E5" s="353"/>
      <c r="F5" s="418"/>
      <c r="G5" s="418"/>
      <c r="H5" s="418"/>
      <c r="I5" s="418"/>
      <c r="J5" s="436" t="s">
        <v>8</v>
      </c>
      <c r="K5" s="418"/>
      <c r="L5" s="418"/>
      <c r="M5" s="420" t="s">
        <v>9</v>
      </c>
      <c r="N5" s="421">
        <f>N3*N2</f>
        <v>2.7616480000000001</v>
      </c>
      <c r="O5" s="437"/>
    </row>
    <row r="6" spans="1:15" x14ac:dyDescent="0.3">
      <c r="A6" s="434" t="s">
        <v>7</v>
      </c>
      <c r="B6" s="440" t="s">
        <v>314</v>
      </c>
      <c r="C6" s="418"/>
      <c r="D6" s="418"/>
      <c r="E6" s="418"/>
      <c r="F6" s="418"/>
      <c r="G6" s="418"/>
      <c r="H6" s="418"/>
      <c r="I6" s="418"/>
      <c r="J6" s="436" t="s">
        <v>12</v>
      </c>
      <c r="K6" s="418"/>
      <c r="L6" s="418"/>
      <c r="M6" s="418"/>
      <c r="N6" s="418"/>
      <c r="O6" s="437"/>
    </row>
    <row r="7" spans="1:15" x14ac:dyDescent="0.3">
      <c r="A7" s="434" t="s">
        <v>10</v>
      </c>
      <c r="B7" s="435" t="s">
        <v>11</v>
      </c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  <c r="N7" s="418"/>
      <c r="O7" s="437"/>
    </row>
    <row r="8" spans="1:15" x14ac:dyDescent="0.3">
      <c r="A8" s="434" t="s">
        <v>13</v>
      </c>
      <c r="B8" s="418" t="s">
        <v>277</v>
      </c>
      <c r="C8" s="418"/>
      <c r="D8" s="418"/>
      <c r="E8" s="418"/>
      <c r="F8" s="418"/>
      <c r="G8" s="418"/>
      <c r="H8" s="418"/>
      <c r="I8" s="418"/>
      <c r="J8" s="418"/>
      <c r="K8" s="418"/>
      <c r="L8" s="418"/>
      <c r="M8" s="418"/>
      <c r="N8" s="418"/>
      <c r="O8" s="437"/>
    </row>
    <row r="9" spans="1:15" x14ac:dyDescent="0.3">
      <c r="A9" s="423"/>
      <c r="B9" s="418"/>
      <c r="C9" s="418"/>
      <c r="D9" s="418"/>
      <c r="E9" s="418"/>
      <c r="F9" s="418"/>
      <c r="G9" s="418"/>
      <c r="H9" s="418"/>
      <c r="I9" s="418"/>
      <c r="J9" s="418"/>
      <c r="K9" s="418"/>
      <c r="L9" s="418"/>
      <c r="M9" s="418"/>
      <c r="N9" s="418"/>
      <c r="O9" s="437"/>
    </row>
    <row r="10" spans="1:15" x14ac:dyDescent="0.3">
      <c r="A10" s="424" t="s">
        <v>14</v>
      </c>
      <c r="B10" s="425" t="s">
        <v>19</v>
      </c>
      <c r="C10" s="425" t="s">
        <v>20</v>
      </c>
      <c r="D10" s="425" t="s">
        <v>21</v>
      </c>
      <c r="E10" s="425" t="s">
        <v>22</v>
      </c>
      <c r="F10" s="425" t="s">
        <v>23</v>
      </c>
      <c r="G10" s="425" t="s">
        <v>24</v>
      </c>
      <c r="H10" s="425" t="s">
        <v>25</v>
      </c>
      <c r="I10" s="425" t="s">
        <v>26</v>
      </c>
      <c r="J10" s="425" t="s">
        <v>27</v>
      </c>
      <c r="K10" s="425" t="s">
        <v>28</v>
      </c>
      <c r="L10" s="425" t="s">
        <v>29</v>
      </c>
      <c r="M10" s="425" t="s">
        <v>17</v>
      </c>
      <c r="N10" s="425" t="s">
        <v>18</v>
      </c>
      <c r="O10" s="437"/>
    </row>
    <row r="11" spans="1:15" ht="43.2" x14ac:dyDescent="0.3">
      <c r="A11" s="441">
        <v>10</v>
      </c>
      <c r="B11" s="442" t="s">
        <v>278</v>
      </c>
      <c r="C11" s="443" t="s">
        <v>279</v>
      </c>
      <c r="D11" s="444">
        <v>2.25</v>
      </c>
      <c r="E11" s="445">
        <f>J11*K11*L11</f>
        <v>4.5215999999999999E-2</v>
      </c>
      <c r="F11" s="446" t="s">
        <v>212</v>
      </c>
      <c r="G11" s="446"/>
      <c r="H11" s="447"/>
      <c r="I11" s="448" t="s">
        <v>309</v>
      </c>
      <c r="J11" s="449">
        <f>0.048*0.024</f>
        <v>1.152E-3</v>
      </c>
      <c r="K11" s="449">
        <v>5.0000000000000001E-3</v>
      </c>
      <c r="L11" s="450">
        <v>7850</v>
      </c>
      <c r="M11" s="450">
        <v>1</v>
      </c>
      <c r="N11" s="451">
        <f>IF(J11="",D11*M11,D11*J11*K11*L11*M11)</f>
        <v>0.10173600000000001</v>
      </c>
      <c r="O11" s="437"/>
    </row>
    <row r="12" spans="1:15" x14ac:dyDescent="0.3">
      <c r="A12" s="441">
        <v>20</v>
      </c>
      <c r="B12" s="442" t="s">
        <v>281</v>
      </c>
      <c r="C12" s="443"/>
      <c r="D12" s="426">
        <v>10</v>
      </c>
      <c r="E12" s="427">
        <f>2*J11</f>
        <v>2.3040000000000001E-3</v>
      </c>
      <c r="F12" s="452" t="s">
        <v>276</v>
      </c>
      <c r="G12" s="446"/>
      <c r="H12" s="447"/>
      <c r="I12" s="448"/>
      <c r="J12" s="449"/>
      <c r="K12" s="447"/>
      <c r="L12" s="450"/>
      <c r="M12" s="450"/>
      <c r="N12" s="451">
        <f>E12*D12</f>
        <v>2.3040000000000001E-2</v>
      </c>
      <c r="O12" s="437"/>
    </row>
    <row r="13" spans="1:15" x14ac:dyDescent="0.3">
      <c r="A13" s="428"/>
      <c r="B13" s="429"/>
      <c r="C13" s="429"/>
      <c r="D13" s="429"/>
      <c r="E13" s="429"/>
      <c r="F13" s="429"/>
      <c r="G13" s="429"/>
      <c r="H13" s="429"/>
      <c r="I13" s="429"/>
      <c r="J13" s="429"/>
      <c r="K13" s="429"/>
      <c r="L13" s="429"/>
      <c r="M13" s="430" t="s">
        <v>18</v>
      </c>
      <c r="N13" s="300">
        <f>SUM(N11:N12)</f>
        <v>0.12477600000000001</v>
      </c>
      <c r="O13" s="437"/>
    </row>
    <row r="14" spans="1:15" x14ac:dyDescent="0.3">
      <c r="A14" s="423"/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8"/>
      <c r="M14" s="418"/>
      <c r="N14" s="418"/>
      <c r="O14" s="437"/>
    </row>
    <row r="15" spans="1:15" x14ac:dyDescent="0.3">
      <c r="A15" s="424" t="s">
        <v>14</v>
      </c>
      <c r="B15" s="425" t="s">
        <v>31</v>
      </c>
      <c r="C15" s="425" t="s">
        <v>20</v>
      </c>
      <c r="D15" s="425" t="s">
        <v>21</v>
      </c>
      <c r="E15" s="425" t="s">
        <v>32</v>
      </c>
      <c r="F15" s="425" t="s">
        <v>17</v>
      </c>
      <c r="G15" s="425" t="s">
        <v>33</v>
      </c>
      <c r="H15" s="425" t="s">
        <v>34</v>
      </c>
      <c r="I15" s="425" t="s">
        <v>18</v>
      </c>
      <c r="J15" s="429"/>
      <c r="K15" s="429"/>
      <c r="L15" s="429"/>
      <c r="M15" s="429"/>
      <c r="N15" s="429"/>
      <c r="O15" s="437"/>
    </row>
    <row r="16" spans="1:15" ht="32.4" customHeight="1" x14ac:dyDescent="0.3">
      <c r="A16" s="453">
        <v>10</v>
      </c>
      <c r="B16" s="454" t="s">
        <v>39</v>
      </c>
      <c r="C16" s="455" t="s">
        <v>282</v>
      </c>
      <c r="D16" s="456">
        <v>1.3</v>
      </c>
      <c r="E16" s="454" t="s">
        <v>32</v>
      </c>
      <c r="F16" s="311">
        <v>1</v>
      </c>
      <c r="G16" s="455" t="s">
        <v>294</v>
      </c>
      <c r="H16" s="457">
        <v>0.5</v>
      </c>
      <c r="I16" s="458">
        <f>H16*D16</f>
        <v>0.65</v>
      </c>
      <c r="J16" s="311"/>
      <c r="K16" s="418"/>
      <c r="L16" s="418"/>
      <c r="M16" s="418"/>
      <c r="N16" s="418"/>
      <c r="O16" s="437"/>
    </row>
    <row r="17" spans="1:15" x14ac:dyDescent="0.3">
      <c r="A17" s="459">
        <v>20</v>
      </c>
      <c r="B17" s="460" t="s">
        <v>283</v>
      </c>
      <c r="C17" s="308"/>
      <c r="D17" s="456">
        <v>0.01</v>
      </c>
      <c r="E17" s="460" t="s">
        <v>40</v>
      </c>
      <c r="F17" s="461">
        <v>15.5</v>
      </c>
      <c r="G17" s="454"/>
      <c r="H17" s="457"/>
      <c r="I17" s="458">
        <f>IF(H17="",D17*F17,D17*F17*H17)</f>
        <v>0.155</v>
      </c>
      <c r="J17" s="311"/>
      <c r="K17" s="418"/>
      <c r="L17" s="418"/>
      <c r="M17" s="418"/>
      <c r="N17" s="418"/>
      <c r="O17" s="437"/>
    </row>
    <row r="18" spans="1:15" ht="43.2" x14ac:dyDescent="0.3">
      <c r="A18" s="453">
        <v>30</v>
      </c>
      <c r="B18" s="462" t="s">
        <v>39</v>
      </c>
      <c r="C18" s="463"/>
      <c r="D18" s="464">
        <v>0.65</v>
      </c>
      <c r="E18" s="463" t="s">
        <v>32</v>
      </c>
      <c r="F18" s="463">
        <v>1</v>
      </c>
      <c r="G18" s="455" t="s">
        <v>294</v>
      </c>
      <c r="H18" s="463">
        <v>0.5</v>
      </c>
      <c r="I18" s="465">
        <f t="shared" ref="I18:I19" si="0">IF(H18="",D18*F18,D18*F18*H18)</f>
        <v>0.32500000000000001</v>
      </c>
      <c r="J18" s="311"/>
      <c r="K18" s="418"/>
      <c r="L18" s="418"/>
      <c r="M18" s="418"/>
      <c r="N18" s="418"/>
      <c r="O18" s="437"/>
    </row>
    <row r="19" spans="1:15" x14ac:dyDescent="0.3">
      <c r="A19" s="459">
        <v>40</v>
      </c>
      <c r="B19" s="463" t="s">
        <v>159</v>
      </c>
      <c r="C19" s="463" t="s">
        <v>293</v>
      </c>
      <c r="D19" s="464">
        <v>0.04</v>
      </c>
      <c r="E19" s="463" t="s">
        <v>161</v>
      </c>
      <c r="F19" s="463">
        <v>1</v>
      </c>
      <c r="G19" s="463" t="s">
        <v>268</v>
      </c>
      <c r="H19" s="463">
        <v>3</v>
      </c>
      <c r="I19" s="465">
        <f t="shared" si="0"/>
        <v>0.12</v>
      </c>
      <c r="J19" s="314"/>
      <c r="K19" s="429"/>
      <c r="L19" s="429"/>
      <c r="M19" s="429"/>
      <c r="N19" s="429"/>
      <c r="O19" s="437"/>
    </row>
    <row r="20" spans="1:15" ht="28.8" x14ac:dyDescent="0.3">
      <c r="A20" s="453">
        <v>50</v>
      </c>
      <c r="B20" s="454" t="s">
        <v>233</v>
      </c>
      <c r="C20" s="308" t="s">
        <v>284</v>
      </c>
      <c r="D20" s="315">
        <v>5.25</v>
      </c>
      <c r="E20" s="454" t="s">
        <v>276</v>
      </c>
      <c r="F20" s="466">
        <f>J11</f>
        <v>1.152E-3</v>
      </c>
      <c r="G20" s="454"/>
      <c r="H20" s="457"/>
      <c r="I20" s="465">
        <f>F20*D20</f>
        <v>6.0480000000000004E-3</v>
      </c>
      <c r="J20" s="467"/>
      <c r="K20" s="468"/>
      <c r="L20" s="468"/>
      <c r="M20" s="468"/>
      <c r="N20" s="468"/>
      <c r="O20" s="437"/>
    </row>
    <row r="21" spans="1:15" x14ac:dyDescent="0.3">
      <c r="A21" s="428"/>
      <c r="B21" s="429"/>
      <c r="C21" s="429"/>
      <c r="D21" s="429"/>
      <c r="E21" s="429"/>
      <c r="F21" s="429"/>
      <c r="G21" s="429"/>
      <c r="H21" s="430" t="s">
        <v>18</v>
      </c>
      <c r="I21" s="302">
        <f>SUM(I16:I20)</f>
        <v>1.2560480000000001</v>
      </c>
      <c r="J21" s="468"/>
      <c r="K21" s="468"/>
      <c r="L21" s="468"/>
      <c r="M21" s="468"/>
      <c r="N21" s="468"/>
      <c r="O21" s="437"/>
    </row>
    <row r="22" spans="1:15" ht="15" thickBot="1" x14ac:dyDescent="0.35">
      <c r="A22" s="469"/>
      <c r="B22" s="470"/>
      <c r="C22" s="470"/>
      <c r="D22" s="470"/>
      <c r="E22" s="470"/>
      <c r="F22" s="470"/>
      <c r="G22" s="470"/>
      <c r="H22" s="470"/>
      <c r="I22" s="470"/>
      <c r="J22" s="470"/>
      <c r="K22" s="470"/>
      <c r="L22" s="470"/>
      <c r="M22" s="470"/>
      <c r="N22" s="470"/>
      <c r="O22" s="471"/>
    </row>
  </sheetData>
  <hyperlinks>
    <hyperlink ref="F2" location="SU_A0300_BOM" display="Back to BOM"/>
    <hyperlink ref="E3" location="dSU_03009" display="Drawing"/>
    <hyperlink ref="B4" location="SU_A0300" display="Upper Back A-arm"/>
  </hyperlinks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304</v>
      </c>
      <c r="B1" s="287" t="s">
        <v>314</v>
      </c>
    </row>
  </sheetData>
  <hyperlinks>
    <hyperlink ref="B1" location="SU_03009" display="SU_03009"/>
  </hyperlinks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I21" sqref="I21"/>
    </sheetView>
  </sheetViews>
  <sheetFormatPr baseColWidth="10" defaultRowHeight="14.4" x14ac:dyDescent="0.3"/>
  <cols>
    <col min="2" max="2" width="17.77734375" customWidth="1"/>
    <col min="3" max="3" width="14.5546875" customWidth="1"/>
    <col min="9" max="9" width="13" customWidth="1"/>
  </cols>
  <sheetData>
    <row r="1" spans="1:15" x14ac:dyDescent="0.3">
      <c r="A1" s="431"/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3"/>
    </row>
    <row r="2" spans="1:15" x14ac:dyDescent="0.3">
      <c r="A2" s="434" t="s">
        <v>0</v>
      </c>
      <c r="B2" s="16" t="s">
        <v>37</v>
      </c>
      <c r="C2" s="418"/>
      <c r="D2" s="418"/>
      <c r="E2" s="418"/>
      <c r="F2" s="88" t="s">
        <v>126</v>
      </c>
      <c r="G2" s="418"/>
      <c r="H2" s="418"/>
      <c r="I2" s="418"/>
      <c r="J2" s="436" t="s">
        <v>1</v>
      </c>
      <c r="K2" s="419">
        <v>81</v>
      </c>
      <c r="L2" s="418"/>
      <c r="M2" s="420" t="s">
        <v>16</v>
      </c>
      <c r="N2" s="421">
        <f>N13+I21</f>
        <v>1.3808240000000001</v>
      </c>
      <c r="O2" s="437"/>
    </row>
    <row r="3" spans="1:15" x14ac:dyDescent="0.3">
      <c r="A3" s="434" t="s">
        <v>3</v>
      </c>
      <c r="B3" s="16" t="str">
        <f>'SU A0200'!B3</f>
        <v>Suspension &amp; Shocks</v>
      </c>
      <c r="C3" s="419"/>
      <c r="D3" s="351" t="s">
        <v>6</v>
      </c>
      <c r="E3" s="287" t="s">
        <v>86</v>
      </c>
      <c r="F3" s="418"/>
      <c r="G3" s="418"/>
      <c r="H3" s="418"/>
      <c r="I3" s="418"/>
      <c r="J3" s="418"/>
      <c r="K3" s="418"/>
      <c r="L3" s="418"/>
      <c r="M3" s="420" t="s">
        <v>4</v>
      </c>
      <c r="N3" s="422">
        <v>2</v>
      </c>
      <c r="O3" s="437"/>
    </row>
    <row r="4" spans="1:15" x14ac:dyDescent="0.3">
      <c r="A4" s="434" t="s">
        <v>5</v>
      </c>
      <c r="B4" s="88" t="s">
        <v>197</v>
      </c>
      <c r="C4" s="418"/>
      <c r="D4" s="351" t="s">
        <v>8</v>
      </c>
      <c r="E4" s="353"/>
      <c r="F4" s="418"/>
      <c r="G4" s="418"/>
      <c r="H4" s="418"/>
      <c r="I4" s="418"/>
      <c r="J4" s="436" t="s">
        <v>6</v>
      </c>
      <c r="K4" s="418"/>
      <c r="L4" s="418"/>
      <c r="M4" s="418"/>
      <c r="N4" s="418"/>
      <c r="O4" s="437"/>
    </row>
    <row r="5" spans="1:15" x14ac:dyDescent="0.3">
      <c r="A5" s="434" t="s">
        <v>15</v>
      </c>
      <c r="B5" s="439" t="s">
        <v>291</v>
      </c>
      <c r="C5" s="418"/>
      <c r="D5" s="351" t="s">
        <v>12</v>
      </c>
      <c r="E5" s="353"/>
      <c r="F5" s="418"/>
      <c r="G5" s="418"/>
      <c r="H5" s="418"/>
      <c r="I5" s="418"/>
      <c r="J5" s="436" t="s">
        <v>8</v>
      </c>
      <c r="K5" s="418"/>
      <c r="L5" s="418"/>
      <c r="M5" s="420" t="s">
        <v>9</v>
      </c>
      <c r="N5" s="421">
        <f>N3*N2</f>
        <v>2.7616480000000001</v>
      </c>
      <c r="O5" s="437"/>
    </row>
    <row r="6" spans="1:15" x14ac:dyDescent="0.3">
      <c r="A6" s="434" t="s">
        <v>7</v>
      </c>
      <c r="B6" s="440" t="s">
        <v>315</v>
      </c>
      <c r="C6" s="418"/>
      <c r="D6" s="418"/>
      <c r="E6" s="418"/>
      <c r="F6" s="418"/>
      <c r="G6" s="418"/>
      <c r="H6" s="418"/>
      <c r="I6" s="418"/>
      <c r="J6" s="436" t="s">
        <v>12</v>
      </c>
      <c r="K6" s="418"/>
      <c r="L6" s="418"/>
      <c r="M6" s="418"/>
      <c r="N6" s="418"/>
      <c r="O6" s="437"/>
    </row>
    <row r="7" spans="1:15" x14ac:dyDescent="0.3">
      <c r="A7" s="434" t="s">
        <v>10</v>
      </c>
      <c r="B7" s="435" t="s">
        <v>11</v>
      </c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  <c r="N7" s="418"/>
      <c r="O7" s="437"/>
    </row>
    <row r="8" spans="1:15" x14ac:dyDescent="0.3">
      <c r="A8" s="434" t="s">
        <v>13</v>
      </c>
      <c r="B8" s="418" t="s">
        <v>277</v>
      </c>
      <c r="C8" s="418"/>
      <c r="D8" s="418"/>
      <c r="E8" s="418"/>
      <c r="F8" s="418"/>
      <c r="G8" s="418"/>
      <c r="H8" s="418"/>
      <c r="I8" s="418"/>
      <c r="J8" s="418"/>
      <c r="K8" s="418"/>
      <c r="L8" s="418"/>
      <c r="M8" s="418"/>
      <c r="N8" s="418"/>
      <c r="O8" s="437"/>
    </row>
    <row r="9" spans="1:15" x14ac:dyDescent="0.3">
      <c r="A9" s="423"/>
      <c r="B9" s="418"/>
      <c r="C9" s="418"/>
      <c r="D9" s="418"/>
      <c r="E9" s="418"/>
      <c r="F9" s="418"/>
      <c r="G9" s="418"/>
      <c r="H9" s="418"/>
      <c r="I9" s="418"/>
      <c r="J9" s="418"/>
      <c r="K9" s="418"/>
      <c r="L9" s="418"/>
      <c r="M9" s="418"/>
      <c r="N9" s="418"/>
      <c r="O9" s="437"/>
    </row>
    <row r="10" spans="1:15" x14ac:dyDescent="0.3">
      <c r="A10" s="424" t="s">
        <v>14</v>
      </c>
      <c r="B10" s="425" t="s">
        <v>19</v>
      </c>
      <c r="C10" s="425" t="s">
        <v>20</v>
      </c>
      <c r="D10" s="425" t="s">
        <v>21</v>
      </c>
      <c r="E10" s="425" t="s">
        <v>22</v>
      </c>
      <c r="F10" s="425" t="s">
        <v>23</v>
      </c>
      <c r="G10" s="425" t="s">
        <v>24</v>
      </c>
      <c r="H10" s="425" t="s">
        <v>25</v>
      </c>
      <c r="I10" s="425" t="s">
        <v>26</v>
      </c>
      <c r="J10" s="425" t="s">
        <v>27</v>
      </c>
      <c r="K10" s="425" t="s">
        <v>28</v>
      </c>
      <c r="L10" s="425" t="s">
        <v>29</v>
      </c>
      <c r="M10" s="425" t="s">
        <v>17</v>
      </c>
      <c r="N10" s="425" t="s">
        <v>18</v>
      </c>
      <c r="O10" s="437"/>
    </row>
    <row r="11" spans="1:15" ht="28.2" customHeight="1" x14ac:dyDescent="0.3">
      <c r="A11" s="441">
        <v>10</v>
      </c>
      <c r="B11" s="442" t="s">
        <v>278</v>
      </c>
      <c r="C11" s="644" t="s">
        <v>279</v>
      </c>
      <c r="D11" s="444">
        <v>2.25</v>
      </c>
      <c r="E11" s="445">
        <f>J11*K11*L11</f>
        <v>4.5215999999999999E-2</v>
      </c>
      <c r="F11" s="446" t="s">
        <v>212</v>
      </c>
      <c r="G11" s="446"/>
      <c r="H11" s="447"/>
      <c r="I11" s="448" t="s">
        <v>318</v>
      </c>
      <c r="J11" s="449">
        <f>0.048*0.024</f>
        <v>1.152E-3</v>
      </c>
      <c r="K11" s="449">
        <v>5.0000000000000001E-3</v>
      </c>
      <c r="L11" s="450">
        <v>7850</v>
      </c>
      <c r="M11" s="450">
        <v>1</v>
      </c>
      <c r="N11" s="451">
        <f>IF(J11="",D11*M11,D11*J11*K11*L11*M11)</f>
        <v>0.10173600000000001</v>
      </c>
      <c r="O11" s="437"/>
    </row>
    <row r="12" spans="1:15" x14ac:dyDescent="0.3">
      <c r="A12" s="441">
        <v>20</v>
      </c>
      <c r="B12" s="442" t="s">
        <v>281</v>
      </c>
      <c r="C12" s="443"/>
      <c r="D12" s="426">
        <v>10</v>
      </c>
      <c r="E12" s="427">
        <f>2*J11</f>
        <v>2.3040000000000001E-3</v>
      </c>
      <c r="F12" s="452" t="s">
        <v>276</v>
      </c>
      <c r="G12" s="446"/>
      <c r="H12" s="447"/>
      <c r="I12" s="448"/>
      <c r="J12" s="449"/>
      <c r="K12" s="447"/>
      <c r="L12" s="450"/>
      <c r="M12" s="450"/>
      <c r="N12" s="451">
        <f>E12*D12</f>
        <v>2.3040000000000001E-2</v>
      </c>
      <c r="O12" s="437"/>
    </row>
    <row r="13" spans="1:15" x14ac:dyDescent="0.3">
      <c r="A13" s="428"/>
      <c r="B13" s="429"/>
      <c r="C13" s="429"/>
      <c r="D13" s="429"/>
      <c r="E13" s="429"/>
      <c r="F13" s="429"/>
      <c r="G13" s="429"/>
      <c r="H13" s="429"/>
      <c r="I13" s="429"/>
      <c r="J13" s="429"/>
      <c r="K13" s="429"/>
      <c r="L13" s="429"/>
      <c r="M13" s="430" t="s">
        <v>18</v>
      </c>
      <c r="N13" s="300">
        <f>SUM(N11:N12)</f>
        <v>0.12477600000000001</v>
      </c>
      <c r="O13" s="437"/>
    </row>
    <row r="14" spans="1:15" x14ac:dyDescent="0.3">
      <c r="A14" s="423"/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8"/>
      <c r="M14" s="418"/>
      <c r="N14" s="418"/>
      <c r="O14" s="437"/>
    </row>
    <row r="15" spans="1:15" x14ac:dyDescent="0.3">
      <c r="A15" s="424" t="s">
        <v>14</v>
      </c>
      <c r="B15" s="425" t="s">
        <v>31</v>
      </c>
      <c r="C15" s="425" t="s">
        <v>20</v>
      </c>
      <c r="D15" s="425" t="s">
        <v>21</v>
      </c>
      <c r="E15" s="425" t="s">
        <v>32</v>
      </c>
      <c r="F15" s="425" t="s">
        <v>17</v>
      </c>
      <c r="G15" s="425" t="s">
        <v>33</v>
      </c>
      <c r="H15" s="425" t="s">
        <v>34</v>
      </c>
      <c r="I15" s="425" t="s">
        <v>18</v>
      </c>
      <c r="J15" s="429"/>
      <c r="K15" s="429"/>
      <c r="L15" s="429"/>
      <c r="M15" s="429"/>
      <c r="N15" s="429"/>
      <c r="O15" s="437"/>
    </row>
    <row r="16" spans="1:15" ht="33" customHeight="1" x14ac:dyDescent="0.3">
      <c r="A16" s="453">
        <v>10</v>
      </c>
      <c r="B16" s="454" t="s">
        <v>39</v>
      </c>
      <c r="C16" s="455" t="s">
        <v>312</v>
      </c>
      <c r="D16" s="456">
        <v>1.3</v>
      </c>
      <c r="E16" s="454" t="s">
        <v>32</v>
      </c>
      <c r="F16" s="311">
        <v>1</v>
      </c>
      <c r="G16" s="455" t="s">
        <v>294</v>
      </c>
      <c r="H16" s="457">
        <v>0.5</v>
      </c>
      <c r="I16" s="458">
        <f>H16*D16</f>
        <v>0.65</v>
      </c>
      <c r="J16" s="311"/>
      <c r="K16" s="418"/>
      <c r="L16" s="418"/>
      <c r="M16" s="418"/>
      <c r="N16" s="418"/>
      <c r="O16" s="437"/>
    </row>
    <row r="17" spans="1:15" x14ac:dyDescent="0.3">
      <c r="A17" s="459">
        <v>20</v>
      </c>
      <c r="B17" s="460" t="s">
        <v>283</v>
      </c>
      <c r="C17" s="308"/>
      <c r="D17" s="456">
        <v>0.01</v>
      </c>
      <c r="E17" s="460" t="s">
        <v>40</v>
      </c>
      <c r="F17" s="461">
        <v>15.5</v>
      </c>
      <c r="G17" s="454"/>
      <c r="H17" s="457"/>
      <c r="I17" s="458">
        <f>IF(H17="",D17*F17,D17*F17*H17)</f>
        <v>0.155</v>
      </c>
      <c r="J17" s="311"/>
      <c r="K17" s="418"/>
      <c r="L17" s="418"/>
      <c r="M17" s="418"/>
      <c r="N17" s="418"/>
      <c r="O17" s="437"/>
    </row>
    <row r="18" spans="1:15" ht="43.2" x14ac:dyDescent="0.3">
      <c r="A18" s="453">
        <v>30</v>
      </c>
      <c r="B18" s="462" t="s">
        <v>39</v>
      </c>
      <c r="C18" s="463"/>
      <c r="D18" s="464">
        <v>0.65</v>
      </c>
      <c r="E18" s="463" t="s">
        <v>32</v>
      </c>
      <c r="F18" s="463">
        <v>1</v>
      </c>
      <c r="G18" s="455" t="s">
        <v>294</v>
      </c>
      <c r="H18" s="463">
        <v>0.5</v>
      </c>
      <c r="I18" s="465">
        <f t="shared" ref="I18:I19" si="0">IF(H18="",D18*F18,D18*F18*H18)</f>
        <v>0.32500000000000001</v>
      </c>
      <c r="J18" s="311"/>
      <c r="K18" s="418"/>
      <c r="L18" s="418"/>
      <c r="M18" s="418"/>
      <c r="N18" s="418"/>
      <c r="O18" s="437"/>
    </row>
    <row r="19" spans="1:15" x14ac:dyDescent="0.3">
      <c r="A19" s="459">
        <v>40</v>
      </c>
      <c r="B19" s="463" t="s">
        <v>159</v>
      </c>
      <c r="C19" s="463" t="s">
        <v>293</v>
      </c>
      <c r="D19" s="464">
        <v>0.04</v>
      </c>
      <c r="E19" s="463" t="s">
        <v>161</v>
      </c>
      <c r="F19" s="463">
        <v>1</v>
      </c>
      <c r="G19" s="463" t="s">
        <v>268</v>
      </c>
      <c r="H19" s="463">
        <v>3</v>
      </c>
      <c r="I19" s="465">
        <f t="shared" si="0"/>
        <v>0.12</v>
      </c>
      <c r="J19" s="314"/>
      <c r="K19" s="429"/>
      <c r="L19" s="429"/>
      <c r="M19" s="429"/>
      <c r="N19" s="429"/>
      <c r="O19" s="437"/>
    </row>
    <row r="20" spans="1:15" ht="28.8" x14ac:dyDescent="0.3">
      <c r="A20" s="453">
        <v>50</v>
      </c>
      <c r="B20" s="454" t="s">
        <v>233</v>
      </c>
      <c r="C20" s="308" t="s">
        <v>284</v>
      </c>
      <c r="D20" s="315">
        <v>5.25</v>
      </c>
      <c r="E20" s="454" t="s">
        <v>276</v>
      </c>
      <c r="F20" s="466">
        <f>J11</f>
        <v>1.152E-3</v>
      </c>
      <c r="G20" s="454"/>
      <c r="H20" s="457"/>
      <c r="I20" s="465">
        <f>F20*D20</f>
        <v>6.0480000000000004E-3</v>
      </c>
      <c r="J20" s="467"/>
      <c r="K20" s="468"/>
      <c r="L20" s="468"/>
      <c r="M20" s="468"/>
      <c r="N20" s="468"/>
      <c r="O20" s="437"/>
    </row>
    <row r="21" spans="1:15" x14ac:dyDescent="0.3">
      <c r="A21" s="428"/>
      <c r="B21" s="429"/>
      <c r="C21" s="429"/>
      <c r="D21" s="429"/>
      <c r="E21" s="429"/>
      <c r="F21" s="429"/>
      <c r="G21" s="429"/>
      <c r="H21" s="430" t="s">
        <v>18</v>
      </c>
      <c r="I21" s="302">
        <f>SUM(I16:I20)</f>
        <v>1.2560480000000001</v>
      </c>
      <c r="J21" s="468"/>
      <c r="K21" s="468"/>
      <c r="L21" s="468"/>
      <c r="M21" s="468"/>
      <c r="N21" s="468"/>
      <c r="O21" s="437"/>
    </row>
    <row r="22" spans="1:15" ht="15" thickBot="1" x14ac:dyDescent="0.35">
      <c r="A22" s="469"/>
      <c r="B22" s="470"/>
      <c r="C22" s="470"/>
      <c r="D22" s="470"/>
      <c r="E22" s="470"/>
      <c r="F22" s="470"/>
      <c r="G22" s="470"/>
      <c r="H22" s="470"/>
      <c r="I22" s="470"/>
      <c r="J22" s="470"/>
      <c r="K22" s="470"/>
      <c r="L22" s="470"/>
      <c r="M22" s="470"/>
      <c r="N22" s="470"/>
      <c r="O22" s="471"/>
    </row>
  </sheetData>
  <hyperlinks>
    <hyperlink ref="F2" location="SU_A0300_BOM" display="Back to BOM"/>
    <hyperlink ref="E3" location="dSU_03010" display="Drawing"/>
    <hyperlink ref="B4" location="SU_A0300" display="Upper Back A-arm"/>
  </hyperlinks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topLeftCell="A4" workbookViewId="0"/>
  </sheetViews>
  <sheetFormatPr baseColWidth="10" defaultRowHeight="14.4" x14ac:dyDescent="0.3"/>
  <sheetData>
    <row r="1" spans="1:2" x14ac:dyDescent="0.3">
      <c r="A1" t="s">
        <v>304</v>
      </c>
      <c r="B1" s="287" t="s">
        <v>315</v>
      </c>
    </row>
  </sheetData>
  <hyperlinks>
    <hyperlink ref="B1" location="SU_03010" display="SU_03010"/>
  </hyperlinks>
  <pageMargins left="0.7" right="0.7" top="0.75" bottom="0.75" header="0.3" footer="0.3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K17" sqref="K17"/>
    </sheetView>
  </sheetViews>
  <sheetFormatPr baseColWidth="10" defaultRowHeight="14.4" x14ac:dyDescent="0.3"/>
  <cols>
    <col min="2" max="2" width="17.6640625" customWidth="1"/>
    <col min="3" max="3" width="17.21875" customWidth="1"/>
    <col min="7" max="7" width="16.109375" customWidth="1"/>
  </cols>
  <sheetData>
    <row r="1" spans="1:15" x14ac:dyDescent="0.3">
      <c r="A1" s="431"/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3"/>
    </row>
    <row r="2" spans="1:15" x14ac:dyDescent="0.3">
      <c r="A2" s="434" t="s">
        <v>0</v>
      </c>
      <c r="B2" s="16" t="s">
        <v>37</v>
      </c>
      <c r="C2" s="418"/>
      <c r="D2" s="418"/>
      <c r="E2" s="418"/>
      <c r="F2" s="88" t="s">
        <v>126</v>
      </c>
      <c r="G2" s="418"/>
      <c r="H2" s="418"/>
      <c r="I2" s="418"/>
      <c r="J2" s="436" t="s">
        <v>1</v>
      </c>
      <c r="K2" s="419">
        <v>81</v>
      </c>
      <c r="L2" s="418"/>
      <c r="M2" s="420" t="s">
        <v>16</v>
      </c>
      <c r="N2" s="421">
        <f>N13+I21</f>
        <v>1.3808240000000001</v>
      </c>
      <c r="O2" s="437"/>
    </row>
    <row r="3" spans="1:15" x14ac:dyDescent="0.3">
      <c r="A3" s="434" t="s">
        <v>3</v>
      </c>
      <c r="B3" s="16" t="str">
        <f>'SU A0200'!B3</f>
        <v>Suspension &amp; Shocks</v>
      </c>
      <c r="C3" s="419"/>
      <c r="D3" s="351" t="s">
        <v>6</v>
      </c>
      <c r="E3" s="287" t="s">
        <v>86</v>
      </c>
      <c r="F3" s="418"/>
      <c r="G3" s="418"/>
      <c r="H3" s="418"/>
      <c r="I3" s="418"/>
      <c r="J3" s="418"/>
      <c r="K3" s="418"/>
      <c r="L3" s="418"/>
      <c r="M3" s="420" t="s">
        <v>4</v>
      </c>
      <c r="N3" s="422">
        <v>2</v>
      </c>
      <c r="O3" s="437"/>
    </row>
    <row r="4" spans="1:15" x14ac:dyDescent="0.3">
      <c r="A4" s="434" t="s">
        <v>5</v>
      </c>
      <c r="B4" s="88" t="s">
        <v>197</v>
      </c>
      <c r="C4" s="418"/>
      <c r="D4" s="351" t="s">
        <v>8</v>
      </c>
      <c r="E4" s="353"/>
      <c r="F4" s="418"/>
      <c r="G4" s="418"/>
      <c r="H4" s="418"/>
      <c r="I4" s="418"/>
      <c r="J4" s="436" t="s">
        <v>6</v>
      </c>
      <c r="K4" s="418"/>
      <c r="L4" s="418"/>
      <c r="M4" s="418"/>
      <c r="N4" s="418"/>
      <c r="O4" s="437"/>
    </row>
    <row r="5" spans="1:15" x14ac:dyDescent="0.3">
      <c r="A5" s="434" t="s">
        <v>15</v>
      </c>
      <c r="B5" s="439" t="s">
        <v>292</v>
      </c>
      <c r="C5" s="418"/>
      <c r="D5" s="351" t="s">
        <v>12</v>
      </c>
      <c r="E5" s="353"/>
      <c r="F5" s="418"/>
      <c r="G5" s="418"/>
      <c r="H5" s="418"/>
      <c r="I5" s="418"/>
      <c r="J5" s="436" t="s">
        <v>8</v>
      </c>
      <c r="K5" s="418"/>
      <c r="L5" s="418"/>
      <c r="M5" s="420" t="s">
        <v>9</v>
      </c>
      <c r="N5" s="421">
        <f>N3*N2</f>
        <v>2.7616480000000001</v>
      </c>
      <c r="O5" s="437"/>
    </row>
    <row r="6" spans="1:15" x14ac:dyDescent="0.3">
      <c r="A6" s="434" t="s">
        <v>7</v>
      </c>
      <c r="B6" s="440" t="s">
        <v>316</v>
      </c>
      <c r="C6" s="418"/>
      <c r="D6" s="418"/>
      <c r="E6" s="418"/>
      <c r="F6" s="418"/>
      <c r="G6" s="418"/>
      <c r="H6" s="418"/>
      <c r="I6" s="418"/>
      <c r="J6" s="436" t="s">
        <v>12</v>
      </c>
      <c r="K6" s="418"/>
      <c r="L6" s="418"/>
      <c r="M6" s="418"/>
      <c r="N6" s="418"/>
      <c r="O6" s="437"/>
    </row>
    <row r="7" spans="1:15" x14ac:dyDescent="0.3">
      <c r="A7" s="434" t="s">
        <v>10</v>
      </c>
      <c r="B7" s="435" t="s">
        <v>11</v>
      </c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  <c r="N7" s="418"/>
      <c r="O7" s="437"/>
    </row>
    <row r="8" spans="1:15" x14ac:dyDescent="0.3">
      <c r="A8" s="434" t="s">
        <v>13</v>
      </c>
      <c r="B8" s="418" t="s">
        <v>277</v>
      </c>
      <c r="C8" s="418"/>
      <c r="D8" s="418"/>
      <c r="E8" s="418"/>
      <c r="F8" s="418"/>
      <c r="G8" s="418"/>
      <c r="H8" s="418"/>
      <c r="I8" s="418"/>
      <c r="J8" s="418"/>
      <c r="K8" s="418"/>
      <c r="L8" s="418"/>
      <c r="M8" s="418"/>
      <c r="N8" s="418"/>
      <c r="O8" s="437"/>
    </row>
    <row r="9" spans="1:15" x14ac:dyDescent="0.3">
      <c r="A9" s="423"/>
      <c r="B9" s="418"/>
      <c r="C9" s="418"/>
      <c r="D9" s="418"/>
      <c r="E9" s="418"/>
      <c r="F9" s="418"/>
      <c r="G9" s="418"/>
      <c r="H9" s="418"/>
      <c r="I9" s="418"/>
      <c r="J9" s="418"/>
      <c r="K9" s="418"/>
      <c r="L9" s="418"/>
      <c r="M9" s="418"/>
      <c r="N9" s="418"/>
      <c r="O9" s="437"/>
    </row>
    <row r="10" spans="1:15" x14ac:dyDescent="0.3">
      <c r="A10" s="424" t="s">
        <v>14</v>
      </c>
      <c r="B10" s="425" t="s">
        <v>19</v>
      </c>
      <c r="C10" s="425" t="s">
        <v>20</v>
      </c>
      <c r="D10" s="425" t="s">
        <v>21</v>
      </c>
      <c r="E10" s="425" t="s">
        <v>22</v>
      </c>
      <c r="F10" s="425" t="s">
        <v>23</v>
      </c>
      <c r="G10" s="425" t="s">
        <v>24</v>
      </c>
      <c r="H10" s="425" t="s">
        <v>25</v>
      </c>
      <c r="I10" s="425" t="s">
        <v>26</v>
      </c>
      <c r="J10" s="425" t="s">
        <v>27</v>
      </c>
      <c r="K10" s="425" t="s">
        <v>28</v>
      </c>
      <c r="L10" s="425" t="s">
        <v>29</v>
      </c>
      <c r="M10" s="425" t="s">
        <v>17</v>
      </c>
      <c r="N10" s="425" t="s">
        <v>18</v>
      </c>
      <c r="O10" s="437"/>
    </row>
    <row r="11" spans="1:15" ht="43.2" x14ac:dyDescent="0.3">
      <c r="A11" s="441">
        <v>10</v>
      </c>
      <c r="B11" s="442" t="s">
        <v>278</v>
      </c>
      <c r="C11" s="443" t="s">
        <v>279</v>
      </c>
      <c r="D11" s="444">
        <v>2.25</v>
      </c>
      <c r="E11" s="445">
        <f>J11*K11*L11</f>
        <v>4.5215999999999999E-2</v>
      </c>
      <c r="F11" s="446" t="s">
        <v>212</v>
      </c>
      <c r="G11" s="446"/>
      <c r="H11" s="447"/>
      <c r="I11" s="448" t="s">
        <v>309</v>
      </c>
      <c r="J11" s="449">
        <f>0.048*0.024</f>
        <v>1.152E-3</v>
      </c>
      <c r="K11" s="449">
        <v>5.0000000000000001E-3</v>
      </c>
      <c r="L11" s="450">
        <v>7850</v>
      </c>
      <c r="M11" s="450">
        <v>1</v>
      </c>
      <c r="N11" s="451">
        <f>IF(J11="",D11*M11,D11*J11*K11*L11*M11)</f>
        <v>0.10173600000000001</v>
      </c>
      <c r="O11" s="437"/>
    </row>
    <row r="12" spans="1:15" x14ac:dyDescent="0.3">
      <c r="A12" s="441">
        <v>20</v>
      </c>
      <c r="B12" s="442" t="s">
        <v>281</v>
      </c>
      <c r="C12" s="443"/>
      <c r="D12" s="426">
        <v>10</v>
      </c>
      <c r="E12" s="427">
        <f>2*J11</f>
        <v>2.3040000000000001E-3</v>
      </c>
      <c r="F12" s="452" t="s">
        <v>276</v>
      </c>
      <c r="G12" s="446"/>
      <c r="H12" s="447"/>
      <c r="I12" s="448"/>
      <c r="J12" s="449"/>
      <c r="K12" s="447"/>
      <c r="L12" s="450"/>
      <c r="M12" s="450"/>
      <c r="N12" s="451">
        <f>E12*D12</f>
        <v>2.3040000000000001E-2</v>
      </c>
      <c r="O12" s="437"/>
    </row>
    <row r="13" spans="1:15" x14ac:dyDescent="0.3">
      <c r="A13" s="428"/>
      <c r="B13" s="429"/>
      <c r="C13" s="429"/>
      <c r="D13" s="429"/>
      <c r="E13" s="429"/>
      <c r="F13" s="429"/>
      <c r="G13" s="429"/>
      <c r="H13" s="429"/>
      <c r="I13" s="429"/>
      <c r="J13" s="429"/>
      <c r="K13" s="429"/>
      <c r="L13" s="429"/>
      <c r="M13" s="430" t="s">
        <v>18</v>
      </c>
      <c r="N13" s="300">
        <f>SUM(N11:N12)</f>
        <v>0.12477600000000001</v>
      </c>
      <c r="O13" s="437"/>
    </row>
    <row r="14" spans="1:15" x14ac:dyDescent="0.3">
      <c r="A14" s="423"/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8"/>
      <c r="M14" s="418"/>
      <c r="N14" s="418"/>
      <c r="O14" s="437"/>
    </row>
    <row r="15" spans="1:15" x14ac:dyDescent="0.3">
      <c r="A15" s="424" t="s">
        <v>14</v>
      </c>
      <c r="B15" s="425" t="s">
        <v>31</v>
      </c>
      <c r="C15" s="425" t="s">
        <v>20</v>
      </c>
      <c r="D15" s="425" t="s">
        <v>21</v>
      </c>
      <c r="E15" s="425" t="s">
        <v>32</v>
      </c>
      <c r="F15" s="425" t="s">
        <v>17</v>
      </c>
      <c r="G15" s="425" t="s">
        <v>33</v>
      </c>
      <c r="H15" s="425" t="s">
        <v>34</v>
      </c>
      <c r="I15" s="425" t="s">
        <v>18</v>
      </c>
      <c r="J15" s="429"/>
      <c r="K15" s="429"/>
      <c r="L15" s="429"/>
      <c r="M15" s="429"/>
      <c r="N15" s="429"/>
      <c r="O15" s="437"/>
    </row>
    <row r="16" spans="1:15" ht="28.2" customHeight="1" x14ac:dyDescent="0.3">
      <c r="A16" s="453">
        <v>10</v>
      </c>
      <c r="B16" s="454" t="s">
        <v>39</v>
      </c>
      <c r="C16" s="455" t="s">
        <v>282</v>
      </c>
      <c r="D16" s="456">
        <v>1.3</v>
      </c>
      <c r="E16" s="454" t="s">
        <v>32</v>
      </c>
      <c r="F16" s="311">
        <v>1</v>
      </c>
      <c r="G16" s="455" t="s">
        <v>294</v>
      </c>
      <c r="H16" s="457">
        <v>0.5</v>
      </c>
      <c r="I16" s="458">
        <f>H16*D16</f>
        <v>0.65</v>
      </c>
      <c r="J16" s="311"/>
      <c r="K16" s="418"/>
      <c r="L16" s="418"/>
      <c r="M16" s="418"/>
      <c r="N16" s="418"/>
      <c r="O16" s="437"/>
    </row>
    <row r="17" spans="1:15" x14ac:dyDescent="0.3">
      <c r="A17" s="459">
        <v>20</v>
      </c>
      <c r="B17" s="460" t="s">
        <v>283</v>
      </c>
      <c r="C17" s="308"/>
      <c r="D17" s="456">
        <v>0.01</v>
      </c>
      <c r="E17" s="460" t="s">
        <v>40</v>
      </c>
      <c r="F17" s="461">
        <v>15.5</v>
      </c>
      <c r="G17" s="454"/>
      <c r="H17" s="457"/>
      <c r="I17" s="458">
        <f>IF(H17="",D17*F17,D17*F17*H17)</f>
        <v>0.155</v>
      </c>
      <c r="J17" s="311"/>
      <c r="K17" s="418"/>
      <c r="L17" s="418"/>
      <c r="M17" s="418"/>
      <c r="N17" s="418"/>
      <c r="O17" s="437"/>
    </row>
    <row r="18" spans="1:15" ht="28.8" customHeight="1" x14ac:dyDescent="0.3">
      <c r="A18" s="453">
        <v>30</v>
      </c>
      <c r="B18" s="462" t="s">
        <v>39</v>
      </c>
      <c r="C18" s="463"/>
      <c r="D18" s="464">
        <v>0.65</v>
      </c>
      <c r="E18" s="463" t="s">
        <v>32</v>
      </c>
      <c r="F18" s="463">
        <v>1</v>
      </c>
      <c r="G18" s="455" t="s">
        <v>294</v>
      </c>
      <c r="H18" s="463">
        <v>0.5</v>
      </c>
      <c r="I18" s="465">
        <f t="shared" ref="I18:I19" si="0">IF(H18="",D18*F18,D18*F18*H18)</f>
        <v>0.32500000000000001</v>
      </c>
      <c r="J18" s="311"/>
      <c r="K18" s="418"/>
      <c r="L18" s="418"/>
      <c r="M18" s="418"/>
      <c r="N18" s="418"/>
      <c r="O18" s="437"/>
    </row>
    <row r="19" spans="1:15" x14ac:dyDescent="0.3">
      <c r="A19" s="459">
        <v>40</v>
      </c>
      <c r="B19" s="463" t="s">
        <v>159</v>
      </c>
      <c r="C19" s="463" t="s">
        <v>293</v>
      </c>
      <c r="D19" s="464">
        <v>0.04</v>
      </c>
      <c r="E19" s="463" t="s">
        <v>161</v>
      </c>
      <c r="F19" s="463">
        <v>1</v>
      </c>
      <c r="G19" s="463" t="s">
        <v>268</v>
      </c>
      <c r="H19" s="463">
        <v>3</v>
      </c>
      <c r="I19" s="465">
        <f t="shared" si="0"/>
        <v>0.12</v>
      </c>
      <c r="J19" s="314"/>
      <c r="K19" s="429"/>
      <c r="L19" s="429"/>
      <c r="M19" s="429"/>
      <c r="N19" s="429"/>
      <c r="O19" s="437"/>
    </row>
    <row r="20" spans="1:15" ht="13.2" customHeight="1" x14ac:dyDescent="0.3">
      <c r="A20" s="453">
        <v>50</v>
      </c>
      <c r="B20" s="454" t="s">
        <v>233</v>
      </c>
      <c r="C20" s="308" t="s">
        <v>284</v>
      </c>
      <c r="D20" s="315">
        <v>5.25</v>
      </c>
      <c r="E20" s="454" t="s">
        <v>276</v>
      </c>
      <c r="F20" s="466">
        <f>J11</f>
        <v>1.152E-3</v>
      </c>
      <c r="G20" s="454"/>
      <c r="H20" s="457"/>
      <c r="I20" s="465">
        <f>F20*D20</f>
        <v>6.0480000000000004E-3</v>
      </c>
      <c r="J20" s="467"/>
      <c r="K20" s="468"/>
      <c r="L20" s="468"/>
      <c r="M20" s="468"/>
      <c r="N20" s="468"/>
      <c r="O20" s="437"/>
    </row>
    <row r="21" spans="1:15" x14ac:dyDescent="0.3">
      <c r="A21" s="428"/>
      <c r="B21" s="429"/>
      <c r="C21" s="429"/>
      <c r="D21" s="429"/>
      <c r="E21" s="429"/>
      <c r="F21" s="429"/>
      <c r="G21" s="429"/>
      <c r="H21" s="430" t="s">
        <v>18</v>
      </c>
      <c r="I21" s="302">
        <f>SUM(I16:I20)</f>
        <v>1.2560480000000001</v>
      </c>
      <c r="J21" s="468"/>
      <c r="K21" s="468"/>
      <c r="L21" s="468"/>
      <c r="M21" s="468"/>
      <c r="N21" s="468"/>
      <c r="O21" s="437"/>
    </row>
    <row r="22" spans="1:15" ht="15" thickBot="1" x14ac:dyDescent="0.35">
      <c r="A22" s="469"/>
      <c r="B22" s="470"/>
      <c r="C22" s="470"/>
      <c r="D22" s="470"/>
      <c r="E22" s="470"/>
      <c r="F22" s="470"/>
      <c r="G22" s="470"/>
      <c r="H22" s="470"/>
      <c r="I22" s="470"/>
      <c r="J22" s="470"/>
      <c r="K22" s="470"/>
      <c r="L22" s="470"/>
      <c r="M22" s="470"/>
      <c r="N22" s="470"/>
      <c r="O22" s="471"/>
    </row>
  </sheetData>
  <hyperlinks>
    <hyperlink ref="F2" location="SU_A0300_BOM" display="Back to BOM"/>
    <hyperlink ref="E3" location="dSU_03011" display="Drawing"/>
    <hyperlink ref="B4" location="SU_A0300" display="Upper Back A-arm"/>
  </hyperlinks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304</v>
      </c>
      <c r="B1" s="287" t="s">
        <v>316</v>
      </c>
    </row>
  </sheetData>
  <hyperlinks>
    <hyperlink ref="B1" location="SU_03011" display="SU_03011"/>
  </hyperlinks>
  <pageMargins left="0.7" right="0.7" top="0.75" bottom="0.75" header="0.3" footer="0.3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65"/>
  <sheetViews>
    <sheetView zoomScale="70" zoomScaleNormal="70" zoomScaleSheetLayoutView="80" workbookViewId="0">
      <selection activeCell="N59" sqref="N59"/>
    </sheetView>
  </sheetViews>
  <sheetFormatPr baseColWidth="10" defaultColWidth="9.109375" defaultRowHeight="14.4" x14ac:dyDescent="0.3"/>
  <cols>
    <col min="1" max="1" width="9.109375" style="155"/>
    <col min="2" max="2" width="57.109375" style="155" customWidth="1"/>
    <col min="3" max="3" width="55.6640625" style="155" customWidth="1"/>
    <col min="4" max="4" width="10.6640625" style="155" customWidth="1"/>
    <col min="5" max="13" width="9.109375" style="155"/>
    <col min="14" max="14" width="11.5546875" style="155" customWidth="1"/>
    <col min="15" max="15" width="5.33203125" style="155" customWidth="1"/>
    <col min="16" max="16384" width="9.109375" style="155"/>
  </cols>
  <sheetData>
    <row r="1" spans="1:15" x14ac:dyDescent="0.3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5" x14ac:dyDescent="0.3">
      <c r="A2" s="156" t="s">
        <v>0</v>
      </c>
      <c r="B2" s="157" t="s">
        <v>37</v>
      </c>
      <c r="C2" s="158"/>
      <c r="D2" s="158"/>
      <c r="E2" s="88" t="s">
        <v>126</v>
      </c>
      <c r="F2" s="158"/>
      <c r="G2" s="158"/>
      <c r="H2" s="158"/>
      <c r="I2" s="158"/>
      <c r="J2" s="156" t="s">
        <v>1</v>
      </c>
      <c r="K2" s="159">
        <v>81</v>
      </c>
      <c r="L2" s="158"/>
      <c r="M2" s="156" t="s">
        <v>2</v>
      </c>
      <c r="N2" s="95" t="e">
        <f>SU_A0400_pa+SU_A0400_m+SU_A0400_p+SU_A0400_f</f>
        <v>#REF!</v>
      </c>
      <c r="O2" s="160"/>
    </row>
    <row r="3" spans="1:15" x14ac:dyDescent="0.3">
      <c r="A3" s="156" t="s">
        <v>3</v>
      </c>
      <c r="B3" s="157" t="s">
        <v>129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6" t="s">
        <v>4</v>
      </c>
      <c r="N3" s="82">
        <v>2</v>
      </c>
      <c r="O3" s="160"/>
    </row>
    <row r="4" spans="1:15" x14ac:dyDescent="0.3">
      <c r="A4" s="156" t="s">
        <v>5</v>
      </c>
      <c r="B4" s="161" t="s">
        <v>213</v>
      </c>
      <c r="C4" s="158"/>
      <c r="D4" s="158"/>
      <c r="E4" s="158"/>
      <c r="F4" s="158"/>
      <c r="G4" s="158"/>
      <c r="H4" s="158"/>
      <c r="I4" s="158"/>
      <c r="J4" s="162" t="s">
        <v>6</v>
      </c>
      <c r="K4" s="158"/>
      <c r="L4" s="158"/>
      <c r="M4" s="158"/>
      <c r="N4" s="158"/>
      <c r="O4" s="160"/>
    </row>
    <row r="5" spans="1:15" x14ac:dyDescent="0.3">
      <c r="A5" s="156" t="s">
        <v>7</v>
      </c>
      <c r="B5" s="163" t="s">
        <v>214</v>
      </c>
      <c r="C5" s="158"/>
      <c r="D5" s="158"/>
      <c r="E5" s="158"/>
      <c r="F5" s="158"/>
      <c r="G5" s="158"/>
      <c r="H5" s="158"/>
      <c r="I5" s="158"/>
      <c r="J5" s="162" t="s">
        <v>8</v>
      </c>
      <c r="K5" s="158"/>
      <c r="L5" s="158"/>
      <c r="M5" s="156" t="s">
        <v>9</v>
      </c>
      <c r="N5" s="74" t="e">
        <f>N2*N3</f>
        <v>#REF!</v>
      </c>
      <c r="O5" s="160"/>
    </row>
    <row r="6" spans="1:15" x14ac:dyDescent="0.3">
      <c r="A6" s="156" t="s">
        <v>10</v>
      </c>
      <c r="B6" s="157"/>
      <c r="C6" s="158"/>
      <c r="D6" s="158"/>
      <c r="E6" s="158"/>
      <c r="F6" s="158"/>
      <c r="G6" s="158"/>
      <c r="H6" s="158"/>
      <c r="I6" s="158"/>
      <c r="J6" s="162" t="s">
        <v>12</v>
      </c>
      <c r="K6" s="158"/>
      <c r="L6" s="158"/>
      <c r="M6" s="158"/>
      <c r="N6" s="158"/>
      <c r="O6" s="160"/>
    </row>
    <row r="7" spans="1:15" x14ac:dyDescent="0.3">
      <c r="A7" s="156" t="s">
        <v>13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60"/>
    </row>
    <row r="8" spans="1:15" x14ac:dyDescent="0.3">
      <c r="A8" s="164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60"/>
    </row>
    <row r="9" spans="1:15" x14ac:dyDescent="0.3">
      <c r="A9" s="156" t="s">
        <v>14</v>
      </c>
      <c r="B9" s="156" t="s">
        <v>15</v>
      </c>
      <c r="C9" s="156" t="s">
        <v>16</v>
      </c>
      <c r="D9" s="156" t="s">
        <v>17</v>
      </c>
      <c r="E9" s="156" t="s">
        <v>18</v>
      </c>
      <c r="F9" s="158"/>
      <c r="G9" s="158"/>
      <c r="H9" s="158"/>
      <c r="I9" s="158"/>
      <c r="J9" s="158"/>
      <c r="K9" s="158"/>
      <c r="L9" s="158"/>
      <c r="M9" s="158"/>
      <c r="N9" s="158"/>
      <c r="O9" s="160"/>
    </row>
    <row r="10" spans="1:15" x14ac:dyDescent="0.3">
      <c r="A10" s="165">
        <v>10</v>
      </c>
      <c r="B10" s="86" t="str">
        <f>'SU 04001'!B5</f>
        <v>Lower Back Bearing Support</v>
      </c>
      <c r="C10" s="74">
        <f>'SU 04001'!N2</f>
        <v>8.9540000000000006</v>
      </c>
      <c r="D10" s="166">
        <f>SU_04001_q</f>
        <v>2</v>
      </c>
      <c r="E10" s="74">
        <f t="shared" ref="E10:E20" si="0">C10*D10</f>
        <v>17.908000000000001</v>
      </c>
      <c r="F10" s="158"/>
      <c r="G10" s="158"/>
      <c r="H10" s="158"/>
      <c r="I10" s="158"/>
      <c r="J10" s="158"/>
      <c r="K10" s="158"/>
      <c r="L10" s="158"/>
      <c r="M10" s="158"/>
      <c r="N10" s="158"/>
      <c r="O10" s="160"/>
    </row>
    <row r="11" spans="1:15" x14ac:dyDescent="0.3">
      <c r="A11" s="165">
        <v>20</v>
      </c>
      <c r="B11" s="86" t="str">
        <f>'SU 04002'!B5</f>
        <v>Inner Bearing Support</v>
      </c>
      <c r="C11" s="74">
        <f>'SU 04002'!N2</f>
        <v>3.3353805440000004</v>
      </c>
      <c r="D11" s="166">
        <f>SU_04002_q</f>
        <v>4</v>
      </c>
      <c r="E11" s="74">
        <f t="shared" si="0"/>
        <v>13.341522176000002</v>
      </c>
      <c r="F11" s="161"/>
      <c r="G11" s="161"/>
      <c r="H11" s="161"/>
      <c r="I11" s="161"/>
      <c r="J11" s="161"/>
      <c r="K11" s="161"/>
      <c r="L11" s="161"/>
      <c r="M11" s="161"/>
      <c r="N11" s="161"/>
      <c r="O11" s="160"/>
    </row>
    <row r="12" spans="1:15" x14ac:dyDescent="0.3">
      <c r="A12" s="165">
        <v>30</v>
      </c>
      <c r="B12" s="86" t="str">
        <f>'SU 04003'!B5</f>
        <v>Lower Back A-arm tube (Front)  Carbon Fiber Tube</v>
      </c>
      <c r="C12" s="74">
        <f>'SU 04003'!N2</f>
        <v>12.033390599999997</v>
      </c>
      <c r="D12" s="166">
        <f>SU_04003_q</f>
        <v>2</v>
      </c>
      <c r="E12" s="74">
        <f t="shared" si="0"/>
        <v>24.066781199999994</v>
      </c>
      <c r="F12" s="161"/>
      <c r="G12" s="161"/>
      <c r="H12" s="161"/>
      <c r="I12" s="161"/>
      <c r="J12" s="161"/>
      <c r="K12" s="161"/>
      <c r="L12" s="161"/>
      <c r="M12" s="161"/>
      <c r="N12" s="161"/>
      <c r="O12" s="64"/>
    </row>
    <row r="13" spans="1:15" s="167" customFormat="1" x14ac:dyDescent="0.3">
      <c r="A13" s="165">
        <v>40</v>
      </c>
      <c r="B13" s="86" t="str">
        <f>'SU 04004'!B5</f>
        <v>Lower Back A-arm tube (Back)  Carbon Fiber Tube</v>
      </c>
      <c r="C13" s="74">
        <f>'SU 04004'!N2</f>
        <v>7.4075677199999985</v>
      </c>
      <c r="D13" s="166">
        <f>SU_04004_q</f>
        <v>2</v>
      </c>
      <c r="E13" s="74">
        <f t="shared" si="0"/>
        <v>14.815135439999997</v>
      </c>
      <c r="F13" s="161"/>
      <c r="G13" s="161"/>
      <c r="H13" s="161"/>
      <c r="I13" s="161"/>
      <c r="J13" s="161"/>
      <c r="K13" s="161"/>
      <c r="L13" s="161"/>
      <c r="M13" s="161"/>
      <c r="N13" s="161"/>
      <c r="O13" s="64"/>
    </row>
    <row r="14" spans="1:15" s="167" customFormat="1" x14ac:dyDescent="0.3">
      <c r="A14" s="165">
        <v>50</v>
      </c>
      <c r="B14" s="86" t="str">
        <f>'SU 04005'!B5</f>
        <v>Spacer 1</v>
      </c>
      <c r="C14" s="74">
        <f>'SU 04005'!N2</f>
        <v>2.6676857568000001</v>
      </c>
      <c r="D14" s="166">
        <f>SU_04005_q</f>
        <v>12</v>
      </c>
      <c r="E14" s="74">
        <f t="shared" si="0"/>
        <v>32.012229081599997</v>
      </c>
      <c r="F14" s="161"/>
      <c r="G14" s="161"/>
      <c r="H14" s="161"/>
      <c r="I14" s="161"/>
      <c r="J14" s="161"/>
      <c r="K14" s="161"/>
      <c r="L14" s="161"/>
      <c r="M14" s="161"/>
      <c r="N14" s="161"/>
      <c r="O14" s="168"/>
    </row>
    <row r="15" spans="1:15" s="167" customFormat="1" x14ac:dyDescent="0.3">
      <c r="A15" s="165">
        <v>60</v>
      </c>
      <c r="B15" s="86" t="str">
        <f>'SU 04006'!B5</f>
        <v>Spacer 2</v>
      </c>
      <c r="C15" s="74">
        <f>'SU 04006'!N2</f>
        <v>1.1551782399999999</v>
      </c>
      <c r="D15" s="166">
        <f>SU_04006_q</f>
        <v>4</v>
      </c>
      <c r="E15" s="74">
        <f t="shared" si="0"/>
        <v>4.6207129599999996</v>
      </c>
      <c r="F15" s="161"/>
      <c r="G15" s="161"/>
      <c r="H15" s="161"/>
      <c r="I15" s="161"/>
      <c r="J15" s="161"/>
      <c r="K15" s="161"/>
      <c r="L15" s="161"/>
      <c r="M15" s="161"/>
      <c r="N15" s="161"/>
      <c r="O15" s="168"/>
    </row>
    <row r="16" spans="1:15" s="167" customFormat="1" x14ac:dyDescent="0.3">
      <c r="A16" s="165">
        <v>70</v>
      </c>
      <c r="B16" s="86" t="str">
        <f>'SU 04007'!B5</f>
        <v>Outboard A-arm Insert</v>
      </c>
      <c r="C16" s="74">
        <f>'SU 04007'!N2</f>
        <v>0.47719727680000001</v>
      </c>
      <c r="D16" s="166">
        <f>SU_04007_q</f>
        <v>4</v>
      </c>
      <c r="E16" s="74">
        <f t="shared" si="0"/>
        <v>1.9087891072000001</v>
      </c>
      <c r="F16" s="161"/>
      <c r="G16" s="161"/>
      <c r="H16" s="161"/>
      <c r="I16" s="161"/>
      <c r="J16" s="161"/>
      <c r="K16" s="161"/>
      <c r="L16" s="161"/>
      <c r="M16" s="161"/>
      <c r="N16" s="161"/>
      <c r="O16" s="168"/>
    </row>
    <row r="17" spans="1:15" s="17" customFormat="1" x14ac:dyDescent="0.3">
      <c r="A17" s="497">
        <v>80</v>
      </c>
      <c r="B17" s="577" t="str">
        <f>'SU 04008'!B5</f>
        <v>Front up bracket</v>
      </c>
      <c r="C17" s="503">
        <f>'SU 04008'!N2</f>
        <v>1.3808240000000001</v>
      </c>
      <c r="D17" s="487" t="e">
        <f>SU_04008_q</f>
        <v>#NAME?</v>
      </c>
      <c r="E17" s="74" t="e">
        <f t="shared" si="0"/>
        <v>#NAME?</v>
      </c>
      <c r="F17" s="353"/>
      <c r="G17" s="353"/>
      <c r="H17" s="353"/>
      <c r="I17" s="353"/>
      <c r="J17" s="353"/>
      <c r="K17" s="353"/>
      <c r="L17" s="353"/>
      <c r="M17" s="353"/>
      <c r="N17" s="353"/>
      <c r="O17" s="358"/>
    </row>
    <row r="18" spans="1:15" s="17" customFormat="1" x14ac:dyDescent="0.3">
      <c r="A18" s="497">
        <v>90</v>
      </c>
      <c r="B18" s="577">
        <f>'SU 04009'!B5</f>
        <v>0</v>
      </c>
      <c r="C18" s="503">
        <f>'SU 04009'!N2</f>
        <v>0</v>
      </c>
      <c r="D18" s="487" t="e">
        <f>SU_04009_q</f>
        <v>#NAME?</v>
      </c>
      <c r="E18" s="74" t="e">
        <f t="shared" si="0"/>
        <v>#NAME?</v>
      </c>
      <c r="F18" s="353"/>
      <c r="G18" s="353"/>
      <c r="H18" s="353"/>
      <c r="I18" s="353"/>
      <c r="J18" s="353"/>
      <c r="K18" s="353"/>
      <c r="L18" s="353"/>
      <c r="M18" s="353"/>
      <c r="N18" s="353"/>
      <c r="O18" s="358"/>
    </row>
    <row r="19" spans="1:15" s="17" customFormat="1" x14ac:dyDescent="0.3">
      <c r="A19" s="497">
        <v>100</v>
      </c>
      <c r="B19" s="577">
        <f>'SU 04010'!B5</f>
        <v>0</v>
      </c>
      <c r="C19" s="503">
        <f>'SU 04010'!N2</f>
        <v>0</v>
      </c>
      <c r="D19" s="487" t="e">
        <f>SU_04010_q</f>
        <v>#NAME?</v>
      </c>
      <c r="E19" s="74" t="e">
        <f t="shared" si="0"/>
        <v>#NAME?</v>
      </c>
      <c r="F19" s="353"/>
      <c r="G19" s="353"/>
      <c r="H19" s="353"/>
      <c r="I19" s="353"/>
      <c r="J19" s="353"/>
      <c r="K19" s="353"/>
      <c r="L19" s="353"/>
      <c r="M19" s="353"/>
      <c r="N19" s="353"/>
      <c r="O19" s="358"/>
    </row>
    <row r="20" spans="1:15" s="17" customFormat="1" x14ac:dyDescent="0.3">
      <c r="A20" s="497">
        <v>110</v>
      </c>
      <c r="B20" s="577">
        <f>'SU 04011'!B5</f>
        <v>0</v>
      </c>
      <c r="C20" s="503">
        <f>'SU 04011'!N2</f>
        <v>0</v>
      </c>
      <c r="D20" s="487" t="e">
        <f>SU_04011_q</f>
        <v>#NAME?</v>
      </c>
      <c r="E20" s="74" t="e">
        <f t="shared" si="0"/>
        <v>#NAME?</v>
      </c>
      <c r="F20" s="353"/>
      <c r="G20" s="353"/>
      <c r="H20" s="353"/>
      <c r="I20" s="353"/>
      <c r="J20" s="353"/>
      <c r="K20" s="353"/>
      <c r="L20" s="353"/>
      <c r="M20" s="353"/>
      <c r="N20" s="353"/>
      <c r="O20" s="358"/>
    </row>
    <row r="21" spans="1:15" x14ac:dyDescent="0.3">
      <c r="A21" s="164"/>
      <c r="B21" s="158"/>
      <c r="C21" s="158"/>
      <c r="D21" s="169" t="s">
        <v>18</v>
      </c>
      <c r="E21" s="170" t="e">
        <f>SUM(#REF!)</f>
        <v>#REF!</v>
      </c>
      <c r="F21" s="161"/>
      <c r="G21" s="161"/>
      <c r="H21" s="161"/>
      <c r="I21" s="161"/>
      <c r="J21" s="161"/>
      <c r="K21" s="161"/>
      <c r="L21" s="161"/>
      <c r="M21" s="161"/>
      <c r="N21" s="161"/>
      <c r="O21" s="160"/>
    </row>
    <row r="22" spans="1:15" x14ac:dyDescent="0.3">
      <c r="A22" s="164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60"/>
    </row>
    <row r="23" spans="1:15" x14ac:dyDescent="0.3">
      <c r="A23" s="156" t="s">
        <v>14</v>
      </c>
      <c r="B23" s="156" t="s">
        <v>19</v>
      </c>
      <c r="C23" s="156" t="s">
        <v>20</v>
      </c>
      <c r="D23" s="156" t="s">
        <v>21</v>
      </c>
      <c r="E23" s="156" t="s">
        <v>22</v>
      </c>
      <c r="F23" s="156" t="s">
        <v>23</v>
      </c>
      <c r="G23" s="156" t="s">
        <v>24</v>
      </c>
      <c r="H23" s="156" t="s">
        <v>25</v>
      </c>
      <c r="I23" s="156" t="s">
        <v>26</v>
      </c>
      <c r="J23" s="156" t="s">
        <v>27</v>
      </c>
      <c r="K23" s="156" t="s">
        <v>28</v>
      </c>
      <c r="L23" s="156" t="s">
        <v>29</v>
      </c>
      <c r="M23" s="156" t="s">
        <v>17</v>
      </c>
      <c r="N23" s="156" t="s">
        <v>18</v>
      </c>
      <c r="O23" s="160"/>
    </row>
    <row r="24" spans="1:15" ht="14.4" customHeight="1" x14ac:dyDescent="0.3">
      <c r="A24" s="165">
        <v>10</v>
      </c>
      <c r="B24" s="165" t="s">
        <v>131</v>
      </c>
      <c r="C24" s="165"/>
      <c r="D24" s="127">
        <f>0.03*E24^2+5</f>
        <v>6.92</v>
      </c>
      <c r="E24" s="165">
        <v>8</v>
      </c>
      <c r="F24" s="165" t="s">
        <v>30</v>
      </c>
      <c r="G24" s="165"/>
      <c r="H24" s="75"/>
      <c r="I24" s="171"/>
      <c r="J24" s="77"/>
      <c r="K24" s="75"/>
      <c r="L24" s="75"/>
      <c r="M24" s="75">
        <v>3</v>
      </c>
      <c r="N24" s="74">
        <f>M24*D24</f>
        <v>20.759999999999998</v>
      </c>
      <c r="O24" s="160"/>
    </row>
    <row r="25" spans="1:15" s="178" customFormat="1" ht="14.4" customHeight="1" x14ac:dyDescent="0.3">
      <c r="A25" s="165">
        <v>20</v>
      </c>
      <c r="B25" s="172" t="s">
        <v>136</v>
      </c>
      <c r="C25" s="173" t="s">
        <v>137</v>
      </c>
      <c r="D25" s="74"/>
      <c r="E25" s="174"/>
      <c r="F25" s="174"/>
      <c r="G25" s="174"/>
      <c r="H25" s="75"/>
      <c r="I25" s="175"/>
      <c r="J25" s="97"/>
      <c r="K25" s="78"/>
      <c r="L25" s="176"/>
      <c r="M25" s="80"/>
      <c r="N25" s="74">
        <f>M25*D25</f>
        <v>0</v>
      </c>
      <c r="O25" s="177"/>
    </row>
    <row r="26" spans="1:15" ht="14.4" customHeight="1" x14ac:dyDescent="0.3">
      <c r="A26" s="165">
        <v>30</v>
      </c>
      <c r="B26" s="172" t="s">
        <v>136</v>
      </c>
      <c r="C26" s="173" t="s">
        <v>138</v>
      </c>
      <c r="D26" s="74"/>
      <c r="E26" s="165"/>
      <c r="F26" s="165"/>
      <c r="G26" s="165"/>
      <c r="H26" s="75"/>
      <c r="I26" s="80"/>
      <c r="J26" s="81"/>
      <c r="K26" s="75"/>
      <c r="L26" s="176"/>
      <c r="M26" s="75"/>
      <c r="N26" s="74">
        <f>M26*D26</f>
        <v>0</v>
      </c>
      <c r="O26" s="160"/>
    </row>
    <row r="27" spans="1:15" x14ac:dyDescent="0.3">
      <c r="A27" s="179"/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56" t="s">
        <v>18</v>
      </c>
      <c r="N27" s="170">
        <f>SUM(N24:N26)</f>
        <v>20.759999999999998</v>
      </c>
      <c r="O27" s="160"/>
    </row>
    <row r="28" spans="1:15" x14ac:dyDescent="0.3">
      <c r="A28" s="164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60"/>
    </row>
    <row r="29" spans="1:15" s="182" customFormat="1" x14ac:dyDescent="0.3">
      <c r="A29" s="156" t="s">
        <v>14</v>
      </c>
      <c r="B29" s="156" t="s">
        <v>31</v>
      </c>
      <c r="C29" s="156" t="s">
        <v>20</v>
      </c>
      <c r="D29" s="156" t="s">
        <v>21</v>
      </c>
      <c r="E29" s="156" t="s">
        <v>32</v>
      </c>
      <c r="F29" s="156" t="s">
        <v>17</v>
      </c>
      <c r="G29" s="156" t="s">
        <v>33</v>
      </c>
      <c r="H29" s="156" t="s">
        <v>34</v>
      </c>
      <c r="I29" s="156" t="s">
        <v>18</v>
      </c>
      <c r="J29" s="180"/>
      <c r="K29" s="180"/>
      <c r="L29" s="180"/>
      <c r="M29" s="180"/>
      <c r="N29" s="180"/>
      <c r="O29" s="181"/>
    </row>
    <row r="30" spans="1:15" s="184" customFormat="1" x14ac:dyDescent="0.3">
      <c r="A30" s="226">
        <v>10</v>
      </c>
      <c r="B30" s="288" t="s">
        <v>142</v>
      </c>
      <c r="C30" s="227" t="s">
        <v>240</v>
      </c>
      <c r="D30" s="285">
        <v>0.02</v>
      </c>
      <c r="E30" s="226" t="s">
        <v>140</v>
      </c>
      <c r="F30" s="237">
        <v>8.66</v>
      </c>
      <c r="G30" s="237" t="s">
        <v>224</v>
      </c>
      <c r="H30" s="237">
        <v>2</v>
      </c>
      <c r="I30" s="285">
        <f t="shared" ref="I30:I51" si="1">IF(H30="",D30*F30,D30*F30*H30)</f>
        <v>0.34639999999999999</v>
      </c>
      <c r="J30" s="228"/>
      <c r="K30" s="228"/>
      <c r="L30" s="228"/>
      <c r="M30" s="228"/>
      <c r="N30" s="228"/>
      <c r="O30" s="229"/>
    </row>
    <row r="31" spans="1:15" s="184" customFormat="1" x14ac:dyDescent="0.3">
      <c r="A31" s="226">
        <v>20</v>
      </c>
      <c r="B31" s="288" t="s">
        <v>139</v>
      </c>
      <c r="C31" s="227" t="s">
        <v>241</v>
      </c>
      <c r="D31" s="285">
        <v>0.02</v>
      </c>
      <c r="E31" s="226" t="s">
        <v>140</v>
      </c>
      <c r="F31" s="237">
        <v>8.66</v>
      </c>
      <c r="G31" s="237" t="s">
        <v>224</v>
      </c>
      <c r="H31" s="237">
        <v>2</v>
      </c>
      <c r="I31" s="285">
        <f t="shared" si="1"/>
        <v>0.34639999999999999</v>
      </c>
      <c r="J31" s="230"/>
      <c r="K31" s="230"/>
      <c r="L31" s="230"/>
      <c r="M31" s="230"/>
      <c r="N31" s="230"/>
      <c r="O31" s="231"/>
    </row>
    <row r="32" spans="1:15" s="184" customFormat="1" x14ac:dyDescent="0.3">
      <c r="A32" s="226">
        <v>30</v>
      </c>
      <c r="B32" s="288" t="s">
        <v>142</v>
      </c>
      <c r="C32" s="227" t="s">
        <v>243</v>
      </c>
      <c r="D32" s="285">
        <v>0.02</v>
      </c>
      <c r="E32" s="226" t="s">
        <v>140</v>
      </c>
      <c r="F32" s="237">
        <v>8.66</v>
      </c>
      <c r="G32" s="237" t="s">
        <v>224</v>
      </c>
      <c r="H32" s="237">
        <v>2</v>
      </c>
      <c r="I32" s="285">
        <f t="shared" si="1"/>
        <v>0.34639999999999999</v>
      </c>
      <c r="J32" s="228"/>
      <c r="K32" s="228"/>
      <c r="L32" s="228"/>
      <c r="M32" s="228"/>
      <c r="N32" s="228"/>
      <c r="O32" s="229"/>
    </row>
    <row r="33" spans="1:15" s="184" customFormat="1" x14ac:dyDescent="0.3">
      <c r="A33" s="226">
        <v>40</v>
      </c>
      <c r="B33" s="288" t="s">
        <v>225</v>
      </c>
      <c r="C33" s="232" t="s">
        <v>245</v>
      </c>
      <c r="D33" s="285">
        <v>0.06</v>
      </c>
      <c r="E33" s="288" t="s">
        <v>32</v>
      </c>
      <c r="F33" s="237">
        <v>1</v>
      </c>
      <c r="G33" s="237" t="s">
        <v>224</v>
      </c>
      <c r="H33" s="237">
        <v>2</v>
      </c>
      <c r="I33" s="285">
        <f t="shared" si="1"/>
        <v>0.12</v>
      </c>
      <c r="J33" s="230"/>
      <c r="K33" s="230"/>
      <c r="L33" s="230"/>
      <c r="M33" s="230"/>
      <c r="N33" s="230"/>
      <c r="O33" s="231"/>
    </row>
    <row r="34" spans="1:15" s="184" customFormat="1" x14ac:dyDescent="0.3">
      <c r="A34" s="226">
        <v>50</v>
      </c>
      <c r="B34" s="288" t="s">
        <v>142</v>
      </c>
      <c r="C34" s="227" t="s">
        <v>246</v>
      </c>
      <c r="D34" s="285">
        <v>0.02</v>
      </c>
      <c r="E34" s="226" t="s">
        <v>140</v>
      </c>
      <c r="F34" s="237">
        <v>12.43</v>
      </c>
      <c r="G34" s="237" t="s">
        <v>224</v>
      </c>
      <c r="H34" s="237">
        <v>2</v>
      </c>
      <c r="I34" s="285">
        <f t="shared" si="1"/>
        <v>0.49719999999999998</v>
      </c>
      <c r="J34" s="228"/>
      <c r="K34" s="228"/>
      <c r="L34" s="228"/>
      <c r="M34" s="228"/>
      <c r="N34" s="228"/>
      <c r="O34" s="229"/>
    </row>
    <row r="35" spans="1:15" s="184" customFormat="1" x14ac:dyDescent="0.3">
      <c r="A35" s="226">
        <v>60</v>
      </c>
      <c r="B35" s="288" t="s">
        <v>139</v>
      </c>
      <c r="C35" s="227" t="s">
        <v>247</v>
      </c>
      <c r="D35" s="285">
        <v>0.02</v>
      </c>
      <c r="E35" s="226" t="s">
        <v>140</v>
      </c>
      <c r="F35" s="237">
        <v>12.43</v>
      </c>
      <c r="G35" s="237" t="s">
        <v>224</v>
      </c>
      <c r="H35" s="237">
        <v>2</v>
      </c>
      <c r="I35" s="285">
        <f t="shared" si="1"/>
        <v>0.49719999999999998</v>
      </c>
      <c r="J35" s="230"/>
      <c r="K35" s="230"/>
      <c r="L35" s="230"/>
      <c r="M35" s="230"/>
      <c r="N35" s="230"/>
      <c r="O35" s="231"/>
    </row>
    <row r="36" spans="1:15" s="184" customFormat="1" x14ac:dyDescent="0.3">
      <c r="A36" s="226">
        <v>70</v>
      </c>
      <c r="B36" s="288" t="s">
        <v>142</v>
      </c>
      <c r="C36" s="227" t="s">
        <v>226</v>
      </c>
      <c r="D36" s="285">
        <v>0.02</v>
      </c>
      <c r="E36" s="226" t="s">
        <v>140</v>
      </c>
      <c r="F36" s="237">
        <v>12.43</v>
      </c>
      <c r="G36" s="237" t="s">
        <v>224</v>
      </c>
      <c r="H36" s="237">
        <v>2</v>
      </c>
      <c r="I36" s="285">
        <f t="shared" si="1"/>
        <v>0.49719999999999998</v>
      </c>
      <c r="J36" s="228"/>
      <c r="K36" s="228"/>
      <c r="L36" s="228"/>
      <c r="M36" s="228"/>
      <c r="N36" s="228"/>
      <c r="O36" s="229"/>
    </row>
    <row r="37" spans="1:15" s="184" customFormat="1" x14ac:dyDescent="0.3">
      <c r="A37" s="226">
        <v>80</v>
      </c>
      <c r="B37" s="288" t="s">
        <v>225</v>
      </c>
      <c r="C37" s="232" t="s">
        <v>248</v>
      </c>
      <c r="D37" s="285">
        <v>0.14000000000000001</v>
      </c>
      <c r="E37" s="288" t="s">
        <v>32</v>
      </c>
      <c r="F37" s="237">
        <v>1</v>
      </c>
      <c r="G37" s="237" t="s">
        <v>224</v>
      </c>
      <c r="H37" s="237">
        <v>2</v>
      </c>
      <c r="I37" s="285">
        <f t="shared" si="1"/>
        <v>0.28000000000000003</v>
      </c>
      <c r="J37" s="233"/>
      <c r="K37" s="233"/>
      <c r="L37" s="233"/>
      <c r="M37" s="233"/>
      <c r="N37" s="233"/>
      <c r="O37" s="234"/>
    </row>
    <row r="38" spans="1:15" s="184" customFormat="1" x14ac:dyDescent="0.3">
      <c r="A38" s="226">
        <v>90</v>
      </c>
      <c r="B38" s="288" t="s">
        <v>142</v>
      </c>
      <c r="C38" s="227" t="s">
        <v>242</v>
      </c>
      <c r="D38" s="285">
        <v>0.02</v>
      </c>
      <c r="E38" s="226" t="s">
        <v>140</v>
      </c>
      <c r="F38" s="237">
        <v>12.43</v>
      </c>
      <c r="G38" s="237" t="s">
        <v>224</v>
      </c>
      <c r="H38" s="237">
        <v>2</v>
      </c>
      <c r="I38" s="285">
        <f t="shared" si="1"/>
        <v>0.49719999999999998</v>
      </c>
      <c r="J38" s="228"/>
      <c r="K38" s="228"/>
      <c r="L38" s="228"/>
      <c r="M38" s="228"/>
      <c r="N38" s="228"/>
      <c r="O38" s="229"/>
    </row>
    <row r="39" spans="1:15" s="184" customFormat="1" x14ac:dyDescent="0.3">
      <c r="A39" s="226">
        <v>100</v>
      </c>
      <c r="B39" s="288" t="s">
        <v>139</v>
      </c>
      <c r="C39" s="227" t="s">
        <v>244</v>
      </c>
      <c r="D39" s="285">
        <v>0.18</v>
      </c>
      <c r="E39" s="226" t="s">
        <v>140</v>
      </c>
      <c r="F39" s="237">
        <v>12.43</v>
      </c>
      <c r="G39" s="237" t="s">
        <v>224</v>
      </c>
      <c r="H39" s="237">
        <v>2</v>
      </c>
      <c r="I39" s="285">
        <f t="shared" si="1"/>
        <v>4.4748000000000001</v>
      </c>
      <c r="J39" s="233"/>
      <c r="K39" s="233"/>
      <c r="L39" s="233"/>
      <c r="M39" s="233"/>
      <c r="N39" s="233"/>
      <c r="O39" s="229"/>
    </row>
    <row r="40" spans="1:15" s="184" customFormat="1" x14ac:dyDescent="0.3">
      <c r="A40" s="226">
        <v>110</v>
      </c>
      <c r="B40" s="288" t="s">
        <v>142</v>
      </c>
      <c r="C40" s="227" t="s">
        <v>226</v>
      </c>
      <c r="D40" s="285">
        <v>0.02</v>
      </c>
      <c r="E40" s="226" t="s">
        <v>140</v>
      </c>
      <c r="F40" s="237">
        <v>12.43</v>
      </c>
      <c r="G40" s="237" t="s">
        <v>224</v>
      </c>
      <c r="H40" s="237">
        <v>2</v>
      </c>
      <c r="I40" s="285">
        <f t="shared" si="1"/>
        <v>0.49719999999999998</v>
      </c>
      <c r="J40" s="228"/>
      <c r="K40" s="228"/>
      <c r="L40" s="228"/>
      <c r="M40" s="228"/>
      <c r="N40" s="228"/>
      <c r="O40" s="229"/>
    </row>
    <row r="41" spans="1:15" s="184" customFormat="1" x14ac:dyDescent="0.3">
      <c r="A41" s="226">
        <v>120</v>
      </c>
      <c r="B41" s="288" t="s">
        <v>225</v>
      </c>
      <c r="C41" s="232" t="s">
        <v>249</v>
      </c>
      <c r="D41" s="285">
        <v>0.22</v>
      </c>
      <c r="E41" s="288" t="s">
        <v>32</v>
      </c>
      <c r="F41" s="237">
        <v>1</v>
      </c>
      <c r="G41" s="237" t="s">
        <v>224</v>
      </c>
      <c r="H41" s="237">
        <v>2</v>
      </c>
      <c r="I41" s="285">
        <f t="shared" si="1"/>
        <v>0.44</v>
      </c>
      <c r="J41" s="233"/>
      <c r="K41" s="233"/>
      <c r="L41" s="233"/>
      <c r="M41" s="233"/>
      <c r="N41" s="233"/>
      <c r="O41" s="229"/>
    </row>
    <row r="42" spans="1:15" s="184" customFormat="1" x14ac:dyDescent="0.3">
      <c r="A42" s="226">
        <v>130</v>
      </c>
      <c r="B42" s="288" t="s">
        <v>142</v>
      </c>
      <c r="C42" s="227" t="s">
        <v>227</v>
      </c>
      <c r="D42" s="285">
        <v>0.02</v>
      </c>
      <c r="E42" s="226" t="s">
        <v>140</v>
      </c>
      <c r="F42" s="237">
        <v>4.01</v>
      </c>
      <c r="G42" s="237" t="s">
        <v>228</v>
      </c>
      <c r="H42" s="237">
        <v>3</v>
      </c>
      <c r="I42" s="285">
        <f t="shared" si="1"/>
        <v>0.24059999999999998</v>
      </c>
      <c r="J42" s="228"/>
      <c r="K42" s="228"/>
      <c r="L42" s="228"/>
      <c r="M42" s="228"/>
      <c r="N42" s="228"/>
      <c r="O42" s="229"/>
    </row>
    <row r="43" spans="1:15" s="184" customFormat="1" x14ac:dyDescent="0.3">
      <c r="A43" s="226">
        <v>140</v>
      </c>
      <c r="B43" s="235" t="s">
        <v>139</v>
      </c>
      <c r="C43" s="227" t="s">
        <v>229</v>
      </c>
      <c r="D43" s="285">
        <v>0.02</v>
      </c>
      <c r="E43" s="226" t="s">
        <v>140</v>
      </c>
      <c r="F43" s="237">
        <v>4.01</v>
      </c>
      <c r="G43" s="237" t="s">
        <v>228</v>
      </c>
      <c r="H43" s="237">
        <v>3</v>
      </c>
      <c r="I43" s="285">
        <f t="shared" si="1"/>
        <v>0.24059999999999998</v>
      </c>
      <c r="J43" s="233"/>
      <c r="K43" s="233"/>
      <c r="L43" s="233"/>
      <c r="M43" s="233"/>
      <c r="N43" s="233"/>
      <c r="O43" s="229"/>
    </row>
    <row r="44" spans="1:15" s="184" customFormat="1" x14ac:dyDescent="0.3">
      <c r="A44" s="226">
        <v>150</v>
      </c>
      <c r="B44" s="288" t="s">
        <v>225</v>
      </c>
      <c r="C44" s="227" t="s">
        <v>230</v>
      </c>
      <c r="D44" s="285">
        <v>0.3</v>
      </c>
      <c r="E44" s="288" t="s">
        <v>32</v>
      </c>
      <c r="F44" s="237">
        <v>1</v>
      </c>
      <c r="G44" s="237" t="s">
        <v>228</v>
      </c>
      <c r="H44" s="237">
        <v>3</v>
      </c>
      <c r="I44" s="285">
        <f t="shared" si="1"/>
        <v>0.89999999999999991</v>
      </c>
      <c r="J44" s="233"/>
      <c r="K44" s="233"/>
      <c r="L44" s="233"/>
      <c r="M44" s="233"/>
      <c r="N44" s="233"/>
      <c r="O44" s="229"/>
    </row>
    <row r="45" spans="1:15" s="184" customFormat="1" x14ac:dyDescent="0.3">
      <c r="A45" s="226">
        <v>160</v>
      </c>
      <c r="B45" s="226" t="s">
        <v>231</v>
      </c>
      <c r="C45" s="227" t="s">
        <v>232</v>
      </c>
      <c r="D45" s="285">
        <v>0.15</v>
      </c>
      <c r="E45" s="226" t="s">
        <v>140</v>
      </c>
      <c r="F45" s="237">
        <v>22</v>
      </c>
      <c r="G45" s="237"/>
      <c r="H45" s="221"/>
      <c r="I45" s="285">
        <f t="shared" si="1"/>
        <v>3.3</v>
      </c>
      <c r="J45" s="233"/>
      <c r="K45" s="233"/>
      <c r="L45" s="233"/>
      <c r="M45" s="233"/>
      <c r="N45" s="233"/>
      <c r="O45" s="229"/>
    </row>
    <row r="46" spans="1:15" s="184" customFormat="1" x14ac:dyDescent="0.3">
      <c r="A46" s="226">
        <v>170</v>
      </c>
      <c r="B46" s="288" t="s">
        <v>233</v>
      </c>
      <c r="C46" s="232" t="s">
        <v>234</v>
      </c>
      <c r="D46" s="285">
        <v>5.25</v>
      </c>
      <c r="E46" s="288" t="s">
        <v>143</v>
      </c>
      <c r="F46" s="237">
        <v>0.01</v>
      </c>
      <c r="G46" s="237"/>
      <c r="H46" s="221"/>
      <c r="I46" s="285">
        <f t="shared" si="1"/>
        <v>5.2499999999999998E-2</v>
      </c>
      <c r="J46" s="233"/>
      <c r="K46" s="233"/>
      <c r="L46" s="233"/>
      <c r="M46" s="236"/>
      <c r="N46" s="233"/>
      <c r="O46" s="229"/>
    </row>
    <row r="47" spans="1:15" s="184" customFormat="1" x14ac:dyDescent="0.3">
      <c r="A47" s="226">
        <v>180</v>
      </c>
      <c r="B47" s="226" t="s">
        <v>225</v>
      </c>
      <c r="C47" s="227" t="s">
        <v>235</v>
      </c>
      <c r="D47" s="285">
        <v>0.14000000000000001</v>
      </c>
      <c r="E47" s="226" t="s">
        <v>32</v>
      </c>
      <c r="F47" s="237">
        <v>1</v>
      </c>
      <c r="G47" s="237"/>
      <c r="H47" s="221"/>
      <c r="I47" s="285">
        <f t="shared" si="1"/>
        <v>0.14000000000000001</v>
      </c>
      <c r="J47" s="233"/>
      <c r="K47" s="233"/>
      <c r="L47" s="233"/>
      <c r="M47" s="233"/>
      <c r="N47" s="233"/>
      <c r="O47" s="229"/>
    </row>
    <row r="48" spans="1:15" s="184" customFormat="1" x14ac:dyDescent="0.3">
      <c r="A48" s="226">
        <v>190</v>
      </c>
      <c r="B48" s="288" t="s">
        <v>141</v>
      </c>
      <c r="C48" s="232" t="s">
        <v>236</v>
      </c>
      <c r="D48" s="285">
        <v>0.13</v>
      </c>
      <c r="E48" s="288" t="s">
        <v>32</v>
      </c>
      <c r="F48" s="237">
        <v>4</v>
      </c>
      <c r="G48" s="237"/>
      <c r="H48" s="221"/>
      <c r="I48" s="285">
        <f t="shared" si="1"/>
        <v>0.52</v>
      </c>
      <c r="J48" s="233"/>
      <c r="K48" s="233"/>
      <c r="L48" s="233"/>
      <c r="M48" s="233"/>
      <c r="N48" s="233"/>
      <c r="O48" s="229"/>
    </row>
    <row r="49" spans="1:15" s="184" customFormat="1" x14ac:dyDescent="0.3">
      <c r="A49" s="226">
        <v>200</v>
      </c>
      <c r="B49" s="288" t="s">
        <v>141</v>
      </c>
      <c r="C49" s="232" t="s">
        <v>237</v>
      </c>
      <c r="D49" s="285">
        <v>0.13</v>
      </c>
      <c r="E49" s="288" t="s">
        <v>32</v>
      </c>
      <c r="F49" s="237">
        <v>8</v>
      </c>
      <c r="G49" s="237"/>
      <c r="H49" s="221"/>
      <c r="I49" s="285">
        <f t="shared" si="1"/>
        <v>1.04</v>
      </c>
      <c r="J49" s="233"/>
      <c r="K49" s="233"/>
      <c r="L49" s="233"/>
      <c r="M49" s="233"/>
      <c r="N49" s="233"/>
      <c r="O49" s="229"/>
    </row>
    <row r="50" spans="1:15" s="184" customFormat="1" x14ac:dyDescent="0.3">
      <c r="A50" s="226">
        <v>210</v>
      </c>
      <c r="B50" s="226" t="s">
        <v>144</v>
      </c>
      <c r="C50" s="227" t="s">
        <v>238</v>
      </c>
      <c r="D50" s="285">
        <v>0.13</v>
      </c>
      <c r="E50" s="226" t="s">
        <v>32</v>
      </c>
      <c r="F50" s="237">
        <v>2</v>
      </c>
      <c r="G50" s="237"/>
      <c r="H50" s="221"/>
      <c r="I50" s="285">
        <f t="shared" si="1"/>
        <v>0.26</v>
      </c>
      <c r="J50" s="233"/>
      <c r="K50" s="233"/>
      <c r="L50" s="233"/>
      <c r="M50" s="233"/>
      <c r="N50" s="233"/>
      <c r="O50" s="229"/>
    </row>
    <row r="51" spans="1:15" s="184" customFormat="1" x14ac:dyDescent="0.3">
      <c r="A51" s="226">
        <v>220</v>
      </c>
      <c r="B51" s="288" t="s">
        <v>145</v>
      </c>
      <c r="C51" s="232" t="s">
        <v>239</v>
      </c>
      <c r="D51" s="285">
        <v>0.25</v>
      </c>
      <c r="E51" s="288" t="s">
        <v>32</v>
      </c>
      <c r="F51" s="237">
        <v>2</v>
      </c>
      <c r="G51" s="237"/>
      <c r="H51" s="221"/>
      <c r="I51" s="285">
        <f t="shared" si="1"/>
        <v>0.5</v>
      </c>
      <c r="J51" s="233"/>
      <c r="K51" s="233"/>
      <c r="L51" s="233"/>
      <c r="M51" s="233"/>
      <c r="N51" s="233"/>
      <c r="O51" s="234"/>
    </row>
    <row r="52" spans="1:15" x14ac:dyDescent="0.3">
      <c r="A52" s="179"/>
      <c r="B52" s="180"/>
      <c r="C52" s="180"/>
      <c r="D52" s="180"/>
      <c r="E52" s="180"/>
      <c r="F52" s="180"/>
      <c r="G52" s="180"/>
      <c r="H52" s="169" t="s">
        <v>18</v>
      </c>
      <c r="I52" s="170">
        <f>SUM(I30:I51)</f>
        <v>16.033700000000003</v>
      </c>
      <c r="J52" s="158"/>
      <c r="K52" s="158"/>
      <c r="L52" s="158"/>
      <c r="M52" s="158"/>
      <c r="N52" s="158"/>
      <c r="O52" s="160"/>
    </row>
    <row r="53" spans="1:15" x14ac:dyDescent="0.3">
      <c r="A53" s="164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60"/>
    </row>
    <row r="54" spans="1:15" x14ac:dyDescent="0.3">
      <c r="A54" s="156" t="s">
        <v>14</v>
      </c>
      <c r="B54" s="156" t="s">
        <v>36</v>
      </c>
      <c r="C54" s="156" t="s">
        <v>20</v>
      </c>
      <c r="D54" s="156" t="s">
        <v>21</v>
      </c>
      <c r="E54" s="156" t="s">
        <v>22</v>
      </c>
      <c r="F54" s="156" t="s">
        <v>23</v>
      </c>
      <c r="G54" s="156" t="s">
        <v>24</v>
      </c>
      <c r="H54" s="156" t="s">
        <v>25</v>
      </c>
      <c r="I54" s="156" t="s">
        <v>17</v>
      </c>
      <c r="J54" s="156" t="s">
        <v>18</v>
      </c>
      <c r="K54" s="158"/>
      <c r="L54" s="158"/>
      <c r="M54" s="158"/>
      <c r="N54" s="158"/>
      <c r="O54" s="160"/>
    </row>
    <row r="55" spans="1:15" x14ac:dyDescent="0.3">
      <c r="A55" s="172">
        <v>10</v>
      </c>
      <c r="B55" s="172" t="s">
        <v>146</v>
      </c>
      <c r="C55" s="172" t="s">
        <v>147</v>
      </c>
      <c r="D55" s="185">
        <f>0.8/105154*E55^2*G55*SQRT(G55)+(0.003*EXP(0.319*E55))</f>
        <v>0.16167651505774214</v>
      </c>
      <c r="E55" s="172">
        <v>8</v>
      </c>
      <c r="F55" s="130" t="s">
        <v>30</v>
      </c>
      <c r="G55" s="186">
        <v>40</v>
      </c>
      <c r="H55" s="183" t="s">
        <v>30</v>
      </c>
      <c r="I55" s="131">
        <v>2</v>
      </c>
      <c r="J55" s="132">
        <f>D55*I55</f>
        <v>0.32335303011548427</v>
      </c>
      <c r="K55" s="158"/>
      <c r="L55" s="158"/>
      <c r="M55" s="158"/>
      <c r="N55" s="158"/>
      <c r="O55" s="160"/>
    </row>
    <row r="56" spans="1:15" x14ac:dyDescent="0.3">
      <c r="A56" s="172">
        <v>20</v>
      </c>
      <c r="B56" s="172" t="s">
        <v>146</v>
      </c>
      <c r="C56" s="172" t="s">
        <v>148</v>
      </c>
      <c r="D56" s="185">
        <f>0.8/105154*E56^2*G56*SQRT(G56)+(0.003*EXP(0.319*E56))</f>
        <v>0.26479118861318168</v>
      </c>
      <c r="E56" s="172">
        <v>8</v>
      </c>
      <c r="F56" s="130" t="s">
        <v>30</v>
      </c>
      <c r="G56" s="186">
        <v>60</v>
      </c>
      <c r="H56" s="183" t="s">
        <v>30</v>
      </c>
      <c r="I56" s="133">
        <v>1</v>
      </c>
      <c r="J56" s="129">
        <f>D56*I56</f>
        <v>0.26479118861318168</v>
      </c>
      <c r="K56" s="158"/>
      <c r="L56" s="158"/>
      <c r="M56" s="158"/>
      <c r="N56" s="158"/>
      <c r="O56" s="160"/>
    </row>
    <row r="57" spans="1:15" x14ac:dyDescent="0.3">
      <c r="A57" s="172">
        <v>30</v>
      </c>
      <c r="B57" s="172" t="s">
        <v>149</v>
      </c>
      <c r="C57" s="172" t="s">
        <v>150</v>
      </c>
      <c r="D57" s="187">
        <f>(0.009*EXP(0.2*E57))</f>
        <v>4.4577291819556032E-2</v>
      </c>
      <c r="E57" s="172">
        <v>8</v>
      </c>
      <c r="F57" s="130" t="s">
        <v>30</v>
      </c>
      <c r="G57" s="172"/>
      <c r="H57" s="183"/>
      <c r="I57" s="133">
        <v>3</v>
      </c>
      <c r="J57" s="129">
        <f>D57*I57</f>
        <v>0.1337318754586681</v>
      </c>
      <c r="K57" s="158"/>
      <c r="L57" s="158"/>
      <c r="M57" s="158"/>
      <c r="N57" s="158"/>
      <c r="O57" s="160"/>
    </row>
    <row r="58" spans="1:15" x14ac:dyDescent="0.3">
      <c r="A58" s="172">
        <v>40</v>
      </c>
      <c r="B58" s="172" t="s">
        <v>151</v>
      </c>
      <c r="C58" s="172" t="s">
        <v>152</v>
      </c>
      <c r="D58" s="172">
        <v>0.01</v>
      </c>
      <c r="E58" s="172">
        <v>8</v>
      </c>
      <c r="F58" s="130" t="s">
        <v>30</v>
      </c>
      <c r="G58" s="172"/>
      <c r="H58" s="183"/>
      <c r="I58" s="133">
        <v>6</v>
      </c>
      <c r="J58" s="129">
        <f>D58*I58</f>
        <v>0.06</v>
      </c>
      <c r="K58" s="188"/>
      <c r="L58" s="188"/>
      <c r="M58" s="188"/>
      <c r="N58" s="188"/>
      <c r="O58" s="160"/>
    </row>
    <row r="59" spans="1:15" x14ac:dyDescent="0.3">
      <c r="A59" s="179"/>
      <c r="B59" s="180"/>
      <c r="C59" s="180"/>
      <c r="D59" s="180"/>
      <c r="E59" s="180"/>
      <c r="F59" s="180"/>
      <c r="G59" s="180"/>
      <c r="H59" s="180"/>
      <c r="I59" s="169" t="s">
        <v>18</v>
      </c>
      <c r="J59" s="170">
        <f>SUM(J55:J58)</f>
        <v>0.78187609418733417</v>
      </c>
      <c r="K59" s="158"/>
      <c r="L59" s="158"/>
      <c r="M59" s="158"/>
      <c r="N59" s="158"/>
      <c r="O59" s="160"/>
    </row>
    <row r="60" spans="1:15" x14ac:dyDescent="0.3">
      <c r="A60" s="164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60"/>
    </row>
    <row r="61" spans="1:15" s="184" customFormat="1" x14ac:dyDescent="0.3">
      <c r="A61" s="247" t="s">
        <v>14</v>
      </c>
      <c r="B61" s="98" t="s">
        <v>250</v>
      </c>
      <c r="C61" s="98" t="s">
        <v>20</v>
      </c>
      <c r="D61" s="98" t="s">
        <v>21</v>
      </c>
      <c r="E61" s="98" t="s">
        <v>32</v>
      </c>
      <c r="F61" s="98" t="s">
        <v>17</v>
      </c>
      <c r="G61" s="98" t="s">
        <v>251</v>
      </c>
      <c r="H61" s="98" t="s">
        <v>252</v>
      </c>
      <c r="I61" s="98" t="s">
        <v>18</v>
      </c>
      <c r="J61" s="228"/>
      <c r="K61" s="230"/>
      <c r="L61" s="230"/>
      <c r="M61" s="230"/>
      <c r="N61" s="230"/>
      <c r="O61" s="231"/>
    </row>
    <row r="62" spans="1:15" s="184" customFormat="1" x14ac:dyDescent="0.3">
      <c r="A62" s="226">
        <v>10</v>
      </c>
      <c r="B62" s="226" t="s">
        <v>253</v>
      </c>
      <c r="C62" s="226" t="s">
        <v>254</v>
      </c>
      <c r="D62" s="284">
        <v>500</v>
      </c>
      <c r="E62" s="226" t="s">
        <v>255</v>
      </c>
      <c r="F62" s="226">
        <f>8</f>
        <v>8</v>
      </c>
      <c r="G62" s="226">
        <v>3000</v>
      </c>
      <c r="H62" s="226">
        <v>1</v>
      </c>
      <c r="I62" s="286">
        <f>D62*F62/G62*H62</f>
        <v>1.3333333333333333</v>
      </c>
      <c r="J62" s="228"/>
      <c r="K62" s="230"/>
      <c r="L62" s="230"/>
      <c r="M62" s="230"/>
      <c r="N62" s="230"/>
      <c r="O62" s="231"/>
    </row>
    <row r="63" spans="1:15" s="184" customFormat="1" x14ac:dyDescent="0.3">
      <c r="A63" s="250"/>
      <c r="B63" s="228"/>
      <c r="C63" s="228"/>
      <c r="D63" s="228"/>
      <c r="E63" s="228"/>
      <c r="F63" s="228"/>
      <c r="G63" s="228"/>
      <c r="H63" s="252" t="s">
        <v>18</v>
      </c>
      <c r="I63" s="251">
        <f>SUM(I62:I62)</f>
        <v>1.3333333333333333</v>
      </c>
      <c r="J63" s="228"/>
      <c r="K63" s="230"/>
      <c r="L63" s="230"/>
      <c r="M63" s="230"/>
      <c r="N63" s="230"/>
      <c r="O63" s="231"/>
    </row>
    <row r="64" spans="1:15" ht="15" thickBot="1" x14ac:dyDescent="0.35">
      <c r="A64" s="189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1"/>
    </row>
    <row r="65" spans="1:14" x14ac:dyDescent="0.3">
      <c r="A65" s="158"/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</row>
  </sheetData>
  <hyperlinks>
    <hyperlink ref="E2" location="SU_A0400_BOM" display="Back to BOM"/>
    <hyperlink ref="B10" location="SU_03001" display="SU_03001"/>
    <hyperlink ref="B11:B13" location="BR_01001" display="BR_01001"/>
    <hyperlink ref="B14" location="SU_03005" display="SU_03005"/>
    <hyperlink ref="B16" location="SU_03007" display="SU_03007"/>
    <hyperlink ref="B11" location="SU_03002" display="SU_03002"/>
    <hyperlink ref="B12" location="SU_03003" display="SU_03003"/>
    <hyperlink ref="B13" location="SU_03004" display="SU_03004"/>
    <hyperlink ref="B15" location="SU_03006" display="SU_03006"/>
    <hyperlink ref="B17" location="SU_02008" display="SU_02008"/>
    <hyperlink ref="B18" location="SU_02009" display="SU_02009"/>
    <hyperlink ref="B19" location="SU_02010" display="SU_02010"/>
    <hyperlink ref="B20" location="SU_02011" display="SU_02011"/>
  </hyperlinks>
  <pageMargins left="0.7" right="0.7" top="0.75" bottom="0.75" header="0.51180555555555496" footer="0.3"/>
  <pageSetup paperSize="9" scale="37" firstPageNumber="0" fitToHeight="0" orientation="portrait" r:id="rId1"/>
  <headerFooter>
    <oddFooter>&amp;C&amp;P</oddFooter>
  </headerFooter>
  <rowBreaks count="1" manualBreakCount="1">
    <brk id="64" max="16383" man="1"/>
  </rowBreaks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S24"/>
  <sheetViews>
    <sheetView topLeftCell="A13" zoomScale="106" zoomScaleNormal="106" workbookViewId="0">
      <selection activeCell="B6" sqref="B6"/>
    </sheetView>
  </sheetViews>
  <sheetFormatPr baseColWidth="10" defaultColWidth="9.109375" defaultRowHeight="14.4" x14ac:dyDescent="0.3"/>
  <cols>
    <col min="1" max="1" width="9.109375" style="155"/>
    <col min="2" max="2" width="15.88671875" style="155" customWidth="1"/>
    <col min="3" max="3" width="24.5546875" style="155" customWidth="1"/>
    <col min="4" max="6" width="9.109375" style="155"/>
    <col min="7" max="7" width="11.5546875" style="155" customWidth="1"/>
    <col min="8" max="9" width="9.109375" style="155"/>
    <col min="10" max="10" width="12.5546875" style="155" customWidth="1"/>
    <col min="11" max="14" width="9.109375" style="155"/>
    <col min="15" max="15" width="3.109375" style="155" customWidth="1"/>
    <col min="16" max="17" width="9.109375" style="155"/>
    <col min="18" max="19" width="16.33203125" style="155" bestFit="1" customWidth="1"/>
    <col min="20" max="16384" width="9.109375" style="155"/>
  </cols>
  <sheetData>
    <row r="1" spans="1:19" x14ac:dyDescent="0.3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9" x14ac:dyDescent="0.3">
      <c r="A2" s="192" t="s">
        <v>0</v>
      </c>
      <c r="B2" s="157" t="s">
        <v>37</v>
      </c>
      <c r="C2" s="158"/>
      <c r="D2" s="158"/>
      <c r="E2" s="158"/>
      <c r="F2" s="158"/>
      <c r="G2" s="88" t="s">
        <v>126</v>
      </c>
      <c r="H2" s="158"/>
      <c r="I2" s="158"/>
      <c r="J2" s="193" t="s">
        <v>1</v>
      </c>
      <c r="K2" s="159">
        <v>81</v>
      </c>
      <c r="L2" s="158"/>
      <c r="M2" s="192" t="s">
        <v>16</v>
      </c>
      <c r="N2" s="74">
        <f>SU_04001_m+SU_04001_p</f>
        <v>8.9540000000000006</v>
      </c>
      <c r="O2" s="160"/>
    </row>
    <row r="3" spans="1:19" x14ac:dyDescent="0.3">
      <c r="A3" s="192" t="s">
        <v>3</v>
      </c>
      <c r="B3" s="157" t="str">
        <f>'SU A0400'!B3</f>
        <v>Suspension &amp; Shocks</v>
      </c>
      <c r="C3" s="158"/>
      <c r="D3" s="192" t="s">
        <v>6</v>
      </c>
      <c r="E3" s="287" t="s">
        <v>86</v>
      </c>
      <c r="F3" s="158"/>
      <c r="G3" s="158"/>
      <c r="H3" s="158"/>
      <c r="I3" s="158"/>
      <c r="J3" s="158"/>
      <c r="K3" s="158"/>
      <c r="L3" s="158"/>
      <c r="M3" s="192" t="s">
        <v>4</v>
      </c>
      <c r="N3" s="82">
        <v>2</v>
      </c>
      <c r="O3" s="160"/>
    </row>
    <row r="4" spans="1:19" x14ac:dyDescent="0.3">
      <c r="A4" s="192" t="s">
        <v>5</v>
      </c>
      <c r="B4" s="88" t="s">
        <v>213</v>
      </c>
      <c r="C4" s="158"/>
      <c r="D4" s="192" t="s">
        <v>8</v>
      </c>
      <c r="E4" s="158"/>
      <c r="F4" s="158"/>
      <c r="G4" s="158"/>
      <c r="H4" s="158"/>
      <c r="I4" s="158"/>
      <c r="J4" s="194" t="s">
        <v>6</v>
      </c>
      <c r="K4" s="158"/>
      <c r="L4" s="158"/>
      <c r="M4" s="158"/>
      <c r="N4" s="158"/>
      <c r="O4" s="160"/>
    </row>
    <row r="5" spans="1:19" x14ac:dyDescent="0.3">
      <c r="A5" s="192" t="s">
        <v>15</v>
      </c>
      <c r="B5" s="163" t="s">
        <v>215</v>
      </c>
      <c r="C5" s="158"/>
      <c r="D5" s="192" t="s">
        <v>12</v>
      </c>
      <c r="E5" s="158"/>
      <c r="F5" s="158"/>
      <c r="G5" s="158"/>
      <c r="H5" s="158"/>
      <c r="I5" s="158"/>
      <c r="J5" s="194" t="s">
        <v>8</v>
      </c>
      <c r="K5" s="158"/>
      <c r="L5" s="158"/>
      <c r="M5" s="192" t="s">
        <v>9</v>
      </c>
      <c r="N5" s="74">
        <f>N3*N2</f>
        <v>17.908000000000001</v>
      </c>
      <c r="O5" s="160"/>
    </row>
    <row r="6" spans="1:19" x14ac:dyDescent="0.3">
      <c r="A6" s="192" t="s">
        <v>7</v>
      </c>
      <c r="B6" s="195" t="s">
        <v>319</v>
      </c>
      <c r="C6" s="158"/>
      <c r="D6" s="158"/>
      <c r="E6" s="158"/>
      <c r="F6" s="158"/>
      <c r="G6" s="158"/>
      <c r="H6" s="158"/>
      <c r="I6" s="158"/>
      <c r="J6" s="194" t="s">
        <v>12</v>
      </c>
      <c r="K6" s="158"/>
      <c r="L6" s="158"/>
      <c r="M6" s="158"/>
      <c r="N6" s="158"/>
      <c r="O6" s="160"/>
    </row>
    <row r="7" spans="1:19" x14ac:dyDescent="0.3">
      <c r="A7" s="192" t="s">
        <v>10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60"/>
    </row>
    <row r="8" spans="1:19" x14ac:dyDescent="0.3">
      <c r="A8" s="192" t="s">
        <v>13</v>
      </c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60"/>
    </row>
    <row r="9" spans="1:19" x14ac:dyDescent="0.3">
      <c r="A9" s="196"/>
      <c r="B9" s="197"/>
      <c r="C9" s="197"/>
      <c r="D9" s="197"/>
      <c r="E9" s="197"/>
      <c r="F9" s="158"/>
      <c r="G9" s="158"/>
      <c r="H9" s="158"/>
      <c r="I9" s="158"/>
      <c r="J9" s="158"/>
      <c r="K9" s="158"/>
      <c r="L9" s="158"/>
      <c r="M9" s="158"/>
      <c r="N9" s="158"/>
      <c r="O9" s="160"/>
    </row>
    <row r="10" spans="1:19" x14ac:dyDescent="0.3">
      <c r="A10" s="198" t="s">
        <v>14</v>
      </c>
      <c r="B10" s="199" t="s">
        <v>19</v>
      </c>
      <c r="C10" s="199" t="s">
        <v>20</v>
      </c>
      <c r="D10" s="199" t="s">
        <v>21</v>
      </c>
      <c r="E10" s="199" t="s">
        <v>22</v>
      </c>
      <c r="F10" s="200" t="s">
        <v>23</v>
      </c>
      <c r="G10" s="200" t="s">
        <v>24</v>
      </c>
      <c r="H10" s="200" t="s">
        <v>25</v>
      </c>
      <c r="I10" s="200" t="s">
        <v>26</v>
      </c>
      <c r="J10" s="200" t="s">
        <v>27</v>
      </c>
      <c r="K10" s="200" t="s">
        <v>28</v>
      </c>
      <c r="L10" s="200" t="s">
        <v>29</v>
      </c>
      <c r="M10" s="200" t="s">
        <v>17</v>
      </c>
      <c r="N10" s="200" t="s">
        <v>18</v>
      </c>
      <c r="O10" s="160"/>
    </row>
    <row r="11" spans="1:19" s="22" customFormat="1" ht="17.399999999999999" customHeight="1" x14ac:dyDescent="0.3">
      <c r="A11" s="515">
        <v>10</v>
      </c>
      <c r="B11" s="516" t="s">
        <v>273</v>
      </c>
      <c r="C11" s="515" t="s">
        <v>299</v>
      </c>
      <c r="D11" s="517">
        <v>4.2</v>
      </c>
      <c r="E11" s="518"/>
      <c r="F11" s="515"/>
      <c r="G11" s="515"/>
      <c r="H11" s="519"/>
      <c r="I11" s="325" t="s">
        <v>320</v>
      </c>
      <c r="J11" s="253">
        <f>65*42/1000000</f>
        <v>2.7299999999999998E-3</v>
      </c>
      <c r="K11" s="253">
        <v>1.6E-2</v>
      </c>
      <c r="L11" s="79">
        <v>2712</v>
      </c>
      <c r="M11" s="147">
        <v>1</v>
      </c>
      <c r="N11" s="289">
        <f>D11*M11</f>
        <v>4.2</v>
      </c>
      <c r="O11" s="66"/>
    </row>
    <row r="12" spans="1:19" x14ac:dyDescent="0.3">
      <c r="A12" s="179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205" t="s">
        <v>18</v>
      </c>
      <c r="N12" s="206">
        <f>SUM(N11)</f>
        <v>4.2</v>
      </c>
      <c r="O12" s="160"/>
    </row>
    <row r="13" spans="1:19" x14ac:dyDescent="0.3">
      <c r="A13" s="164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60"/>
      <c r="S13" s="207"/>
    </row>
    <row r="14" spans="1:19" x14ac:dyDescent="0.3">
      <c r="A14" s="208" t="s">
        <v>14</v>
      </c>
      <c r="B14" s="200" t="s">
        <v>31</v>
      </c>
      <c r="C14" s="200" t="s">
        <v>20</v>
      </c>
      <c r="D14" s="200" t="s">
        <v>21</v>
      </c>
      <c r="E14" s="200" t="s">
        <v>32</v>
      </c>
      <c r="F14" s="200" t="s">
        <v>17</v>
      </c>
      <c r="G14" s="200" t="s">
        <v>33</v>
      </c>
      <c r="H14" s="200" t="s">
        <v>34</v>
      </c>
      <c r="I14" s="200" t="s">
        <v>18</v>
      </c>
      <c r="J14" s="180"/>
      <c r="K14" s="180"/>
      <c r="L14" s="180"/>
      <c r="M14" s="180"/>
      <c r="N14" s="180"/>
      <c r="O14" s="160"/>
      <c r="R14" s="207"/>
    </row>
    <row r="15" spans="1:19" s="528" customFormat="1" ht="30.6" customHeight="1" x14ac:dyDescent="0.3">
      <c r="A15" s="520">
        <v>10</v>
      </c>
      <c r="B15" s="337" t="s">
        <v>39</v>
      </c>
      <c r="C15" s="521"/>
      <c r="D15" s="522">
        <v>1.3</v>
      </c>
      <c r="E15" s="337" t="s">
        <v>32</v>
      </c>
      <c r="F15" s="521">
        <v>1</v>
      </c>
      <c r="G15" s="521"/>
      <c r="H15" s="521"/>
      <c r="I15" s="523">
        <f t="shared" ref="I15:I22" si="0">IF(H15="",D15*F15,D15*F15*H15)</f>
        <v>1.3</v>
      </c>
      <c r="J15" s="526"/>
      <c r="K15" s="526"/>
      <c r="L15" s="526"/>
      <c r="M15" s="526"/>
      <c r="N15" s="526"/>
      <c r="O15" s="527"/>
    </row>
    <row r="16" spans="1:19" s="528" customFormat="1" ht="29.4" customHeight="1" x14ac:dyDescent="0.3">
      <c r="A16" s="323">
        <v>20</v>
      </c>
      <c r="B16" s="337" t="s">
        <v>159</v>
      </c>
      <c r="C16" s="524" t="s">
        <v>302</v>
      </c>
      <c r="D16" s="305">
        <v>0.04</v>
      </c>
      <c r="E16" s="323" t="s">
        <v>161</v>
      </c>
      <c r="F16" s="294">
        <v>27</v>
      </c>
      <c r="G16" s="337" t="s">
        <v>264</v>
      </c>
      <c r="H16" s="525">
        <v>1</v>
      </c>
      <c r="I16" s="306">
        <f t="shared" si="0"/>
        <v>1.08</v>
      </c>
      <c r="J16" s="529"/>
      <c r="K16" s="529"/>
      <c r="L16" s="529"/>
      <c r="M16" s="529"/>
      <c r="N16" s="529"/>
      <c r="O16" s="530"/>
    </row>
    <row r="17" spans="1:15" s="528" customFormat="1" ht="16.2" customHeight="1" x14ac:dyDescent="0.3">
      <c r="A17" s="520">
        <v>30</v>
      </c>
      <c r="B17" s="337" t="s">
        <v>158</v>
      </c>
      <c r="C17" s="521"/>
      <c r="D17" s="522">
        <v>0.65</v>
      </c>
      <c r="E17" s="337" t="s">
        <v>32</v>
      </c>
      <c r="F17" s="521">
        <v>1</v>
      </c>
      <c r="G17" s="521"/>
      <c r="H17" s="521"/>
      <c r="I17" s="523">
        <f t="shared" si="0"/>
        <v>0.65</v>
      </c>
      <c r="J17" s="531"/>
      <c r="K17" s="531"/>
      <c r="L17" s="531"/>
      <c r="M17" s="531"/>
      <c r="N17" s="531"/>
      <c r="O17" s="532"/>
    </row>
    <row r="18" spans="1:15" s="528" customFormat="1" ht="27" customHeight="1" x14ac:dyDescent="0.3">
      <c r="A18" s="323">
        <v>40</v>
      </c>
      <c r="B18" s="337" t="s">
        <v>159</v>
      </c>
      <c r="C18" s="524" t="s">
        <v>257</v>
      </c>
      <c r="D18" s="305">
        <v>0.04</v>
      </c>
      <c r="E18" s="323" t="s">
        <v>161</v>
      </c>
      <c r="F18" s="294">
        <v>2.2999999999999998</v>
      </c>
      <c r="G18" s="337" t="s">
        <v>264</v>
      </c>
      <c r="H18" s="525">
        <v>1</v>
      </c>
      <c r="I18" s="306">
        <f t="shared" si="0"/>
        <v>9.1999999999999998E-2</v>
      </c>
      <c r="J18" s="529"/>
      <c r="K18" s="529"/>
      <c r="L18" s="529"/>
      <c r="M18" s="529"/>
      <c r="N18" s="529"/>
      <c r="O18" s="530"/>
    </row>
    <row r="19" spans="1:15" s="528" customFormat="1" ht="15.6" customHeight="1" x14ac:dyDescent="0.3">
      <c r="A19" s="520">
        <v>50</v>
      </c>
      <c r="B19" s="337" t="s">
        <v>158</v>
      </c>
      <c r="C19" s="521"/>
      <c r="D19" s="522">
        <v>0.65</v>
      </c>
      <c r="E19" s="337" t="s">
        <v>32</v>
      </c>
      <c r="F19" s="521">
        <v>1</v>
      </c>
      <c r="G19" s="521"/>
      <c r="H19" s="521"/>
      <c r="I19" s="523">
        <f t="shared" si="0"/>
        <v>0.65</v>
      </c>
      <c r="J19" s="529"/>
      <c r="K19" s="529"/>
      <c r="L19" s="529"/>
      <c r="M19" s="529"/>
      <c r="N19" s="529"/>
      <c r="O19" s="530"/>
    </row>
    <row r="20" spans="1:15" s="528" customFormat="1" ht="28.2" customHeight="1" x14ac:dyDescent="0.3">
      <c r="A20" s="323">
        <v>60</v>
      </c>
      <c r="B20" s="337" t="s">
        <v>159</v>
      </c>
      <c r="C20" s="524" t="s">
        <v>258</v>
      </c>
      <c r="D20" s="305">
        <v>0.04</v>
      </c>
      <c r="E20" s="323" t="s">
        <v>161</v>
      </c>
      <c r="F20" s="294">
        <v>2.2999999999999998</v>
      </c>
      <c r="G20" s="337" t="s">
        <v>264</v>
      </c>
      <c r="H20" s="525">
        <v>1</v>
      </c>
      <c r="I20" s="306">
        <f t="shared" si="0"/>
        <v>9.1999999999999998E-2</v>
      </c>
      <c r="J20" s="529"/>
      <c r="K20" s="529"/>
      <c r="L20" s="529"/>
      <c r="M20" s="529"/>
      <c r="N20" s="529"/>
      <c r="O20" s="530"/>
    </row>
    <row r="21" spans="1:15" s="528" customFormat="1" ht="28.8" customHeight="1" x14ac:dyDescent="0.3">
      <c r="A21" s="520">
        <v>70</v>
      </c>
      <c r="B21" s="337" t="s">
        <v>158</v>
      </c>
      <c r="C21" s="521"/>
      <c r="D21" s="522">
        <v>0.65</v>
      </c>
      <c r="E21" s="337" t="s">
        <v>32</v>
      </c>
      <c r="F21" s="521">
        <v>1</v>
      </c>
      <c r="G21" s="521"/>
      <c r="H21" s="521"/>
      <c r="I21" s="523">
        <f t="shared" si="0"/>
        <v>0.65</v>
      </c>
      <c r="J21" s="533"/>
      <c r="K21" s="533"/>
      <c r="L21" s="533"/>
      <c r="M21" s="533"/>
      <c r="N21" s="533"/>
      <c r="O21" s="530"/>
    </row>
    <row r="22" spans="1:15" s="528" customFormat="1" ht="27.6" customHeight="1" x14ac:dyDescent="0.3">
      <c r="A22" s="323">
        <v>80</v>
      </c>
      <c r="B22" s="337" t="s">
        <v>159</v>
      </c>
      <c r="C22" s="524" t="s">
        <v>300</v>
      </c>
      <c r="D22" s="305">
        <v>0.04</v>
      </c>
      <c r="E22" s="323" t="s">
        <v>161</v>
      </c>
      <c r="F22" s="294">
        <v>6</v>
      </c>
      <c r="G22" s="337" t="s">
        <v>264</v>
      </c>
      <c r="H22" s="525">
        <v>1</v>
      </c>
      <c r="I22" s="306">
        <f t="shared" si="0"/>
        <v>0.24</v>
      </c>
      <c r="J22" s="534"/>
      <c r="K22" s="529"/>
      <c r="L22" s="529"/>
      <c r="M22" s="529"/>
      <c r="N22" s="529"/>
      <c r="O22" s="530"/>
    </row>
    <row r="23" spans="1:15" x14ac:dyDescent="0.3">
      <c r="A23" s="179"/>
      <c r="B23" s="180"/>
      <c r="C23" s="180"/>
      <c r="D23" s="180"/>
      <c r="E23" s="180"/>
      <c r="F23" s="180"/>
      <c r="G23" s="180"/>
      <c r="H23" s="214" t="s">
        <v>18</v>
      </c>
      <c r="I23" s="206">
        <f>SUM(I15:I22)</f>
        <v>4.7540000000000004</v>
      </c>
      <c r="J23" s="180"/>
      <c r="K23" s="180"/>
      <c r="L23" s="180"/>
      <c r="M23" s="180"/>
      <c r="N23" s="180"/>
      <c r="O23" s="160"/>
    </row>
    <row r="24" spans="1:15" ht="15" thickBot="1" x14ac:dyDescent="0.35">
      <c r="A24" s="189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1"/>
    </row>
  </sheetData>
  <hyperlinks>
    <hyperlink ref="B4" location="BR_A0001" display="BR_A0001"/>
    <hyperlink ref="E3" location="dSU_04001" display="Drawing"/>
    <hyperlink ref="G2" location="SU_A0400_BOM" display="Back to BOM"/>
  </hyperlinks>
  <pageMargins left="0.78749999999999998" right="0.78749999999999998" top="1.05277777777778" bottom="1.05277777777778" header="0.78749999999999998" footer="0.78749999999999998"/>
  <pageSetup paperSize="9" scale="54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zoomScale="106" zoomScaleNormal="106" workbookViewId="0">
      <selection activeCell="B1" sqref="B1"/>
    </sheetView>
  </sheetViews>
  <sheetFormatPr baseColWidth="10" defaultColWidth="11.44140625" defaultRowHeight="14.4" x14ac:dyDescent="0.3"/>
  <cols>
    <col min="1" max="1" width="14" style="155" customWidth="1"/>
    <col min="2" max="16384" width="11.44140625" style="155"/>
  </cols>
  <sheetData>
    <row r="1" spans="1:2" x14ac:dyDescent="0.3">
      <c r="A1" s="155" t="s">
        <v>170</v>
      </c>
      <c r="B1" s="287" t="s">
        <v>216</v>
      </c>
    </row>
  </sheetData>
  <hyperlinks>
    <hyperlink ref="B1" location="SU_04001" display="SU_04001"/>
  </hyperlinks>
  <pageMargins left="0.7" right="0.7" top="0.75" bottom="0.75" header="0.3" footer="0.3"/>
  <pageSetup paperSize="9" scale="68" fitToHeight="0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S22"/>
  <sheetViews>
    <sheetView zoomScale="106" zoomScaleNormal="106" workbookViewId="0">
      <selection activeCell="G2" sqref="G2"/>
    </sheetView>
  </sheetViews>
  <sheetFormatPr baseColWidth="10" defaultColWidth="11.44140625" defaultRowHeight="14.4" x14ac:dyDescent="0.3"/>
  <cols>
    <col min="1" max="1" width="11.44140625" style="155"/>
    <col min="2" max="2" width="23.109375" style="155" customWidth="1"/>
    <col min="3" max="6" width="11.44140625" style="155"/>
    <col min="7" max="7" width="13.33203125" style="155" customWidth="1"/>
    <col min="8" max="8" width="11.44140625" style="155"/>
    <col min="9" max="9" width="21.44140625" style="155" customWidth="1"/>
    <col min="10" max="17" width="11.44140625" style="155"/>
    <col min="18" max="18" width="13.88671875" style="155" bestFit="1" customWidth="1"/>
    <col min="19" max="16384" width="11.44140625" style="155"/>
  </cols>
  <sheetData>
    <row r="1" spans="1:19" x14ac:dyDescent="0.3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9" x14ac:dyDescent="0.3">
      <c r="A2" s="192" t="s">
        <v>0</v>
      </c>
      <c r="B2" s="157" t="s">
        <v>37</v>
      </c>
      <c r="C2" s="158"/>
      <c r="D2" s="158"/>
      <c r="E2" s="158"/>
      <c r="F2" s="158"/>
      <c r="G2" s="88" t="s">
        <v>126</v>
      </c>
      <c r="H2" s="158"/>
      <c r="I2" s="158"/>
      <c r="J2" s="193" t="s">
        <v>1</v>
      </c>
      <c r="K2" s="159">
        <v>81</v>
      </c>
      <c r="L2" s="158"/>
      <c r="M2" s="192" t="s">
        <v>16</v>
      </c>
      <c r="N2" s="74">
        <f>N12+I21</f>
        <v>3.3353805440000004</v>
      </c>
      <c r="O2" s="160"/>
    </row>
    <row r="3" spans="1:19" x14ac:dyDescent="0.3">
      <c r="A3" s="192" t="s">
        <v>3</v>
      </c>
      <c r="B3" s="157" t="str">
        <f>'SU A0400'!B3</f>
        <v>Suspension &amp; Shocks</v>
      </c>
      <c r="C3" s="158"/>
      <c r="D3" s="192" t="s">
        <v>6</v>
      </c>
      <c r="E3" s="287" t="s">
        <v>86</v>
      </c>
      <c r="F3" s="158"/>
      <c r="G3" s="158"/>
      <c r="H3" s="158"/>
      <c r="I3" s="158"/>
      <c r="J3" s="158"/>
      <c r="K3" s="158"/>
      <c r="L3" s="158"/>
      <c r="M3" s="192" t="s">
        <v>4</v>
      </c>
      <c r="N3" s="82">
        <v>4</v>
      </c>
      <c r="O3" s="160"/>
    </row>
    <row r="4" spans="1:19" x14ac:dyDescent="0.3">
      <c r="A4" s="192" t="s">
        <v>5</v>
      </c>
      <c r="B4" s="88" t="s">
        <v>213</v>
      </c>
      <c r="C4" s="158"/>
      <c r="D4" s="192" t="s">
        <v>8</v>
      </c>
      <c r="E4" s="158"/>
      <c r="F4" s="158"/>
      <c r="G4" s="158"/>
      <c r="H4" s="158"/>
      <c r="I4" s="158"/>
      <c r="J4" s="194" t="s">
        <v>6</v>
      </c>
      <c r="K4" s="158"/>
      <c r="L4" s="158"/>
      <c r="M4" s="158"/>
      <c r="N4" s="158"/>
      <c r="O4" s="160"/>
    </row>
    <row r="5" spans="1:19" x14ac:dyDescent="0.3">
      <c r="A5" s="192" t="s">
        <v>15</v>
      </c>
      <c r="B5" s="73" t="s">
        <v>157</v>
      </c>
      <c r="C5" s="158"/>
      <c r="D5" s="192" t="s">
        <v>12</v>
      </c>
      <c r="E5" s="158"/>
      <c r="F5" s="158"/>
      <c r="G5" s="158"/>
      <c r="H5" s="158"/>
      <c r="I5" s="158"/>
      <c r="J5" s="194" t="s">
        <v>8</v>
      </c>
      <c r="K5" s="158"/>
      <c r="L5" s="158"/>
      <c r="M5" s="192" t="s">
        <v>9</v>
      </c>
      <c r="N5" s="74">
        <f>N3*N2</f>
        <v>13.341522176000002</v>
      </c>
      <c r="O5" s="160"/>
    </row>
    <row r="6" spans="1:19" x14ac:dyDescent="0.3">
      <c r="A6" s="192" t="s">
        <v>7</v>
      </c>
      <c r="B6" s="195" t="s">
        <v>217</v>
      </c>
      <c r="C6" s="158"/>
      <c r="D6" s="158"/>
      <c r="E6" s="158"/>
      <c r="F6" s="158"/>
      <c r="G6" s="158"/>
      <c r="H6" s="158"/>
      <c r="I6" s="158"/>
      <c r="J6" s="194" t="s">
        <v>12</v>
      </c>
      <c r="K6" s="158"/>
      <c r="L6" s="158"/>
      <c r="M6" s="158"/>
      <c r="N6" s="158"/>
      <c r="O6" s="160"/>
    </row>
    <row r="7" spans="1:19" x14ac:dyDescent="0.3">
      <c r="A7" s="192" t="s">
        <v>10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60"/>
    </row>
    <row r="8" spans="1:19" x14ac:dyDescent="0.3">
      <c r="A8" s="192" t="s">
        <v>13</v>
      </c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60"/>
    </row>
    <row r="9" spans="1:19" x14ac:dyDescent="0.3">
      <c r="A9" s="196"/>
      <c r="B9" s="197"/>
      <c r="C9" s="197"/>
      <c r="D9" s="197"/>
      <c r="E9" s="197"/>
      <c r="F9" s="158"/>
      <c r="G9" s="158"/>
      <c r="H9" s="158"/>
      <c r="I9" s="158"/>
      <c r="J9" s="158"/>
      <c r="K9" s="158"/>
      <c r="L9" s="158"/>
      <c r="M9" s="158"/>
      <c r="N9" s="158"/>
      <c r="O9" s="160"/>
    </row>
    <row r="10" spans="1:19" customFormat="1" x14ac:dyDescent="0.3">
      <c r="A10" s="105" t="s">
        <v>14</v>
      </c>
      <c r="B10" s="106" t="s">
        <v>19</v>
      </c>
      <c r="C10" s="106" t="s">
        <v>20</v>
      </c>
      <c r="D10" s="106" t="s">
        <v>21</v>
      </c>
      <c r="E10" s="106" t="s">
        <v>22</v>
      </c>
      <c r="F10" s="107" t="s">
        <v>23</v>
      </c>
      <c r="G10" s="107" t="s">
        <v>24</v>
      </c>
      <c r="H10" s="107" t="s">
        <v>25</v>
      </c>
      <c r="I10" s="107" t="s">
        <v>26</v>
      </c>
      <c r="J10" s="107" t="s">
        <v>27</v>
      </c>
      <c r="K10" s="107" t="s">
        <v>28</v>
      </c>
      <c r="L10" s="107" t="s">
        <v>29</v>
      </c>
      <c r="M10" s="107" t="s">
        <v>17</v>
      </c>
      <c r="N10" s="107" t="s">
        <v>18</v>
      </c>
      <c r="O10" s="62"/>
    </row>
    <row r="11" spans="1:19" customFormat="1" x14ac:dyDescent="0.3">
      <c r="A11" s="85">
        <v>10</v>
      </c>
      <c r="B11" s="26" t="s">
        <v>132</v>
      </c>
      <c r="C11" s="20" t="s">
        <v>38</v>
      </c>
      <c r="D11" s="289">
        <f>4.2</f>
        <v>4.2</v>
      </c>
      <c r="E11" s="263">
        <f>J11*K11*L11</f>
        <v>0.20437632</v>
      </c>
      <c r="F11" s="20" t="s">
        <v>162</v>
      </c>
      <c r="G11" s="20"/>
      <c r="H11" s="290"/>
      <c r="I11" s="21" t="s">
        <v>163</v>
      </c>
      <c r="J11" s="253">
        <f>3.14*20*20/1000000</f>
        <v>1.256E-3</v>
      </c>
      <c r="K11" s="262">
        <v>0.06</v>
      </c>
      <c r="L11" s="79">
        <v>2712</v>
      </c>
      <c r="M11" s="23">
        <v>1</v>
      </c>
      <c r="N11" s="289">
        <f>D11*E11*M11</f>
        <v>0.85838054400000008</v>
      </c>
      <c r="O11" s="66"/>
      <c r="P11" s="22"/>
      <c r="Q11" s="22"/>
      <c r="R11" s="22"/>
      <c r="S11" s="22"/>
    </row>
    <row r="12" spans="1:19" x14ac:dyDescent="0.3">
      <c r="A12" s="179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205" t="s">
        <v>18</v>
      </c>
      <c r="N12" s="206">
        <f>SUM(N11:N11)</f>
        <v>0.85838054400000008</v>
      </c>
      <c r="O12" s="160"/>
    </row>
    <row r="13" spans="1:19" x14ac:dyDescent="0.3">
      <c r="A13" s="164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60"/>
      <c r="R13" s="207">
        <f>J11*K11/4</f>
        <v>1.8839999999999999E-5</v>
      </c>
      <c r="S13" s="207"/>
    </row>
    <row r="14" spans="1:19" x14ac:dyDescent="0.3">
      <c r="A14" s="208" t="s">
        <v>14</v>
      </c>
      <c r="B14" s="200" t="s">
        <v>31</v>
      </c>
      <c r="C14" s="200" t="s">
        <v>20</v>
      </c>
      <c r="D14" s="200" t="s">
        <v>21</v>
      </c>
      <c r="E14" s="200" t="s">
        <v>32</v>
      </c>
      <c r="F14" s="200" t="s">
        <v>17</v>
      </c>
      <c r="G14" s="200" t="s">
        <v>33</v>
      </c>
      <c r="H14" s="200" t="s">
        <v>34</v>
      </c>
      <c r="I14" s="200" t="s">
        <v>18</v>
      </c>
      <c r="J14" s="180"/>
      <c r="K14" s="180"/>
      <c r="L14" s="180"/>
      <c r="M14" s="180"/>
      <c r="N14" s="180"/>
      <c r="O14" s="160"/>
      <c r="R14" s="207">
        <f>R13/2</f>
        <v>9.4199999999999996E-6</v>
      </c>
    </row>
    <row r="15" spans="1:19" customFormat="1" ht="26.4" customHeight="1" x14ac:dyDescent="0.3">
      <c r="A15" s="339">
        <v>10</v>
      </c>
      <c r="B15" s="340" t="s">
        <v>39</v>
      </c>
      <c r="C15" s="339"/>
      <c r="D15" s="341">
        <v>1.3</v>
      </c>
      <c r="E15" s="340" t="s">
        <v>32</v>
      </c>
      <c r="F15" s="339">
        <v>1</v>
      </c>
      <c r="G15" s="339" t="s">
        <v>295</v>
      </c>
      <c r="H15" s="339">
        <v>0.5</v>
      </c>
      <c r="I15" s="342">
        <f t="shared" ref="I15:I20" si="0">IF(H15="",D15*F15,D15*F15*H15)</f>
        <v>0.65</v>
      </c>
      <c r="J15" s="58"/>
      <c r="K15" s="58"/>
      <c r="L15" s="58"/>
      <c r="M15" s="58"/>
      <c r="N15" s="58"/>
      <c r="O15" s="68"/>
      <c r="P15" s="25"/>
      <c r="Q15" s="25"/>
      <c r="R15" s="137"/>
      <c r="S15" s="25"/>
    </row>
    <row r="16" spans="1:19" customFormat="1" ht="28.2" customHeight="1" x14ac:dyDescent="0.3">
      <c r="A16" s="343">
        <v>20</v>
      </c>
      <c r="B16" s="340" t="s">
        <v>159</v>
      </c>
      <c r="C16" s="344" t="s">
        <v>263</v>
      </c>
      <c r="D16" s="345">
        <v>0.04</v>
      </c>
      <c r="E16" s="343" t="s">
        <v>161</v>
      </c>
      <c r="F16" s="346">
        <v>17</v>
      </c>
      <c r="G16" s="340" t="s">
        <v>322</v>
      </c>
      <c r="H16" s="237">
        <v>1</v>
      </c>
      <c r="I16" s="347">
        <f t="shared" si="0"/>
        <v>0.68</v>
      </c>
      <c r="J16" s="56"/>
      <c r="K16" s="56"/>
      <c r="L16" s="56"/>
      <c r="M16" s="56"/>
      <c r="N16" s="56"/>
      <c r="O16" s="62"/>
      <c r="R16" s="135"/>
    </row>
    <row r="17" spans="1:19" customFormat="1" ht="25.8" customHeight="1" x14ac:dyDescent="0.3">
      <c r="A17" s="339">
        <v>30</v>
      </c>
      <c r="B17" s="340" t="s">
        <v>158</v>
      </c>
      <c r="C17" s="339"/>
      <c r="D17" s="341">
        <v>0.65</v>
      </c>
      <c r="E17" s="340" t="s">
        <v>32</v>
      </c>
      <c r="F17" s="339">
        <v>1</v>
      </c>
      <c r="G17" s="339" t="s">
        <v>295</v>
      </c>
      <c r="H17" s="339">
        <v>0.5</v>
      </c>
      <c r="I17" s="342">
        <f t="shared" si="0"/>
        <v>0.32500000000000001</v>
      </c>
      <c r="J17" s="57"/>
      <c r="K17" s="57"/>
      <c r="L17" s="57"/>
      <c r="M17" s="57"/>
      <c r="N17" s="57"/>
      <c r="O17" s="65"/>
      <c r="P17" s="17"/>
      <c r="Q17" s="17"/>
      <c r="R17" s="136"/>
      <c r="S17" s="17"/>
    </row>
    <row r="18" spans="1:19" customFormat="1" ht="15.6" customHeight="1" x14ac:dyDescent="0.3">
      <c r="A18" s="343">
        <v>40</v>
      </c>
      <c r="B18" s="340" t="s">
        <v>159</v>
      </c>
      <c r="C18" s="344" t="s">
        <v>265</v>
      </c>
      <c r="D18" s="345">
        <v>0.04</v>
      </c>
      <c r="E18" s="343" t="s">
        <v>161</v>
      </c>
      <c r="F18" s="346">
        <v>2</v>
      </c>
      <c r="G18" s="340" t="s">
        <v>264</v>
      </c>
      <c r="H18" s="237">
        <v>1</v>
      </c>
      <c r="I18" s="347">
        <f t="shared" si="0"/>
        <v>0.08</v>
      </c>
      <c r="J18" s="56"/>
      <c r="K18" s="56"/>
      <c r="L18" s="56"/>
      <c r="M18" s="56"/>
      <c r="N18" s="56"/>
      <c r="O18" s="62"/>
      <c r="R18" s="135"/>
    </row>
    <row r="19" spans="1:19" customFormat="1" x14ac:dyDescent="0.3">
      <c r="A19" s="339">
        <v>50</v>
      </c>
      <c r="B19" s="340" t="s">
        <v>158</v>
      </c>
      <c r="C19" s="339"/>
      <c r="D19" s="341">
        <v>0.65</v>
      </c>
      <c r="E19" s="340" t="s">
        <v>32</v>
      </c>
      <c r="F19" s="339">
        <v>1</v>
      </c>
      <c r="G19" s="339"/>
      <c r="H19" s="339"/>
      <c r="I19" s="342">
        <f t="shared" si="0"/>
        <v>0.65</v>
      </c>
      <c r="J19" s="56"/>
      <c r="K19" s="56"/>
      <c r="L19" s="56"/>
      <c r="M19" s="56"/>
      <c r="N19" s="56"/>
      <c r="O19" s="62"/>
      <c r="R19" s="135"/>
    </row>
    <row r="20" spans="1:19" customFormat="1" ht="14.4" customHeight="1" x14ac:dyDescent="0.3">
      <c r="A20" s="343">
        <v>60</v>
      </c>
      <c r="B20" s="340" t="s">
        <v>159</v>
      </c>
      <c r="C20" s="344" t="s">
        <v>266</v>
      </c>
      <c r="D20" s="345">
        <v>0.04</v>
      </c>
      <c r="E20" s="343" t="s">
        <v>161</v>
      </c>
      <c r="F20" s="346">
        <v>2.2999999999999998</v>
      </c>
      <c r="G20" s="340" t="s">
        <v>321</v>
      </c>
      <c r="H20" s="237">
        <v>1</v>
      </c>
      <c r="I20" s="347">
        <f t="shared" si="0"/>
        <v>9.1999999999999998E-2</v>
      </c>
      <c r="J20" s="56"/>
      <c r="K20" s="56"/>
      <c r="L20" s="56"/>
      <c r="M20" s="56"/>
      <c r="N20" s="56"/>
      <c r="O20" s="62"/>
    </row>
    <row r="21" spans="1:19" x14ac:dyDescent="0.3">
      <c r="A21" s="179"/>
      <c r="B21" s="180"/>
      <c r="C21" s="180"/>
      <c r="D21" s="180"/>
      <c r="E21" s="180"/>
      <c r="F21" s="180"/>
      <c r="G21" s="180"/>
      <c r="H21" s="214" t="s">
        <v>18</v>
      </c>
      <c r="I21" s="206">
        <f>SUM(I15:I20)</f>
        <v>2.4770000000000003</v>
      </c>
      <c r="J21" s="180"/>
      <c r="K21" s="180"/>
      <c r="L21" s="180"/>
      <c r="M21" s="180"/>
      <c r="N21" s="180"/>
      <c r="O21" s="160"/>
    </row>
    <row r="22" spans="1:19" ht="15" thickBot="1" x14ac:dyDescent="0.35">
      <c r="A22" s="189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1"/>
    </row>
  </sheetData>
  <hyperlinks>
    <hyperlink ref="B4" location="BR_A0001" display="BR_A0001"/>
    <hyperlink ref="E3" location="dSU_04002" display="Drawing"/>
    <hyperlink ref="G2" location="SU_A0400_BOM" display="Back to BOM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6"/>
  <sheetViews>
    <sheetView workbookViewId="0">
      <selection activeCell="B1" sqref="B1"/>
    </sheetView>
  </sheetViews>
  <sheetFormatPr baseColWidth="10" defaultRowHeight="14.4" x14ac:dyDescent="0.3"/>
  <cols>
    <col min="1" max="1" width="18.88671875" customWidth="1"/>
  </cols>
  <sheetData>
    <row r="1" spans="1:2" x14ac:dyDescent="0.3">
      <c r="A1" t="s">
        <v>170</v>
      </c>
      <c r="B1" s="89" t="s">
        <v>171</v>
      </c>
    </row>
    <row r="6" spans="1:2" x14ac:dyDescent="0.3">
      <c r="B6" s="138"/>
    </row>
  </sheetData>
  <hyperlinks>
    <hyperlink ref="B1" location="SU_01002" display="SU_01002"/>
  </hyperlinks>
  <pageMargins left="0.7" right="0.7" top="0.75" bottom="0.75" header="0.3" footer="0.3"/>
  <pageSetup paperSize="9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6"/>
  <sheetViews>
    <sheetView zoomScale="106" zoomScaleNormal="106" workbookViewId="0">
      <selection activeCell="B1" sqref="B1"/>
    </sheetView>
  </sheetViews>
  <sheetFormatPr baseColWidth="10" defaultColWidth="11.44140625" defaultRowHeight="14.4" x14ac:dyDescent="0.3"/>
  <cols>
    <col min="1" max="1" width="18.88671875" style="155" customWidth="1"/>
    <col min="2" max="16384" width="11.44140625" style="155"/>
  </cols>
  <sheetData>
    <row r="1" spans="1:2" x14ac:dyDescent="0.3">
      <c r="A1" s="155" t="s">
        <v>170</v>
      </c>
      <c r="B1" s="287" t="s">
        <v>217</v>
      </c>
    </row>
    <row r="4" spans="1:2" x14ac:dyDescent="0.3">
      <c r="B4" s="155" t="s">
        <v>176</v>
      </c>
    </row>
    <row r="5" spans="1:2" x14ac:dyDescent="0.3">
      <c r="B5" s="155" t="s">
        <v>177</v>
      </c>
    </row>
    <row r="6" spans="1:2" x14ac:dyDescent="0.3">
      <c r="B6" s="219"/>
    </row>
  </sheetData>
  <hyperlinks>
    <hyperlink ref="B1" location="SU_04002" display="SU_04002"/>
  </hyperlinks>
  <pageMargins left="0.7" right="0.7" top="0.75" bottom="0.75" header="0.3" footer="0.3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90" zoomScaleNormal="90" workbookViewId="0">
      <selection activeCell="G2" sqref="G2"/>
    </sheetView>
  </sheetViews>
  <sheetFormatPr baseColWidth="10" defaultColWidth="11.44140625" defaultRowHeight="14.4" x14ac:dyDescent="0.3"/>
  <cols>
    <col min="1" max="1" width="11.44140625" style="155"/>
    <col min="2" max="2" width="20.6640625" style="155" customWidth="1"/>
    <col min="3" max="3" width="33" style="155" customWidth="1"/>
    <col min="4" max="4" width="11.44140625" style="155"/>
    <col min="5" max="5" width="17" style="155" customWidth="1"/>
    <col min="6" max="16384" width="11.44140625" style="155"/>
  </cols>
  <sheetData>
    <row r="1" spans="1:15" x14ac:dyDescent="0.3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5" x14ac:dyDescent="0.3">
      <c r="A2" s="192" t="s">
        <v>0</v>
      </c>
      <c r="B2" s="157" t="s">
        <v>37</v>
      </c>
      <c r="C2" s="158"/>
      <c r="D2" s="158"/>
      <c r="E2" s="158"/>
      <c r="F2" s="158"/>
      <c r="G2" s="88" t="s">
        <v>126</v>
      </c>
      <c r="H2" s="158"/>
      <c r="I2" s="158"/>
      <c r="J2" s="193" t="s">
        <v>1</v>
      </c>
      <c r="K2" s="159">
        <v>81</v>
      </c>
      <c r="L2" s="158"/>
      <c r="M2" s="192" t="s">
        <v>16</v>
      </c>
      <c r="N2" s="74">
        <f>N12+I16</f>
        <v>12.033390599999997</v>
      </c>
      <c r="O2" s="160"/>
    </row>
    <row r="3" spans="1:15" x14ac:dyDescent="0.3">
      <c r="A3" s="192" t="s">
        <v>3</v>
      </c>
      <c r="B3" s="157" t="str">
        <f>'SU A0400'!B3</f>
        <v>Suspension &amp; Shocks</v>
      </c>
      <c r="C3" s="158"/>
      <c r="D3" s="192" t="s">
        <v>6</v>
      </c>
      <c r="E3" s="155" t="s">
        <v>86</v>
      </c>
      <c r="F3" s="158"/>
      <c r="G3" s="158"/>
      <c r="H3" s="158"/>
      <c r="I3" s="158"/>
      <c r="J3" s="158"/>
      <c r="K3" s="158"/>
      <c r="L3" s="158"/>
      <c r="M3" s="192" t="s">
        <v>4</v>
      </c>
      <c r="N3" s="82">
        <v>2</v>
      </c>
      <c r="O3" s="160"/>
    </row>
    <row r="4" spans="1:15" x14ac:dyDescent="0.3">
      <c r="A4" s="192" t="s">
        <v>5</v>
      </c>
      <c r="B4" s="88" t="s">
        <v>213</v>
      </c>
      <c r="C4" s="158"/>
      <c r="D4" s="192" t="s">
        <v>8</v>
      </c>
      <c r="E4" s="158"/>
      <c r="F4" s="158"/>
      <c r="G4" s="158"/>
      <c r="H4" s="158"/>
      <c r="I4" s="158"/>
      <c r="J4" s="194" t="s">
        <v>6</v>
      </c>
      <c r="K4" s="158"/>
      <c r="L4" s="158"/>
      <c r="M4" s="158"/>
      <c r="N4" s="158"/>
      <c r="O4" s="160"/>
    </row>
    <row r="5" spans="1:15" x14ac:dyDescent="0.3">
      <c r="A5" s="192" t="s">
        <v>15</v>
      </c>
      <c r="B5" s="73" t="s">
        <v>218</v>
      </c>
      <c r="C5" s="158"/>
      <c r="D5" s="192" t="s">
        <v>12</v>
      </c>
      <c r="E5" s="158"/>
      <c r="F5" s="158"/>
      <c r="G5" s="158"/>
      <c r="H5" s="158"/>
      <c r="I5" s="158"/>
      <c r="J5" s="194" t="s">
        <v>8</v>
      </c>
      <c r="K5" s="158"/>
      <c r="L5" s="158"/>
      <c r="M5" s="192" t="s">
        <v>9</v>
      </c>
      <c r="N5" s="74">
        <f>N3*N2</f>
        <v>24.066781199999994</v>
      </c>
      <c r="O5" s="160"/>
    </row>
    <row r="6" spans="1:15" x14ac:dyDescent="0.3">
      <c r="A6" s="192" t="s">
        <v>7</v>
      </c>
      <c r="B6" s="195" t="s">
        <v>219</v>
      </c>
      <c r="C6" s="158"/>
      <c r="D6" s="158"/>
      <c r="E6" s="158"/>
      <c r="F6" s="158"/>
      <c r="G6" s="158"/>
      <c r="H6" s="158"/>
      <c r="I6" s="158"/>
      <c r="J6" s="194" t="s">
        <v>12</v>
      </c>
      <c r="K6" s="158"/>
      <c r="L6" s="158"/>
      <c r="M6" s="158"/>
      <c r="N6" s="158"/>
      <c r="O6" s="160"/>
    </row>
    <row r="7" spans="1:15" x14ac:dyDescent="0.3">
      <c r="A7" s="192" t="s">
        <v>10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60"/>
    </row>
    <row r="8" spans="1:15" x14ac:dyDescent="0.3">
      <c r="A8" s="192" t="s">
        <v>13</v>
      </c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60"/>
    </row>
    <row r="9" spans="1:15" x14ac:dyDescent="0.3">
      <c r="A9" s="196"/>
      <c r="B9" s="197"/>
      <c r="C9" s="197"/>
      <c r="D9" s="197"/>
      <c r="E9" s="197"/>
      <c r="F9" s="158"/>
      <c r="G9" s="158"/>
      <c r="H9" s="158"/>
      <c r="I9" s="158"/>
      <c r="J9" s="158"/>
      <c r="K9" s="158"/>
      <c r="L9" s="158"/>
      <c r="M9" s="158"/>
      <c r="N9" s="158"/>
      <c r="O9" s="160"/>
    </row>
    <row r="10" spans="1:15" x14ac:dyDescent="0.3">
      <c r="A10" s="198" t="s">
        <v>14</v>
      </c>
      <c r="B10" s="199" t="s">
        <v>19</v>
      </c>
      <c r="C10" s="199" t="s">
        <v>20</v>
      </c>
      <c r="D10" s="199" t="s">
        <v>21</v>
      </c>
      <c r="E10" s="199" t="s">
        <v>22</v>
      </c>
      <c r="F10" s="200" t="s">
        <v>23</v>
      </c>
      <c r="G10" s="200" t="s">
        <v>24</v>
      </c>
      <c r="H10" s="200" t="s">
        <v>25</v>
      </c>
      <c r="I10" s="200" t="s">
        <v>26</v>
      </c>
      <c r="J10" s="200" t="s">
        <v>27</v>
      </c>
      <c r="K10" s="200" t="s">
        <v>28</v>
      </c>
      <c r="L10" s="200" t="s">
        <v>29</v>
      </c>
      <c r="M10" s="200" t="s">
        <v>17</v>
      </c>
      <c r="N10" s="200" t="s">
        <v>18</v>
      </c>
      <c r="O10" s="160"/>
    </row>
    <row r="11" spans="1:15" x14ac:dyDescent="0.3">
      <c r="A11" s="85">
        <v>10</v>
      </c>
      <c r="B11" s="145" t="s">
        <v>188</v>
      </c>
      <c r="C11" s="146" t="s">
        <v>189</v>
      </c>
      <c r="D11" s="149">
        <f>200*E11*L11</f>
        <v>10.696347199999998</v>
      </c>
      <c r="E11" s="21">
        <f>J11*K11</f>
        <v>3.3849199999999994E-5</v>
      </c>
      <c r="F11" s="20" t="s">
        <v>190</v>
      </c>
      <c r="G11" s="20"/>
      <c r="H11" s="290"/>
      <c r="I11" s="21" t="s">
        <v>164</v>
      </c>
      <c r="J11" s="253">
        <f>3.14*(0.008*0.008-0.006*0.006)</f>
        <v>8.7919999999999985E-5</v>
      </c>
      <c r="K11" s="78">
        <v>0.38500000000000001</v>
      </c>
      <c r="L11" s="79">
        <v>1580</v>
      </c>
      <c r="M11" s="147">
        <v>1</v>
      </c>
      <c r="N11" s="289">
        <f>D11*M11</f>
        <v>10.696347199999998</v>
      </c>
      <c r="O11" s="177"/>
    </row>
    <row r="12" spans="1:15" x14ac:dyDescent="0.3">
      <c r="A12" s="179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205" t="s">
        <v>18</v>
      </c>
      <c r="N12" s="206">
        <f>SUM(N11)</f>
        <v>10.696347199999998</v>
      </c>
      <c r="O12" s="160"/>
    </row>
    <row r="13" spans="1:15" x14ac:dyDescent="0.3">
      <c r="A13" s="164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60"/>
    </row>
    <row r="14" spans="1:15" x14ac:dyDescent="0.3">
      <c r="A14" s="208" t="s">
        <v>14</v>
      </c>
      <c r="B14" s="200" t="s">
        <v>31</v>
      </c>
      <c r="C14" s="200" t="s">
        <v>20</v>
      </c>
      <c r="D14" s="200" t="s">
        <v>21</v>
      </c>
      <c r="E14" s="200" t="s">
        <v>32</v>
      </c>
      <c r="F14" s="200" t="s">
        <v>17</v>
      </c>
      <c r="G14" s="200" t="s">
        <v>33</v>
      </c>
      <c r="H14" s="200" t="s">
        <v>34</v>
      </c>
      <c r="I14" s="200" t="s">
        <v>18</v>
      </c>
      <c r="J14" s="180"/>
      <c r="K14" s="180"/>
      <c r="L14" s="180"/>
      <c r="M14" s="180"/>
      <c r="N14" s="180"/>
      <c r="O14" s="160"/>
    </row>
    <row r="15" spans="1:15" ht="29.4" customHeight="1" x14ac:dyDescent="0.3">
      <c r="A15" s="145">
        <v>10</v>
      </c>
      <c r="B15" s="145" t="s">
        <v>210</v>
      </c>
      <c r="C15" s="145" t="s">
        <v>211</v>
      </c>
      <c r="D15" s="285">
        <v>25</v>
      </c>
      <c r="E15" s="288" t="s">
        <v>212</v>
      </c>
      <c r="F15" s="225">
        <f>J11*K11*L11</f>
        <v>5.3481735999999988E-2</v>
      </c>
      <c r="G15" s="221"/>
      <c r="H15" s="221"/>
      <c r="I15" s="224">
        <f>IF(H15="",D15*F15,D15*F15*H15)</f>
        <v>1.3370433999999998</v>
      </c>
      <c r="J15" s="188"/>
      <c r="K15" s="188"/>
      <c r="L15" s="188"/>
      <c r="M15" s="188"/>
      <c r="N15" s="188"/>
      <c r="O15" s="181"/>
    </row>
    <row r="16" spans="1:15" x14ac:dyDescent="0.3">
      <c r="A16" s="179"/>
      <c r="B16" s="180"/>
      <c r="C16" s="180"/>
      <c r="D16" s="180"/>
      <c r="E16" s="180"/>
      <c r="F16" s="180"/>
      <c r="G16" s="180"/>
      <c r="H16" s="214" t="s">
        <v>18</v>
      </c>
      <c r="I16" s="206">
        <f>SUM(I15:I15)</f>
        <v>1.3370433999999998</v>
      </c>
      <c r="J16" s="180"/>
      <c r="K16" s="180"/>
      <c r="L16" s="180"/>
      <c r="M16" s="180"/>
      <c r="N16" s="180"/>
      <c r="O16" s="160"/>
    </row>
    <row r="17" spans="1:15" ht="15" thickBot="1" x14ac:dyDescent="0.35">
      <c r="A17" s="189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1"/>
    </row>
  </sheetData>
  <hyperlinks>
    <hyperlink ref="B4" location="BR_A0001" display="BR_A0001"/>
    <hyperlink ref="G2" location="SU_A0400_BOM" display="Back to BOM"/>
  </hyperlinks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80" zoomScaleNormal="80" workbookViewId="0">
      <selection activeCell="G2" sqref="G2"/>
    </sheetView>
  </sheetViews>
  <sheetFormatPr baseColWidth="10" defaultColWidth="11.44140625" defaultRowHeight="14.4" x14ac:dyDescent="0.3"/>
  <cols>
    <col min="1" max="1" width="11.44140625" style="155"/>
    <col min="2" max="2" width="28.33203125" style="155" customWidth="1"/>
    <col min="3" max="3" width="46.6640625" style="155" customWidth="1"/>
    <col min="4" max="4" width="11.44140625" style="155"/>
    <col min="5" max="5" width="18.33203125" style="155" customWidth="1"/>
    <col min="6" max="10" width="11.44140625" style="155"/>
    <col min="11" max="11" width="9.109375" style="155" customWidth="1"/>
    <col min="12" max="12" width="7.88671875" style="155" customWidth="1"/>
    <col min="13" max="14" width="11.44140625" style="155"/>
    <col min="15" max="15" width="5" style="155" customWidth="1"/>
    <col min="16" max="16384" width="11.44140625" style="155"/>
  </cols>
  <sheetData>
    <row r="1" spans="1:15" x14ac:dyDescent="0.3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5" x14ac:dyDescent="0.3">
      <c r="A2" s="192" t="s">
        <v>0</v>
      </c>
      <c r="B2" s="157" t="s">
        <v>37</v>
      </c>
      <c r="C2" s="158"/>
      <c r="D2" s="158"/>
      <c r="E2" s="158"/>
      <c r="F2" s="158"/>
      <c r="G2" s="88" t="s">
        <v>126</v>
      </c>
      <c r="H2" s="158"/>
      <c r="I2" s="158"/>
      <c r="J2" s="193" t="s">
        <v>1</v>
      </c>
      <c r="K2" s="159">
        <v>81</v>
      </c>
      <c r="L2" s="158"/>
      <c r="M2" s="192" t="s">
        <v>16</v>
      </c>
      <c r="N2" s="74">
        <f>N12+I16</f>
        <v>7.4075677199999985</v>
      </c>
      <c r="O2" s="160"/>
    </row>
    <row r="3" spans="1:15" x14ac:dyDescent="0.3">
      <c r="A3" s="192" t="s">
        <v>3</v>
      </c>
      <c r="B3" s="157" t="str">
        <f>'SU A0400'!B3</f>
        <v>Suspension &amp; Shocks</v>
      </c>
      <c r="C3" s="158"/>
      <c r="D3" s="192" t="s">
        <v>6</v>
      </c>
      <c r="E3" s="155" t="s">
        <v>86</v>
      </c>
      <c r="F3" s="158"/>
      <c r="G3" s="158"/>
      <c r="H3" s="158"/>
      <c r="I3" s="158"/>
      <c r="J3" s="158"/>
      <c r="K3" s="158"/>
      <c r="L3" s="158"/>
      <c r="M3" s="192" t="s">
        <v>4</v>
      </c>
      <c r="N3" s="82">
        <v>2</v>
      </c>
      <c r="O3" s="160"/>
    </row>
    <row r="4" spans="1:15" x14ac:dyDescent="0.3">
      <c r="A4" s="192" t="s">
        <v>5</v>
      </c>
      <c r="B4" s="88" t="s">
        <v>213</v>
      </c>
      <c r="C4" s="158"/>
      <c r="D4" s="192" t="s">
        <v>8</v>
      </c>
      <c r="E4" s="158"/>
      <c r="F4" s="158"/>
      <c r="G4" s="158"/>
      <c r="H4" s="158"/>
      <c r="I4" s="158"/>
      <c r="J4" s="194" t="s">
        <v>6</v>
      </c>
      <c r="K4" s="158"/>
      <c r="L4" s="158"/>
      <c r="M4" s="158"/>
      <c r="N4" s="158"/>
      <c r="O4" s="160"/>
    </row>
    <row r="5" spans="1:15" x14ac:dyDescent="0.3">
      <c r="A5" s="215" t="s">
        <v>15</v>
      </c>
      <c r="B5" s="216" t="s">
        <v>220</v>
      </c>
      <c r="C5" s="158"/>
      <c r="D5" s="192" t="s">
        <v>12</v>
      </c>
      <c r="E5" s="158"/>
      <c r="F5" s="158"/>
      <c r="G5" s="158"/>
      <c r="H5" s="158"/>
      <c r="I5" s="158"/>
      <c r="J5" s="194" t="s">
        <v>8</v>
      </c>
      <c r="K5" s="158"/>
      <c r="L5" s="158"/>
      <c r="M5" s="192" t="s">
        <v>9</v>
      </c>
      <c r="N5" s="74">
        <f>N3*N2</f>
        <v>14.815135439999997</v>
      </c>
      <c r="O5" s="160"/>
    </row>
    <row r="6" spans="1:15" x14ac:dyDescent="0.3">
      <c r="A6" s="192" t="s">
        <v>7</v>
      </c>
      <c r="B6" s="195" t="s">
        <v>221</v>
      </c>
      <c r="C6" s="158"/>
      <c r="D6" s="158"/>
      <c r="E6" s="158"/>
      <c r="F6" s="158"/>
      <c r="G6" s="158"/>
      <c r="H6" s="158"/>
      <c r="I6" s="158"/>
      <c r="J6" s="194" t="s">
        <v>12</v>
      </c>
      <c r="K6" s="158"/>
      <c r="L6" s="158"/>
      <c r="M6" s="158"/>
      <c r="N6" s="158"/>
      <c r="O6" s="160"/>
    </row>
    <row r="7" spans="1:15" x14ac:dyDescent="0.3">
      <c r="A7" s="192" t="s">
        <v>10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60"/>
    </row>
    <row r="8" spans="1:15" x14ac:dyDescent="0.3">
      <c r="A8" s="192" t="s">
        <v>13</v>
      </c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60"/>
    </row>
    <row r="9" spans="1:15" x14ac:dyDescent="0.3">
      <c r="A9" s="196"/>
      <c r="B9" s="197"/>
      <c r="C9" s="197"/>
      <c r="D9" s="197"/>
      <c r="E9" s="197"/>
      <c r="F9" s="158"/>
      <c r="G9" s="158"/>
      <c r="H9" s="158"/>
      <c r="I9" s="158"/>
      <c r="J9" s="158"/>
      <c r="K9" s="158"/>
      <c r="L9" s="158"/>
      <c r="M9" s="158"/>
      <c r="N9" s="158"/>
      <c r="O9" s="160"/>
    </row>
    <row r="10" spans="1:15" x14ac:dyDescent="0.3">
      <c r="A10" s="198" t="s">
        <v>14</v>
      </c>
      <c r="B10" s="199" t="s">
        <v>19</v>
      </c>
      <c r="C10" s="199" t="s">
        <v>20</v>
      </c>
      <c r="D10" s="199" t="s">
        <v>21</v>
      </c>
      <c r="E10" s="199" t="s">
        <v>22</v>
      </c>
      <c r="F10" s="200" t="s">
        <v>23</v>
      </c>
      <c r="G10" s="200" t="s">
        <v>24</v>
      </c>
      <c r="H10" s="200" t="s">
        <v>25</v>
      </c>
      <c r="I10" s="200" t="s">
        <v>26</v>
      </c>
      <c r="J10" s="200" t="s">
        <v>27</v>
      </c>
      <c r="K10" s="200" t="s">
        <v>28</v>
      </c>
      <c r="L10" s="200" t="s">
        <v>29</v>
      </c>
      <c r="M10" s="200" t="s">
        <v>17</v>
      </c>
      <c r="N10" s="200" t="s">
        <v>18</v>
      </c>
      <c r="O10" s="160"/>
    </row>
    <row r="11" spans="1:15" x14ac:dyDescent="0.3">
      <c r="A11" s="85">
        <v>10</v>
      </c>
      <c r="B11" s="145" t="s">
        <v>188</v>
      </c>
      <c r="C11" s="146" t="s">
        <v>189</v>
      </c>
      <c r="D11" s="149">
        <f>200*E11*L11</f>
        <v>6.5845046399999987</v>
      </c>
      <c r="E11" s="21">
        <f>J11*K11</f>
        <v>2.0837039999999997E-5</v>
      </c>
      <c r="F11" s="20" t="s">
        <v>190</v>
      </c>
      <c r="G11" s="20"/>
      <c r="H11" s="290"/>
      <c r="I11" s="21" t="s">
        <v>164</v>
      </c>
      <c r="J11" s="253">
        <f>3.14*(0.008*0.008-0.006*0.006)</f>
        <v>8.7919999999999985E-5</v>
      </c>
      <c r="K11" s="78">
        <v>0.23699999999999999</v>
      </c>
      <c r="L11" s="79">
        <v>1580</v>
      </c>
      <c r="M11" s="147">
        <v>1</v>
      </c>
      <c r="N11" s="289">
        <f>D11*M11</f>
        <v>6.5845046399999987</v>
      </c>
      <c r="O11" s="177"/>
    </row>
    <row r="12" spans="1:15" x14ac:dyDescent="0.3">
      <c r="A12" s="179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205" t="s">
        <v>18</v>
      </c>
      <c r="N12" s="206">
        <f>SUM(N11)</f>
        <v>6.5845046399999987</v>
      </c>
      <c r="O12" s="160"/>
    </row>
    <row r="13" spans="1:15" x14ac:dyDescent="0.3">
      <c r="A13" s="164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60"/>
    </row>
    <row r="14" spans="1:15" x14ac:dyDescent="0.3">
      <c r="A14" s="208" t="s">
        <v>14</v>
      </c>
      <c r="B14" s="200" t="s">
        <v>31</v>
      </c>
      <c r="C14" s="200" t="s">
        <v>20</v>
      </c>
      <c r="D14" s="200" t="s">
        <v>21</v>
      </c>
      <c r="E14" s="200" t="s">
        <v>32</v>
      </c>
      <c r="F14" s="200" t="s">
        <v>17</v>
      </c>
      <c r="G14" s="200" t="s">
        <v>33</v>
      </c>
      <c r="H14" s="200" t="s">
        <v>34</v>
      </c>
      <c r="I14" s="200" t="s">
        <v>18</v>
      </c>
      <c r="J14" s="180"/>
      <c r="K14" s="180"/>
      <c r="L14" s="180"/>
      <c r="M14" s="180"/>
      <c r="N14" s="180"/>
      <c r="O14" s="160"/>
    </row>
    <row r="15" spans="1:15" ht="16.8" customHeight="1" x14ac:dyDescent="0.3">
      <c r="A15" s="145">
        <v>10</v>
      </c>
      <c r="B15" s="145" t="s">
        <v>210</v>
      </c>
      <c r="C15" s="145" t="s">
        <v>211</v>
      </c>
      <c r="D15" s="285">
        <v>25</v>
      </c>
      <c r="E15" s="288" t="s">
        <v>212</v>
      </c>
      <c r="F15" s="225">
        <f>J11*K11*L11</f>
        <v>3.2922523199999998E-2</v>
      </c>
      <c r="G15" s="221"/>
      <c r="H15" s="221"/>
      <c r="I15" s="224">
        <f>IF(H15="",D15*F15,D15*F15*H15)</f>
        <v>0.82306307999999995</v>
      </c>
      <c r="J15" s="188"/>
      <c r="K15" s="188"/>
      <c r="L15" s="188"/>
      <c r="M15" s="188"/>
      <c r="N15" s="188"/>
      <c r="O15" s="181"/>
    </row>
    <row r="16" spans="1:15" x14ac:dyDescent="0.3">
      <c r="A16" s="179"/>
      <c r="B16" s="180"/>
      <c r="C16" s="180"/>
      <c r="D16" s="180"/>
      <c r="E16" s="180"/>
      <c r="F16" s="180"/>
      <c r="G16" s="180"/>
      <c r="H16" s="214" t="s">
        <v>18</v>
      </c>
      <c r="I16" s="206">
        <f>SUM(I15:I15)</f>
        <v>0.82306307999999995</v>
      </c>
      <c r="J16" s="180"/>
      <c r="K16" s="180"/>
      <c r="L16" s="180"/>
      <c r="M16" s="180"/>
      <c r="N16" s="180"/>
      <c r="O16" s="160"/>
    </row>
    <row r="17" spans="1:15" ht="15" thickBot="1" x14ac:dyDescent="0.35">
      <c r="A17" s="189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1"/>
    </row>
  </sheetData>
  <hyperlinks>
    <hyperlink ref="B4" location="BR_A0001" display="BR_A0001"/>
    <hyperlink ref="G2" location="SU_A0400_BOM" display="Back to BOM"/>
  </hyperlinks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2"/>
  <sheetViews>
    <sheetView zoomScale="90" zoomScaleNormal="90" workbookViewId="0">
      <selection sqref="A1:B8"/>
    </sheetView>
  </sheetViews>
  <sheetFormatPr baseColWidth="10" defaultColWidth="11.44140625" defaultRowHeight="14.4" x14ac:dyDescent="0.3"/>
  <cols>
    <col min="1" max="1" width="11.44140625" style="155"/>
    <col min="2" max="2" width="25.109375" style="155" customWidth="1"/>
    <col min="3" max="3" width="30.5546875" style="155" customWidth="1"/>
    <col min="4" max="8" width="11.44140625" style="155"/>
    <col min="9" max="9" width="14" style="155" customWidth="1"/>
    <col min="10" max="16" width="11.44140625" style="155"/>
    <col min="17" max="17" width="12.88671875" style="155" bestFit="1" customWidth="1"/>
    <col min="18" max="16384" width="11.44140625" style="155"/>
  </cols>
  <sheetData>
    <row r="1" spans="1:17" x14ac:dyDescent="0.3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7" x14ac:dyDescent="0.3">
      <c r="A2" s="192" t="s">
        <v>0</v>
      </c>
      <c r="B2" s="157" t="s">
        <v>37</v>
      </c>
      <c r="C2" s="158"/>
      <c r="D2" s="158"/>
      <c r="E2" s="158"/>
      <c r="F2" s="158"/>
      <c r="G2" s="88" t="s">
        <v>126</v>
      </c>
      <c r="H2" s="158"/>
      <c r="I2" s="158"/>
      <c r="J2" s="193" t="s">
        <v>1</v>
      </c>
      <c r="K2" s="159">
        <v>81</v>
      </c>
      <c r="L2" s="158"/>
      <c r="M2" s="192" t="s">
        <v>16</v>
      </c>
      <c r="N2" s="74">
        <f>N12+I21</f>
        <v>2.6676857568000001</v>
      </c>
      <c r="O2" s="160"/>
    </row>
    <row r="3" spans="1:17" x14ac:dyDescent="0.3">
      <c r="A3" s="192" t="s">
        <v>3</v>
      </c>
      <c r="B3" s="157" t="str">
        <f>'SU A0400'!B3</f>
        <v>Suspension &amp; Shocks</v>
      </c>
      <c r="C3" s="158"/>
      <c r="D3" s="192" t="s">
        <v>6</v>
      </c>
      <c r="E3" s="287" t="s">
        <v>86</v>
      </c>
      <c r="F3" s="158"/>
      <c r="G3" s="158"/>
      <c r="H3" s="158"/>
      <c r="I3" s="158"/>
      <c r="J3" s="158"/>
      <c r="K3" s="158"/>
      <c r="L3" s="158"/>
      <c r="M3" s="192" t="s">
        <v>4</v>
      </c>
      <c r="N3" s="82">
        <v>12</v>
      </c>
      <c r="O3" s="160"/>
    </row>
    <row r="4" spans="1:17" x14ac:dyDescent="0.3">
      <c r="A4" s="192" t="s">
        <v>5</v>
      </c>
      <c r="B4" s="88" t="s">
        <v>213</v>
      </c>
      <c r="C4" s="158"/>
      <c r="D4" s="192" t="s">
        <v>8</v>
      </c>
      <c r="E4" s="158"/>
      <c r="F4" s="158"/>
      <c r="G4" s="158"/>
      <c r="H4" s="158"/>
      <c r="I4" s="158"/>
      <c r="J4" s="194" t="s">
        <v>6</v>
      </c>
      <c r="K4" s="158"/>
      <c r="L4" s="158"/>
      <c r="M4" s="158"/>
      <c r="N4" s="158"/>
      <c r="O4" s="160"/>
    </row>
    <row r="5" spans="1:17" x14ac:dyDescent="0.3">
      <c r="A5" s="192" t="s">
        <v>15</v>
      </c>
      <c r="B5" s="163" t="s">
        <v>193</v>
      </c>
      <c r="C5" s="158"/>
      <c r="D5" s="192" t="s">
        <v>12</v>
      </c>
      <c r="E5" s="158"/>
      <c r="F5" s="158"/>
      <c r="G5" s="158"/>
      <c r="H5" s="158"/>
      <c r="I5" s="158"/>
      <c r="J5" s="194" t="s">
        <v>8</v>
      </c>
      <c r="K5" s="158"/>
      <c r="L5" s="158"/>
      <c r="M5" s="192" t="s">
        <v>9</v>
      </c>
      <c r="N5" s="74">
        <f>N3*N2</f>
        <v>32.012229081599997</v>
      </c>
      <c r="O5" s="160"/>
    </row>
    <row r="6" spans="1:17" x14ac:dyDescent="0.3">
      <c r="A6" s="192" t="s">
        <v>7</v>
      </c>
      <c r="B6" s="195" t="s">
        <v>222</v>
      </c>
      <c r="C6" s="158"/>
      <c r="D6" s="158"/>
      <c r="E6" s="158"/>
      <c r="F6" s="158"/>
      <c r="G6" s="158"/>
      <c r="H6" s="158"/>
      <c r="I6" s="158"/>
      <c r="J6" s="194" t="s">
        <v>12</v>
      </c>
      <c r="K6" s="158"/>
      <c r="L6" s="158"/>
      <c r="M6" s="158"/>
      <c r="N6" s="158"/>
      <c r="O6" s="160"/>
    </row>
    <row r="7" spans="1:17" x14ac:dyDescent="0.3">
      <c r="A7" s="192" t="s">
        <v>10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60"/>
    </row>
    <row r="8" spans="1:17" x14ac:dyDescent="0.3">
      <c r="A8" s="192" t="s">
        <v>13</v>
      </c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60"/>
    </row>
    <row r="9" spans="1:17" x14ac:dyDescent="0.3">
      <c r="A9" s="196"/>
      <c r="B9" s="197"/>
      <c r="C9" s="197"/>
      <c r="D9" s="197"/>
      <c r="E9" s="197"/>
      <c r="F9" s="158"/>
      <c r="G9" s="158"/>
      <c r="H9" s="158"/>
      <c r="I9" s="158"/>
      <c r="J9" s="158"/>
      <c r="K9" s="158"/>
      <c r="L9" s="158"/>
      <c r="M9" s="158"/>
      <c r="N9" s="158"/>
      <c r="O9" s="160"/>
    </row>
    <row r="10" spans="1:17" x14ac:dyDescent="0.3">
      <c r="A10" s="198" t="s">
        <v>14</v>
      </c>
      <c r="B10" s="199" t="s">
        <v>19</v>
      </c>
      <c r="C10" s="199" t="s">
        <v>20</v>
      </c>
      <c r="D10" s="199" t="s">
        <v>21</v>
      </c>
      <c r="E10" s="199" t="s">
        <v>22</v>
      </c>
      <c r="F10" s="200" t="s">
        <v>23</v>
      </c>
      <c r="G10" s="200" t="s">
        <v>24</v>
      </c>
      <c r="H10" s="200" t="s">
        <v>25</v>
      </c>
      <c r="I10" s="200" t="s">
        <v>26</v>
      </c>
      <c r="J10" s="200" t="s">
        <v>27</v>
      </c>
      <c r="K10" s="200" t="s">
        <v>28</v>
      </c>
      <c r="L10" s="200" t="s">
        <v>29</v>
      </c>
      <c r="M10" s="200" t="s">
        <v>17</v>
      </c>
      <c r="N10" s="200" t="s">
        <v>18</v>
      </c>
      <c r="O10" s="160"/>
    </row>
    <row r="11" spans="1:17" x14ac:dyDescent="0.3">
      <c r="A11" s="201">
        <v>10</v>
      </c>
      <c r="B11" s="202" t="s">
        <v>166</v>
      </c>
      <c r="C11" s="203" t="s">
        <v>38</v>
      </c>
      <c r="D11" s="30">
        <v>2.25</v>
      </c>
      <c r="E11" s="217">
        <f>J11*K11*L11/1000000000</f>
        <v>1.2304780800000002E-2</v>
      </c>
      <c r="F11" s="203" t="s">
        <v>162</v>
      </c>
      <c r="G11" s="203"/>
      <c r="H11" s="19"/>
      <c r="I11" s="204" t="s">
        <v>165</v>
      </c>
      <c r="J11" s="97">
        <f>3.14*8*8</f>
        <v>200.96</v>
      </c>
      <c r="K11" s="78">
        <v>7.8</v>
      </c>
      <c r="L11" s="176">
        <v>7850</v>
      </c>
      <c r="M11" s="23">
        <v>1</v>
      </c>
      <c r="N11" s="30">
        <f>D11*E11</f>
        <v>2.7685756800000003E-2</v>
      </c>
      <c r="O11" s="177"/>
      <c r="Q11" s="207"/>
    </row>
    <row r="12" spans="1:17" x14ac:dyDescent="0.3">
      <c r="A12" s="179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205" t="s">
        <v>18</v>
      </c>
      <c r="N12" s="206">
        <f>SUM(N11:N11)</f>
        <v>2.7685756800000003E-2</v>
      </c>
      <c r="O12" s="160"/>
    </row>
    <row r="13" spans="1:17" x14ac:dyDescent="0.3">
      <c r="A13" s="164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60"/>
    </row>
    <row r="14" spans="1:17" x14ac:dyDescent="0.3">
      <c r="A14" s="208" t="s">
        <v>14</v>
      </c>
      <c r="B14" s="200" t="s">
        <v>31</v>
      </c>
      <c r="C14" s="200" t="s">
        <v>20</v>
      </c>
      <c r="D14" s="200" t="s">
        <v>21</v>
      </c>
      <c r="E14" s="200" t="s">
        <v>32</v>
      </c>
      <c r="F14" s="200" t="s">
        <v>17</v>
      </c>
      <c r="G14" s="200" t="s">
        <v>33</v>
      </c>
      <c r="H14" s="200" t="s">
        <v>34</v>
      </c>
      <c r="I14" s="200" t="s">
        <v>18</v>
      </c>
      <c r="J14" s="180"/>
      <c r="K14" s="180"/>
      <c r="L14" s="180"/>
      <c r="M14" s="180"/>
      <c r="N14" s="180"/>
      <c r="O14" s="160"/>
    </row>
    <row r="15" spans="1:17" ht="28.8" x14ac:dyDescent="0.3">
      <c r="A15" s="209">
        <v>10</v>
      </c>
      <c r="B15" s="27" t="s">
        <v>39</v>
      </c>
      <c r="C15" s="210" t="s">
        <v>134</v>
      </c>
      <c r="D15" s="32">
        <v>1.3</v>
      </c>
      <c r="E15" s="27" t="s">
        <v>35</v>
      </c>
      <c r="F15" s="210">
        <v>1</v>
      </c>
      <c r="G15" s="210"/>
      <c r="H15" s="210"/>
      <c r="I15" s="32">
        <f t="shared" ref="I15:I20" si="0">IF(H15="",D15*F15,D15*F15*H15)</f>
        <v>1.3</v>
      </c>
      <c r="J15" s="188"/>
      <c r="K15" s="188"/>
      <c r="L15" s="188"/>
      <c r="M15" s="188"/>
      <c r="N15" s="188"/>
      <c r="O15" s="181"/>
    </row>
    <row r="16" spans="1:17" x14ac:dyDescent="0.3">
      <c r="A16" s="211">
        <v>20</v>
      </c>
      <c r="B16" s="134" t="s">
        <v>159</v>
      </c>
      <c r="C16" s="212" t="s">
        <v>167</v>
      </c>
      <c r="D16" s="30">
        <v>0.04</v>
      </c>
      <c r="E16" s="27" t="s">
        <v>161</v>
      </c>
      <c r="F16" s="218">
        <v>0.4</v>
      </c>
      <c r="G16" s="27"/>
      <c r="H16" s="202"/>
      <c r="I16" s="30">
        <f t="shared" si="0"/>
        <v>1.6E-2</v>
      </c>
      <c r="J16" s="158"/>
      <c r="K16" s="158"/>
      <c r="L16" s="158"/>
      <c r="M16" s="158"/>
      <c r="N16" s="158"/>
      <c r="O16" s="160"/>
    </row>
    <row r="17" spans="1:15" x14ac:dyDescent="0.3">
      <c r="A17" s="213">
        <v>30</v>
      </c>
      <c r="B17" s="134" t="s">
        <v>158</v>
      </c>
      <c r="C17" s="202" t="s">
        <v>160</v>
      </c>
      <c r="D17" s="30">
        <v>0.65</v>
      </c>
      <c r="E17" s="27" t="s">
        <v>35</v>
      </c>
      <c r="F17" s="202">
        <v>1</v>
      </c>
      <c r="G17" s="202"/>
      <c r="H17" s="202"/>
      <c r="I17" s="30">
        <f t="shared" si="0"/>
        <v>0.65</v>
      </c>
      <c r="J17" s="161"/>
      <c r="K17" s="161"/>
      <c r="L17" s="161"/>
      <c r="M17" s="161"/>
      <c r="N17" s="161"/>
      <c r="O17" s="168"/>
    </row>
    <row r="18" spans="1:15" x14ac:dyDescent="0.3">
      <c r="A18" s="211">
        <v>40</v>
      </c>
      <c r="B18" s="134" t="s">
        <v>159</v>
      </c>
      <c r="C18" s="212" t="s">
        <v>169</v>
      </c>
      <c r="D18" s="30">
        <v>0.04</v>
      </c>
      <c r="E18" s="27" t="s">
        <v>161</v>
      </c>
      <c r="F18" s="218">
        <v>0.56000000000000005</v>
      </c>
      <c r="G18" s="27"/>
      <c r="H18" s="202"/>
      <c r="I18" s="30">
        <f t="shared" si="0"/>
        <v>2.2400000000000003E-2</v>
      </c>
      <c r="J18" s="158"/>
      <c r="K18" s="158"/>
      <c r="L18" s="158"/>
      <c r="M18" s="158"/>
      <c r="N18" s="158"/>
      <c r="O18" s="160"/>
    </row>
    <row r="19" spans="1:15" x14ac:dyDescent="0.3">
      <c r="A19" s="213">
        <v>50</v>
      </c>
      <c r="B19" s="134" t="s">
        <v>158</v>
      </c>
      <c r="C19" s="202" t="s">
        <v>160</v>
      </c>
      <c r="D19" s="30">
        <v>0.65</v>
      </c>
      <c r="E19" s="27" t="s">
        <v>35</v>
      </c>
      <c r="F19" s="202">
        <v>1</v>
      </c>
      <c r="G19" s="202"/>
      <c r="H19" s="202"/>
      <c r="I19" s="30">
        <f t="shared" si="0"/>
        <v>0.65</v>
      </c>
      <c r="J19" s="158"/>
      <c r="K19" s="158"/>
      <c r="L19" s="158"/>
      <c r="M19" s="158"/>
      <c r="N19" s="158"/>
      <c r="O19" s="160"/>
    </row>
    <row r="20" spans="1:15" x14ac:dyDescent="0.3">
      <c r="A20" s="213">
        <v>60</v>
      </c>
      <c r="B20" s="134" t="s">
        <v>159</v>
      </c>
      <c r="C20" s="212" t="s">
        <v>168</v>
      </c>
      <c r="D20" s="30">
        <v>0.04</v>
      </c>
      <c r="E20" s="27" t="s">
        <v>161</v>
      </c>
      <c r="F20" s="202">
        <v>0.04</v>
      </c>
      <c r="G20" s="202"/>
      <c r="H20" s="202"/>
      <c r="I20" s="30">
        <f t="shared" si="0"/>
        <v>1.6000000000000001E-3</v>
      </c>
      <c r="J20" s="158"/>
      <c r="K20" s="158"/>
      <c r="L20" s="158"/>
      <c r="M20" s="158"/>
      <c r="N20" s="158"/>
      <c r="O20" s="160"/>
    </row>
    <row r="21" spans="1:15" x14ac:dyDescent="0.3">
      <c r="A21" s="179"/>
      <c r="B21" s="180"/>
      <c r="C21" s="180"/>
      <c r="D21" s="180"/>
      <c r="E21" s="180"/>
      <c r="F21" s="180"/>
      <c r="G21" s="180"/>
      <c r="H21" s="214" t="s">
        <v>18</v>
      </c>
      <c r="I21" s="206">
        <f>SUM(I15:I20)</f>
        <v>2.64</v>
      </c>
      <c r="J21" s="180"/>
      <c r="K21" s="180"/>
      <c r="L21" s="180"/>
      <c r="M21" s="180"/>
      <c r="N21" s="180"/>
      <c r="O21" s="160"/>
    </row>
    <row r="22" spans="1:15" ht="15" thickBot="1" x14ac:dyDescent="0.35">
      <c r="A22" s="189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1"/>
    </row>
  </sheetData>
  <hyperlinks>
    <hyperlink ref="B4" location="BR_A0001" display="BR_A0001"/>
    <hyperlink ref="E3" location="dSU_04005" display="Drawing"/>
    <hyperlink ref="G2" location="SU_A0400_BOM" display="Back to BOM"/>
  </hyperlinks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zoomScale="106" zoomScaleNormal="106" workbookViewId="0">
      <selection activeCell="A3" sqref="A3"/>
    </sheetView>
  </sheetViews>
  <sheetFormatPr baseColWidth="10" defaultColWidth="11.44140625" defaultRowHeight="14.4" x14ac:dyDescent="0.3"/>
  <cols>
    <col min="1" max="1" width="22.5546875" style="155" customWidth="1"/>
    <col min="2" max="16384" width="11.44140625" style="155"/>
  </cols>
  <sheetData>
    <row r="1" spans="1:2" x14ac:dyDescent="0.3">
      <c r="A1" s="155" t="s">
        <v>170</v>
      </c>
      <c r="B1" s="287" t="s">
        <v>222</v>
      </c>
    </row>
  </sheetData>
  <hyperlinks>
    <hyperlink ref="B1" location="SU_04005" display="SU_04005"/>
  </hyperlinks>
  <pageMargins left="0.7" right="0.7" top="0.75" bottom="0.75" header="0.3" footer="0.3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9"/>
  <sheetViews>
    <sheetView topLeftCell="A7" workbookViewId="0">
      <selection activeCell="B6" sqref="B6"/>
    </sheetView>
  </sheetViews>
  <sheetFormatPr baseColWidth="10" defaultRowHeight="14.4" x14ac:dyDescent="0.3"/>
  <cols>
    <col min="2" max="2" width="22.109375" customWidth="1"/>
    <col min="3" max="3" width="16.5546875" customWidth="1"/>
    <col min="13" max="13" width="13.6640625" customWidth="1"/>
  </cols>
  <sheetData>
    <row r="1" spans="1:15" x14ac:dyDescent="0.3">
      <c r="A1" s="152"/>
      <c r="B1" s="153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3">
      <c r="A2" s="192" t="s">
        <v>0</v>
      </c>
      <c r="B2" s="157" t="s">
        <v>37</v>
      </c>
      <c r="C2" s="56"/>
      <c r="D2" s="56"/>
      <c r="E2" s="56"/>
      <c r="F2" s="56"/>
      <c r="G2" s="88" t="s">
        <v>126</v>
      </c>
      <c r="H2" s="56"/>
      <c r="I2" s="56"/>
      <c r="J2" s="103" t="s">
        <v>1</v>
      </c>
      <c r="K2" s="83">
        <v>81</v>
      </c>
      <c r="L2" s="56"/>
      <c r="M2" s="102" t="s">
        <v>16</v>
      </c>
      <c r="N2" s="74">
        <f>N12+I18</f>
        <v>1.1551782399999999</v>
      </c>
      <c r="O2" s="62"/>
    </row>
    <row r="3" spans="1:15" x14ac:dyDescent="0.3">
      <c r="A3" s="192" t="s">
        <v>3</v>
      </c>
      <c r="B3" s="157" t="str">
        <f>'SU A0400'!B3</f>
        <v>Suspension &amp; Shocks</v>
      </c>
      <c r="C3" s="56"/>
      <c r="D3" s="102" t="s">
        <v>6</v>
      </c>
      <c r="E3" s="287" t="s">
        <v>86</v>
      </c>
      <c r="F3" s="56"/>
      <c r="G3" s="56"/>
      <c r="H3" s="56"/>
      <c r="I3" s="56"/>
      <c r="J3" s="56"/>
      <c r="K3" s="56"/>
      <c r="L3" s="56"/>
      <c r="M3" s="102" t="s">
        <v>4</v>
      </c>
      <c r="N3" s="82">
        <v>4</v>
      </c>
      <c r="O3" s="62"/>
    </row>
    <row r="4" spans="1:15" x14ac:dyDescent="0.3">
      <c r="A4" s="192" t="s">
        <v>5</v>
      </c>
      <c r="B4" s="88" t="s">
        <v>213</v>
      </c>
      <c r="C4" s="56"/>
      <c r="D4" s="102" t="s">
        <v>8</v>
      </c>
      <c r="E4" s="56"/>
      <c r="F4" s="56"/>
      <c r="G4" s="56"/>
      <c r="H4" s="56"/>
      <c r="I4" s="56"/>
      <c r="J4" s="645" t="s">
        <v>6</v>
      </c>
      <c r="K4" s="56"/>
      <c r="L4" s="56"/>
      <c r="M4" s="56"/>
      <c r="N4" s="56"/>
      <c r="O4" s="62"/>
    </row>
    <row r="5" spans="1:15" x14ac:dyDescent="0.3">
      <c r="A5" s="192" t="s">
        <v>15</v>
      </c>
      <c r="B5" s="163" t="s">
        <v>192</v>
      </c>
      <c r="C5" s="56"/>
      <c r="D5" s="102" t="s">
        <v>12</v>
      </c>
      <c r="E5" s="56"/>
      <c r="F5" s="56"/>
      <c r="G5" s="56"/>
      <c r="H5" s="56"/>
      <c r="I5" s="56"/>
      <c r="J5" s="645" t="s">
        <v>8</v>
      </c>
      <c r="K5" s="56"/>
      <c r="L5" s="56"/>
      <c r="M5" s="102" t="s">
        <v>9</v>
      </c>
      <c r="N5" s="74">
        <f>N3*N2</f>
        <v>4.6207129599999996</v>
      </c>
      <c r="O5" s="62"/>
    </row>
    <row r="6" spans="1:15" x14ac:dyDescent="0.3">
      <c r="A6" s="192" t="s">
        <v>7</v>
      </c>
      <c r="B6" s="195" t="s">
        <v>223</v>
      </c>
      <c r="C6" s="56"/>
      <c r="D6" s="56"/>
      <c r="E6" s="56"/>
      <c r="F6" s="56"/>
      <c r="G6" s="56"/>
      <c r="H6" s="56"/>
      <c r="I6" s="56"/>
      <c r="J6" s="645" t="s">
        <v>12</v>
      </c>
      <c r="K6" s="56"/>
      <c r="L6" s="56"/>
      <c r="M6" s="56"/>
      <c r="N6" s="56"/>
      <c r="O6" s="62"/>
    </row>
    <row r="7" spans="1:15" x14ac:dyDescent="0.3">
      <c r="A7" s="192" t="s">
        <v>10</v>
      </c>
      <c r="B7" s="157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3">
      <c r="A8" s="192" t="s">
        <v>13</v>
      </c>
      <c r="B8" s="157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3">
      <c r="A9" s="84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3">
      <c r="A10" s="105" t="s">
        <v>14</v>
      </c>
      <c r="B10" s="106" t="s">
        <v>19</v>
      </c>
      <c r="C10" s="106" t="s">
        <v>20</v>
      </c>
      <c r="D10" s="106" t="s">
        <v>21</v>
      </c>
      <c r="E10" s="106" t="s">
        <v>22</v>
      </c>
      <c r="F10" s="107" t="s">
        <v>23</v>
      </c>
      <c r="G10" s="107" t="s">
        <v>24</v>
      </c>
      <c r="H10" s="107" t="s">
        <v>25</v>
      </c>
      <c r="I10" s="107" t="s">
        <v>26</v>
      </c>
      <c r="J10" s="107" t="s">
        <v>27</v>
      </c>
      <c r="K10" s="107" t="s">
        <v>28</v>
      </c>
      <c r="L10" s="107" t="s">
        <v>29</v>
      </c>
      <c r="M10" s="107" t="s">
        <v>17</v>
      </c>
      <c r="N10" s="107" t="s">
        <v>18</v>
      </c>
      <c r="O10" s="62"/>
    </row>
    <row r="11" spans="1:15" ht="28.8" x14ac:dyDescent="0.3">
      <c r="A11" s="323">
        <v>10</v>
      </c>
      <c r="B11" s="524" t="s">
        <v>278</v>
      </c>
      <c r="C11" s="574"/>
      <c r="D11" s="575">
        <v>2.25</v>
      </c>
      <c r="E11" s="375">
        <f>J11*K11*L11</f>
        <v>6.3101440000000009E-2</v>
      </c>
      <c r="F11" s="373" t="s">
        <v>162</v>
      </c>
      <c r="G11" s="373"/>
      <c r="H11" s="374"/>
      <c r="I11" s="375" t="s">
        <v>165</v>
      </c>
      <c r="J11" s="376">
        <f>3.14*8*8/1000000</f>
        <v>2.0096E-4</v>
      </c>
      <c r="K11" s="402">
        <v>0.04</v>
      </c>
      <c r="L11" s="378">
        <v>7850</v>
      </c>
      <c r="M11" s="379">
        <v>1</v>
      </c>
      <c r="N11" s="380">
        <f>D11*E11*M11</f>
        <v>0.14197824000000003</v>
      </c>
      <c r="O11" s="381"/>
    </row>
    <row r="12" spans="1:15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08" t="s">
        <v>18</v>
      </c>
      <c r="N12" s="109">
        <f>SUM(N11:N11)</f>
        <v>0.14197824000000003</v>
      </c>
      <c r="O12" s="62"/>
    </row>
    <row r="13" spans="1:15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4"/>
      <c r="K14" s="24"/>
      <c r="L14" s="24"/>
      <c r="M14" s="24"/>
      <c r="N14" s="24"/>
      <c r="O14" s="62"/>
    </row>
    <row r="15" spans="1:15" ht="29.4" customHeight="1" x14ac:dyDescent="0.3">
      <c r="A15" s="340">
        <v>10</v>
      </c>
      <c r="B15" s="340" t="s">
        <v>39</v>
      </c>
      <c r="C15" s="340" t="s">
        <v>134</v>
      </c>
      <c r="D15" s="345">
        <v>1.3</v>
      </c>
      <c r="E15" s="340" t="s">
        <v>32</v>
      </c>
      <c r="F15" s="237">
        <v>1</v>
      </c>
      <c r="G15" s="339" t="s">
        <v>295</v>
      </c>
      <c r="H15" s="339">
        <v>0.5</v>
      </c>
      <c r="I15" s="347">
        <f>IF(H15="",D15*F15,D15*F15*H15)</f>
        <v>0.65</v>
      </c>
      <c r="J15" s="389"/>
      <c r="K15" s="389"/>
      <c r="L15" s="389"/>
      <c r="M15" s="389"/>
      <c r="N15" s="389"/>
      <c r="O15" s="390"/>
    </row>
    <row r="16" spans="1:15" x14ac:dyDescent="0.3">
      <c r="A16" s="398">
        <v>20</v>
      </c>
      <c r="B16" s="398" t="s">
        <v>159</v>
      </c>
      <c r="C16" s="398" t="s">
        <v>267</v>
      </c>
      <c r="D16" s="399">
        <v>0.04</v>
      </c>
      <c r="E16" s="398" t="s">
        <v>161</v>
      </c>
      <c r="F16" s="398">
        <v>0.11</v>
      </c>
      <c r="G16" s="398" t="s">
        <v>268</v>
      </c>
      <c r="H16" s="398">
        <v>3</v>
      </c>
      <c r="I16" s="347">
        <f>IF(H16="",D16*F16,D16*F16*H16)</f>
        <v>1.32E-2</v>
      </c>
      <c r="J16" s="353"/>
      <c r="K16" s="353"/>
      <c r="L16" s="353"/>
      <c r="M16" s="353"/>
      <c r="N16" s="353"/>
      <c r="O16" s="358"/>
    </row>
    <row r="17" spans="1:15" x14ac:dyDescent="0.3">
      <c r="A17" s="400">
        <v>30</v>
      </c>
      <c r="B17" s="400" t="s">
        <v>269</v>
      </c>
      <c r="C17" s="400" t="s">
        <v>270</v>
      </c>
      <c r="D17" s="401">
        <v>0.35</v>
      </c>
      <c r="E17" s="400" t="s">
        <v>271</v>
      </c>
      <c r="F17" s="400">
        <v>1</v>
      </c>
      <c r="G17" s="400"/>
      <c r="H17" s="400"/>
      <c r="I17" s="401">
        <f>D17*F17</f>
        <v>0.35</v>
      </c>
      <c r="J17" s="353"/>
      <c r="K17" s="353"/>
      <c r="L17" s="353"/>
      <c r="M17" s="353"/>
      <c r="N17" s="353"/>
      <c r="O17" s="358"/>
    </row>
    <row r="18" spans="1:15" x14ac:dyDescent="0.3">
      <c r="A18" s="67"/>
      <c r="B18" s="24"/>
      <c r="C18" s="24"/>
      <c r="D18" s="24"/>
      <c r="E18" s="24"/>
      <c r="F18" s="24"/>
      <c r="G18" s="24"/>
      <c r="H18" s="111" t="s">
        <v>18</v>
      </c>
      <c r="I18" s="109">
        <f>SUM(I15:I17)</f>
        <v>1.0131999999999999</v>
      </c>
      <c r="J18" s="24"/>
      <c r="K18" s="24"/>
      <c r="L18" s="24"/>
      <c r="M18" s="24"/>
      <c r="N18" s="24"/>
      <c r="O18" s="62"/>
    </row>
    <row r="19" spans="1:15" ht="15" thickBot="1" x14ac:dyDescent="0.35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1"/>
    </row>
  </sheetData>
  <hyperlinks>
    <hyperlink ref="E3" location="dSU_02005" display="Drawing"/>
    <hyperlink ref="G2" location="SU_A0200_BOM" display="Back to BOM"/>
    <hyperlink ref="B4" location="BR_A0001" display="BR_A0001"/>
  </hyperlinks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304</v>
      </c>
      <c r="B1" s="287" t="s">
        <v>223</v>
      </c>
    </row>
  </sheetData>
  <hyperlinks>
    <hyperlink ref="B1" location="SU_04006" display="SU_04006"/>
  </hyperlinks>
  <pageMargins left="0.7" right="0.7" top="0.75" bottom="0.75" header="0.3" footer="0.3"/>
  <pageSetup paperSize="9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17"/>
  <sheetViews>
    <sheetView zoomScale="90" zoomScaleNormal="90" workbookViewId="0">
      <selection activeCell="B6" sqref="B6"/>
    </sheetView>
  </sheetViews>
  <sheetFormatPr baseColWidth="10" defaultColWidth="11.44140625" defaultRowHeight="14.4" x14ac:dyDescent="0.3"/>
  <cols>
    <col min="1" max="1" width="11.44140625" style="155"/>
    <col min="2" max="2" width="28.6640625" style="155" customWidth="1"/>
    <col min="3" max="3" width="24.33203125" style="155" customWidth="1"/>
    <col min="4" max="8" width="11.44140625" style="155"/>
    <col min="9" max="9" width="15.33203125" style="155" customWidth="1"/>
    <col min="10" max="16" width="11.44140625" style="155"/>
    <col min="17" max="17" width="12.88671875" style="155" bestFit="1" customWidth="1"/>
    <col min="18" max="16384" width="11.44140625" style="155"/>
  </cols>
  <sheetData>
    <row r="1" spans="1:17" x14ac:dyDescent="0.3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7" x14ac:dyDescent="0.3">
      <c r="A2" s="192" t="s">
        <v>0</v>
      </c>
      <c r="B2" s="157" t="s">
        <v>37</v>
      </c>
      <c r="C2" s="158"/>
      <c r="D2" s="158"/>
      <c r="E2" s="158"/>
      <c r="F2" s="158"/>
      <c r="G2" s="88" t="s">
        <v>126</v>
      </c>
      <c r="H2" s="158"/>
      <c r="I2" s="158"/>
      <c r="J2" s="193" t="s">
        <v>1</v>
      </c>
      <c r="K2" s="159">
        <v>81</v>
      </c>
      <c r="L2" s="158"/>
      <c r="M2" s="192" t="s">
        <v>16</v>
      </c>
      <c r="N2" s="74">
        <f>N12+I16</f>
        <v>0.47719727680000001</v>
      </c>
      <c r="O2" s="160"/>
    </row>
    <row r="3" spans="1:17" x14ac:dyDescent="0.3">
      <c r="A3" s="192" t="s">
        <v>3</v>
      </c>
      <c r="B3" s="157" t="str">
        <f>'SU A0400'!B3</f>
        <v>Suspension &amp; Shocks</v>
      </c>
      <c r="C3" s="158"/>
      <c r="D3" s="192" t="s">
        <v>6</v>
      </c>
      <c r="E3" s="287" t="s">
        <v>86</v>
      </c>
      <c r="F3" s="158"/>
      <c r="G3" s="158"/>
      <c r="H3" s="158"/>
      <c r="I3" s="158"/>
      <c r="J3" s="158"/>
      <c r="K3" s="158"/>
      <c r="L3" s="158"/>
      <c r="M3" s="192" t="s">
        <v>4</v>
      </c>
      <c r="N3" s="82">
        <v>4</v>
      </c>
      <c r="O3" s="160"/>
    </row>
    <row r="4" spans="1:17" x14ac:dyDescent="0.3">
      <c r="A4" s="192" t="s">
        <v>5</v>
      </c>
      <c r="B4" s="88" t="s">
        <v>213</v>
      </c>
      <c r="C4" s="158"/>
      <c r="D4" s="192" t="s">
        <v>8</v>
      </c>
      <c r="E4" s="158"/>
      <c r="F4" s="158"/>
      <c r="G4" s="158"/>
      <c r="H4" s="158"/>
      <c r="I4" s="158"/>
      <c r="J4" s="194" t="s">
        <v>6</v>
      </c>
      <c r="K4" s="158"/>
      <c r="L4" s="158"/>
      <c r="M4" s="158"/>
      <c r="N4" s="158"/>
      <c r="O4" s="160"/>
    </row>
    <row r="5" spans="1:17" x14ac:dyDescent="0.3">
      <c r="A5" s="192" t="s">
        <v>15</v>
      </c>
      <c r="B5" s="165" t="s">
        <v>135</v>
      </c>
      <c r="C5" s="158"/>
      <c r="D5" s="192" t="s">
        <v>12</v>
      </c>
      <c r="E5" s="158"/>
      <c r="F5" s="158"/>
      <c r="G5" s="158"/>
      <c r="H5" s="158"/>
      <c r="I5" s="158"/>
      <c r="J5" s="194" t="s">
        <v>8</v>
      </c>
      <c r="K5" s="158"/>
      <c r="L5" s="158"/>
      <c r="M5" s="192" t="s">
        <v>9</v>
      </c>
      <c r="N5" s="74">
        <f>N3*N2</f>
        <v>1.9087891072000001</v>
      </c>
      <c r="O5" s="160"/>
    </row>
    <row r="6" spans="1:17" x14ac:dyDescent="0.3">
      <c r="A6" s="192" t="s">
        <v>7</v>
      </c>
      <c r="B6" s="195" t="s">
        <v>323</v>
      </c>
      <c r="C6" s="158"/>
      <c r="D6" s="158"/>
      <c r="E6" s="158"/>
      <c r="F6" s="158"/>
      <c r="G6" s="158"/>
      <c r="H6" s="158"/>
      <c r="I6" s="158"/>
      <c r="J6" s="194" t="s">
        <v>12</v>
      </c>
      <c r="K6" s="158"/>
      <c r="L6" s="158"/>
      <c r="M6" s="158"/>
      <c r="N6" s="158"/>
      <c r="O6" s="160"/>
    </row>
    <row r="7" spans="1:17" x14ac:dyDescent="0.3">
      <c r="A7" s="192" t="s">
        <v>10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60"/>
    </row>
    <row r="8" spans="1:17" x14ac:dyDescent="0.3">
      <c r="A8" s="192" t="s">
        <v>13</v>
      </c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60"/>
    </row>
    <row r="9" spans="1:17" x14ac:dyDescent="0.3">
      <c r="A9" s="196"/>
      <c r="B9" s="197"/>
      <c r="C9" s="197"/>
      <c r="D9" s="197"/>
      <c r="E9" s="197"/>
      <c r="F9" s="158"/>
      <c r="G9" s="158"/>
      <c r="H9" s="158"/>
      <c r="I9" s="158"/>
      <c r="J9" s="158"/>
      <c r="K9" s="158"/>
      <c r="L9" s="158"/>
      <c r="M9" s="158"/>
      <c r="N9" s="158"/>
      <c r="O9" s="160"/>
    </row>
    <row r="10" spans="1:17" x14ac:dyDescent="0.3">
      <c r="A10" s="366" t="s">
        <v>14</v>
      </c>
      <c r="B10" s="367" t="s">
        <v>19</v>
      </c>
      <c r="C10" s="367" t="s">
        <v>20</v>
      </c>
      <c r="D10" s="367" t="s">
        <v>21</v>
      </c>
      <c r="E10" s="367" t="s">
        <v>22</v>
      </c>
      <c r="F10" s="368" t="s">
        <v>23</v>
      </c>
      <c r="G10" s="368" t="s">
        <v>24</v>
      </c>
      <c r="H10" s="368" t="s">
        <v>25</v>
      </c>
      <c r="I10" s="368" t="s">
        <v>26</v>
      </c>
      <c r="J10" s="368" t="s">
        <v>27</v>
      </c>
      <c r="K10" s="368" t="s">
        <v>28</v>
      </c>
      <c r="L10" s="368" t="s">
        <v>29</v>
      </c>
      <c r="M10" s="368" t="s">
        <v>17</v>
      </c>
      <c r="N10" s="368" t="s">
        <v>18</v>
      </c>
      <c r="O10" s="358"/>
    </row>
    <row r="11" spans="1:17" ht="28.8" x14ac:dyDescent="0.3">
      <c r="A11" s="404">
        <v>10</v>
      </c>
      <c r="B11" s="405" t="s">
        <v>273</v>
      </c>
      <c r="C11" s="404" t="s">
        <v>274</v>
      </c>
      <c r="D11" s="406">
        <v>4.2</v>
      </c>
      <c r="E11" s="407">
        <v>12</v>
      </c>
      <c r="F11" s="404" t="s">
        <v>30</v>
      </c>
      <c r="G11" s="404"/>
      <c r="H11" s="408"/>
      <c r="I11" s="409" t="s">
        <v>275</v>
      </c>
      <c r="J11" s="410">
        <f>3.14*0.006^2</f>
        <v>1.1304E-4</v>
      </c>
      <c r="K11" s="411">
        <v>0.06</v>
      </c>
      <c r="L11" s="416">
        <v>2710</v>
      </c>
      <c r="M11" s="412">
        <v>1</v>
      </c>
      <c r="N11" s="347">
        <f>IF(J11="",D11*M11,D11*J11*K11*L11*M11)</f>
        <v>7.7197276800000006E-2</v>
      </c>
      <c r="O11" s="417"/>
    </row>
    <row r="12" spans="1:17" x14ac:dyDescent="0.3">
      <c r="A12" s="179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205" t="s">
        <v>18</v>
      </c>
      <c r="N12" s="206">
        <f>SUM(N11:N11)</f>
        <v>7.7197276800000006E-2</v>
      </c>
      <c r="O12" s="160"/>
    </row>
    <row r="13" spans="1:17" x14ac:dyDescent="0.3">
      <c r="A13" s="164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60"/>
      <c r="Q13" s="207"/>
    </row>
    <row r="14" spans="1:17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4"/>
      <c r="K14" s="24"/>
      <c r="L14" s="24"/>
      <c r="M14" s="24"/>
      <c r="N14" s="24"/>
      <c r="O14" s="62"/>
    </row>
    <row r="15" spans="1:17" x14ac:dyDescent="0.3">
      <c r="A15" s="343">
        <v>10</v>
      </c>
      <c r="B15" s="340" t="s">
        <v>272</v>
      </c>
      <c r="C15" s="413"/>
      <c r="D15" s="414">
        <v>0.4</v>
      </c>
      <c r="E15" s="343" t="s">
        <v>40</v>
      </c>
      <c r="F15" s="343">
        <v>1</v>
      </c>
      <c r="G15" s="343"/>
      <c r="H15" s="343"/>
      <c r="I15" s="415">
        <f>IF(H15="",D15*F15,D15*F15*H15)</f>
        <v>0.4</v>
      </c>
      <c r="J15" s="389"/>
      <c r="K15" s="389"/>
      <c r="L15" s="389"/>
      <c r="M15" s="389"/>
      <c r="N15" s="389"/>
      <c r="O15" s="390"/>
    </row>
    <row r="16" spans="1:17" x14ac:dyDescent="0.3">
      <c r="A16" s="179"/>
      <c r="B16" s="180"/>
      <c r="C16" s="180"/>
      <c r="D16" s="180"/>
      <c r="E16" s="180"/>
      <c r="F16" s="180"/>
      <c r="G16" s="180"/>
      <c r="H16" s="214" t="s">
        <v>18</v>
      </c>
      <c r="I16" s="206">
        <f>SUM(I15:I15)</f>
        <v>0.4</v>
      </c>
      <c r="J16" s="180"/>
      <c r="K16" s="180"/>
      <c r="L16" s="180"/>
      <c r="M16" s="180"/>
      <c r="N16" s="180"/>
      <c r="O16" s="160"/>
    </row>
    <row r="17" spans="1:15" ht="15" thickBot="1" x14ac:dyDescent="0.35">
      <c r="A17" s="189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1"/>
    </row>
  </sheetData>
  <hyperlinks>
    <hyperlink ref="B4" location="BR_A0001" display="BR_A0001"/>
    <hyperlink ref="E3" location="dSU_04007" display="Drawing"/>
    <hyperlink ref="G2" location="SU_A0400_BOM" display="Back to BOM"/>
  </hyperlinks>
  <pageMargins left="0.7" right="0.7" top="0.75" bottom="0.75" header="0.3" footer="0.3"/>
  <pageSetup paperSize="9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zoomScale="106" zoomScaleNormal="106" workbookViewId="0"/>
  </sheetViews>
  <sheetFormatPr baseColWidth="10" defaultColWidth="11.44140625" defaultRowHeight="14.4" x14ac:dyDescent="0.3"/>
  <cols>
    <col min="1" max="1" width="20" style="155" customWidth="1"/>
    <col min="2" max="16384" width="11.44140625" style="155"/>
  </cols>
  <sheetData>
    <row r="1" spans="1:2" x14ac:dyDescent="0.3">
      <c r="A1" s="155" t="s">
        <v>170</v>
      </c>
      <c r="B1" s="287" t="s">
        <v>323</v>
      </c>
    </row>
  </sheetData>
  <hyperlinks>
    <hyperlink ref="B1" location="SU_04007" display="SU_04006"/>
  </hyperlinks>
  <pageMargins left="0.7" right="0.7" top="0.75" bottom="0.75" header="0.3" footer="0.3"/>
  <pageSetup paperSize="9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tabSelected="1" workbookViewId="0">
      <selection activeCell="B7" sqref="B7"/>
    </sheetView>
  </sheetViews>
  <sheetFormatPr baseColWidth="10" defaultRowHeight="14.4" x14ac:dyDescent="0.3"/>
  <sheetData>
    <row r="1" spans="1:15" x14ac:dyDescent="0.3">
      <c r="A1" s="431"/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3"/>
    </row>
    <row r="2" spans="1:15" x14ac:dyDescent="0.3">
      <c r="A2" s="434" t="s">
        <v>0</v>
      </c>
      <c r="B2" s="16" t="s">
        <v>37</v>
      </c>
      <c r="C2" s="418"/>
      <c r="D2" s="418"/>
      <c r="E2" s="418"/>
      <c r="F2" s="88" t="s">
        <v>126</v>
      </c>
      <c r="G2" s="418"/>
      <c r="H2" s="418"/>
      <c r="I2" s="418"/>
      <c r="J2" s="436" t="s">
        <v>1</v>
      </c>
      <c r="K2" s="419">
        <v>81</v>
      </c>
      <c r="L2" s="418"/>
      <c r="M2" s="420" t="s">
        <v>16</v>
      </c>
      <c r="N2" s="421">
        <f>N13+I21</f>
        <v>1.3808240000000001</v>
      </c>
      <c r="O2" s="437"/>
    </row>
    <row r="3" spans="1:15" x14ac:dyDescent="0.3">
      <c r="A3" s="434" t="s">
        <v>3</v>
      </c>
      <c r="B3" s="16" t="str">
        <f>'SU A0200'!B3</f>
        <v>Suspension &amp; Shocks</v>
      </c>
      <c r="C3" s="419"/>
      <c r="D3" s="351" t="s">
        <v>6</v>
      </c>
      <c r="E3" s="287" t="s">
        <v>86</v>
      </c>
      <c r="F3" s="418"/>
      <c r="G3" s="418"/>
      <c r="H3" s="418"/>
      <c r="I3" s="418"/>
      <c r="J3" s="418"/>
      <c r="K3" s="418"/>
      <c r="L3" s="418"/>
      <c r="M3" s="420" t="s">
        <v>4</v>
      </c>
      <c r="N3" s="422">
        <v>2</v>
      </c>
      <c r="O3" s="437"/>
    </row>
    <row r="4" spans="1:15" x14ac:dyDescent="0.3">
      <c r="A4" s="434" t="s">
        <v>5</v>
      </c>
      <c r="B4" s="88" t="s">
        <v>197</v>
      </c>
      <c r="C4" s="418"/>
      <c r="D4" s="351" t="s">
        <v>8</v>
      </c>
      <c r="E4" s="353"/>
      <c r="F4" s="418"/>
      <c r="G4" s="418"/>
      <c r="H4" s="418"/>
      <c r="I4" s="418"/>
      <c r="J4" s="436" t="s">
        <v>6</v>
      </c>
      <c r="K4" s="418"/>
      <c r="L4" s="418"/>
      <c r="M4" s="418"/>
      <c r="N4" s="418"/>
      <c r="O4" s="437"/>
    </row>
    <row r="5" spans="1:15" x14ac:dyDescent="0.3">
      <c r="A5" s="434" t="s">
        <v>15</v>
      </c>
      <c r="B5" s="439" t="s">
        <v>289</v>
      </c>
      <c r="C5" s="418"/>
      <c r="D5" s="351" t="s">
        <v>12</v>
      </c>
      <c r="E5" s="353"/>
      <c r="F5" s="418"/>
      <c r="G5" s="418"/>
      <c r="H5" s="418"/>
      <c r="I5" s="418"/>
      <c r="J5" s="436" t="s">
        <v>8</v>
      </c>
      <c r="K5" s="418"/>
      <c r="L5" s="418"/>
      <c r="M5" s="420" t="s">
        <v>9</v>
      </c>
      <c r="N5" s="421">
        <f>N3*N2</f>
        <v>2.7616480000000001</v>
      </c>
      <c r="O5" s="437"/>
    </row>
    <row r="6" spans="1:15" x14ac:dyDescent="0.3">
      <c r="A6" s="434" t="s">
        <v>7</v>
      </c>
      <c r="B6" s="440" t="s">
        <v>324</v>
      </c>
      <c r="C6" s="418"/>
      <c r="D6" s="418"/>
      <c r="E6" s="418"/>
      <c r="F6" s="418"/>
      <c r="G6" s="418"/>
      <c r="H6" s="418"/>
      <c r="I6" s="418"/>
      <c r="J6" s="436" t="s">
        <v>12</v>
      </c>
      <c r="K6" s="418"/>
      <c r="L6" s="418"/>
      <c r="M6" s="418"/>
      <c r="N6" s="418"/>
      <c r="O6" s="437"/>
    </row>
    <row r="7" spans="1:15" x14ac:dyDescent="0.3">
      <c r="A7" s="434" t="s">
        <v>10</v>
      </c>
      <c r="B7" s="435" t="s">
        <v>11</v>
      </c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  <c r="N7" s="418"/>
      <c r="O7" s="437"/>
    </row>
    <row r="8" spans="1:15" x14ac:dyDescent="0.3">
      <c r="A8" s="434" t="s">
        <v>13</v>
      </c>
      <c r="B8" s="418" t="s">
        <v>277</v>
      </c>
      <c r="C8" s="418"/>
      <c r="D8" s="418"/>
      <c r="E8" s="418"/>
      <c r="F8" s="418"/>
      <c r="G8" s="418"/>
      <c r="H8" s="418"/>
      <c r="I8" s="418"/>
      <c r="J8" s="418"/>
      <c r="K8" s="418"/>
      <c r="L8" s="418"/>
      <c r="M8" s="418"/>
      <c r="N8" s="418"/>
      <c r="O8" s="437"/>
    </row>
    <row r="9" spans="1:15" x14ac:dyDescent="0.3">
      <c r="A9" s="423"/>
      <c r="B9" s="418"/>
      <c r="C9" s="418"/>
      <c r="D9" s="418"/>
      <c r="E9" s="418"/>
      <c r="F9" s="418"/>
      <c r="G9" s="418"/>
      <c r="H9" s="418"/>
      <c r="I9" s="418"/>
      <c r="J9" s="418"/>
      <c r="K9" s="418"/>
      <c r="L9" s="418"/>
      <c r="M9" s="418"/>
      <c r="N9" s="418"/>
      <c r="O9" s="437"/>
    </row>
    <row r="10" spans="1:15" x14ac:dyDescent="0.3">
      <c r="A10" s="424" t="s">
        <v>14</v>
      </c>
      <c r="B10" s="425" t="s">
        <v>19</v>
      </c>
      <c r="C10" s="425" t="s">
        <v>20</v>
      </c>
      <c r="D10" s="425" t="s">
        <v>21</v>
      </c>
      <c r="E10" s="425" t="s">
        <v>22</v>
      </c>
      <c r="F10" s="425" t="s">
        <v>23</v>
      </c>
      <c r="G10" s="425" t="s">
        <v>24</v>
      </c>
      <c r="H10" s="425" t="s">
        <v>25</v>
      </c>
      <c r="I10" s="425" t="s">
        <v>26</v>
      </c>
      <c r="J10" s="425" t="s">
        <v>27</v>
      </c>
      <c r="K10" s="425" t="s">
        <v>28</v>
      </c>
      <c r="L10" s="425" t="s">
        <v>29</v>
      </c>
      <c r="M10" s="425" t="s">
        <v>17</v>
      </c>
      <c r="N10" s="425" t="s">
        <v>18</v>
      </c>
      <c r="O10" s="437"/>
    </row>
    <row r="11" spans="1:15" ht="43.2" x14ac:dyDescent="0.3">
      <c r="A11" s="441">
        <v>10</v>
      </c>
      <c r="B11" s="442" t="s">
        <v>278</v>
      </c>
      <c r="C11" s="443" t="s">
        <v>279</v>
      </c>
      <c r="D11" s="444">
        <v>2.25</v>
      </c>
      <c r="E11" s="445">
        <f>J11*K11*L11</f>
        <v>4.5215999999999999E-2</v>
      </c>
      <c r="F11" s="446" t="s">
        <v>212</v>
      </c>
      <c r="G11" s="446"/>
      <c r="H11" s="447"/>
      <c r="I11" s="448" t="s">
        <v>309</v>
      </c>
      <c r="J11" s="449">
        <f>0.048*0.024</f>
        <v>1.152E-3</v>
      </c>
      <c r="K11" s="449">
        <v>5.0000000000000001E-3</v>
      </c>
      <c r="L11" s="450">
        <v>7850</v>
      </c>
      <c r="M11" s="450">
        <v>1</v>
      </c>
      <c r="N11" s="451">
        <f>IF(J11="",D11*M11,D11*J11*K11*L11*M11)</f>
        <v>0.10173600000000001</v>
      </c>
      <c r="O11" s="437"/>
    </row>
    <row r="12" spans="1:15" x14ac:dyDescent="0.3">
      <c r="A12" s="441">
        <v>20</v>
      </c>
      <c r="B12" s="442" t="s">
        <v>281</v>
      </c>
      <c r="C12" s="443"/>
      <c r="D12" s="426">
        <v>10</v>
      </c>
      <c r="E12" s="427">
        <f>2*J11</f>
        <v>2.3040000000000001E-3</v>
      </c>
      <c r="F12" s="452" t="s">
        <v>276</v>
      </c>
      <c r="G12" s="446"/>
      <c r="H12" s="447"/>
      <c r="I12" s="448"/>
      <c r="J12" s="449"/>
      <c r="K12" s="447"/>
      <c r="L12" s="450"/>
      <c r="M12" s="450"/>
      <c r="N12" s="451">
        <f>E12*D12</f>
        <v>2.3040000000000001E-2</v>
      </c>
      <c r="O12" s="437"/>
    </row>
    <row r="13" spans="1:15" x14ac:dyDescent="0.3">
      <c r="A13" s="428"/>
      <c r="B13" s="429"/>
      <c r="C13" s="429"/>
      <c r="D13" s="429"/>
      <c r="E13" s="429"/>
      <c r="F13" s="429"/>
      <c r="G13" s="429"/>
      <c r="H13" s="429"/>
      <c r="I13" s="429"/>
      <c r="J13" s="429"/>
      <c r="K13" s="429"/>
      <c r="L13" s="429"/>
      <c r="M13" s="430" t="s">
        <v>18</v>
      </c>
      <c r="N13" s="300">
        <f>SUM(N11:N12)</f>
        <v>0.12477600000000001</v>
      </c>
      <c r="O13" s="437"/>
    </row>
    <row r="14" spans="1:15" x14ac:dyDescent="0.3">
      <c r="A14" s="423"/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8"/>
      <c r="M14" s="418"/>
      <c r="N14" s="418"/>
      <c r="O14" s="437"/>
    </row>
    <row r="15" spans="1:15" x14ac:dyDescent="0.3">
      <c r="A15" s="424" t="s">
        <v>14</v>
      </c>
      <c r="B15" s="425" t="s">
        <v>31</v>
      </c>
      <c r="C15" s="425" t="s">
        <v>20</v>
      </c>
      <c r="D15" s="425" t="s">
        <v>21</v>
      </c>
      <c r="E15" s="425" t="s">
        <v>32</v>
      </c>
      <c r="F15" s="425" t="s">
        <v>17</v>
      </c>
      <c r="G15" s="425" t="s">
        <v>33</v>
      </c>
      <c r="H15" s="425" t="s">
        <v>34</v>
      </c>
      <c r="I15" s="425" t="s">
        <v>18</v>
      </c>
      <c r="J15" s="429"/>
      <c r="K15" s="429"/>
      <c r="L15" s="429"/>
      <c r="M15" s="429"/>
      <c r="N15" s="429"/>
      <c r="O15" s="437"/>
    </row>
    <row r="16" spans="1:15" ht="30" customHeight="1" x14ac:dyDescent="0.3">
      <c r="A16" s="453">
        <v>10</v>
      </c>
      <c r="B16" s="454" t="s">
        <v>39</v>
      </c>
      <c r="C16" s="455" t="s">
        <v>282</v>
      </c>
      <c r="D16" s="456">
        <v>1.3</v>
      </c>
      <c r="E16" s="454" t="s">
        <v>32</v>
      </c>
      <c r="F16" s="311">
        <v>1</v>
      </c>
      <c r="G16" s="455" t="s">
        <v>294</v>
      </c>
      <c r="H16" s="457">
        <v>0.5</v>
      </c>
      <c r="I16" s="458">
        <f>H16*D16</f>
        <v>0.65</v>
      </c>
      <c r="J16" s="311"/>
      <c r="K16" s="418"/>
      <c r="L16" s="418"/>
      <c r="M16" s="418"/>
      <c r="N16" s="418"/>
      <c r="O16" s="437"/>
    </row>
    <row r="17" spans="1:15" x14ac:dyDescent="0.3">
      <c r="A17" s="459">
        <v>20</v>
      </c>
      <c r="B17" s="460" t="s">
        <v>283</v>
      </c>
      <c r="C17" s="308"/>
      <c r="D17" s="456">
        <v>0.01</v>
      </c>
      <c r="E17" s="460" t="s">
        <v>40</v>
      </c>
      <c r="F17" s="461">
        <v>15.5</v>
      </c>
      <c r="G17" s="454"/>
      <c r="H17" s="457"/>
      <c r="I17" s="458">
        <f>IF(H17="",D17*F17,D17*F17*H17)</f>
        <v>0.155</v>
      </c>
      <c r="J17" s="311"/>
      <c r="K17" s="418"/>
      <c r="L17" s="418"/>
      <c r="M17" s="418"/>
      <c r="N17" s="418"/>
      <c r="O17" s="437"/>
    </row>
    <row r="18" spans="1:15" ht="31.2" customHeight="1" x14ac:dyDescent="0.3">
      <c r="A18" s="453">
        <v>30</v>
      </c>
      <c r="B18" s="462" t="s">
        <v>39</v>
      </c>
      <c r="C18" s="463"/>
      <c r="D18" s="464">
        <v>0.65</v>
      </c>
      <c r="E18" s="463" t="s">
        <v>32</v>
      </c>
      <c r="F18" s="463">
        <v>1</v>
      </c>
      <c r="G18" s="455" t="s">
        <v>294</v>
      </c>
      <c r="H18" s="463">
        <v>0.5</v>
      </c>
      <c r="I18" s="465">
        <f t="shared" ref="I18:I19" si="0">IF(H18="",D18*F18,D18*F18*H18)</f>
        <v>0.32500000000000001</v>
      </c>
      <c r="J18" s="311"/>
      <c r="K18" s="418"/>
      <c r="L18" s="418"/>
      <c r="M18" s="418"/>
      <c r="N18" s="418"/>
      <c r="O18" s="437"/>
    </row>
    <row r="19" spans="1:15" x14ac:dyDescent="0.3">
      <c r="A19" s="459">
        <v>40</v>
      </c>
      <c r="B19" s="463" t="s">
        <v>159</v>
      </c>
      <c r="C19" s="463" t="s">
        <v>293</v>
      </c>
      <c r="D19" s="464">
        <v>0.04</v>
      </c>
      <c r="E19" s="463" t="s">
        <v>161</v>
      </c>
      <c r="F19" s="463">
        <v>1</v>
      </c>
      <c r="G19" s="463" t="s">
        <v>268</v>
      </c>
      <c r="H19" s="463">
        <v>3</v>
      </c>
      <c r="I19" s="465">
        <f t="shared" si="0"/>
        <v>0.12</v>
      </c>
      <c r="J19" s="314"/>
      <c r="K19" s="429"/>
      <c r="L19" s="429"/>
      <c r="M19" s="429"/>
      <c r="N19" s="429"/>
      <c r="O19" s="437"/>
    </row>
    <row r="20" spans="1:15" ht="28.8" x14ac:dyDescent="0.3">
      <c r="A20" s="453">
        <v>50</v>
      </c>
      <c r="B20" s="454" t="s">
        <v>233</v>
      </c>
      <c r="C20" s="308" t="s">
        <v>284</v>
      </c>
      <c r="D20" s="315">
        <v>5.25</v>
      </c>
      <c r="E20" s="454" t="s">
        <v>276</v>
      </c>
      <c r="F20" s="466">
        <f>J11</f>
        <v>1.152E-3</v>
      </c>
      <c r="G20" s="454"/>
      <c r="H20" s="457"/>
      <c r="I20" s="465">
        <f>F20*D20</f>
        <v>6.0480000000000004E-3</v>
      </c>
      <c r="J20" s="467"/>
      <c r="K20" s="468"/>
      <c r="L20" s="468"/>
      <c r="M20" s="468"/>
      <c r="N20" s="468"/>
      <c r="O20" s="437"/>
    </row>
    <row r="21" spans="1:15" x14ac:dyDescent="0.3">
      <c r="A21" s="428"/>
      <c r="B21" s="429"/>
      <c r="C21" s="429"/>
      <c r="D21" s="429"/>
      <c r="E21" s="429"/>
      <c r="F21" s="429"/>
      <c r="G21" s="429"/>
      <c r="H21" s="430" t="s">
        <v>18</v>
      </c>
      <c r="I21" s="302">
        <f>SUM(I16:I20)</f>
        <v>1.2560480000000001</v>
      </c>
      <c r="J21" s="468"/>
      <c r="K21" s="468"/>
      <c r="L21" s="468"/>
      <c r="M21" s="468"/>
      <c r="N21" s="468"/>
      <c r="O21" s="437"/>
    </row>
    <row r="22" spans="1:15" ht="15" thickBot="1" x14ac:dyDescent="0.35">
      <c r="A22" s="469"/>
      <c r="B22" s="470"/>
      <c r="C22" s="470"/>
      <c r="D22" s="470"/>
      <c r="E22" s="470"/>
      <c r="F22" s="470"/>
      <c r="G22" s="470"/>
      <c r="H22" s="470"/>
      <c r="I22" s="470"/>
      <c r="J22" s="470"/>
      <c r="K22" s="470"/>
      <c r="L22" s="470"/>
      <c r="M22" s="470"/>
      <c r="N22" s="470"/>
      <c r="O22" s="471"/>
    </row>
  </sheetData>
  <hyperlinks>
    <hyperlink ref="F2" location="SU_A0300_BOM" display="Back to BOM"/>
    <hyperlink ref="E3" location="dSU_03008" display="Drawing"/>
    <hyperlink ref="B4" location="SU_A0300" display="Upper Back A-arm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view="pageBreakPreview" zoomScale="60" zoomScaleNormal="85" workbookViewId="0">
      <selection activeCell="G2" sqref="G2"/>
    </sheetView>
  </sheetViews>
  <sheetFormatPr baseColWidth="10" defaultRowHeight="14.4" x14ac:dyDescent="0.3"/>
  <cols>
    <col min="2" max="2" width="19.44140625" customWidth="1"/>
    <col min="3" max="3" width="33" customWidth="1"/>
    <col min="5" max="5" width="14.77734375" customWidth="1"/>
  </cols>
  <sheetData>
    <row r="1" spans="1:15" x14ac:dyDescent="0.3">
      <c r="A1" s="348"/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50"/>
    </row>
    <row r="2" spans="1:15" x14ac:dyDescent="0.3">
      <c r="A2" s="351" t="s">
        <v>0</v>
      </c>
      <c r="B2" s="352" t="s">
        <v>37</v>
      </c>
      <c r="C2" s="353"/>
      <c r="D2" s="353"/>
      <c r="E2" s="353"/>
      <c r="F2" s="353"/>
      <c r="G2" s="354" t="s">
        <v>126</v>
      </c>
      <c r="H2" s="353"/>
      <c r="I2" s="353"/>
      <c r="J2" s="355" t="s">
        <v>1</v>
      </c>
      <c r="K2" s="356">
        <v>81</v>
      </c>
      <c r="L2" s="353"/>
      <c r="M2" s="351" t="s">
        <v>16</v>
      </c>
      <c r="N2" s="357">
        <f>N12+I16</f>
        <v>8.8765790399999975</v>
      </c>
      <c r="O2" s="358"/>
    </row>
    <row r="3" spans="1:15" x14ac:dyDescent="0.3">
      <c r="A3" s="351" t="s">
        <v>3</v>
      </c>
      <c r="B3" s="352" t="str">
        <f>'SU A0100'!B3</f>
        <v>Suspension &amp; Shocks</v>
      </c>
      <c r="C3" s="353"/>
      <c r="D3" s="351" t="s">
        <v>6</v>
      </c>
      <c r="E3" s="359" t="s">
        <v>86</v>
      </c>
      <c r="F3" s="353"/>
      <c r="G3" s="353"/>
      <c r="H3" s="353"/>
      <c r="I3" s="353"/>
      <c r="J3" s="353"/>
      <c r="K3" s="353"/>
      <c r="L3" s="353"/>
      <c r="M3" s="351" t="s">
        <v>4</v>
      </c>
      <c r="N3" s="360">
        <v>1</v>
      </c>
      <c r="O3" s="358"/>
    </row>
    <row r="4" spans="1:15" x14ac:dyDescent="0.3">
      <c r="A4" s="351" t="s">
        <v>5</v>
      </c>
      <c r="B4" s="354" t="str">
        <f>'SU A0100'!B4</f>
        <v>Upper Front A-arm</v>
      </c>
      <c r="C4" s="353"/>
      <c r="D4" s="351" t="s">
        <v>8</v>
      </c>
      <c r="E4" s="353"/>
      <c r="F4" s="353"/>
      <c r="G4" s="353"/>
      <c r="H4" s="353"/>
      <c r="I4" s="353"/>
      <c r="J4" s="361" t="s">
        <v>6</v>
      </c>
      <c r="K4" s="353"/>
      <c r="L4" s="353"/>
      <c r="M4" s="353"/>
      <c r="N4" s="353"/>
      <c r="O4" s="358"/>
    </row>
    <row r="5" spans="1:15" x14ac:dyDescent="0.3">
      <c r="A5" s="351" t="s">
        <v>15</v>
      </c>
      <c r="B5" s="362" t="s">
        <v>154</v>
      </c>
      <c r="C5" s="353"/>
      <c r="D5" s="351" t="s">
        <v>12</v>
      </c>
      <c r="E5" s="353"/>
      <c r="F5" s="353"/>
      <c r="G5" s="353"/>
      <c r="H5" s="353"/>
      <c r="I5" s="353"/>
      <c r="J5" s="361" t="s">
        <v>8</v>
      </c>
      <c r="K5" s="353"/>
      <c r="L5" s="353"/>
      <c r="M5" s="351" t="s">
        <v>9</v>
      </c>
      <c r="N5" s="357">
        <f>N3*N2</f>
        <v>8.8765790399999975</v>
      </c>
      <c r="O5" s="358"/>
    </row>
    <row r="6" spans="1:15" x14ac:dyDescent="0.3">
      <c r="A6" s="351" t="s">
        <v>7</v>
      </c>
      <c r="B6" s="363" t="s">
        <v>175</v>
      </c>
      <c r="C6" s="353"/>
      <c r="D6" s="353"/>
      <c r="E6" s="353"/>
      <c r="F6" s="353"/>
      <c r="G6" s="353"/>
      <c r="H6" s="353"/>
      <c r="I6" s="353"/>
      <c r="J6" s="361" t="s">
        <v>12</v>
      </c>
      <c r="K6" s="353"/>
      <c r="L6" s="353"/>
      <c r="M6" s="353"/>
      <c r="N6" s="353"/>
      <c r="O6" s="358"/>
    </row>
    <row r="7" spans="1:15" x14ac:dyDescent="0.3">
      <c r="A7" s="351" t="s">
        <v>10</v>
      </c>
      <c r="B7" s="352" t="s">
        <v>11</v>
      </c>
      <c r="C7" s="353"/>
      <c r="D7" s="353"/>
      <c r="E7" s="353"/>
      <c r="F7" s="353"/>
      <c r="G7" s="353"/>
      <c r="H7" s="353"/>
      <c r="I7" s="353"/>
      <c r="J7" s="353"/>
      <c r="K7" s="353"/>
      <c r="L7" s="353"/>
      <c r="M7" s="353"/>
      <c r="N7" s="353"/>
      <c r="O7" s="358"/>
    </row>
    <row r="8" spans="1:15" x14ac:dyDescent="0.3">
      <c r="A8" s="351" t="s">
        <v>13</v>
      </c>
      <c r="B8" s="352"/>
      <c r="C8" s="353"/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8"/>
    </row>
    <row r="9" spans="1:15" x14ac:dyDescent="0.3">
      <c r="A9" s="364"/>
      <c r="B9" s="365"/>
      <c r="C9" s="365"/>
      <c r="D9" s="365"/>
      <c r="E9" s="365"/>
      <c r="F9" s="353"/>
      <c r="G9" s="353"/>
      <c r="H9" s="353"/>
      <c r="I9" s="353"/>
      <c r="J9" s="353"/>
      <c r="K9" s="353"/>
      <c r="L9" s="353"/>
      <c r="M9" s="353"/>
      <c r="N9" s="353"/>
      <c r="O9" s="358"/>
    </row>
    <row r="10" spans="1:15" x14ac:dyDescent="0.3">
      <c r="A10" s="366" t="s">
        <v>14</v>
      </c>
      <c r="B10" s="367" t="s">
        <v>19</v>
      </c>
      <c r="C10" s="367" t="s">
        <v>20</v>
      </c>
      <c r="D10" s="367" t="s">
        <v>21</v>
      </c>
      <c r="E10" s="367" t="s">
        <v>22</v>
      </c>
      <c r="F10" s="368" t="s">
        <v>23</v>
      </c>
      <c r="G10" s="368" t="s">
        <v>24</v>
      </c>
      <c r="H10" s="368" t="s">
        <v>25</v>
      </c>
      <c r="I10" s="368" t="s">
        <v>26</v>
      </c>
      <c r="J10" s="368" t="s">
        <v>27</v>
      </c>
      <c r="K10" s="368" t="s">
        <v>28</v>
      </c>
      <c r="L10" s="368" t="s">
        <v>29</v>
      </c>
      <c r="M10" s="368" t="s">
        <v>17</v>
      </c>
      <c r="N10" s="368" t="s">
        <v>18</v>
      </c>
      <c r="O10" s="358"/>
    </row>
    <row r="11" spans="1:15" x14ac:dyDescent="0.3">
      <c r="A11" s="369">
        <v>10</v>
      </c>
      <c r="B11" s="370" t="s">
        <v>188</v>
      </c>
      <c r="C11" s="371" t="s">
        <v>189</v>
      </c>
      <c r="D11" s="149">
        <f>200*E11*L11</f>
        <v>7.8902924799999985</v>
      </c>
      <c r="E11" s="372">
        <f>J11*K11</f>
        <v>2.4969279999999993E-5</v>
      </c>
      <c r="F11" s="373" t="s">
        <v>190</v>
      </c>
      <c r="G11" s="373"/>
      <c r="H11" s="374"/>
      <c r="I11" s="375" t="s">
        <v>164</v>
      </c>
      <c r="J11" s="376">
        <f>3.14*(0.008*0.008-0.006*0.006)</f>
        <v>8.7919999999999985E-5</v>
      </c>
      <c r="K11" s="377">
        <v>0.28399999999999997</v>
      </c>
      <c r="L11" s="378">
        <v>1580</v>
      </c>
      <c r="M11" s="379">
        <v>1</v>
      </c>
      <c r="N11" s="380">
        <f>D11*M11</f>
        <v>7.8902924799999985</v>
      </c>
      <c r="O11" s="381"/>
    </row>
    <row r="12" spans="1:15" x14ac:dyDescent="0.3">
      <c r="A12" s="382"/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4" t="s">
        <v>18</v>
      </c>
      <c r="N12" s="385">
        <f>SUM(N11:N11)</f>
        <v>7.8902924799999985</v>
      </c>
      <c r="O12" s="358"/>
    </row>
    <row r="13" spans="1:15" x14ac:dyDescent="0.3">
      <c r="A13" s="386"/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3"/>
      <c r="M13" s="353"/>
      <c r="N13" s="353"/>
      <c r="O13" s="358"/>
    </row>
    <row r="14" spans="1:15" x14ac:dyDescent="0.3">
      <c r="A14" s="387" t="s">
        <v>14</v>
      </c>
      <c r="B14" s="368" t="s">
        <v>31</v>
      </c>
      <c r="C14" s="368" t="s">
        <v>20</v>
      </c>
      <c r="D14" s="368" t="s">
        <v>21</v>
      </c>
      <c r="E14" s="368" t="s">
        <v>32</v>
      </c>
      <c r="F14" s="368" t="s">
        <v>17</v>
      </c>
      <c r="G14" s="368" t="s">
        <v>33</v>
      </c>
      <c r="H14" s="368" t="s">
        <v>34</v>
      </c>
      <c r="I14" s="368" t="s">
        <v>18</v>
      </c>
      <c r="J14" s="383"/>
      <c r="K14" s="383"/>
      <c r="L14" s="383"/>
      <c r="M14" s="383"/>
      <c r="N14" s="383"/>
      <c r="O14" s="358"/>
    </row>
    <row r="15" spans="1:15" ht="28.8" x14ac:dyDescent="0.3">
      <c r="A15" s="370">
        <v>10</v>
      </c>
      <c r="B15" s="370" t="s">
        <v>210</v>
      </c>
      <c r="C15" s="370" t="s">
        <v>211</v>
      </c>
      <c r="D15" s="345">
        <v>25</v>
      </c>
      <c r="E15" s="340" t="s">
        <v>212</v>
      </c>
      <c r="F15" s="388">
        <f>J11*K11*L11</f>
        <v>3.9451462399999991E-2</v>
      </c>
      <c r="G15" s="237"/>
      <c r="H15" s="237"/>
      <c r="I15" s="347">
        <f>IF(H15="",D15*F15,D15*F15*H15)</f>
        <v>0.98628655999999981</v>
      </c>
      <c r="J15" s="389"/>
      <c r="K15" s="389"/>
      <c r="L15" s="389"/>
      <c r="M15" s="389"/>
      <c r="N15" s="389"/>
      <c r="O15" s="390"/>
    </row>
    <row r="16" spans="1:15" x14ac:dyDescent="0.3">
      <c r="A16" s="382"/>
      <c r="B16" s="383"/>
      <c r="C16" s="383"/>
      <c r="D16" s="383"/>
      <c r="E16" s="383"/>
      <c r="F16" s="383"/>
      <c r="G16" s="383"/>
      <c r="H16" s="391" t="s">
        <v>18</v>
      </c>
      <c r="I16" s="385">
        <f>SUM(I15:I15)</f>
        <v>0.98628655999999981</v>
      </c>
      <c r="J16" s="383"/>
      <c r="K16" s="383"/>
      <c r="L16" s="383"/>
      <c r="M16" s="383"/>
      <c r="N16" s="383"/>
      <c r="O16" s="358"/>
    </row>
    <row r="17" spans="1:15" ht="15" thickBot="1" x14ac:dyDescent="0.35">
      <c r="A17" s="392"/>
      <c r="B17" s="393"/>
      <c r="C17" s="393"/>
      <c r="D17" s="393"/>
      <c r="E17" s="393"/>
      <c r="F17" s="393"/>
      <c r="G17" s="393"/>
      <c r="H17" s="393"/>
      <c r="I17" s="393"/>
      <c r="J17" s="393"/>
      <c r="K17" s="393"/>
      <c r="L17" s="393"/>
      <c r="M17" s="393"/>
      <c r="N17" s="393"/>
      <c r="O17" s="394"/>
    </row>
  </sheetData>
  <hyperlinks>
    <hyperlink ref="B4" location="'SU A0100'!A1" display="'SU A0100'!A1"/>
    <hyperlink ref="G2" location="SU_A0100_BOM" display="Back to BOM"/>
  </hyperlinks>
  <pageMargins left="0.7" right="0.7" top="0.75" bottom="0.75" header="0.3" footer="0.3"/>
  <pageSetup paperSize="9" scale="3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"/>
  <sheetViews>
    <sheetView workbookViewId="0">
      <selection activeCell="A3" sqref="A3"/>
    </sheetView>
  </sheetViews>
  <sheetFormatPr baseColWidth="10" defaultRowHeight="14.4" x14ac:dyDescent="0.3"/>
  <cols>
    <col min="1" max="1" width="13.33203125" customWidth="1"/>
  </cols>
  <sheetData>
    <row r="1" spans="1:1" x14ac:dyDescent="0.3">
      <c r="A1" s="155" t="s">
        <v>170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"/>
  <sheetViews>
    <sheetView workbookViewId="0">
      <selection activeCell="G27" sqref="G27"/>
    </sheetView>
  </sheetViews>
  <sheetFormatPr baseColWidth="10" defaultRowHeight="14.4" x14ac:dyDescent="0.3"/>
  <sheetData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"/>
  <sheetViews>
    <sheetView workbookViewId="0">
      <selection activeCell="G27" sqref="G27"/>
    </sheetView>
  </sheetViews>
  <sheetFormatPr baseColWidth="10" defaultRowHeight="14.4" x14ac:dyDescent="0.3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"/>
  <sheetViews>
    <sheetView workbookViewId="0">
      <selection activeCell="G27" sqref="G27"/>
    </sheetView>
  </sheetViews>
  <sheetFormatPr baseColWidth="10" defaultRowHeight="14.4" x14ac:dyDescent="0.3"/>
  <sheetData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"/>
  <sheetViews>
    <sheetView workbookViewId="0">
      <selection activeCell="G27" sqref="G27"/>
    </sheetView>
  </sheetViews>
  <sheetFormatPr baseColWidth="10" defaultRowHeight="14.4" x14ac:dyDescent="0.3"/>
  <sheetData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"/>
  <sheetViews>
    <sheetView workbookViewId="0">
      <selection activeCell="G27" sqref="G27"/>
    </sheetView>
  </sheetViews>
  <sheetFormatPr baseColWidth="10" defaultRowHeight="14.4" x14ac:dyDescent="0.3"/>
  <sheetData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"/>
  <sheetViews>
    <sheetView workbookViewId="0">
      <selection activeCell="G27" sqref="G27"/>
    </sheetView>
  </sheetViews>
  <sheetFormatPr baseColWidth="10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view="pageBreakPreview" zoomScale="60" zoomScaleNormal="80" workbookViewId="0">
      <selection activeCell="B4" sqref="B4"/>
    </sheetView>
  </sheetViews>
  <sheetFormatPr baseColWidth="10" defaultRowHeight="14.4" x14ac:dyDescent="0.3"/>
  <cols>
    <col min="2" max="2" width="33.88671875" customWidth="1"/>
    <col min="3" max="3" width="17.109375" customWidth="1"/>
    <col min="5" max="5" width="10.21875" customWidth="1"/>
  </cols>
  <sheetData>
    <row r="1" spans="1:15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3">
      <c r="A2" s="102" t="s">
        <v>0</v>
      </c>
      <c r="B2" s="16" t="s">
        <v>37</v>
      </c>
      <c r="C2" s="56"/>
      <c r="D2" s="56"/>
      <c r="E2" s="56"/>
      <c r="F2" s="56"/>
      <c r="G2" s="88" t="s">
        <v>126</v>
      </c>
      <c r="H2" s="56"/>
      <c r="I2" s="56"/>
      <c r="J2" s="103" t="s">
        <v>1</v>
      </c>
      <c r="K2" s="83">
        <v>81</v>
      </c>
      <c r="L2" s="56"/>
      <c r="M2" s="102" t="s">
        <v>16</v>
      </c>
      <c r="N2" s="74">
        <f>N12+I16</f>
        <v>7.1887787999999988</v>
      </c>
      <c r="O2" s="62"/>
    </row>
    <row r="3" spans="1:15" x14ac:dyDescent="0.3">
      <c r="A3" s="102" t="s">
        <v>3</v>
      </c>
      <c r="B3" s="16" t="str">
        <f>'SU A0100'!B3</f>
        <v>Suspension &amp; Shocks</v>
      </c>
      <c r="C3" s="56"/>
      <c r="D3" s="102" t="s">
        <v>6</v>
      </c>
      <c r="E3" t="s">
        <v>86</v>
      </c>
      <c r="F3" s="56"/>
      <c r="G3" s="56"/>
      <c r="H3" s="56"/>
      <c r="I3" s="56"/>
      <c r="J3" s="56"/>
      <c r="K3" s="56"/>
      <c r="L3" s="56"/>
      <c r="M3" s="102" t="s">
        <v>4</v>
      </c>
      <c r="N3" s="82">
        <v>1</v>
      </c>
      <c r="O3" s="62"/>
    </row>
    <row r="4" spans="1:15" x14ac:dyDescent="0.3">
      <c r="A4" s="102" t="s">
        <v>5</v>
      </c>
      <c r="B4" s="88" t="str">
        <f>'SU A0100'!B4</f>
        <v>Upper Front A-arm</v>
      </c>
      <c r="C4" s="56"/>
      <c r="D4" s="102" t="s">
        <v>8</v>
      </c>
      <c r="E4" s="56"/>
      <c r="F4" s="56"/>
      <c r="G4" s="56"/>
      <c r="H4" s="56"/>
      <c r="I4" s="56"/>
      <c r="J4" s="104" t="s">
        <v>6</v>
      </c>
      <c r="K4" s="56"/>
      <c r="L4" s="56"/>
      <c r="M4" s="56"/>
      <c r="N4" s="56"/>
      <c r="O4" s="62"/>
    </row>
    <row r="5" spans="1:15" x14ac:dyDescent="0.3">
      <c r="A5" s="102" t="s">
        <v>15</v>
      </c>
      <c r="B5" s="73" t="s">
        <v>153</v>
      </c>
      <c r="C5" s="56"/>
      <c r="D5" s="102" t="s">
        <v>12</v>
      </c>
      <c r="E5" s="56"/>
      <c r="F5" s="56"/>
      <c r="G5" s="56"/>
      <c r="H5" s="56"/>
      <c r="I5" s="56"/>
      <c r="J5" s="104" t="s">
        <v>8</v>
      </c>
      <c r="K5" s="56"/>
      <c r="L5" s="56"/>
      <c r="M5" s="102" t="s">
        <v>9</v>
      </c>
      <c r="N5" s="74">
        <f>N3*N2</f>
        <v>7.1887787999999988</v>
      </c>
      <c r="O5" s="62"/>
    </row>
    <row r="6" spans="1:15" x14ac:dyDescent="0.3">
      <c r="A6" s="102" t="s">
        <v>7</v>
      </c>
      <c r="B6" s="28" t="s">
        <v>174</v>
      </c>
      <c r="C6" s="56"/>
      <c r="D6" s="56"/>
      <c r="E6" s="56"/>
      <c r="F6" s="56"/>
      <c r="G6" s="56"/>
      <c r="H6" s="56"/>
      <c r="I6" s="56"/>
      <c r="J6" s="104" t="s">
        <v>12</v>
      </c>
      <c r="K6" s="56"/>
      <c r="L6" s="56"/>
      <c r="M6" s="56"/>
      <c r="N6" s="56"/>
      <c r="O6" s="62"/>
    </row>
    <row r="7" spans="1:15" x14ac:dyDescent="0.3">
      <c r="A7" s="102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3">
      <c r="A8" s="102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3">
      <c r="A9" s="84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3">
      <c r="A10" s="105" t="s">
        <v>14</v>
      </c>
      <c r="B10" s="106" t="s">
        <v>19</v>
      </c>
      <c r="C10" s="106" t="s">
        <v>20</v>
      </c>
      <c r="D10" s="106" t="s">
        <v>21</v>
      </c>
      <c r="E10" s="106" t="s">
        <v>22</v>
      </c>
      <c r="F10" s="107" t="s">
        <v>23</v>
      </c>
      <c r="G10" s="107" t="s">
        <v>24</v>
      </c>
      <c r="H10" s="107" t="s">
        <v>25</v>
      </c>
      <c r="I10" s="107" t="s">
        <v>26</v>
      </c>
      <c r="J10" s="107" t="s">
        <v>27</v>
      </c>
      <c r="K10" s="107" t="s">
        <v>28</v>
      </c>
      <c r="L10" s="107" t="s">
        <v>29</v>
      </c>
      <c r="M10" s="107" t="s">
        <v>17</v>
      </c>
      <c r="N10" s="107" t="s">
        <v>18</v>
      </c>
      <c r="O10" s="62"/>
    </row>
    <row r="11" spans="1:15" x14ac:dyDescent="0.3">
      <c r="A11" s="85">
        <v>10</v>
      </c>
      <c r="B11" s="145" t="s">
        <v>188</v>
      </c>
      <c r="C11" s="146" t="s">
        <v>189</v>
      </c>
      <c r="D11" s="149">
        <v>200</v>
      </c>
      <c r="E11" s="21">
        <f>J11*K11*L11</f>
        <v>3.1950127999999994E-2</v>
      </c>
      <c r="F11" s="20" t="s">
        <v>162</v>
      </c>
      <c r="G11" s="20"/>
      <c r="H11" s="19"/>
      <c r="I11" s="21" t="s">
        <v>164</v>
      </c>
      <c r="J11" s="253">
        <f>3.14*(0.008*0.008-0.006*0.006)</f>
        <v>8.7919999999999985E-5</v>
      </c>
      <c r="K11" s="75">
        <v>0.23</v>
      </c>
      <c r="L11" s="79">
        <v>1580</v>
      </c>
      <c r="M11" s="147">
        <v>1</v>
      </c>
      <c r="N11" s="30">
        <f>D11*M11*E11</f>
        <v>6.3900255999999986</v>
      </c>
      <c r="O11" s="66"/>
    </row>
    <row r="12" spans="1:15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08" t="s">
        <v>18</v>
      </c>
      <c r="N12" s="109">
        <f>SUM(N11:N11)</f>
        <v>6.3900255999999986</v>
      </c>
      <c r="O12" s="62"/>
    </row>
    <row r="13" spans="1:15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4"/>
      <c r="K14" s="24"/>
      <c r="L14" s="24"/>
      <c r="M14" s="24"/>
      <c r="N14" s="24"/>
      <c r="O14" s="62"/>
    </row>
    <row r="15" spans="1:15" x14ac:dyDescent="0.3">
      <c r="A15" s="145">
        <v>10</v>
      </c>
      <c r="B15" s="145" t="s">
        <v>210</v>
      </c>
      <c r="C15" s="145" t="s">
        <v>211</v>
      </c>
      <c r="D15" s="223">
        <v>25</v>
      </c>
      <c r="E15" s="222" t="s">
        <v>212</v>
      </c>
      <c r="F15" s="264">
        <f>J11*K11*L11</f>
        <v>3.1950127999999994E-2</v>
      </c>
      <c r="G15" s="221"/>
      <c r="H15" s="221"/>
      <c r="I15" s="224">
        <f>IF(H15="",D15*F15,D15*F15*H15)</f>
        <v>0.79875319999999983</v>
      </c>
      <c r="J15" s="58"/>
      <c r="K15" s="58"/>
      <c r="L15" s="58"/>
      <c r="M15" s="58"/>
      <c r="N15" s="58"/>
      <c r="O15" s="68"/>
    </row>
    <row r="16" spans="1:15" x14ac:dyDescent="0.3">
      <c r="A16" s="67"/>
      <c r="B16" s="24"/>
      <c r="C16" s="24"/>
      <c r="D16" s="24"/>
      <c r="E16" s="24"/>
      <c r="F16" s="24"/>
      <c r="G16" s="24"/>
      <c r="H16" s="111" t="s">
        <v>18</v>
      </c>
      <c r="I16" s="109">
        <f>SUM(I15:I15)</f>
        <v>0.79875319999999983</v>
      </c>
      <c r="J16" s="24"/>
      <c r="K16" s="24"/>
      <c r="L16" s="24"/>
      <c r="M16" s="24"/>
      <c r="N16" s="24"/>
      <c r="O16" s="62"/>
    </row>
    <row r="17" spans="1:15" ht="15" thickBot="1" x14ac:dyDescent="0.35">
      <c r="A17" s="6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1"/>
    </row>
  </sheetData>
  <hyperlinks>
    <hyperlink ref="B4" location="'SU A0100'!A1" display="'SU A0100'!A1"/>
    <hyperlink ref="G2" location="SU_A0100_BOM" display="Back to BOM"/>
  </hyperlinks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86</vt:i4>
      </vt:variant>
      <vt:variant>
        <vt:lpstr>Plages nommées</vt:lpstr>
      </vt:variant>
      <vt:variant>
        <vt:i4>224</vt:i4>
      </vt:variant>
    </vt:vector>
  </HeadingPairs>
  <TitlesOfParts>
    <vt:vector size="310" baseType="lpstr">
      <vt:lpstr>Instructions</vt:lpstr>
      <vt:lpstr>BOM</vt:lpstr>
      <vt:lpstr>SU A0100</vt:lpstr>
      <vt:lpstr>SU 01001</vt:lpstr>
      <vt:lpstr>dSU 01001</vt:lpstr>
      <vt:lpstr>SU 01002</vt:lpstr>
      <vt:lpstr>dSU 01002</vt:lpstr>
      <vt:lpstr>SU 01003</vt:lpstr>
      <vt:lpstr>SU 01004</vt:lpstr>
      <vt:lpstr>SU 01005</vt:lpstr>
      <vt:lpstr>dSU 01005</vt:lpstr>
      <vt:lpstr>SU 01006</vt:lpstr>
      <vt:lpstr>dSU 01006</vt:lpstr>
      <vt:lpstr>SU 01007</vt:lpstr>
      <vt:lpstr>dSU 01007</vt:lpstr>
      <vt:lpstr>SU 01008</vt:lpstr>
      <vt:lpstr>dSU 01008</vt:lpstr>
      <vt:lpstr>SU 01009</vt:lpstr>
      <vt:lpstr>dSU 01009</vt:lpstr>
      <vt:lpstr>SU 01010</vt:lpstr>
      <vt:lpstr>dSU 01010</vt:lpstr>
      <vt:lpstr>SU 01011</vt:lpstr>
      <vt:lpstr>dSU 01011</vt:lpstr>
      <vt:lpstr>SU A0200</vt:lpstr>
      <vt:lpstr>SU 02001</vt:lpstr>
      <vt:lpstr>dSU 02001</vt:lpstr>
      <vt:lpstr>SU 02002</vt:lpstr>
      <vt:lpstr>dSU 02002</vt:lpstr>
      <vt:lpstr>SU 02003</vt:lpstr>
      <vt:lpstr>SU 02004</vt:lpstr>
      <vt:lpstr>SU 02005</vt:lpstr>
      <vt:lpstr>dSU 02005</vt:lpstr>
      <vt:lpstr>SU 02006</vt:lpstr>
      <vt:lpstr>dSU 02006</vt:lpstr>
      <vt:lpstr>SU 02007</vt:lpstr>
      <vt:lpstr>dSU 02007</vt:lpstr>
      <vt:lpstr>SU 02008</vt:lpstr>
      <vt:lpstr>dSU 02008</vt:lpstr>
      <vt:lpstr>SU 02009</vt:lpstr>
      <vt:lpstr>dSU 02009</vt:lpstr>
      <vt:lpstr>SU 02010</vt:lpstr>
      <vt:lpstr>dSU 02010</vt:lpstr>
      <vt:lpstr>SU 02011</vt:lpstr>
      <vt:lpstr>dSU 02011</vt:lpstr>
      <vt:lpstr>SU A0300</vt:lpstr>
      <vt:lpstr>SU 03001</vt:lpstr>
      <vt:lpstr>dSU 03001</vt:lpstr>
      <vt:lpstr>SU 03002</vt:lpstr>
      <vt:lpstr>dSU 03002</vt:lpstr>
      <vt:lpstr>SU 03003</vt:lpstr>
      <vt:lpstr>SU 03004</vt:lpstr>
      <vt:lpstr>SU 03005</vt:lpstr>
      <vt:lpstr>dSU 03005</vt:lpstr>
      <vt:lpstr>SU 03006</vt:lpstr>
      <vt:lpstr>dSU 03006</vt:lpstr>
      <vt:lpstr>SU 03007</vt:lpstr>
      <vt:lpstr>dSU 03007</vt:lpstr>
      <vt:lpstr>SU 03008</vt:lpstr>
      <vt:lpstr>dSU 03008</vt:lpstr>
      <vt:lpstr>SU 03009</vt:lpstr>
      <vt:lpstr>dSU 03009</vt:lpstr>
      <vt:lpstr>SU 03010</vt:lpstr>
      <vt:lpstr>dSU 03010</vt:lpstr>
      <vt:lpstr>SU 03011</vt:lpstr>
      <vt:lpstr>dSU 03011</vt:lpstr>
      <vt:lpstr>SU A0400</vt:lpstr>
      <vt:lpstr>SU 04001</vt:lpstr>
      <vt:lpstr>dSU 04001</vt:lpstr>
      <vt:lpstr>SU 04002</vt:lpstr>
      <vt:lpstr>dSU 04002</vt:lpstr>
      <vt:lpstr>SU 04003</vt:lpstr>
      <vt:lpstr>SU 04004</vt:lpstr>
      <vt:lpstr>SU 04005</vt:lpstr>
      <vt:lpstr>dSU 04005</vt:lpstr>
      <vt:lpstr>SU 04006</vt:lpstr>
      <vt:lpstr>dSU 04006</vt:lpstr>
      <vt:lpstr>SU 04007</vt:lpstr>
      <vt:lpstr>dSU 04007</vt:lpstr>
      <vt:lpstr>SU 04008</vt:lpstr>
      <vt:lpstr>dSU 04008</vt:lpstr>
      <vt:lpstr>SU 04009</vt:lpstr>
      <vt:lpstr>dSU 04009</vt:lpstr>
      <vt:lpstr>SU 04010</vt:lpstr>
      <vt:lpstr>dSU 04010</vt:lpstr>
      <vt:lpstr>SU 04011</vt:lpstr>
      <vt:lpstr>dSU 04011</vt:lpstr>
      <vt:lpstr>dSU_01001</vt:lpstr>
      <vt:lpstr>dSU_01002</vt:lpstr>
      <vt:lpstr>dSU_01005</vt:lpstr>
      <vt:lpstr>dSU_01006</vt:lpstr>
      <vt:lpstr>dSU_01007</vt:lpstr>
      <vt:lpstr>dSU_01008</vt:lpstr>
      <vt:lpstr>dSU_01009</vt:lpstr>
      <vt:lpstr>dSU_01010</vt:lpstr>
      <vt:lpstr>dSU_01011</vt:lpstr>
      <vt:lpstr>dSU_02001</vt:lpstr>
      <vt:lpstr>dSU_02002</vt:lpstr>
      <vt:lpstr>dSU_02005</vt:lpstr>
      <vt:lpstr>dSU_02006</vt:lpstr>
      <vt:lpstr>dSU_02007</vt:lpstr>
      <vt:lpstr>dSU_02008</vt:lpstr>
      <vt:lpstr>dSU_02009</vt:lpstr>
      <vt:lpstr>dSU_02010</vt:lpstr>
      <vt:lpstr>dSU_03001</vt:lpstr>
      <vt:lpstr>dSU_03002</vt:lpstr>
      <vt:lpstr>dSU_03005</vt:lpstr>
      <vt:lpstr>dSU_03006</vt:lpstr>
      <vt:lpstr>dSU_03007</vt:lpstr>
      <vt:lpstr>dSU_03008</vt:lpstr>
      <vt:lpstr>dSU_03009</vt:lpstr>
      <vt:lpstr>dSU_03010</vt:lpstr>
      <vt:lpstr>dSU_03011</vt:lpstr>
      <vt:lpstr>dSU_04001</vt:lpstr>
      <vt:lpstr>dSU_04002</vt:lpstr>
      <vt:lpstr>dSU_04005</vt:lpstr>
      <vt:lpstr>dSU_04006</vt:lpstr>
      <vt:lpstr>dSU_04007</vt:lpstr>
      <vt:lpstr>SU_01001</vt:lpstr>
      <vt:lpstr>SU_01001_m</vt:lpstr>
      <vt:lpstr>SU_01001_p</vt:lpstr>
      <vt:lpstr>SU_01001_q</vt:lpstr>
      <vt:lpstr>SU_01002</vt:lpstr>
      <vt:lpstr>SU_01002_m</vt:lpstr>
      <vt:lpstr>SU_01002_p</vt:lpstr>
      <vt:lpstr>SU_01002_q</vt:lpstr>
      <vt:lpstr>SU_01003</vt:lpstr>
      <vt:lpstr>SU_01003_m</vt:lpstr>
      <vt:lpstr>SU_01003_p</vt:lpstr>
      <vt:lpstr>SU_01003_q</vt:lpstr>
      <vt:lpstr>SU_01004</vt:lpstr>
      <vt:lpstr>SU_01004_m</vt:lpstr>
      <vt:lpstr>SU_01004_p</vt:lpstr>
      <vt:lpstr>SU_01004_q</vt:lpstr>
      <vt:lpstr>SU_01005</vt:lpstr>
      <vt:lpstr>SU_01005_m</vt:lpstr>
      <vt:lpstr>SU_01005_p</vt:lpstr>
      <vt:lpstr>SU_01005_q</vt:lpstr>
      <vt:lpstr>SU_01006</vt:lpstr>
      <vt:lpstr>SU_01006_m</vt:lpstr>
      <vt:lpstr>SU_01006_p</vt:lpstr>
      <vt:lpstr>SU_01006_q</vt:lpstr>
      <vt:lpstr>SU_01007</vt:lpstr>
      <vt:lpstr>SU_01007_m</vt:lpstr>
      <vt:lpstr>SU_01007_p</vt:lpstr>
      <vt:lpstr>SU_01007_q</vt:lpstr>
      <vt:lpstr>SU_01008</vt:lpstr>
      <vt:lpstr>SU_01008_m</vt:lpstr>
      <vt:lpstr>SU_01008_p</vt:lpstr>
      <vt:lpstr>SU_01008_q</vt:lpstr>
      <vt:lpstr>SU_01009</vt:lpstr>
      <vt:lpstr>SU_01009_m</vt:lpstr>
      <vt:lpstr>SU_01009_p</vt:lpstr>
      <vt:lpstr>SU_01009_q</vt:lpstr>
      <vt:lpstr>SU_01010</vt:lpstr>
      <vt:lpstr>SU_01010_m</vt:lpstr>
      <vt:lpstr>SU_01010_p</vt:lpstr>
      <vt:lpstr>SU_01010_q</vt:lpstr>
      <vt:lpstr>SU_01011</vt:lpstr>
      <vt:lpstr>SU_01011_m</vt:lpstr>
      <vt:lpstr>SU_01011_p</vt:lpstr>
      <vt:lpstr>SU_01011_q</vt:lpstr>
      <vt:lpstr>SU_02001</vt:lpstr>
      <vt:lpstr>SU_02001_m</vt:lpstr>
      <vt:lpstr>SU_02001_p</vt:lpstr>
      <vt:lpstr>SU_02001_q</vt:lpstr>
      <vt:lpstr>SU_02002</vt:lpstr>
      <vt:lpstr>SU_02002_m</vt:lpstr>
      <vt:lpstr>SU_02002_p</vt:lpstr>
      <vt:lpstr>SU_02002_q</vt:lpstr>
      <vt:lpstr>SU_02003</vt:lpstr>
      <vt:lpstr>SU_02003_m</vt:lpstr>
      <vt:lpstr>SU_02003_p</vt:lpstr>
      <vt:lpstr>SU_02003_q</vt:lpstr>
      <vt:lpstr>SU_02004</vt:lpstr>
      <vt:lpstr>SU_02004_m</vt:lpstr>
      <vt:lpstr>SU_02004_p</vt:lpstr>
      <vt:lpstr>SU_02004_q</vt:lpstr>
      <vt:lpstr>SU_02005</vt:lpstr>
      <vt:lpstr>SU_02005_m</vt:lpstr>
      <vt:lpstr>SU_02005_p</vt:lpstr>
      <vt:lpstr>SU_02005_q</vt:lpstr>
      <vt:lpstr>SU_02006</vt:lpstr>
      <vt:lpstr>SU_02006_m</vt:lpstr>
      <vt:lpstr>SU_02006_p</vt:lpstr>
      <vt:lpstr>SU_02006_q</vt:lpstr>
      <vt:lpstr>SU_02007</vt:lpstr>
      <vt:lpstr>SU_02007_m</vt:lpstr>
      <vt:lpstr>SU_02007_p</vt:lpstr>
      <vt:lpstr>SU_02007_q</vt:lpstr>
      <vt:lpstr>SU_02008</vt:lpstr>
      <vt:lpstr>SU_02008_m</vt:lpstr>
      <vt:lpstr>SU_02008_p</vt:lpstr>
      <vt:lpstr>SU_02008_q</vt:lpstr>
      <vt:lpstr>SU_02009</vt:lpstr>
      <vt:lpstr>SU_02009_m</vt:lpstr>
      <vt:lpstr>SU_02009_p</vt:lpstr>
      <vt:lpstr>SU_02009_q</vt:lpstr>
      <vt:lpstr>SU_02010</vt:lpstr>
      <vt:lpstr>SU_02010_m</vt:lpstr>
      <vt:lpstr>SU_02010_p</vt:lpstr>
      <vt:lpstr>SU_02010_q</vt:lpstr>
      <vt:lpstr>SU_02011</vt:lpstr>
      <vt:lpstr>SU_02011_m</vt:lpstr>
      <vt:lpstr>SU_02011_p</vt:lpstr>
      <vt:lpstr>SU_02011_q</vt:lpstr>
      <vt:lpstr>SU_03001</vt:lpstr>
      <vt:lpstr>SU_03001_m</vt:lpstr>
      <vt:lpstr>SU_03001_p</vt:lpstr>
      <vt:lpstr>SU_03001_q</vt:lpstr>
      <vt:lpstr>SU_03002</vt:lpstr>
      <vt:lpstr>SU_03002_m</vt:lpstr>
      <vt:lpstr>SU_03002_p</vt:lpstr>
      <vt:lpstr>SU_03002_q</vt:lpstr>
      <vt:lpstr>SU_03003</vt:lpstr>
      <vt:lpstr>SU_03003_m</vt:lpstr>
      <vt:lpstr>SU_03003_p</vt:lpstr>
      <vt:lpstr>SU_03003_q</vt:lpstr>
      <vt:lpstr>SU_03004</vt:lpstr>
      <vt:lpstr>SU_03004_m</vt:lpstr>
      <vt:lpstr>SU_03004_p</vt:lpstr>
      <vt:lpstr>SU_03004_q</vt:lpstr>
      <vt:lpstr>SU_03005</vt:lpstr>
      <vt:lpstr>SU_03005_m</vt:lpstr>
      <vt:lpstr>SU_03005_p</vt:lpstr>
      <vt:lpstr>SU_03005_q</vt:lpstr>
      <vt:lpstr>SU_03006</vt:lpstr>
      <vt:lpstr>SU_03006_m</vt:lpstr>
      <vt:lpstr>SU_03006_p</vt:lpstr>
      <vt:lpstr>SU_03006_q</vt:lpstr>
      <vt:lpstr>SU_03007</vt:lpstr>
      <vt:lpstr>SU_03007_m</vt:lpstr>
      <vt:lpstr>SU_03007_p</vt:lpstr>
      <vt:lpstr>SU_03007_q</vt:lpstr>
      <vt:lpstr>SU_03008</vt:lpstr>
      <vt:lpstr>SU_03008_m</vt:lpstr>
      <vt:lpstr>SU_03008_p</vt:lpstr>
      <vt:lpstr>SU_03008_q</vt:lpstr>
      <vt:lpstr>SU_03009</vt:lpstr>
      <vt:lpstr>SU_03009_m</vt:lpstr>
      <vt:lpstr>SU_03009_p</vt:lpstr>
      <vt:lpstr>SU_03009_q</vt:lpstr>
      <vt:lpstr>SU_03010</vt:lpstr>
      <vt:lpstr>SU_03010_m</vt:lpstr>
      <vt:lpstr>SU_03010_p</vt:lpstr>
      <vt:lpstr>SU_03010_q</vt:lpstr>
      <vt:lpstr>SU_03011</vt:lpstr>
      <vt:lpstr>SU_03011_m</vt:lpstr>
      <vt:lpstr>SU_03011_p</vt:lpstr>
      <vt:lpstr>SU_03011_q</vt:lpstr>
      <vt:lpstr>SU_04001</vt:lpstr>
      <vt:lpstr>SU_04001_m</vt:lpstr>
      <vt:lpstr>SU_04001_p</vt:lpstr>
      <vt:lpstr>SU_04001_q</vt:lpstr>
      <vt:lpstr>SU_04002</vt:lpstr>
      <vt:lpstr>SU_04002_m</vt:lpstr>
      <vt:lpstr>SU_04002_p</vt:lpstr>
      <vt:lpstr>SU_04002_q</vt:lpstr>
      <vt:lpstr>SU_04003</vt:lpstr>
      <vt:lpstr>SU_04003_m</vt:lpstr>
      <vt:lpstr>SU_04003_p</vt:lpstr>
      <vt:lpstr>SU_04003_q</vt:lpstr>
      <vt:lpstr>SU_04004</vt:lpstr>
      <vt:lpstr>SU_04004_m</vt:lpstr>
      <vt:lpstr>SU_04004_p</vt:lpstr>
      <vt:lpstr>SU_04004_q</vt:lpstr>
      <vt:lpstr>SU_04005</vt:lpstr>
      <vt:lpstr>SU_04005_m</vt:lpstr>
      <vt:lpstr>SU_04005_p</vt:lpstr>
      <vt:lpstr>SU_04005_q</vt:lpstr>
      <vt:lpstr>SU_04006</vt:lpstr>
      <vt:lpstr>SU_04006_m</vt:lpstr>
      <vt:lpstr>SU_04006_p</vt:lpstr>
      <vt:lpstr>SU_04006_q</vt:lpstr>
      <vt:lpstr>SU_04007</vt:lpstr>
      <vt:lpstr>SU_04007_m</vt:lpstr>
      <vt:lpstr>SU_04007_p</vt:lpstr>
      <vt:lpstr>SU_04007_q</vt:lpstr>
      <vt:lpstr>SU_A0100</vt:lpstr>
      <vt:lpstr>SU_A0100_BOM</vt:lpstr>
      <vt:lpstr>SU_A0100_f</vt:lpstr>
      <vt:lpstr>SU_A0100_m</vt:lpstr>
      <vt:lpstr>SU_A0100_p</vt:lpstr>
      <vt:lpstr>SU_A0100_pa</vt:lpstr>
      <vt:lpstr>SU_A0100_q</vt:lpstr>
      <vt:lpstr>SU_A0100_t</vt:lpstr>
      <vt:lpstr>SU_A0200</vt:lpstr>
      <vt:lpstr>SU_A0200_BOM</vt:lpstr>
      <vt:lpstr>SU_A0200_f</vt:lpstr>
      <vt:lpstr>SU_A0200_m</vt:lpstr>
      <vt:lpstr>SU_A0200_p</vt:lpstr>
      <vt:lpstr>SU_A0200_pa</vt:lpstr>
      <vt:lpstr>SU_A0200_q</vt:lpstr>
      <vt:lpstr>SU_A0200_t</vt:lpstr>
      <vt:lpstr>SU_A0300</vt:lpstr>
      <vt:lpstr>SU_A0300_BOM</vt:lpstr>
      <vt:lpstr>SU_A0300_f</vt:lpstr>
      <vt:lpstr>SU_A0300_m</vt:lpstr>
      <vt:lpstr>SU_A0300_p</vt:lpstr>
      <vt:lpstr>SU_A0300_pa</vt:lpstr>
      <vt:lpstr>SU_A0300_q</vt:lpstr>
      <vt:lpstr>SU_A0300_t</vt:lpstr>
      <vt:lpstr>SU_A0400</vt:lpstr>
      <vt:lpstr>SU_A0400_BOM</vt:lpstr>
      <vt:lpstr>SU_A0400_f</vt:lpstr>
      <vt:lpstr>SU_A0400_m</vt:lpstr>
      <vt:lpstr>SU_A0400_p</vt:lpstr>
      <vt:lpstr>SU_A0400_pa</vt:lpstr>
      <vt:lpstr>SU_A0400_q</vt:lpstr>
      <vt:lpstr>SU_A0400_t</vt:lpstr>
      <vt:lpstr>'SU 01002'!Zone_d_impression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Aurélien</cp:lastModifiedBy>
  <cp:revision>0</cp:revision>
  <cp:lastPrinted>2018-05-03T23:52:16Z</cp:lastPrinted>
  <dcterms:created xsi:type="dcterms:W3CDTF">2015-05-29T18:57:13Z</dcterms:created>
  <dcterms:modified xsi:type="dcterms:W3CDTF">2018-05-04T01:45:09Z</dcterms:modified>
  <dc:language>fr-FR</dc:language>
</cp:coreProperties>
</file>