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en\Documents\ECL\EPSA\Github\EN - Engine &amp; Powertrain\Cost\"/>
    </mc:Choice>
  </mc:AlternateContent>
  <xr:revisionPtr revIDLastSave="0" documentId="13_ncr:1_{C3CF2646-76F7-4204-BC9C-4D604D9A2D11}" xr6:coauthVersionLast="28" xr6:coauthVersionMax="28" xr10:uidLastSave="{00000000-0000-0000-0000-000000000000}"/>
  <bookViews>
    <workbookView xWindow="4740" yWindow="60" windowWidth="16380" windowHeight="8190" tabRatio="885" firstSheet="28" activeTab="37" xr2:uid="{00000000-000D-0000-FFFF-FFFF00000000}"/>
  </bookViews>
  <sheets>
    <sheet name="Instructions" sheetId="7" r:id="rId1"/>
    <sheet name="BOM" sheetId="8" r:id="rId2"/>
    <sheet name="EN_A0900" sheetId="1" r:id="rId3"/>
    <sheet name="EN_0900_001" sheetId="2" r:id="rId4"/>
    <sheet name="EN_0900_002" sheetId="10" r:id="rId5"/>
    <sheet name="EN_0900_002 Drawing" sheetId="9" r:id="rId6"/>
    <sheet name="EN_0900_003" sheetId="13" r:id="rId7"/>
    <sheet name="EN_0900_003 Drawing" sheetId="22" r:id="rId8"/>
    <sheet name="EN_0900_004" sheetId="14" r:id="rId9"/>
    <sheet name="EN_0900_004 Drawing" sheetId="23" r:id="rId10"/>
    <sheet name="EN_0900_005" sheetId="15" r:id="rId11"/>
    <sheet name="EN_0900_005 Drawing" sheetId="24" r:id="rId12"/>
    <sheet name="EN_0900_006" sheetId="16" r:id="rId13"/>
    <sheet name="EN_0900_006 Drawing" sheetId="25" r:id="rId14"/>
    <sheet name="EN_0900_007" sheetId="17" r:id="rId15"/>
    <sheet name="EN_0900_007 Drawing" sheetId="26" r:id="rId16"/>
    <sheet name="EN_0900_008" sheetId="19" r:id="rId17"/>
    <sheet name="EN_0900_008 Drawing" sheetId="27" r:id="rId18"/>
    <sheet name="EN_0900_009" sheetId="20" r:id="rId19"/>
    <sheet name="EN_0900_009 Drawing" sheetId="28" r:id="rId20"/>
    <sheet name="EN_A1000" sheetId="29" r:id="rId21"/>
    <sheet name="EN_1000_001" sheetId="30" r:id="rId22"/>
    <sheet name="EN_1000_002" sheetId="32" r:id="rId23"/>
    <sheet name="EN_1000_003" sheetId="34" r:id="rId24"/>
    <sheet name="EN_1000_003 Drawing" sheetId="37" r:id="rId25"/>
    <sheet name="EN_1000_004" sheetId="33" r:id="rId26"/>
    <sheet name="EN_1000_004 Drawing" sheetId="38" r:id="rId27"/>
    <sheet name="EN_A1100" sheetId="40" r:id="rId28"/>
    <sheet name="EN_1100_001" sheetId="41" r:id="rId29"/>
    <sheet name="EN_1100_002" sheetId="42" r:id="rId30"/>
    <sheet name="EN_1100_003" sheetId="43" r:id="rId31"/>
    <sheet name="EN_1100_003 Drawing" sheetId="45" r:id="rId32"/>
    <sheet name="EN_1100_004" sheetId="44" r:id="rId33"/>
    <sheet name="EN_1100_004 Drawing" sheetId="46" r:id="rId34"/>
    <sheet name="EN_1100_005" sheetId="48" r:id="rId35"/>
    <sheet name="EN_1100_005 Drawing" sheetId="49" r:id="rId36"/>
    <sheet name="EN_1100_006" sheetId="50" r:id="rId37"/>
    <sheet name="EN_1100_006 Drawing" sheetId="51" r:id="rId38"/>
  </sheets>
  <externalReferences>
    <externalReference r:id="rId39"/>
  </externalReference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'EN_0900_002 Drawing'!$B$1</definedName>
    <definedName name="dede">#REF!</definedName>
    <definedName name="dEL_01001">'EN_0900_002 Drawing'!$B$1</definedName>
    <definedName name="dqwdqd">#REF!</definedName>
    <definedName name="eded">#REF!</definedName>
    <definedName name="EN_0900_001">EN_0900_001!$B$6</definedName>
    <definedName name="EN_0900_001_f">EN_0900_001!$J$39</definedName>
    <definedName name="EN_0900_001_m">EN_0900_001!$N$15</definedName>
    <definedName name="EN_0900_001_p">EN_0900_001!$I$32</definedName>
    <definedName name="EN_0900_002">EN_0900_002!$B$6</definedName>
    <definedName name="EN_0900_002_m">EN_0900_002!$N$13</definedName>
    <definedName name="EN_0900_002_p">EN_0900_002!$I$18</definedName>
    <definedName name="EN_0900_002_q">EN_0900_002!$N$3</definedName>
    <definedName name="EN_0900_003">EN_0900_003!$B$6</definedName>
    <definedName name="EN_0900_003_m">EN_0900_003!$N$13</definedName>
    <definedName name="EN_0900_003_p">EN_0900_003!$I$18</definedName>
    <definedName name="EN_0900_003_q">EN_0900_003!$N$3</definedName>
    <definedName name="EN_0900_004">EN_0900_004!$B$6</definedName>
    <definedName name="EN_0900_004_m">EN_0900_004!$N$13</definedName>
    <definedName name="EN_0900_004_p">EN_0900_004!$I$18</definedName>
    <definedName name="EN_0900_004_q">EN_0900_004!$N$3</definedName>
    <definedName name="EN_0900_005">EN_0900_005!$B$6</definedName>
    <definedName name="EN_0900_005_m">EN_0900_005!$N$13</definedName>
    <definedName name="EN_0900_005_p">EN_0900_005!$I$18</definedName>
    <definedName name="EN_0900_005_q">EN_0900_005!$N$3</definedName>
    <definedName name="EN_0900_006">EN_0900_006!$B$6</definedName>
    <definedName name="EN_0900_006_m">EN_0900_006!$N$12</definedName>
    <definedName name="EN_0900_006_p">EN_0900_006!$I$17</definedName>
    <definedName name="EN_0900_006_q">EN_0900_006!$N$3</definedName>
    <definedName name="EN_0900_007">EN_0900_007!$B$6</definedName>
    <definedName name="EN_0900_007_m">EN_0900_007!$N$12</definedName>
    <definedName name="EN_0900_007_p">EN_0900_007!$I$17</definedName>
    <definedName name="EN_0900_007_q">EN_0900_007!$N$3</definedName>
    <definedName name="EN_0900_008">EN_0900_008!$B$6</definedName>
    <definedName name="EN_0900_008_m">EN_0900_008!$N$13</definedName>
    <definedName name="EN_0900_008_p">EN_0900_008!$I$18</definedName>
    <definedName name="EN_0900_008_q">EN_0900_008!$N$3</definedName>
    <definedName name="EN_0900_009">EN_0900_009!$B$6</definedName>
    <definedName name="EN_0900_009_m">EN_0900_009!$N$13</definedName>
    <definedName name="EN_0900_009_p">EN_0900_009!$I$18</definedName>
    <definedName name="EN_0900_009_q">EN_0900_009!$N$3</definedName>
    <definedName name="EN_1000_001">EN_1000_001!$B$6</definedName>
    <definedName name="EN_1000_001_m">EN_1000_001!$N$13</definedName>
    <definedName name="EN_1000_001_p">EN_1000_001!$I$22</definedName>
    <definedName name="EN_1000_001_q">EN_1000_001!$N$3</definedName>
    <definedName name="EN_1000_002">EN_1000_002!$B$6</definedName>
    <definedName name="EN_1000_002_m">EN_1000_002!$N$12</definedName>
    <definedName name="EN_1000_002_p">EN_1000_002!$I$23</definedName>
    <definedName name="EN_1000_002_q">EN_1000_002!$N$3</definedName>
    <definedName name="EN_1000_003">EN_1000_003!$B$6</definedName>
    <definedName name="EN_1000_003_m">EN_1000_003!$N$12</definedName>
    <definedName name="EN_1000_003_p">EN_1000_003!$I$21</definedName>
    <definedName name="EN_1000_003_q">EN_1000_003!$N$3</definedName>
    <definedName name="EN_1000_004">EN_1000_004!$B$6</definedName>
    <definedName name="EN_1000_004_m">EN_1000_004!$N$12</definedName>
    <definedName name="EN_1000_004_p">EN_1000_004!$I$21</definedName>
    <definedName name="EN_1000_004_q">EN_1000_004!$N$3</definedName>
    <definedName name="EN_1100_001">EN_1100_001!$B$6</definedName>
    <definedName name="EN_1100_001_m">EN_1100_001!$N$12</definedName>
    <definedName name="EN_1100_001_p">EN_1100_001!$I$21</definedName>
    <definedName name="EN_1100_001_q">EN_1100_001!$N$3</definedName>
    <definedName name="EN_1100_002">EN_1100_002!$B$6</definedName>
    <definedName name="EN_1100_002_m">EN_1100_002!$N$12</definedName>
    <definedName name="EN_1100_002_p">EN_1100_002!$I$19</definedName>
    <definedName name="EN_1100_002_q">EN_1100_002!$N$3</definedName>
    <definedName name="EN_1100_003">EN_1100_003!$B$6</definedName>
    <definedName name="EN_1100_003_m">EN_1100_003!$N$12</definedName>
    <definedName name="EN_1100_003_p">EN_1100_003!$I$18</definedName>
    <definedName name="EN_1100_003_q">EN_1100_003!$N$3</definedName>
    <definedName name="EN_1100_004">EN_1100_004!$B$6</definedName>
    <definedName name="EN_1100_004_m">EN_1100_004!$N$12</definedName>
    <definedName name="EN_1100_004_p">EN_1100_004!$I$18</definedName>
    <definedName name="EN_1100_004_q">EN_1100_004!$N$3</definedName>
    <definedName name="EN_1100_005">EN_1100_005!$B$6</definedName>
    <definedName name="EN_1100_005_m">EN_1100_005!$N$12</definedName>
    <definedName name="EN_1100_005_p">EN_1100_005!$I$17</definedName>
    <definedName name="EN_1100_005_q">EN_1100_005!$N$3</definedName>
    <definedName name="EN_1100_006">EN_1100_006!$B$6</definedName>
    <definedName name="EN_1100_006_m">EN_1100_006!$N$12</definedName>
    <definedName name="EN_1100_006_p">EN_1100_006!$I$17</definedName>
    <definedName name="EN_1100_006_q">EN_1100_006!$N$3</definedName>
    <definedName name="EN_A0900">EN_A0900!$B$5</definedName>
    <definedName name="EN_A0900_f">EN_A0900!$J$56</definedName>
    <definedName name="EN_A0900_m">EN_A0900!$N$27</definedName>
    <definedName name="EN_A0900_p">EN_A0900!$I$44</definedName>
    <definedName name="EN_A0900_pa">EN_A0900!$E$19</definedName>
    <definedName name="EN_A0900_q">EN_A0900!$N$3</definedName>
    <definedName name="EN_A0900_t">EN_A0900!$I$60</definedName>
    <definedName name="EN_A0900p">EN_A0900!$I$44</definedName>
    <definedName name="EN_A090f">EN_A0900!$J$56</definedName>
    <definedName name="EN_A1000_f">EN_A1000!$J$42</definedName>
    <definedName name="EN_A1000_m">EN_A1000!$N$19</definedName>
    <definedName name="EN_A1000_p">EN_A1000!$I$34</definedName>
    <definedName name="EN_A1000_pa">EN_A1000!$E$14</definedName>
    <definedName name="EN_A1100">EN_A1100!$B$5</definedName>
    <definedName name="EN_A1100_f">EN_A1100!$J$56</definedName>
    <definedName name="EN_A1100_m">EN_A1100!$N$21</definedName>
    <definedName name="EN_A1100_p">EN_A1100!$I$42</definedName>
    <definedName name="EN_A1100_pa">EN_A1100!$E$16</definedName>
    <definedName name="EN_A1100_q">EN_A1100!$N$3</definedName>
    <definedName name="EN_A1100_t">EN_A1100!$I$60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71027" iterateDelta="1E-4"/>
</workbook>
</file>

<file path=xl/calcChain.xml><?xml version="1.0" encoding="utf-8"?>
<calcChain xmlns="http://schemas.openxmlformats.org/spreadsheetml/2006/main">
  <c r="H15" i="17" l="1"/>
  <c r="H15" i="16"/>
  <c r="N15" i="2"/>
  <c r="F31" i="1"/>
  <c r="F25" i="40" l="1"/>
  <c r="C15" i="40"/>
  <c r="F16" i="50"/>
  <c r="J11" i="50"/>
  <c r="I16" i="50"/>
  <c r="I17" i="50" s="1"/>
  <c r="I15" i="50"/>
  <c r="K11" i="50"/>
  <c r="E11" i="50" s="1"/>
  <c r="N2" i="48"/>
  <c r="C14" i="40" s="1"/>
  <c r="F16" i="48"/>
  <c r="J11" i="48"/>
  <c r="I16" i="48"/>
  <c r="I15" i="48"/>
  <c r="K11" i="48"/>
  <c r="E11" i="48"/>
  <c r="N5" i="48"/>
  <c r="D15" i="40"/>
  <c r="N2" i="44"/>
  <c r="C13" i="40" s="1"/>
  <c r="F16" i="44"/>
  <c r="I16" i="44" s="1"/>
  <c r="I17" i="44"/>
  <c r="I15" i="44"/>
  <c r="E15" i="40" l="1"/>
  <c r="N11" i="50"/>
  <c r="N12" i="50" s="1"/>
  <c r="N2" i="50" s="1"/>
  <c r="N5" i="50" s="1"/>
  <c r="I17" i="48"/>
  <c r="N11" i="48"/>
  <c r="N12" i="48" s="1"/>
  <c r="K11" i="44" l="1"/>
  <c r="J11" i="44"/>
  <c r="E11" i="44"/>
  <c r="I17" i="43"/>
  <c r="I16" i="43"/>
  <c r="I15" i="43"/>
  <c r="I18" i="43" s="1"/>
  <c r="J11" i="43"/>
  <c r="N11" i="43" s="1"/>
  <c r="N12" i="43" s="1"/>
  <c r="E11" i="43"/>
  <c r="C11" i="40"/>
  <c r="I19" i="42"/>
  <c r="N2" i="42"/>
  <c r="F16" i="42"/>
  <c r="F18" i="41"/>
  <c r="I18" i="41" s="1"/>
  <c r="I18" i="42"/>
  <c r="I17" i="42"/>
  <c r="I16" i="42"/>
  <c r="I15" i="42"/>
  <c r="F16" i="41"/>
  <c r="I16" i="41" s="1"/>
  <c r="J11" i="42"/>
  <c r="N11" i="42" s="1"/>
  <c r="I17" i="41"/>
  <c r="I20" i="41"/>
  <c r="I19" i="41"/>
  <c r="I15" i="41"/>
  <c r="J11" i="41"/>
  <c r="E11" i="41" s="1"/>
  <c r="I59" i="40"/>
  <c r="I60" i="40" s="1"/>
  <c r="N11" i="44" l="1"/>
  <c r="N2" i="43"/>
  <c r="N5" i="44"/>
  <c r="N12" i="44"/>
  <c r="I18" i="44"/>
  <c r="E11" i="42"/>
  <c r="N12" i="42"/>
  <c r="N11" i="41"/>
  <c r="N12" i="41" s="1"/>
  <c r="I21" i="41"/>
  <c r="D51" i="40"/>
  <c r="J51" i="40" s="1"/>
  <c r="D52" i="40"/>
  <c r="J52" i="40" s="1"/>
  <c r="D49" i="40"/>
  <c r="J49" i="40" s="1"/>
  <c r="D46" i="40"/>
  <c r="J46" i="40" s="1"/>
  <c r="J55" i="40"/>
  <c r="D54" i="40"/>
  <c r="J54" i="40" s="1"/>
  <c r="J53" i="40"/>
  <c r="J50" i="40"/>
  <c r="D48" i="40"/>
  <c r="J48" i="40" s="1"/>
  <c r="J47" i="40"/>
  <c r="D45" i="40"/>
  <c r="J45" i="40" s="1"/>
  <c r="I41" i="40"/>
  <c r="I40" i="40"/>
  <c r="I39" i="40"/>
  <c r="I38" i="40"/>
  <c r="I37" i="40"/>
  <c r="I36" i="40"/>
  <c r="I35" i="40"/>
  <c r="I34" i="40"/>
  <c r="I33" i="40"/>
  <c r="I32" i="40"/>
  <c r="I31" i="40"/>
  <c r="I30" i="40"/>
  <c r="I29" i="40"/>
  <c r="I28" i="40"/>
  <c r="I27" i="40"/>
  <c r="I26" i="40"/>
  <c r="I25" i="40"/>
  <c r="I24" i="40"/>
  <c r="E20" i="40"/>
  <c r="N20" i="40" s="1"/>
  <c r="N25" i="1"/>
  <c r="N24" i="1"/>
  <c r="E24" i="1"/>
  <c r="N19" i="40"/>
  <c r="D14" i="40"/>
  <c r="D13" i="40"/>
  <c r="D12" i="40"/>
  <c r="D11" i="40"/>
  <c r="D10" i="40"/>
  <c r="E14" i="40" l="1"/>
  <c r="N5" i="43"/>
  <c r="C12" i="40"/>
  <c r="E12" i="40" s="1"/>
  <c r="N5" i="42"/>
  <c r="N2" i="41"/>
  <c r="I42" i="40"/>
  <c r="J56" i="40"/>
  <c r="E11" i="40"/>
  <c r="E13" i="40"/>
  <c r="N5" i="41" l="1"/>
  <c r="C10" i="40"/>
  <c r="E10" i="40" l="1"/>
  <c r="E16" i="40" s="1"/>
  <c r="N2" i="40" s="1"/>
  <c r="E14" i="29"/>
  <c r="N2" i="29"/>
  <c r="N2" i="33"/>
  <c r="C13" i="29" s="1"/>
  <c r="N2" i="34"/>
  <c r="C12" i="29" s="1"/>
  <c r="N2" i="32"/>
  <c r="C11" i="29" s="1"/>
  <c r="N21" i="40" l="1"/>
  <c r="F20" i="33"/>
  <c r="F18" i="33"/>
  <c r="F16" i="33"/>
  <c r="F20" i="34"/>
  <c r="F18" i="34"/>
  <c r="F16" i="34"/>
  <c r="N5" i="40" l="1"/>
  <c r="I18" i="33"/>
  <c r="I20" i="33"/>
  <c r="I19" i="33"/>
  <c r="I17" i="33"/>
  <c r="I18" i="34"/>
  <c r="I19" i="34"/>
  <c r="I15" i="33"/>
  <c r="J11" i="33"/>
  <c r="N11" i="33" s="1"/>
  <c r="N12" i="33" s="1"/>
  <c r="N5" i="33"/>
  <c r="I20" i="34"/>
  <c r="I17" i="34"/>
  <c r="I15" i="34"/>
  <c r="J11" i="34"/>
  <c r="N11" i="34" s="1"/>
  <c r="N12" i="34" s="1"/>
  <c r="I22" i="32"/>
  <c r="I21" i="32"/>
  <c r="D13" i="29"/>
  <c r="D12" i="29"/>
  <c r="D11" i="29"/>
  <c r="I20" i="32"/>
  <c r="I19" i="32"/>
  <c r="I18" i="32"/>
  <c r="I17" i="32"/>
  <c r="I16" i="32"/>
  <c r="I15" i="32"/>
  <c r="J11" i="32"/>
  <c r="N11" i="32" s="1"/>
  <c r="N12" i="32" s="1"/>
  <c r="I20" i="30"/>
  <c r="I21" i="30"/>
  <c r="I22" i="30" s="1"/>
  <c r="I17" i="30"/>
  <c r="I18" i="30"/>
  <c r="I19" i="30"/>
  <c r="I16" i="34" l="1"/>
  <c r="I21" i="34" s="1"/>
  <c r="E11" i="33"/>
  <c r="I16" i="33"/>
  <c r="N5" i="34"/>
  <c r="N5" i="32"/>
  <c r="E11" i="34"/>
  <c r="I23" i="32"/>
  <c r="E11" i="32"/>
  <c r="I21" i="33" l="1"/>
  <c r="J42" i="29" l="1"/>
  <c r="N19" i="29"/>
  <c r="E13" i="29"/>
  <c r="D10" i="29"/>
  <c r="I16" i="30"/>
  <c r="J11" i="30"/>
  <c r="N11" i="30" s="1"/>
  <c r="E11" i="30"/>
  <c r="J41" i="29"/>
  <c r="D40" i="29"/>
  <c r="J40" i="29" s="1"/>
  <c r="E39" i="29"/>
  <c r="D39" i="29" s="1"/>
  <c r="J39" i="29" s="1"/>
  <c r="E38" i="29"/>
  <c r="D38" i="29" s="1"/>
  <c r="J38" i="29" s="1"/>
  <c r="D37" i="29"/>
  <c r="J37" i="29" s="1"/>
  <c r="I33" i="29"/>
  <c r="I32" i="29"/>
  <c r="I31" i="29"/>
  <c r="I30" i="29"/>
  <c r="I29" i="29"/>
  <c r="I28" i="29"/>
  <c r="I27" i="29"/>
  <c r="I26" i="29"/>
  <c r="I25" i="29"/>
  <c r="I24" i="29"/>
  <c r="I23" i="29"/>
  <c r="I22" i="29"/>
  <c r="N18" i="29"/>
  <c r="N17" i="29"/>
  <c r="N5" i="29"/>
  <c r="E12" i="29" l="1"/>
  <c r="E11" i="29"/>
  <c r="N13" i="30"/>
  <c r="N2" i="30" s="1"/>
  <c r="I34" i="29"/>
  <c r="N5" i="30" l="1"/>
  <c r="C10" i="29"/>
  <c r="E10" i="29" s="1"/>
  <c r="D18" i="1"/>
  <c r="D17" i="1"/>
  <c r="D16" i="1"/>
  <c r="D15" i="1"/>
  <c r="D14" i="1"/>
  <c r="D13" i="1"/>
  <c r="D12" i="1"/>
  <c r="D11" i="1"/>
  <c r="D10" i="1"/>
  <c r="C14" i="1"/>
  <c r="C13" i="1"/>
  <c r="C12" i="1"/>
  <c r="C11" i="1"/>
  <c r="J11" i="20"/>
  <c r="I17" i="20" l="1"/>
  <c r="I16" i="20"/>
  <c r="K11" i="20"/>
  <c r="E11" i="20"/>
  <c r="J11" i="19"/>
  <c r="E11" i="19" s="1"/>
  <c r="I17" i="19"/>
  <c r="I16" i="19"/>
  <c r="K11" i="19"/>
  <c r="J11" i="17"/>
  <c r="I16" i="17"/>
  <c r="I15" i="17"/>
  <c r="K11" i="17"/>
  <c r="E11" i="17" s="1"/>
  <c r="I16" i="16"/>
  <c r="I15" i="16"/>
  <c r="J11" i="16"/>
  <c r="K11" i="16"/>
  <c r="N11" i="16" s="1"/>
  <c r="N12" i="16" s="1"/>
  <c r="N2" i="15"/>
  <c r="N2" i="14"/>
  <c r="N2" i="13"/>
  <c r="N5" i="13" s="1"/>
  <c r="J11" i="15"/>
  <c r="E11" i="15" s="1"/>
  <c r="K11" i="15"/>
  <c r="I17" i="15"/>
  <c r="I16" i="15"/>
  <c r="N11" i="15"/>
  <c r="N13" i="15" s="1"/>
  <c r="N5" i="15"/>
  <c r="I17" i="14"/>
  <c r="I18" i="14" s="1"/>
  <c r="I16" i="14"/>
  <c r="J11" i="14"/>
  <c r="P7" i="14"/>
  <c r="K11" i="14"/>
  <c r="N11" i="14"/>
  <c r="N13" i="14" s="1"/>
  <c r="E11" i="14"/>
  <c r="N5" i="14"/>
  <c r="J11" i="13"/>
  <c r="I17" i="13"/>
  <c r="I16" i="13"/>
  <c r="I18" i="13" s="1"/>
  <c r="N2" i="10"/>
  <c r="N5" i="10" s="1"/>
  <c r="I17" i="10"/>
  <c r="I16" i="10"/>
  <c r="J11" i="10"/>
  <c r="D22" i="1"/>
  <c r="N22" i="1" s="1"/>
  <c r="D55" i="1"/>
  <c r="J55" i="1" s="1"/>
  <c r="D54" i="1"/>
  <c r="J54" i="1" s="1"/>
  <c r="D53" i="1"/>
  <c r="J53" i="1" s="1"/>
  <c r="D52" i="1"/>
  <c r="J52" i="1" s="1"/>
  <c r="J51" i="1"/>
  <c r="D50" i="1"/>
  <c r="J50" i="1" s="1"/>
  <c r="D49" i="1"/>
  <c r="J49" i="1" s="1"/>
  <c r="D48" i="1"/>
  <c r="J48" i="1" s="1"/>
  <c r="D47" i="1"/>
  <c r="J47" i="1" s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E14" i="1"/>
  <c r="J38" i="2"/>
  <c r="D37" i="2"/>
  <c r="J37" i="2" s="1"/>
  <c r="J36" i="2"/>
  <c r="D35" i="2"/>
  <c r="J35" i="2" s="1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J11" i="2"/>
  <c r="N11" i="2" s="1"/>
  <c r="N14" i="2"/>
  <c r="J13" i="2"/>
  <c r="N13" i="2" s="1"/>
  <c r="J12" i="2"/>
  <c r="N12" i="2" s="1"/>
  <c r="D23" i="1"/>
  <c r="N23" i="1" s="1"/>
  <c r="N26" i="1"/>
  <c r="E11" i="2" l="1"/>
  <c r="E11" i="16"/>
  <c r="I44" i="1"/>
  <c r="I18" i="20"/>
  <c r="N11" i="20"/>
  <c r="N13" i="20" s="1"/>
  <c r="I18" i="19"/>
  <c r="N11" i="19"/>
  <c r="N13" i="19" s="1"/>
  <c r="I17" i="17"/>
  <c r="N11" i="17"/>
  <c r="N12" i="17" s="1"/>
  <c r="I17" i="16"/>
  <c r="N2" i="16" s="1"/>
  <c r="I18" i="15"/>
  <c r="E11" i="13"/>
  <c r="N11" i="13" s="1"/>
  <c r="N13" i="13" s="1"/>
  <c r="E13" i="1"/>
  <c r="E11" i="1"/>
  <c r="E12" i="1"/>
  <c r="I18" i="10"/>
  <c r="E11" i="10"/>
  <c r="N11" i="10" s="1"/>
  <c r="N13" i="10" s="1"/>
  <c r="I32" i="2"/>
  <c r="E13" i="2"/>
  <c r="E12" i="2"/>
  <c r="N2" i="17" l="1"/>
  <c r="N5" i="17" s="1"/>
  <c r="N5" i="16"/>
  <c r="C15" i="1"/>
  <c r="E15" i="1" s="1"/>
  <c r="N2" i="20"/>
  <c r="N2" i="19"/>
  <c r="N5" i="20" l="1"/>
  <c r="C18" i="1"/>
  <c r="E18" i="1" s="1"/>
  <c r="N5" i="19"/>
  <c r="C17" i="1"/>
  <c r="E17" i="1" s="1"/>
  <c r="C16" i="1"/>
  <c r="E16" i="1" s="1"/>
  <c r="C7" i="8"/>
  <c r="B9" i="8"/>
  <c r="B10" i="8"/>
  <c r="B11" i="8"/>
  <c r="B12" i="8"/>
  <c r="B13" i="8"/>
  <c r="B14" i="8"/>
  <c r="B15" i="8"/>
  <c r="B16" i="8"/>
  <c r="B17" i="8"/>
  <c r="B8" i="8"/>
  <c r="B7" i="8"/>
  <c r="I7" i="8"/>
  <c r="C8" i="8"/>
  <c r="F8" i="8"/>
  <c r="F7" i="8"/>
  <c r="I8" i="8"/>
  <c r="B18" i="8" l="1"/>
  <c r="E8" i="8" l="1"/>
  <c r="H9" i="8" l="1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M8" i="8"/>
  <c r="I59" i="1"/>
  <c r="J39" i="2" l="1"/>
  <c r="L8" i="8" s="1"/>
  <c r="J8" i="8"/>
  <c r="J56" i="1"/>
  <c r="L7" i="8" s="1"/>
  <c r="K7" i="8"/>
  <c r="I60" i="1"/>
  <c r="M7" i="8" s="1"/>
  <c r="M18" i="8" s="1"/>
  <c r="K8" i="8"/>
  <c r="N27" i="1"/>
  <c r="N2" i="2" l="1"/>
  <c r="C10" i="1" s="1"/>
  <c r="E10" i="1" s="1"/>
  <c r="E19" i="1" s="1"/>
  <c r="N2" i="1" s="1"/>
  <c r="J7" i="8"/>
  <c r="H7" i="8" s="1"/>
  <c r="L18" i="8"/>
  <c r="K18" i="8"/>
  <c r="N7" i="8"/>
  <c r="H8" i="8"/>
  <c r="N8" i="8" s="1"/>
  <c r="J18" i="8"/>
  <c r="O1" i="8"/>
  <c r="N5" i="2" l="1"/>
  <c r="N18" i="8"/>
  <c r="N5" i="1" l="1"/>
</calcChain>
</file>

<file path=xl/sharedStrings.xml><?xml version="1.0" encoding="utf-8"?>
<sst xmlns="http://schemas.openxmlformats.org/spreadsheetml/2006/main" count="1904" uniqueCount="375">
  <si>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</si>
  <si>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</si>
  <si>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</si>
  <si>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</si>
  <si>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</si>
  <si>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</si>
  <si>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</si>
  <si>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</si>
  <si>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</si>
  <si>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</si>
  <si>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</si>
  <si>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</si>
  <si>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</si>
  <si>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</si>
  <si>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</si>
  <si>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</si>
  <si>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</si>
  <si>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</si>
  <si>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</si>
  <si>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</si>
  <si>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</si>
  <si>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</si>
  <si>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</si>
  <si>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</si>
  <si>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</si>
  <si>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</si>
  <si>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</si>
  <si>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</si>
  <si>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</si>
  <si>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</si>
  <si>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</si>
  <si>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</si>
  <si>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</si>
  <si>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</si>
  <si>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</si>
  <si>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</si>
  <si>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</si>
  <si>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</si>
  <si>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</si>
  <si>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</si>
  <si>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</si>
  <si>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</si>
  <si>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</si>
  <si>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</si>
  <si>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</si>
  <si>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</si>
  <si>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</si>
  <si>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</si>
  <si>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</si>
  <si>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</si>
  <si>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</si>
  <si>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</si>
  <si>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</si>
  <si>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</si>
  <si>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</si>
  <si>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</si>
  <si>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</si>
  <si>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</si>
  <si>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</si>
  <si>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</si>
  <si>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</si>
  <si>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</si>
  <si>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</si>
  <si>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</si>
  <si>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</si>
  <si>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</si>
  <si>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</si>
  <si>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</si>
  <si>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</si>
  <si>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</si>
  <si>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</si>
  <si>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</si>
  <si>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</si>
  <si>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</si>
  <si>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</si>
  <si>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</si>
  <si>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</si>
  <si>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</si>
  <si>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</si>
  <si>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</si>
  <si>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</si>
  <si>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</si>
  <si>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</si>
  <si>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</si>
  <si>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</si>
  <si>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</si>
  <si>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</si>
  <si>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</si>
  <si>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</si>
  <si>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</si>
  <si>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</si>
  <si>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</si>
  <si>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</si>
  <si>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</si>
  <si>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</si>
  <si>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</si>
  <si>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</si>
  <si>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</si>
  <si>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</si>
  <si>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</si>
  <si>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</si>
  <si>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</si>
  <si>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</si>
  <si>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</si>
  <si>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</si>
  <si>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</si>
  <si>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Renommer les cases quantité (cellule N3), et sous-totaux de chaque part respectivement code_de_la_part_x avec x = q pour quantité, m pour material, f pour fastener, t pour tooling et p pour process</t>
  </si>
  <si>
    <t>Remplir la quantité, Material, Process, Fastener, Tooling. Dans le cas où une table n'est pas concernée (elle est restée vide), la supprimer complètement.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</si>
  <si>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</si>
  <si>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</si>
  <si>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</si>
  <si>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</si>
  <si>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</si>
  <si>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</si>
  <si>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</si>
  <si>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</si>
  <si>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Renommer l'onglet avec ce même code</t>
  </si>
  <si>
    <t>Viennent ensuite les Parts. Pour chaque Part :</t>
  </si>
  <si>
    <t>FSAEI</t>
  </si>
  <si>
    <t>Back to BOM</t>
  </si>
  <si>
    <t>Petite marche à suivre pour remplir cette merveille qu'est le cost</t>
  </si>
  <si>
    <t>Feuille EN Assembly : Feuille pour 1 assemblage du système EN. Pour un nouvel assemblage, créer un nouveau document à partir du template. 1 document Excel = 1 assemblage</t>
  </si>
  <si>
    <t>ex EN_A0001_q, …</t>
  </si>
  <si>
    <t>Feuille EN Part x : Feuille pour 1 part de l'assemblage. Pour faire une nouvelle part, créer un nouvel onglet à partir du template. 1 onglet = 1 part.</t>
  </si>
  <si>
    <t>Renommer cette cellule du nom du code qu'elle comprend mais avec un _ comme séparateur : ex EN_01001</t>
  </si>
  <si>
    <t>Créer un lien vers l'assemblage : sélectionner la cellule, faites Ctrl+K, il apparait une fenetre, en référence de la cellule (A1 par défaut) indiquez le nom de la cellule renommé de l'assemblage (par ex EN_A0001)</t>
  </si>
  <si>
    <t>ex : EN_01001_q, …</t>
  </si>
  <si>
    <t>Faites une capture d'écran du plan de la part en question et coller l'image dans l'onglet "EN Drawing 1"</t>
  </si>
  <si>
    <t>Renommer la cellule avec le nouveau lien d_code_de_la_part, ex dEN_01001</t>
  </si>
  <si>
    <t>Dans le détail de la part (onglet "EN Part x") écrire à côté de cellule File Link "Drawing" et mettre un lien vers la cellule surplombant le plan ayant le code d_code_de_la_part (ex dEN_01001)</t>
  </si>
  <si>
    <t>sélectionner la cellule, faites Ctrl+K, apparait une fenetre, en référence de la cellule (A1 par défaut) indiquez le nom de la cellule renommé de la Part (par ex EN_01001)</t>
  </si>
  <si>
    <t>Insérer un lien vers la Part sur le plan par clic droit sur l'image. Cible du lien vers la Part (ex EN_01001)</t>
  </si>
  <si>
    <t>Renomme cette cellule du nom du code qu'elle comprend mais avec un _ comme séparateur : ex EN_A0001</t>
  </si>
  <si>
    <t>Consulter le tutoriel disponible sur GitHub, dans Vulcanix-v1.0/Cost Report, pour plus d'informations sur cette étape.</t>
  </si>
  <si>
    <t>Engine &amp; Drivetrain</t>
  </si>
  <si>
    <t>Differential</t>
  </si>
  <si>
    <t>Differential housing and mounting assembly</t>
  </si>
  <si>
    <t>Housing</t>
  </si>
  <si>
    <t>Right Eccentric</t>
  </si>
  <si>
    <t>Left Eccentric</t>
  </si>
  <si>
    <t>Differential Assembly</t>
  </si>
  <si>
    <t>Right differential bearing</t>
  </si>
  <si>
    <t>Left differential bearing</t>
  </si>
  <si>
    <t>Paint</t>
  </si>
  <si>
    <t>Paint the tabs</t>
  </si>
  <si>
    <t>m^2</t>
  </si>
  <si>
    <t>Fluid, Oil</t>
  </si>
  <si>
    <t>Differential oil</t>
  </si>
  <si>
    <t>litre</t>
  </si>
  <si>
    <t>Differential Internals, Limited Slip, Salisbury or Powerflow or Clutch Style</t>
  </si>
  <si>
    <t>Bearing, Ball, Deep groove</t>
  </si>
  <si>
    <t>Paint the brackets</t>
  </si>
  <si>
    <t>Left Jacking Bar bracket</t>
  </si>
  <si>
    <t>Bought, cost as made</t>
  </si>
  <si>
    <t>Aluminium, Premium</t>
  </si>
  <si>
    <t>kg</t>
  </si>
  <si>
    <t>Round 102mm diam.</t>
  </si>
  <si>
    <t>Seal, O-Ring, Elastomer</t>
  </si>
  <si>
    <t>EN_0900_001</t>
  </si>
  <si>
    <t>EN_A0900</t>
  </si>
  <si>
    <t>Setup and removal</t>
  </si>
  <si>
    <t>Machining</t>
  </si>
  <si>
    <t>cm^3</t>
  </si>
  <si>
    <t>Material-Aluminium</t>
  </si>
  <si>
    <t>Tapping holes</t>
  </si>
  <si>
    <t>Tapping lateral holes</t>
  </si>
  <si>
    <t>hole</t>
  </si>
  <si>
    <t>Tapping central holes</t>
  </si>
  <si>
    <t>Drilled holes &lt; 25.4 mm dia.</t>
  </si>
  <si>
    <t>Hole for the diff. Housing</t>
  </si>
  <si>
    <t>Broach, External</t>
  </si>
  <si>
    <t>Broach the housing cover</t>
  </si>
  <si>
    <t>Hole for the diff. Cover</t>
  </si>
  <si>
    <t>Assemble, 1 kg, Line-on-Line</t>
  </si>
  <si>
    <t>Assemble the three parts</t>
  </si>
  <si>
    <t>Ratchet &lt;= 6.35 mm</t>
  </si>
  <si>
    <t>Ratchet &lt;= 25.4 mm</t>
  </si>
  <si>
    <t>Bolt the drain</t>
  </si>
  <si>
    <t>Bolt, Grade 12.9</t>
  </si>
  <si>
    <t>Assembly of the three parts</t>
  </si>
  <si>
    <t>Washer, Grade 12.9</t>
  </si>
  <si>
    <t>Bolt, Grade 10.9 (SAE 8)</t>
  </si>
  <si>
    <t>Washer, Crush</t>
  </si>
  <si>
    <t>Weld</t>
  </si>
  <si>
    <t>Weld tabs to frame</t>
  </si>
  <si>
    <t>Aerosol apply</t>
  </si>
  <si>
    <t>Assemble, 3 kg, Interference</t>
  </si>
  <si>
    <t>Assemble the housing</t>
  </si>
  <si>
    <t>Assemble, 1 kg, Interference</t>
  </si>
  <si>
    <t>Assemble the right bearing and eccentric</t>
  </si>
  <si>
    <t>Assemble the left bearing and eccentric</t>
  </si>
  <si>
    <t>Assemble the bearing carriers and the bearings</t>
  </si>
  <si>
    <t>Ratchet &lt;= 6,35mm</t>
  </si>
  <si>
    <t>Bolt the bearing carriers to eccentric</t>
  </si>
  <si>
    <t>Reaction Tool &lt;=6,35mm</t>
  </si>
  <si>
    <t>Assemble, 3kg, Line-on-Line</t>
  </si>
  <si>
    <t>Put the bearing carriers and tabs in place</t>
  </si>
  <si>
    <t>Assemble, 1kg, Loose</t>
  </si>
  <si>
    <t>Put two washers on bolt</t>
  </si>
  <si>
    <t>Ratchet &lt;=25,4mm</t>
  </si>
  <si>
    <t>Bolt the left bearing carrier to tabs</t>
  </si>
  <si>
    <t>Reaction Tool &lt;=25,4mm</t>
  </si>
  <si>
    <t>Bolt the right bearing carrier to tabs</t>
  </si>
  <si>
    <t>Bolt, Grade 8,8 (SAE 5)</t>
  </si>
  <si>
    <t>Assemble left bearing carrier and tabs</t>
  </si>
  <si>
    <t>Nut, Grade 8,8 (SAE 5)</t>
  </si>
  <si>
    <t>Blocking left bearing carrier and left eccentric</t>
  </si>
  <si>
    <t>Washer, Grade 8,8 (SAE 5)</t>
  </si>
  <si>
    <t>Blocking eccentric</t>
  </si>
  <si>
    <t>Assemble right bearing carrier and tabs</t>
  </si>
  <si>
    <t>Blocking right bearing carrier and right eccentric</t>
  </si>
  <si>
    <t>EN_0900_002</t>
  </si>
  <si>
    <t>Left Eccentric Carrier</t>
  </si>
  <si>
    <t>Right Eccentric Carrier</t>
  </si>
  <si>
    <t>Upper Eccentric Carrier bracket</t>
  </si>
  <si>
    <t>Lower Eccentric Carrier bracket</t>
  </si>
  <si>
    <t>Plastic, Polyoxymethylene (POM)</t>
  </si>
  <si>
    <t>175mm diam</t>
  </si>
  <si>
    <t>Setup for machining</t>
  </si>
  <si>
    <t>Holes</t>
  </si>
  <si>
    <t>Material - Plastic</t>
  </si>
  <si>
    <t>EN_0900_003</t>
  </si>
  <si>
    <t>165mm diam</t>
  </si>
  <si>
    <t>EN_0900_004</t>
  </si>
  <si>
    <t>Left Eccentric carrier</t>
  </si>
  <si>
    <t>Material for the left bearing carrier</t>
  </si>
  <si>
    <t>Rectangular area 374x130 mm</t>
  </si>
  <si>
    <t>Setup and removal of the machining of the right bearing carrier</t>
  </si>
  <si>
    <t>Shaping of the differential bearing carrier</t>
  </si>
  <si>
    <t>Material - Aluminium</t>
  </si>
  <si>
    <t>Right Eccentric carrier</t>
  </si>
  <si>
    <t>EN_0900_005</t>
  </si>
  <si>
    <t>Rectangular area 374x120 mm</t>
  </si>
  <si>
    <t>EN_0900_006</t>
  </si>
  <si>
    <t>Steel, Mild</t>
  </si>
  <si>
    <t>Material for the bracket</t>
  </si>
  <si>
    <t>Rectangular area 46x34 mm</t>
  </si>
  <si>
    <t>Material, Steel</t>
  </si>
  <si>
    <t>Shaping of the brackets and holes</t>
  </si>
  <si>
    <t>EN_0900_007</t>
  </si>
  <si>
    <t>Rectangular area 46x29 mm</t>
  </si>
  <si>
    <t>EN_0900_008</t>
  </si>
  <si>
    <t>Rectangular area 60x47 mm</t>
  </si>
  <si>
    <t>Right Jacking Bar bracket</t>
  </si>
  <si>
    <t>EN_0900_009</t>
  </si>
  <si>
    <t>Rectangular area 61x47 mm</t>
  </si>
  <si>
    <t>EN_A1000</t>
  </si>
  <si>
    <t>Driveshaft</t>
  </si>
  <si>
    <t>Inboard tripod housing</t>
  </si>
  <si>
    <t>Outboard tripod housing</t>
  </si>
  <si>
    <t>Right axle</t>
  </si>
  <si>
    <t>Left axle</t>
  </si>
  <si>
    <t>Constant Velocity Joint, Tripod</t>
  </si>
  <si>
    <t>Tripods</t>
  </si>
  <si>
    <t>Constant Velocity Joint, Boot</t>
  </si>
  <si>
    <t>Boots for driveshatfts</t>
  </si>
  <si>
    <t>Assemble a tripod housing and the differential</t>
  </si>
  <si>
    <t>Wrench &lt;= 25,4 mm</t>
  </si>
  <si>
    <t>Fasten the differential and the tripod housing</t>
  </si>
  <si>
    <t>Assemble a boot and an axle</t>
  </si>
  <si>
    <t>Assemble an axle and a snap ring</t>
  </si>
  <si>
    <t>Assemble a tripod and an axle</t>
  </si>
  <si>
    <t>Assemble, 3 kg, Loose</t>
  </si>
  <si>
    <t>Assemble an axle and a tripod housing</t>
  </si>
  <si>
    <t>Assemble a boot and a tripod housing</t>
  </si>
  <si>
    <t>Assemble a tripod housing and a hub</t>
  </si>
  <si>
    <t>Ratchet &lt;= 25,4 mm</t>
  </si>
  <si>
    <t>Bolt tripod housing to hub</t>
  </si>
  <si>
    <t>Assemble a hose clamp and a tripod housing</t>
  </si>
  <si>
    <t>Assemble a hose clamp and an axle</t>
  </si>
  <si>
    <t>Retaining Ring, External</t>
  </si>
  <si>
    <t>Snap ring for retaining the tripods</t>
  </si>
  <si>
    <t>Hose Clamp, Worm Drive</t>
  </si>
  <si>
    <t>Fasten the boot</t>
  </si>
  <si>
    <t>Assemble the tripod housing to the differential</t>
  </si>
  <si>
    <t>Nut, Grade 8.8 (SAE 5)</t>
  </si>
  <si>
    <t>Fasten the tripod housing and the hub</t>
  </si>
  <si>
    <t>EN_1000_001</t>
  </si>
  <si>
    <t>Steel, Alloy</t>
  </si>
  <si>
    <t>Material for the housing</t>
  </si>
  <si>
    <t>Round 65.5 mm diam.</t>
  </si>
  <si>
    <t>Setup and removal of the machining of the tripod housing</t>
  </si>
  <si>
    <t>Material-Steel</t>
  </si>
  <si>
    <t>Machining Setup, Change</t>
  </si>
  <si>
    <t>Broach of the tripod housing</t>
  </si>
  <si>
    <t>Machining the ext shape of the tripod housing (turning)</t>
  </si>
  <si>
    <t>Material - Steel</t>
  </si>
  <si>
    <t>Machining the int shape of the tripod housing (milling)</t>
  </si>
  <si>
    <t>Changing of the machining of the tripod housing</t>
  </si>
  <si>
    <t>Changing of the broach of the tripod housing</t>
  </si>
  <si>
    <t>EN_1000_002</t>
  </si>
  <si>
    <t>EN_1000_003</t>
  </si>
  <si>
    <t>Left Axle</t>
  </si>
  <si>
    <t>Right Axle</t>
  </si>
  <si>
    <t>EN_1000_004</t>
  </si>
  <si>
    <t>Setup and removal of the threading of the tripod housing</t>
  </si>
  <si>
    <t>Threading, External (machining)</t>
  </si>
  <si>
    <t>Threading of the tripod housing</t>
  </si>
  <si>
    <t>Round 22,1 mm diam.</t>
  </si>
  <si>
    <t>Material for driveshaft</t>
  </si>
  <si>
    <t>Setup and removal of the machining of the axle</t>
  </si>
  <si>
    <t>Setup and removal of the broach of the axle</t>
  </si>
  <si>
    <t>Broach of the axle</t>
  </si>
  <si>
    <t>Cut of the edge of the axle</t>
  </si>
  <si>
    <t>Shaping of the int of the axle</t>
  </si>
  <si>
    <t>Drawing of the cut</t>
  </si>
  <si>
    <t>EN_A1100</t>
  </si>
  <si>
    <t>Front sprocket</t>
  </si>
  <si>
    <t>rear sprocket</t>
  </si>
  <si>
    <t>Rear sprocket adaptor</t>
  </si>
  <si>
    <t>Chain shield</t>
  </si>
  <si>
    <t>Chain</t>
  </si>
  <si>
    <t>Chain shield and Bracket painting</t>
  </si>
  <si>
    <t>Weld tab to frame</t>
  </si>
  <si>
    <t>Tabs and shield painting</t>
  </si>
  <si>
    <t>Put the rear sprocket adapter on the differential</t>
  </si>
  <si>
    <t>Put the retaining ring in the groove</t>
  </si>
  <si>
    <t>Assemble, 1 kg, Loose</t>
  </si>
  <si>
    <t>Place bolts and washers</t>
  </si>
  <si>
    <t>Bolt rear sprocket to adapter</t>
  </si>
  <si>
    <t>Reaction Tool &lt;= 25.4 mm</t>
  </si>
  <si>
    <t>Put the front sprocket in place</t>
  </si>
  <si>
    <t>Bolt front sprocket to engine</t>
  </si>
  <si>
    <t>Put chain in place</t>
  </si>
  <si>
    <t>Adjustment - Misc.</t>
  </si>
  <si>
    <t>Chain tension</t>
  </si>
  <si>
    <t>Bolt upper chain shield to tab</t>
  </si>
  <si>
    <t>Bolt lower chain shield to tab</t>
  </si>
  <si>
    <t>Put the centering pin in the rear sprocket adaptor holes</t>
  </si>
  <si>
    <t>Assemble the rear sprocket with the adapter</t>
  </si>
  <si>
    <t>Assemble the chain shield with the tab</t>
  </si>
  <si>
    <t>Assemble the front sprocket with the engine</t>
  </si>
  <si>
    <t>Retaining ring, External</t>
  </si>
  <si>
    <t>Hold the rear sprocket in place on the differential</t>
  </si>
  <si>
    <t>Chain Set</t>
  </si>
  <si>
    <t>EN_1100_001</t>
  </si>
  <si>
    <t>Material for front sprocket</t>
  </si>
  <si>
    <t>Round 81mm diam.</t>
  </si>
  <si>
    <t>Setup and removal of the machining of the sprocket</t>
  </si>
  <si>
    <t>Shaping of the sprocket</t>
  </si>
  <si>
    <t>Material-steel</t>
  </si>
  <si>
    <t>Gear Shaping (hobbing)</t>
  </si>
  <si>
    <t>Setup and removal of the broach of the sprocket</t>
  </si>
  <si>
    <t>Broach, Internal</t>
  </si>
  <si>
    <t>Broach of the sprocket</t>
  </si>
  <si>
    <t>Shaping of the sprocket (turning)</t>
  </si>
  <si>
    <t>Setup and removal of the hobbing of the sprocket</t>
  </si>
  <si>
    <t>Hobbing of the sprocket</t>
  </si>
  <si>
    <t>EN_1100_002</t>
  </si>
  <si>
    <t>Rear sprocket</t>
  </si>
  <si>
    <t>Material for the rear sprocket</t>
  </si>
  <si>
    <t>Round 210mm diam.</t>
  </si>
  <si>
    <t>Setup and removal for laser cut of the sprocket</t>
  </si>
  <si>
    <t>Laser cut</t>
  </si>
  <si>
    <t>EN_1100_003</t>
  </si>
  <si>
    <t>Material for the adapter</t>
  </si>
  <si>
    <t>Round 190mm diam.</t>
  </si>
  <si>
    <t>Setup and removal of the machining of the adapter</t>
  </si>
  <si>
    <t>Shaping of the adapter</t>
  </si>
  <si>
    <t>Broach of the adapter</t>
  </si>
  <si>
    <t>EN_1100_004</t>
  </si>
  <si>
    <t>Material for the upper chain shield</t>
  </si>
  <si>
    <t>Rectangular area 101 x 930 mm</t>
  </si>
  <si>
    <t>Setup and removal of the machining of the shield</t>
  </si>
  <si>
    <t>Shaping of the chain shield</t>
  </si>
  <si>
    <t>Sheet metal bends</t>
  </si>
  <si>
    <t>Bend to shape</t>
  </si>
  <si>
    <t>bend</t>
  </si>
  <si>
    <t>Upper chainshield bracket</t>
  </si>
  <si>
    <t>EN_1100_005</t>
  </si>
  <si>
    <t>Rectangular area 30,6x25 mm</t>
  </si>
  <si>
    <t>EN_1100_006</t>
  </si>
  <si>
    <t>Rectangular area 32,3x23 mm</t>
  </si>
  <si>
    <t>Lower chainshield bracket</t>
  </si>
  <si>
    <t>4 parts cut from a single machine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</si>
</sst>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[$$-409]* #,##0.00_ ;_-[$$-409]* \-#,##0.00\ ;_-[$$-409]* &quot;-&quot;??_ ;_-@_ "/>
    <numFmt numFmtId="171" formatCode="0.000"/>
    <numFmt numFmtId="172" formatCode="_(* #,##0_);_(* \(#,##0\);_(* &quot;-&quot;??_);_(@_)"/>
    <numFmt numFmtId="173" formatCode="_(* #,##0.000_);_(* \(#,##0.000\);_(* &quot;-&quot;??_);_(@_)"/>
    <numFmt numFmtId="174" formatCode="_-* #,##0.000\ _€_-;\-* #,##0.000\ _€_-;_-* &quot;-&quot;???\ _€_-;_-@_-"/>
    <numFmt numFmtId="175" formatCode="0.0000E+00"/>
    <numFmt numFmtId="176" formatCode="&quot;$&quot;#,##0.00"/>
    <numFmt numFmtId="177" formatCode="0.0"/>
    <numFmt numFmtId="178" formatCode="0.00000E+00"/>
    <numFmt numFmtId="179" formatCode="_-* #,##0.000_-;\-* #,##0.000_-;_-* &quot;-&quot;??_-;_-@_-"/>
    <numFmt numFmtId="180" formatCode="_-* #,##0.000\ _€_-;\-* #,##0.000\ _€_-;_-* &quot;-&quot;??\ _€_-;_-@_-"/>
  </numFmts>
  <fonts count="2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rgb="FFFAC090"/>
      </patternFill>
    </fill>
    <fill>
      <patternFill patternType="solid">
        <fgColor theme="6" tint="-0.249977111117893"/>
        <bgColor rgb="FFFCD5B5"/>
      </patternFill>
    </fill>
  </fills>
  <borders count="66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7" fillId="0" borderId="0"/>
    <xf numFmtId="168" fontId="7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6" fillId="2" borderId="6">
      <alignment vertical="center" wrapText="1"/>
    </xf>
    <xf numFmtId="169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169" fontId="15" fillId="0" borderId="0" applyFont="0" applyFill="0" applyBorder="0" applyAlignment="0" applyProtection="0"/>
    <xf numFmtId="0" fontId="26" fillId="0" borderId="0"/>
    <xf numFmtId="0" fontId="5" fillId="0" borderId="0"/>
    <xf numFmtId="168" fontId="1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1">
      <alignment vertical="center" wrapText="1"/>
    </xf>
  </cellStyleXfs>
  <cellXfs count="376">
    <xf numFmtId="0" fontId="0" fillId="0" borderId="0" xfId="0"/>
    <xf numFmtId="18" fontId="11" fillId="0" borderId="7" xfId="1" applyNumberFormat="1" applyFont="1" applyFill="1" applyBorder="1" applyAlignment="1" applyProtection="1">
      <protection locked="0"/>
    </xf>
    <xf numFmtId="0" fontId="11" fillId="0" borderId="7" xfId="1" applyFont="1" applyFill="1" applyBorder="1" applyAlignment="1">
      <alignment horizontal="center"/>
    </xf>
    <xf numFmtId="169" fontId="11" fillId="0" borderId="7" xfId="5" applyFont="1" applyFill="1" applyBorder="1" applyProtection="1">
      <protection locked="0"/>
    </xf>
    <xf numFmtId="0" fontId="11" fillId="0" borderId="7" xfId="1" applyFont="1" applyFill="1" applyBorder="1" applyAlignment="1" applyProtection="1">
      <alignment horizontal="center"/>
      <protection locked="0"/>
    </xf>
    <xf numFmtId="0" fontId="11" fillId="0" borderId="7" xfId="1" applyFont="1" applyFill="1" applyBorder="1" applyProtection="1">
      <protection locked="0"/>
    </xf>
    <xf numFmtId="169" fontId="8" fillId="0" borderId="0" xfId="5" applyFont="1"/>
    <xf numFmtId="0" fontId="8" fillId="0" borderId="0" xfId="1" applyFont="1" applyProtection="1">
      <protection locked="0"/>
    </xf>
    <xf numFmtId="169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0" fillId="0" borderId="0" xfId="0" applyFont="1"/>
    <xf numFmtId="0" fontId="0" fillId="0" borderId="0" xfId="0" applyAlignment="1"/>
    <xf numFmtId="0" fontId="3" fillId="0" borderId="0" xfId="0" applyFont="1" applyBorder="1"/>
    <xf numFmtId="0" fontId="0" fillId="0" borderId="0" xfId="0" applyAlignment="1">
      <alignment wrapText="1"/>
    </xf>
    <xf numFmtId="0" fontId="3" fillId="0" borderId="4" xfId="0" applyFont="1" applyBorder="1"/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1" fillId="0" borderId="7" xfId="1" applyFont="1" applyFill="1" applyBorder="1" applyAlignment="1">
      <alignment horizontal="left"/>
    </xf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69" fontId="7" fillId="0" borderId="0" xfId="1" applyNumberFormat="1" applyFont="1"/>
    <xf numFmtId="0" fontId="12" fillId="0" borderId="8" xfId="1" applyFont="1" applyBorder="1" applyAlignment="1">
      <alignment horizontal="center" wrapText="1"/>
    </xf>
    <xf numFmtId="2" fontId="12" fillId="0" borderId="8" xfId="1" applyNumberFormat="1" applyFont="1" applyBorder="1" applyAlignment="1">
      <alignment horizontal="center" wrapText="1"/>
    </xf>
    <xf numFmtId="169" fontId="12" fillId="0" borderId="8" xfId="5" applyFont="1" applyBorder="1" applyAlignment="1">
      <alignment horizontal="center" wrapText="1"/>
    </xf>
    <xf numFmtId="0" fontId="17" fillId="4" borderId="9" xfId="6" applyFont="1" applyFill="1" applyBorder="1"/>
    <xf numFmtId="0" fontId="17" fillId="4" borderId="11" xfId="6" applyFont="1" applyFill="1" applyBorder="1"/>
    <xf numFmtId="0" fontId="17" fillId="4" borderId="10" xfId="6" applyFont="1" applyFill="1" applyBorder="1"/>
    <xf numFmtId="0" fontId="17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165" fontId="4" fillId="0" borderId="16" xfId="7" applyNumberFormat="1" applyFont="1" applyBorder="1" applyAlignment="1" applyProtection="1"/>
    <xf numFmtId="37" fontId="4" fillId="0" borderId="16" xfId="7" applyNumberFormat="1" applyFont="1" applyBorder="1" applyAlignment="1" applyProtection="1"/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19" fillId="0" borderId="0" xfId="0" applyFont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0" fontId="4" fillId="0" borderId="16" xfId="7" applyNumberFormat="1" applyFont="1" applyBorder="1" applyAlignment="1" applyProtection="1"/>
    <xf numFmtId="170" fontId="11" fillId="0" borderId="7" xfId="1" applyNumberFormat="1" applyFont="1" applyFill="1" applyBorder="1" applyAlignment="1">
      <alignment horizontal="right"/>
    </xf>
    <xf numFmtId="0" fontId="11" fillId="7" borderId="3" xfId="1" applyFont="1" applyFill="1" applyBorder="1" applyProtection="1">
      <protection locked="0"/>
    </xf>
    <xf numFmtId="0" fontId="11" fillId="7" borderId="3" xfId="1" applyFont="1" applyFill="1" applyBorder="1" applyAlignment="1">
      <alignment horizontal="left"/>
    </xf>
    <xf numFmtId="18" fontId="11" fillId="7" borderId="3" xfId="1" applyNumberFormat="1" applyFont="1" applyFill="1" applyBorder="1" applyAlignment="1" applyProtection="1">
      <protection locked="0"/>
    </xf>
    <xf numFmtId="0" fontId="18" fillId="7" borderId="3" xfId="8" applyFill="1" applyBorder="1" applyAlignment="1">
      <alignment horizontal="left"/>
    </xf>
    <xf numFmtId="170" fontId="11" fillId="7" borderId="3" xfId="5" applyNumberFormat="1" applyFont="1" applyFill="1" applyBorder="1" applyProtection="1">
      <protection locked="0"/>
    </xf>
    <xf numFmtId="37" fontId="11" fillId="7" borderId="3" xfId="1" applyNumberFormat="1" applyFont="1" applyFill="1" applyBorder="1" applyAlignment="1" applyProtection="1">
      <alignment horizontal="center"/>
      <protection locked="0"/>
    </xf>
    <xf numFmtId="170" fontId="11" fillId="7" borderId="3" xfId="1" applyNumberFormat="1" applyFont="1" applyFill="1" applyBorder="1" applyAlignment="1" applyProtection="1">
      <alignment horizontal="center"/>
      <protection locked="0"/>
    </xf>
    <xf numFmtId="170" fontId="11" fillId="7" borderId="3" xfId="1" applyNumberFormat="1" applyFont="1" applyFill="1" applyBorder="1" applyAlignment="1">
      <alignment horizontal="right"/>
    </xf>
    <xf numFmtId="0" fontId="11" fillId="7" borderId="3" xfId="1" applyFont="1" applyFill="1" applyBorder="1" applyAlignment="1">
      <alignment horizontal="center"/>
    </xf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alignment horizontal="right"/>
      <protection locked="0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0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0" fontId="11" fillId="8" borderId="3" xfId="1" applyNumberFormat="1" applyFont="1" applyFill="1" applyBorder="1" applyAlignment="1" applyProtection="1">
      <alignment horizontal="center"/>
      <protection locked="0"/>
    </xf>
    <xf numFmtId="170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8" borderId="3" xfId="1" applyFont="1" applyFill="1" applyBorder="1" applyAlignment="1" applyProtection="1">
      <alignment horizontal="center"/>
      <protection locked="0"/>
    </xf>
    <xf numFmtId="11" fontId="11" fillId="8" borderId="3" xfId="1" applyNumberFormat="1" applyFont="1" applyFill="1" applyBorder="1" applyAlignment="1" applyProtection="1">
      <protection locked="0"/>
    </xf>
    <xf numFmtId="0" fontId="3" fillId="9" borderId="16" xfId="0" applyFont="1" applyFill="1" applyBorder="1"/>
    <xf numFmtId="0" fontId="3" fillId="9" borderId="16" xfId="0" applyFont="1" applyFill="1" applyBorder="1" applyAlignment="1">
      <alignment horizontal="left"/>
    </xf>
    <xf numFmtId="0" fontId="3" fillId="9" borderId="2" xfId="0" applyFont="1" applyFill="1" applyBorder="1"/>
    <xf numFmtId="0" fontId="3" fillId="9" borderId="3" xfId="0" applyFont="1" applyFill="1" applyBorder="1" applyAlignment="1">
      <alignment horizontal="right"/>
    </xf>
    <xf numFmtId="165" fontId="3" fillId="9" borderId="5" xfId="0" applyNumberFormat="1" applyFont="1" applyFill="1" applyBorder="1"/>
    <xf numFmtId="0" fontId="3" fillId="9" borderId="28" xfId="0" applyFont="1" applyFill="1" applyBorder="1"/>
    <xf numFmtId="0" fontId="3" fillId="9" borderId="5" xfId="0" applyFont="1" applyFill="1" applyBorder="1"/>
    <xf numFmtId="0" fontId="3" fillId="9" borderId="3" xfId="0" applyFont="1" applyFill="1" applyBorder="1"/>
    <xf numFmtId="0" fontId="3" fillId="9" borderId="22" xfId="0" applyFont="1" applyFill="1" applyBorder="1"/>
    <xf numFmtId="0" fontId="3" fillId="9" borderId="5" xfId="0" applyFont="1" applyFill="1" applyBorder="1" applyAlignment="1">
      <alignment horizontal="right"/>
    </xf>
    <xf numFmtId="0" fontId="24" fillId="0" borderId="0" xfId="0" applyFont="1" applyFill="1" applyBorder="1"/>
    <xf numFmtId="0" fontId="24" fillId="0" borderId="0" xfId="0" applyFont="1" applyFill="1" applyBorder="1" applyAlignment="1">
      <alignment horizontal="left"/>
    </xf>
    <xf numFmtId="0" fontId="24" fillId="0" borderId="3" xfId="0" applyFont="1" applyFill="1" applyBorder="1"/>
    <xf numFmtId="168" fontId="24" fillId="0" borderId="3" xfId="3" applyFont="1" applyFill="1" applyBorder="1"/>
    <xf numFmtId="0" fontId="24" fillId="0" borderId="3" xfId="0" applyNumberFormat="1" applyFont="1" applyFill="1" applyBorder="1"/>
    <xf numFmtId="170" fontId="24" fillId="0" borderId="3" xfId="3" applyNumberFormat="1" applyFont="1" applyFill="1" applyBorder="1"/>
    <xf numFmtId="169" fontId="24" fillId="0" borderId="3" xfId="9" applyFont="1" applyFill="1" applyBorder="1"/>
    <xf numFmtId="11" fontId="24" fillId="0" borderId="3" xfId="0" applyNumberFormat="1" applyFont="1" applyFill="1" applyBorder="1"/>
    <xf numFmtId="172" fontId="24" fillId="0" borderId="3" xfId="9" applyNumberFormat="1" applyFont="1" applyFill="1" applyBorder="1"/>
    <xf numFmtId="0" fontId="24" fillId="0" borderId="3" xfId="9" applyNumberFormat="1" applyFont="1" applyFill="1" applyBorder="1"/>
    <xf numFmtId="168" fontId="24" fillId="0" borderId="3" xfId="3" applyNumberFormat="1" applyFont="1" applyFill="1" applyBorder="1"/>
    <xf numFmtId="2" fontId="24" fillId="0" borderId="3" xfId="3" applyNumberFormat="1" applyFont="1" applyFill="1" applyBorder="1"/>
    <xf numFmtId="11" fontId="24" fillId="0" borderId="3" xfId="9" applyNumberFormat="1" applyFont="1" applyFill="1" applyBorder="1"/>
    <xf numFmtId="0" fontId="24" fillId="0" borderId="3" xfId="0" applyFont="1" applyFill="1" applyBorder="1" applyAlignment="1" applyProtection="1">
      <alignment vertical="center" wrapText="1"/>
    </xf>
    <xf numFmtId="0" fontId="25" fillId="0" borderId="0" xfId="0" applyFont="1"/>
    <xf numFmtId="0" fontId="25" fillId="0" borderId="0" xfId="0" applyFont="1" applyAlignment="1">
      <alignment horizontal="left"/>
    </xf>
    <xf numFmtId="0" fontId="4" fillId="0" borderId="0" xfId="0" applyFont="1" applyBorder="1" applyAlignment="1" applyProtection="1"/>
    <xf numFmtId="0" fontId="4" fillId="0" borderId="0" xfId="0" applyFont="1" applyBorder="1" applyAlignment="1"/>
    <xf numFmtId="165" fontId="4" fillId="0" borderId="0" xfId="7" applyNumberFormat="1" applyFont="1" applyBorder="1" applyAlignment="1" applyProtection="1"/>
    <xf numFmtId="164" fontId="4" fillId="0" borderId="0" xfId="7" applyNumberFormat="1" applyFont="1" applyBorder="1" applyAlignment="1" applyProtection="1"/>
    <xf numFmtId="11" fontId="4" fillId="0" borderId="0" xfId="0" applyNumberFormat="1" applyFont="1" applyBorder="1" applyAlignment="1"/>
    <xf numFmtId="171" fontId="4" fillId="0" borderId="0" xfId="7" applyNumberFormat="1" applyFont="1" applyBorder="1" applyAlignment="1" applyProtection="1"/>
    <xf numFmtId="167" fontId="4" fillId="0" borderId="0" xfId="7" applyNumberFormat="1" applyFont="1" applyBorder="1" applyAlignment="1" applyProtection="1"/>
    <xf numFmtId="3" fontId="0" fillId="0" borderId="0" xfId="0" applyNumberFormat="1" applyBorder="1" applyAlignment="1"/>
    <xf numFmtId="165" fontId="4" fillId="0" borderId="5" xfId="7" applyNumberFormat="1" applyFont="1" applyBorder="1" applyAlignment="1" applyProtection="1"/>
    <xf numFmtId="0" fontId="25" fillId="0" borderId="5" xfId="0" applyFont="1" applyBorder="1"/>
    <xf numFmtId="0" fontId="25" fillId="0" borderId="30" xfId="0" applyFont="1" applyBorder="1"/>
    <xf numFmtId="168" fontId="25" fillId="0" borderId="30" xfId="0" applyNumberFormat="1" applyFont="1" applyBorder="1"/>
    <xf numFmtId="171" fontId="25" fillId="0" borderId="30" xfId="0" applyNumberFormat="1" applyFont="1" applyBorder="1"/>
    <xf numFmtId="169" fontId="25" fillId="0" borderId="30" xfId="0" applyNumberFormat="1" applyFont="1" applyBorder="1"/>
    <xf numFmtId="11" fontId="25" fillId="0" borderId="30" xfId="0" applyNumberFormat="1" applyFont="1" applyBorder="1"/>
    <xf numFmtId="173" fontId="25" fillId="0" borderId="30" xfId="0" applyNumberFormat="1" applyFont="1" applyBorder="1"/>
    <xf numFmtId="0" fontId="25" fillId="0" borderId="30" xfId="0" applyNumberFormat="1" applyFont="1" applyBorder="1"/>
    <xf numFmtId="2" fontId="25" fillId="0" borderId="30" xfId="0" applyNumberFormat="1" applyFont="1" applyBorder="1"/>
    <xf numFmtId="172" fontId="25" fillId="0" borderId="30" xfId="0" applyNumberFormat="1" applyFont="1" applyBorder="1"/>
    <xf numFmtId="0" fontId="25" fillId="0" borderId="3" xfId="0" applyFont="1" applyBorder="1"/>
    <xf numFmtId="170" fontId="25" fillId="0" borderId="30" xfId="0" applyNumberFormat="1" applyFont="1" applyBorder="1"/>
    <xf numFmtId="0" fontId="15" fillId="0" borderId="3" xfId="10" applyFont="1" applyFill="1" applyBorder="1" applyAlignment="1">
      <alignment wrapText="1"/>
    </xf>
    <xf numFmtId="170" fontId="25" fillId="0" borderId="3" xfId="3" applyNumberFormat="1" applyFont="1" applyBorder="1"/>
    <xf numFmtId="39" fontId="25" fillId="0" borderId="3" xfId="0" applyNumberFormat="1" applyFont="1" applyBorder="1"/>
    <xf numFmtId="37" fontId="25" fillId="0" borderId="3" xfId="0" applyNumberFormat="1" applyFont="1" applyBorder="1"/>
    <xf numFmtId="170" fontId="25" fillId="0" borderId="3" xfId="0" applyNumberFormat="1" applyFont="1" applyBorder="1"/>
    <xf numFmtId="0" fontId="27" fillId="0" borderId="0" xfId="0" applyFont="1" applyFill="1" applyBorder="1"/>
    <xf numFmtId="170" fontId="24" fillId="0" borderId="3" xfId="0" applyNumberFormat="1" applyFont="1" applyFill="1" applyBorder="1"/>
    <xf numFmtId="39" fontId="24" fillId="0" borderId="3" xfId="3" applyNumberFormat="1" applyFont="1" applyFill="1" applyBorder="1"/>
    <xf numFmtId="37" fontId="24" fillId="0" borderId="3" xfId="3" applyNumberFormat="1" applyFont="1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24" fillId="0" borderId="37" xfId="0" applyFont="1" applyFill="1" applyBorder="1"/>
    <xf numFmtId="0" fontId="4" fillId="0" borderId="35" xfId="7" applyNumberFormat="1" applyFont="1" applyBorder="1" applyAlignment="1"/>
    <xf numFmtId="0" fontId="0" fillId="0" borderId="35" xfId="0" applyBorder="1" applyAlignment="1"/>
    <xf numFmtId="0" fontId="3" fillId="0" borderId="36" xfId="0" applyFont="1" applyBorder="1"/>
    <xf numFmtId="0" fontId="0" fillId="0" borderId="35" xfId="0" applyBorder="1" applyAlignment="1">
      <alignment wrapText="1"/>
    </xf>
    <xf numFmtId="0" fontId="0" fillId="0" borderId="35" xfId="0" applyFont="1" applyBorder="1"/>
    <xf numFmtId="0" fontId="4" fillId="0" borderId="34" xfId="0" applyFont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5" fillId="0" borderId="0" xfId="0" applyFont="1" applyBorder="1" applyAlignment="1">
      <alignment horizontal="left"/>
    </xf>
    <xf numFmtId="37" fontId="24" fillId="0" borderId="3" xfId="0" applyNumberFormat="1" applyFont="1" applyFill="1" applyBorder="1"/>
    <xf numFmtId="11" fontId="0" fillId="0" borderId="0" xfId="0" applyNumberFormat="1" applyBorder="1"/>
    <xf numFmtId="175" fontId="0" fillId="0" borderId="0" xfId="0" applyNumberFormat="1" applyBorder="1"/>
    <xf numFmtId="0" fontId="3" fillId="9" borderId="34" xfId="0" applyFont="1" applyFill="1" applyBorder="1"/>
    <xf numFmtId="0" fontId="25" fillId="0" borderId="0" xfId="0" applyFont="1" applyBorder="1"/>
    <xf numFmtId="0" fontId="3" fillId="9" borderId="41" xfId="0" applyFont="1" applyFill="1" applyBorder="1"/>
    <xf numFmtId="0" fontId="3" fillId="9" borderId="42" xfId="0" applyFont="1" applyFill="1" applyBorder="1"/>
    <xf numFmtId="0" fontId="3" fillId="9" borderId="43" xfId="0" applyFont="1" applyFill="1" applyBorder="1"/>
    <xf numFmtId="0" fontId="3" fillId="0" borderId="44" xfId="0" applyFont="1" applyBorder="1"/>
    <xf numFmtId="0" fontId="3" fillId="9" borderId="45" xfId="0" applyFont="1" applyFill="1" applyBorder="1"/>
    <xf numFmtId="0" fontId="3" fillId="9" borderId="46" xfId="0" applyFont="1" applyFill="1" applyBorder="1"/>
    <xf numFmtId="0" fontId="25" fillId="0" borderId="45" xfId="0" applyFont="1" applyBorder="1"/>
    <xf numFmtId="0" fontId="24" fillId="0" borderId="46" xfId="0" applyFont="1" applyFill="1" applyBorder="1" applyAlignment="1" applyProtection="1">
      <alignment wrapText="1"/>
    </xf>
    <xf numFmtId="0" fontId="25" fillId="0" borderId="46" xfId="0" applyFont="1" applyBorder="1"/>
    <xf numFmtId="0" fontId="4" fillId="0" borderId="36" xfId="0" applyFont="1" applyBorder="1" applyAlignment="1"/>
    <xf numFmtId="2" fontId="4" fillId="0" borderId="46" xfId="7" applyNumberFormat="1" applyFont="1" applyBorder="1" applyAlignment="1" applyProtection="1"/>
    <xf numFmtId="0" fontId="3" fillId="9" borderId="46" xfId="0" applyFont="1" applyFill="1" applyBorder="1" applyAlignment="1">
      <alignment horizontal="right"/>
    </xf>
    <xf numFmtId="0" fontId="25" fillId="0" borderId="42" xfId="0" applyFont="1" applyBorder="1"/>
    <xf numFmtId="0" fontId="24" fillId="0" borderId="46" xfId="10" applyFont="1" applyFill="1" applyBorder="1" applyAlignment="1">
      <alignment wrapText="1"/>
    </xf>
    <xf numFmtId="0" fontId="24" fillId="0" borderId="46" xfId="11" applyNumberFormat="1" applyFont="1" applyFill="1" applyBorder="1"/>
    <xf numFmtId="170" fontId="24" fillId="0" borderId="46" xfId="12" applyNumberFormat="1" applyFont="1" applyFill="1" applyBorder="1" applyAlignment="1">
      <alignment horizontal="left"/>
    </xf>
    <xf numFmtId="0" fontId="24" fillId="0" borderId="46" xfId="11" applyFont="1" applyFill="1" applyBorder="1"/>
    <xf numFmtId="0" fontId="24" fillId="0" borderId="46" xfId="11" applyFont="1" applyFill="1" applyBorder="1" applyAlignment="1">
      <alignment horizontal="center" wrapText="1"/>
    </xf>
    <xf numFmtId="170" fontId="24" fillId="0" borderId="46" xfId="7" applyNumberFormat="1" applyFont="1" applyBorder="1" applyAlignment="1" applyProtection="1"/>
    <xf numFmtId="0" fontId="15" fillId="0" borderId="46" xfId="10" applyFont="1" applyFill="1" applyBorder="1" applyAlignment="1">
      <alignment wrapText="1"/>
    </xf>
    <xf numFmtId="170" fontId="24" fillId="0" borderId="46" xfId="13" applyNumberFormat="1" applyFont="1" applyFill="1" applyBorder="1" applyAlignment="1">
      <alignment horizontal="left" wrapText="1"/>
    </xf>
    <xf numFmtId="0" fontId="24" fillId="0" borderId="46" xfId="11" applyFont="1" applyFill="1" applyBorder="1" applyAlignment="1">
      <alignment horizontal="left" wrapText="1" indent="1"/>
    </xf>
    <xf numFmtId="2" fontId="24" fillId="0" borderId="46" xfId="11" applyNumberFormat="1" applyFont="1" applyFill="1" applyBorder="1"/>
    <xf numFmtId="0" fontId="5" fillId="0" borderId="46" xfId="11" applyBorder="1"/>
    <xf numFmtId="0" fontId="24" fillId="0" borderId="42" xfId="11" applyFont="1" applyFill="1" applyBorder="1"/>
    <xf numFmtId="0" fontId="24" fillId="0" borderId="46" xfId="11" applyFont="1" applyFill="1" applyBorder="1" applyAlignment="1" applyProtection="1">
      <alignment wrapText="1"/>
    </xf>
    <xf numFmtId="0" fontId="24" fillId="0" borderId="46" xfId="11" applyFont="1" applyFill="1" applyBorder="1" applyAlignment="1">
      <alignment horizontal="left" wrapText="1"/>
    </xf>
    <xf numFmtId="168" fontId="24" fillId="0" borderId="46" xfId="3" applyFont="1" applyFill="1" applyBorder="1"/>
    <xf numFmtId="171" fontId="24" fillId="0" borderId="46" xfId="11" applyNumberFormat="1" applyFont="1" applyFill="1" applyBorder="1"/>
    <xf numFmtId="169" fontId="24" fillId="0" borderId="46" xfId="9" applyFont="1" applyFill="1" applyBorder="1"/>
    <xf numFmtId="11" fontId="24" fillId="0" borderId="46" xfId="11" applyNumberFormat="1" applyFont="1" applyFill="1" applyBorder="1" applyAlignment="1">
      <alignment horizontal="left" wrapText="1"/>
    </xf>
    <xf numFmtId="11" fontId="24" fillId="0" borderId="46" xfId="14" applyNumberFormat="1" applyFont="1" applyFill="1" applyBorder="1"/>
    <xf numFmtId="173" fontId="24" fillId="0" borderId="46" xfId="9" applyNumberFormat="1" applyFont="1" applyFill="1" applyBorder="1"/>
    <xf numFmtId="0" fontId="24" fillId="0" borderId="46" xfId="9" applyNumberFormat="1" applyFont="1" applyFill="1" applyBorder="1"/>
    <xf numFmtId="165" fontId="24" fillId="0" borderId="46" xfId="7" applyNumberFormat="1" applyFont="1" applyBorder="1" applyAlignment="1" applyProtection="1"/>
    <xf numFmtId="0" fontId="24" fillId="0" borderId="46" xfId="11" applyNumberFormat="1" applyFont="1" applyFill="1" applyBorder="1" applyAlignment="1">
      <alignment horizontal="left" wrapText="1"/>
    </xf>
    <xf numFmtId="0" fontId="24" fillId="0" borderId="46" xfId="11" applyFont="1" applyBorder="1"/>
    <xf numFmtId="174" fontId="0" fillId="0" borderId="0" xfId="0" applyNumberFormat="1" applyBorder="1"/>
    <xf numFmtId="0" fontId="24" fillId="0" borderId="46" xfId="0" applyFont="1" applyFill="1" applyBorder="1" applyAlignment="1" applyProtection="1">
      <alignment vertical="center" wrapText="1"/>
    </xf>
    <xf numFmtId="0" fontId="24" fillId="0" borderId="47" xfId="10" applyFont="1" applyFill="1" applyBorder="1" applyAlignment="1">
      <alignment wrapText="1"/>
    </xf>
    <xf numFmtId="168" fontId="24" fillId="0" borderId="46" xfId="12" applyFont="1" applyFill="1" applyBorder="1"/>
    <xf numFmtId="0" fontId="18" fillId="9" borderId="16" xfId="8" applyFill="1" applyBorder="1"/>
    <xf numFmtId="0" fontId="18" fillId="0" borderId="0" xfId="8" quotePrefix="1" applyFill="1"/>
    <xf numFmtId="0" fontId="18" fillId="0" borderId="3" xfId="8" applyBorder="1"/>
    <xf numFmtId="0" fontId="18" fillId="0" borderId="0" xfId="8" applyBorder="1"/>
    <xf numFmtId="0" fontId="0" fillId="0" borderId="0" xfId="0" applyFill="1"/>
    <xf numFmtId="168" fontId="24" fillId="0" borderId="50" xfId="12" applyFont="1" applyFill="1" applyBorder="1"/>
    <xf numFmtId="0" fontId="24" fillId="0" borderId="51" xfId="0" applyFont="1" applyFill="1" applyBorder="1"/>
    <xf numFmtId="0" fontId="24" fillId="0" borderId="52" xfId="0" applyNumberFormat="1" applyFont="1" applyFill="1" applyBorder="1"/>
    <xf numFmtId="170" fontId="24" fillId="0" borderId="52" xfId="12" applyNumberFormat="1" applyFont="1" applyFill="1" applyBorder="1"/>
    <xf numFmtId="0" fontId="24" fillId="0" borderId="53" xfId="0" applyFont="1" applyFill="1" applyBorder="1"/>
    <xf numFmtId="0" fontId="24" fillId="0" borderId="52" xfId="0" applyFont="1" applyFill="1" applyBorder="1"/>
    <xf numFmtId="168" fontId="24" fillId="0" borderId="52" xfId="12" applyFont="1" applyFill="1" applyBorder="1"/>
    <xf numFmtId="169" fontId="24" fillId="0" borderId="52" xfId="9" applyFont="1" applyFill="1" applyBorder="1"/>
    <xf numFmtId="11" fontId="24" fillId="0" borderId="52" xfId="0" applyNumberFormat="1" applyFont="1" applyFill="1" applyBorder="1"/>
    <xf numFmtId="172" fontId="24" fillId="0" borderId="52" xfId="9" applyNumberFormat="1" applyFont="1" applyFill="1" applyBorder="1"/>
    <xf numFmtId="168" fontId="24" fillId="0" borderId="52" xfId="12" applyNumberFormat="1" applyFont="1" applyFill="1" applyBorder="1"/>
    <xf numFmtId="170" fontId="24" fillId="0" borderId="52" xfId="0" applyNumberFormat="1" applyFont="1" applyFill="1" applyBorder="1"/>
    <xf numFmtId="39" fontId="24" fillId="0" borderId="52" xfId="12" applyNumberFormat="1" applyFont="1" applyFill="1" applyBorder="1"/>
    <xf numFmtId="37" fontId="24" fillId="0" borderId="52" xfId="12" applyNumberFormat="1" applyFont="1" applyFill="1" applyBorder="1"/>
    <xf numFmtId="0" fontId="24" fillId="0" borderId="52" xfId="0" applyFont="1" applyFill="1" applyBorder="1" applyAlignment="1" applyProtection="1">
      <alignment vertical="center" wrapText="1"/>
    </xf>
    <xf numFmtId="176" fontId="5" fillId="0" borderId="52" xfId="15" applyBorder="1">
      <alignment vertical="center" wrapText="1"/>
    </xf>
    <xf numFmtId="0" fontId="24" fillId="0" borderId="52" xfId="11" applyFont="1" applyBorder="1" applyAlignment="1">
      <alignment wrapText="1"/>
    </xf>
    <xf numFmtId="0" fontId="24" fillId="0" borderId="52" xfId="10" applyFont="1" applyFill="1" applyBorder="1" applyAlignment="1">
      <alignment wrapText="1"/>
    </xf>
    <xf numFmtId="0" fontId="24" fillId="0" borderId="52" xfId="11" applyNumberFormat="1" applyFont="1" applyFill="1" applyBorder="1" applyAlignment="1">
      <alignment horizontal="left" wrapText="1"/>
    </xf>
    <xf numFmtId="168" fontId="24" fillId="0" borderId="52" xfId="3" applyFont="1" applyFill="1" applyBorder="1" applyAlignment="1">
      <alignment wrapText="1"/>
    </xf>
    <xf numFmtId="165" fontId="24" fillId="0" borderId="52" xfId="7" applyNumberFormat="1" applyFont="1" applyBorder="1" applyAlignment="1" applyProtection="1"/>
    <xf numFmtId="2" fontId="24" fillId="0" borderId="52" xfId="11" applyNumberFormat="1" applyFont="1" applyFill="1" applyBorder="1"/>
    <xf numFmtId="0" fontId="0" fillId="0" borderId="0" xfId="0" applyFill="1" applyBorder="1"/>
    <xf numFmtId="0" fontId="3" fillId="9" borderId="53" xfId="0" applyFont="1" applyFill="1" applyBorder="1"/>
    <xf numFmtId="0" fontId="18" fillId="0" borderId="0" xfId="8" applyFill="1" applyBorder="1"/>
    <xf numFmtId="0" fontId="3" fillId="9" borderId="52" xfId="0" applyFont="1" applyFill="1" applyBorder="1"/>
    <xf numFmtId="2" fontId="4" fillId="0" borderId="52" xfId="7" applyNumberFormat="1" applyFont="1" applyBorder="1" applyAlignment="1" applyProtection="1"/>
    <xf numFmtId="0" fontId="3" fillId="9" borderId="52" xfId="0" applyFont="1" applyFill="1" applyBorder="1" applyAlignment="1">
      <alignment horizontal="right"/>
    </xf>
    <xf numFmtId="0" fontId="24" fillId="0" borderId="53" xfId="11" applyFont="1" applyBorder="1" applyAlignment="1">
      <alignment wrapText="1"/>
    </xf>
    <xf numFmtId="0" fontId="24" fillId="0" borderId="53" xfId="11" applyFont="1" applyFill="1" applyBorder="1"/>
    <xf numFmtId="0" fontId="18" fillId="0" borderId="52" xfId="8" applyFill="1" applyBorder="1"/>
    <xf numFmtId="174" fontId="0" fillId="0" borderId="0" xfId="0" applyNumberFormat="1"/>
    <xf numFmtId="11" fontId="0" fillId="0" borderId="0" xfId="0" applyNumberFormat="1"/>
    <xf numFmtId="0" fontId="15" fillId="0" borderId="47" xfId="10" applyFont="1" applyFill="1" applyBorder="1" applyAlignment="1">
      <alignment wrapText="1"/>
    </xf>
    <xf numFmtId="175" fontId="0" fillId="0" borderId="0" xfId="0" applyNumberFormat="1"/>
    <xf numFmtId="0" fontId="15" fillId="0" borderId="0" xfId="10" applyFont="1" applyFill="1" applyBorder="1" applyAlignment="1">
      <alignment wrapText="1"/>
    </xf>
    <xf numFmtId="0" fontId="0" fillId="0" borderId="47" xfId="0" applyBorder="1"/>
    <xf numFmtId="0" fontId="24" fillId="0" borderId="0" xfId="11" applyNumberFormat="1" applyFont="1" applyFill="1" applyBorder="1" applyAlignment="1">
      <alignment horizontal="left" wrapText="1"/>
    </xf>
    <xf numFmtId="0" fontId="24" fillId="0" borderId="55" xfId="11" applyFont="1" applyFill="1" applyBorder="1"/>
    <xf numFmtId="0" fontId="24" fillId="0" borderId="8" xfId="11" applyNumberFormat="1" applyFont="1" applyFill="1" applyBorder="1" applyAlignment="1">
      <alignment horizontal="left" wrapText="1"/>
    </xf>
    <xf numFmtId="0" fontId="15" fillId="0" borderId="56" xfId="10" applyFont="1" applyFill="1" applyBorder="1" applyAlignment="1">
      <alignment wrapText="1"/>
    </xf>
    <xf numFmtId="0" fontId="0" fillId="0" borderId="56" xfId="0" applyBorder="1"/>
    <xf numFmtId="165" fontId="24" fillId="0" borderId="57" xfId="7" applyNumberFormat="1" applyFont="1" applyBorder="1" applyAlignment="1" applyProtection="1"/>
    <xf numFmtId="0" fontId="24" fillId="0" borderId="54" xfId="11" applyFont="1" applyFill="1" applyBorder="1"/>
    <xf numFmtId="0" fontId="24" fillId="0" borderId="54" xfId="11" applyNumberFormat="1" applyFont="1" applyFill="1" applyBorder="1" applyAlignment="1">
      <alignment horizontal="left" wrapText="1"/>
    </xf>
    <xf numFmtId="0" fontId="15" fillId="0" borderId="54" xfId="10" applyFont="1" applyFill="1" applyBorder="1" applyAlignment="1">
      <alignment wrapText="1"/>
    </xf>
    <xf numFmtId="0" fontId="0" fillId="0" borderId="54" xfId="0" applyBorder="1"/>
    <xf numFmtId="165" fontId="24" fillId="0" borderId="54" xfId="7" applyNumberFormat="1" applyFont="1" applyBorder="1" applyAlignment="1" applyProtection="1"/>
    <xf numFmtId="2" fontId="24" fillId="0" borderId="57" xfId="11" applyNumberFormat="1" applyFont="1" applyFill="1" applyBorder="1"/>
    <xf numFmtId="2" fontId="24" fillId="0" borderId="54" xfId="11" applyNumberFormat="1" applyFont="1" applyFill="1" applyBorder="1"/>
    <xf numFmtId="165" fontId="3" fillId="9" borderId="54" xfId="0" applyNumberFormat="1" applyFont="1" applyFill="1" applyBorder="1"/>
    <xf numFmtId="0" fontId="24" fillId="0" borderId="54" xfId="11" applyFont="1" applyFill="1" applyBorder="1" applyAlignment="1">
      <alignment wrapText="1"/>
    </xf>
    <xf numFmtId="170" fontId="24" fillId="0" borderId="54" xfId="13" applyNumberFormat="1" applyFont="1" applyFill="1" applyBorder="1" applyAlignment="1">
      <alignment horizontal="center" wrapText="1"/>
    </xf>
    <xf numFmtId="0" fontId="24" fillId="0" borderId="54" xfId="11" applyFont="1" applyFill="1" applyBorder="1" applyAlignment="1">
      <alignment horizontal="left" wrapText="1" indent="1"/>
    </xf>
    <xf numFmtId="0" fontId="24" fillId="0" borderId="54" xfId="11" applyFont="1" applyFill="1" applyBorder="1" applyAlignment="1">
      <alignment horizontal="right" wrapText="1" indent="1"/>
    </xf>
    <xf numFmtId="0" fontId="24" fillId="0" borderId="54" xfId="11" applyFont="1" applyFill="1" applyBorder="1" applyAlignment="1">
      <alignment horizontal="center" wrapText="1"/>
    </xf>
    <xf numFmtId="0" fontId="18" fillId="0" borderId="0" xfId="8" applyFill="1"/>
    <xf numFmtId="178" fontId="0" fillId="0" borderId="0" xfId="0" applyNumberFormat="1" applyBorder="1"/>
    <xf numFmtId="177" fontId="24" fillId="0" borderId="54" xfId="11" applyNumberFormat="1" applyFont="1" applyFill="1" applyBorder="1" applyAlignment="1">
      <alignment horizontal="right" wrapText="1" indent="1"/>
    </xf>
    <xf numFmtId="177" fontId="24" fillId="0" borderId="54" xfId="11" applyNumberFormat="1" applyFont="1" applyFill="1" applyBorder="1" applyAlignment="1">
      <alignment wrapText="1"/>
    </xf>
    <xf numFmtId="0" fontId="3" fillId="9" borderId="58" xfId="0" applyFont="1" applyFill="1" applyBorder="1"/>
    <xf numFmtId="0" fontId="3" fillId="9" borderId="54" xfId="0" applyFont="1" applyFill="1" applyBorder="1"/>
    <xf numFmtId="0" fontId="24" fillId="0" borderId="54" xfId="0" applyFont="1" applyFill="1" applyBorder="1" applyAlignment="1" applyProtection="1">
      <alignment vertical="center" wrapText="1"/>
    </xf>
    <xf numFmtId="0" fontId="3" fillId="9" borderId="54" xfId="0" applyFont="1" applyFill="1" applyBorder="1" applyAlignment="1">
      <alignment horizontal="right"/>
    </xf>
    <xf numFmtId="0" fontId="24" fillId="0" borderId="58" xfId="11" applyFont="1" applyFill="1" applyBorder="1" applyAlignment="1">
      <alignment wrapText="1"/>
    </xf>
    <xf numFmtId="0" fontId="24" fillId="0" borderId="54" xfId="0" applyFont="1" applyFill="1" applyBorder="1"/>
    <xf numFmtId="168" fontId="24" fillId="0" borderId="54" xfId="12" applyFont="1" applyFill="1" applyBorder="1"/>
    <xf numFmtId="0" fontId="24" fillId="0" borderId="54" xfId="11" applyNumberFormat="1" applyFont="1" applyFill="1" applyBorder="1" applyAlignment="1">
      <alignment horizontal="right" wrapText="1" indent="1"/>
    </xf>
    <xf numFmtId="0" fontId="5" fillId="0" borderId="54" xfId="11" applyBorder="1"/>
    <xf numFmtId="165" fontId="24" fillId="0" borderId="16" xfId="7" applyNumberFormat="1" applyFont="1" applyBorder="1" applyAlignment="1" applyProtection="1"/>
    <xf numFmtId="170" fontId="24" fillId="0" borderId="54" xfId="11" applyNumberFormat="1" applyFont="1" applyFill="1" applyBorder="1" applyAlignment="1">
      <alignment horizontal="center" wrapText="1"/>
    </xf>
    <xf numFmtId="39" fontId="24" fillId="0" borderId="54" xfId="13" applyNumberFormat="1" applyFont="1" applyFill="1" applyBorder="1" applyAlignment="1">
      <alignment horizontal="left" wrapText="1" indent="1"/>
    </xf>
    <xf numFmtId="0" fontId="24" fillId="0" borderId="54" xfId="11" applyNumberFormat="1" applyFont="1" applyFill="1" applyBorder="1" applyAlignment="1">
      <alignment horizontal="left" wrapText="1" indent="1"/>
    </xf>
    <xf numFmtId="37" fontId="24" fillId="0" borderId="54" xfId="13" applyNumberFormat="1" applyFont="1" applyFill="1" applyBorder="1" applyAlignment="1">
      <alignment horizontal="right" wrapText="1" indent="1"/>
    </xf>
    <xf numFmtId="165" fontId="24" fillId="0" borderId="29" xfId="7" applyNumberFormat="1" applyFont="1" applyBorder="1" applyAlignment="1" applyProtection="1"/>
    <xf numFmtId="165" fontId="24" fillId="0" borderId="26" xfId="7" applyNumberFormat="1" applyFont="1" applyBorder="1" applyAlignment="1" applyProtection="1"/>
    <xf numFmtId="0" fontId="4" fillId="0" borderId="59" xfId="0" applyFont="1" applyBorder="1"/>
    <xf numFmtId="165" fontId="4" fillId="0" borderId="54" xfId="7" applyNumberFormat="1" applyFont="1" applyBorder="1" applyAlignment="1" applyProtection="1"/>
    <xf numFmtId="0" fontId="24" fillId="0" borderId="60" xfId="0" applyFont="1" applyFill="1" applyBorder="1"/>
    <xf numFmtId="168" fontId="24" fillId="0" borderId="62" xfId="12" applyFont="1" applyFill="1" applyBorder="1"/>
    <xf numFmtId="0" fontId="24" fillId="0" borderId="61" xfId="0" applyNumberFormat="1" applyFont="1" applyFill="1" applyBorder="1"/>
    <xf numFmtId="170" fontId="24" fillId="0" borderId="61" xfId="12" applyNumberFormat="1" applyFont="1" applyFill="1" applyBorder="1"/>
    <xf numFmtId="0" fontId="24" fillId="0" borderId="63" xfId="0" applyFont="1" applyFill="1" applyBorder="1"/>
    <xf numFmtId="169" fontId="24" fillId="0" borderId="54" xfId="9" applyFont="1" applyFill="1" applyBorder="1"/>
    <xf numFmtId="11" fontId="24" fillId="0" borderId="54" xfId="0" applyNumberFormat="1" applyFont="1" applyFill="1" applyBorder="1"/>
    <xf numFmtId="172" fontId="24" fillId="0" borderId="54" xfId="9" applyNumberFormat="1" applyFont="1" applyFill="1" applyBorder="1"/>
    <xf numFmtId="168" fontId="24" fillId="0" borderId="54" xfId="12" applyNumberFormat="1" applyFont="1" applyFill="1" applyBorder="1"/>
    <xf numFmtId="0" fontId="24" fillId="0" borderId="63" xfId="11" applyFont="1" applyFill="1" applyBorder="1" applyAlignment="1">
      <alignment wrapText="1"/>
    </xf>
    <xf numFmtId="0" fontId="24" fillId="0" borderId="54" xfId="11" applyFont="1" applyFill="1" applyBorder="1" applyAlignment="1" applyProtection="1">
      <alignment horizontal="left" wrapText="1"/>
    </xf>
    <xf numFmtId="0" fontId="24" fillId="0" borderId="54" xfId="11" applyFont="1" applyFill="1" applyBorder="1" applyAlignment="1">
      <alignment horizontal="left" wrapText="1"/>
    </xf>
    <xf numFmtId="179" fontId="24" fillId="0" borderId="54" xfId="11" applyNumberFormat="1" applyFont="1" applyFill="1" applyBorder="1" applyAlignment="1"/>
    <xf numFmtId="0" fontId="24" fillId="0" borderId="54" xfId="11" applyFont="1" applyFill="1" applyBorder="1" applyAlignment="1"/>
    <xf numFmtId="169" fontId="24" fillId="0" borderId="54" xfId="9" applyFont="1" applyFill="1" applyBorder="1" applyAlignment="1"/>
    <xf numFmtId="11" fontId="24" fillId="0" borderId="54" xfId="11" applyNumberFormat="1" applyFont="1" applyFill="1" applyBorder="1" applyAlignment="1">
      <alignment horizontal="left" wrapText="1"/>
    </xf>
    <xf numFmtId="11" fontId="24" fillId="0" borderId="54" xfId="14" applyNumberFormat="1" applyFont="1" applyFill="1" applyBorder="1" applyAlignment="1">
      <alignment horizontal="right"/>
    </xf>
    <xf numFmtId="173" fontId="24" fillId="0" borderId="54" xfId="9" applyNumberFormat="1" applyFont="1" applyFill="1" applyBorder="1" applyAlignment="1">
      <alignment horizontal="right"/>
    </xf>
    <xf numFmtId="0" fontId="5" fillId="0" borderId="54" xfId="11" applyNumberFormat="1" applyBorder="1" applyAlignment="1">
      <alignment horizontal="right"/>
    </xf>
    <xf numFmtId="0" fontId="24" fillId="0" borderId="54" xfId="9" applyNumberFormat="1" applyFont="1" applyFill="1" applyBorder="1" applyAlignment="1">
      <alignment horizontal="right"/>
    </xf>
    <xf numFmtId="0" fontId="24" fillId="0" borderId="54" xfId="11" applyFont="1" applyBorder="1" applyAlignment="1">
      <alignment wrapText="1"/>
    </xf>
    <xf numFmtId="0" fontId="24" fillId="0" borderId="54" xfId="10" applyFont="1" applyFill="1" applyBorder="1" applyAlignment="1">
      <alignment wrapText="1"/>
    </xf>
    <xf numFmtId="0" fontId="24" fillId="0" borderId="54" xfId="11" applyFont="1" applyBorder="1"/>
    <xf numFmtId="0" fontId="24" fillId="0" borderId="64" xfId="10" applyFont="1" applyFill="1" applyBorder="1" applyAlignment="1">
      <alignment wrapText="1"/>
    </xf>
    <xf numFmtId="0" fontId="24" fillId="0" borderId="65" xfId="11" applyNumberFormat="1" applyFont="1" applyFill="1" applyBorder="1" applyAlignment="1">
      <alignment horizontal="left" wrapText="1"/>
    </xf>
    <xf numFmtId="170" fontId="24" fillId="0" borderId="65" xfId="13" applyNumberFormat="1" applyFont="1" applyFill="1" applyBorder="1" applyAlignment="1">
      <alignment horizontal="center" wrapText="1"/>
    </xf>
    <xf numFmtId="0" fontId="24" fillId="0" borderId="65" xfId="11" applyFont="1" applyFill="1" applyBorder="1" applyAlignment="1">
      <alignment horizontal="left" wrapText="1" indent="1"/>
    </xf>
    <xf numFmtId="2" fontId="24" fillId="0" borderId="65" xfId="11" applyNumberFormat="1" applyFont="1" applyFill="1" applyBorder="1"/>
    <xf numFmtId="0" fontId="24" fillId="0" borderId="65" xfId="10" applyFont="1" applyFill="1" applyBorder="1" applyAlignment="1">
      <alignment wrapText="1"/>
    </xf>
    <xf numFmtId="0" fontId="24" fillId="0" borderId="65" xfId="11" applyFont="1" applyBorder="1"/>
    <xf numFmtId="165" fontId="24" fillId="0" borderId="65" xfId="7" applyNumberFormat="1" applyFont="1" applyBorder="1" applyAlignment="1" applyProtection="1"/>
    <xf numFmtId="0" fontId="24" fillId="0" borderId="65" xfId="11" applyFont="1" applyFill="1" applyBorder="1" applyAlignment="1">
      <alignment wrapText="1"/>
    </xf>
    <xf numFmtId="0" fontId="18" fillId="0" borderId="61" xfId="8" applyFill="1" applyBorder="1"/>
    <xf numFmtId="0" fontId="24" fillId="0" borderId="65" xfId="11" applyFont="1" applyFill="1" applyBorder="1" applyAlignment="1" applyProtection="1">
      <alignment horizontal="left" wrapText="1"/>
    </xf>
    <xf numFmtId="0" fontId="24" fillId="0" borderId="65" xfId="11" applyFont="1" applyFill="1" applyBorder="1" applyAlignment="1">
      <alignment horizontal="left" wrapText="1"/>
    </xf>
    <xf numFmtId="179" fontId="24" fillId="0" borderId="65" xfId="11" applyNumberFormat="1" applyFont="1" applyFill="1" applyBorder="1" applyAlignment="1"/>
    <xf numFmtId="0" fontId="24" fillId="0" borderId="65" xfId="11" applyFont="1" applyFill="1" applyBorder="1" applyAlignment="1"/>
    <xf numFmtId="169" fontId="24" fillId="0" borderId="65" xfId="9" applyFont="1" applyFill="1" applyBorder="1" applyAlignment="1"/>
    <xf numFmtId="11" fontId="24" fillId="0" borderId="65" xfId="11" applyNumberFormat="1" applyFont="1" applyFill="1" applyBorder="1" applyAlignment="1">
      <alignment horizontal="left" wrapText="1"/>
    </xf>
    <xf numFmtId="11" fontId="24" fillId="0" borderId="65" xfId="14" applyNumberFormat="1" applyFont="1" applyFill="1" applyBorder="1" applyAlignment="1">
      <alignment horizontal="right" wrapText="1"/>
    </xf>
    <xf numFmtId="180" fontId="24" fillId="0" borderId="65" xfId="14" applyNumberFormat="1" applyFont="1" applyFill="1" applyBorder="1" applyAlignment="1">
      <alignment horizontal="right" wrapText="1"/>
    </xf>
    <xf numFmtId="0" fontId="24" fillId="0" borderId="65" xfId="14" applyNumberFormat="1" applyFont="1" applyFill="1" applyBorder="1" applyAlignment="1">
      <alignment horizontal="right" wrapText="1"/>
    </xf>
    <xf numFmtId="0" fontId="5" fillId="0" borderId="65" xfId="11" applyBorder="1" applyAlignment="1">
      <alignment horizontal="right"/>
    </xf>
    <xf numFmtId="170" fontId="24" fillId="0" borderId="50" xfId="13" applyNumberFormat="1" applyFont="1" applyFill="1" applyBorder="1" applyAlignment="1">
      <alignment horizontal="center" wrapText="1"/>
    </xf>
    <xf numFmtId="0" fontId="24" fillId="0" borderId="65" xfId="11" applyFont="1" applyFill="1" applyBorder="1" applyAlignment="1">
      <alignment horizontal="right" wrapText="1" indent="1"/>
    </xf>
    <xf numFmtId="0" fontId="24" fillId="0" borderId="65" xfId="11" applyFont="1" applyFill="1" applyBorder="1" applyAlignment="1">
      <alignment horizontal="center" wrapText="1"/>
    </xf>
    <xf numFmtId="0" fontId="24" fillId="0" borderId="65" xfId="11" applyFont="1" applyFill="1" applyBorder="1" applyAlignment="1">
      <alignment horizontal="right" wrapText="1"/>
    </xf>
    <xf numFmtId="177" fontId="24" fillId="0" borderId="65" xfId="11" applyNumberFormat="1" applyFont="1" applyFill="1" applyBorder="1" applyAlignment="1">
      <alignment horizontal="right" wrapText="1" indent="1"/>
    </xf>
    <xf numFmtId="0" fontId="3" fillId="9" borderId="63" xfId="0" applyFont="1" applyFill="1" applyBorder="1"/>
    <xf numFmtId="0" fontId="3" fillId="9" borderId="65" xfId="0" applyFont="1" applyFill="1" applyBorder="1"/>
    <xf numFmtId="0" fontId="3" fillId="9" borderId="65" xfId="0" applyFont="1" applyFill="1" applyBorder="1" applyAlignment="1">
      <alignment horizontal="right"/>
    </xf>
    <xf numFmtId="0" fontId="24" fillId="0" borderId="63" xfId="11" applyFont="1" applyBorder="1"/>
    <xf numFmtId="165" fontId="3" fillId="9" borderId="65" xfId="0" applyNumberFormat="1" applyFont="1" applyFill="1" applyBorder="1"/>
    <xf numFmtId="171" fontId="24" fillId="0" borderId="65" xfId="11" applyNumberFormat="1" applyFont="1" applyFill="1" applyBorder="1"/>
    <xf numFmtId="0" fontId="24" fillId="0" borderId="65" xfId="11" applyFont="1" applyFill="1" applyBorder="1"/>
    <xf numFmtId="169" fontId="24" fillId="0" borderId="65" xfId="9" applyFont="1" applyFill="1" applyBorder="1"/>
    <xf numFmtId="11" fontId="24" fillId="0" borderId="65" xfId="11" applyNumberFormat="1" applyFont="1" applyFill="1" applyBorder="1"/>
    <xf numFmtId="11" fontId="24" fillId="0" borderId="65" xfId="14" applyNumberFormat="1" applyFont="1" applyFill="1" applyBorder="1" applyAlignment="1">
      <alignment horizontal="right"/>
    </xf>
    <xf numFmtId="173" fontId="24" fillId="0" borderId="65" xfId="9" applyNumberFormat="1" applyFont="1" applyFill="1" applyBorder="1" applyAlignment="1">
      <alignment horizontal="right"/>
    </xf>
    <xf numFmtId="0" fontId="24" fillId="0" borderId="65" xfId="9" applyNumberFormat="1" applyFont="1" applyFill="1" applyBorder="1" applyAlignment="1">
      <alignment horizontal="right"/>
    </xf>
    <xf numFmtId="0" fontId="5" fillId="0" borderId="65" xfId="11" applyBorder="1"/>
    <xf numFmtId="0" fontId="24" fillId="0" borderId="65" xfId="11" applyNumberFormat="1" applyFont="1" applyFill="1" applyBorder="1" applyAlignment="1">
      <alignment wrapText="1"/>
    </xf>
    <xf numFmtId="179" fontId="24" fillId="0" borderId="65" xfId="11" applyNumberFormat="1" applyFont="1" applyFill="1" applyBorder="1"/>
    <xf numFmtId="11" fontId="24" fillId="0" borderId="65" xfId="11" applyNumberFormat="1" applyFont="1" applyFill="1" applyBorder="1" applyAlignment="1">
      <alignment wrapText="1"/>
    </xf>
    <xf numFmtId="11" fontId="24" fillId="0" borderId="65" xfId="9" applyNumberFormat="1" applyFont="1" applyFill="1" applyBorder="1"/>
    <xf numFmtId="173" fontId="24" fillId="0" borderId="65" xfId="9" applyNumberFormat="1" applyFont="1" applyFill="1" applyBorder="1"/>
    <xf numFmtId="0" fontId="24" fillId="0" borderId="65" xfId="9" applyNumberFormat="1" applyFont="1" applyFill="1" applyBorder="1"/>
    <xf numFmtId="1" fontId="24" fillId="0" borderId="65" xfId="9" applyNumberFormat="1" applyFont="1" applyFill="1" applyBorder="1"/>
    <xf numFmtId="0" fontId="3" fillId="10" borderId="34" xfId="0" applyFont="1" applyFill="1" applyBorder="1"/>
    <xf numFmtId="0" fontId="3" fillId="10" borderId="29" xfId="0" applyFont="1" applyFill="1" applyBorder="1"/>
    <xf numFmtId="0" fontId="3" fillId="10" borderId="16" xfId="0" applyFont="1" applyFill="1" applyBorder="1"/>
    <xf numFmtId="165" fontId="3" fillId="10" borderId="16" xfId="0" applyNumberFormat="1" applyFont="1" applyFill="1" applyBorder="1"/>
    <xf numFmtId="0" fontId="3" fillId="10" borderId="16" xfId="0" applyFont="1" applyFill="1" applyBorder="1" applyAlignment="1">
      <alignment horizontal="right"/>
    </xf>
    <xf numFmtId="0" fontId="3" fillId="10" borderId="26" xfId="0" applyFont="1" applyFill="1" applyBorder="1" applyAlignment="1">
      <alignment horizontal="right"/>
    </xf>
    <xf numFmtId="165" fontId="3" fillId="10" borderId="26" xfId="0" applyNumberFormat="1" applyFont="1" applyFill="1" applyBorder="1"/>
    <xf numFmtId="0" fontId="3" fillId="10" borderId="0" xfId="0" applyFont="1" applyFill="1" applyBorder="1"/>
    <xf numFmtId="0" fontId="3" fillId="10" borderId="48" xfId="0" applyFont="1" applyFill="1" applyBorder="1"/>
    <xf numFmtId="0" fontId="3" fillId="10" borderId="52" xfId="0" applyFont="1" applyFill="1" applyBorder="1"/>
    <xf numFmtId="0" fontId="3" fillId="10" borderId="49" xfId="0" applyFont="1" applyFill="1" applyBorder="1"/>
    <xf numFmtId="0" fontId="3" fillId="10" borderId="54" xfId="0" applyFont="1" applyFill="1" applyBorder="1"/>
    <xf numFmtId="0" fontId="3" fillId="10" borderId="59" xfId="0" applyFont="1" applyFill="1" applyBorder="1"/>
  </cellXfs>
  <cellStyles count="16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illiers 2" xfId="9" xr:uid="{BCD80422-4E58-4C46-B7FA-7B089F38F7E1}"/>
    <cellStyle name="Milliers 3" xfId="14" xr:uid="{99EADCB2-1CC0-4C85-8772-9542F23A219F}"/>
    <cellStyle name="Monétaire 10" xfId="12" xr:uid="{091E9DD3-9967-4F5F-B96A-4CF785A594E7}"/>
    <cellStyle name="Monétaire 2" xfId="3" xr:uid="{00000000-0005-0000-0000-000004000000}"/>
    <cellStyle name="Monétaire 3" xfId="13" xr:uid="{005E21D1-743F-48E1-8D66-AB10F384CE90}"/>
    <cellStyle name="Normal" xfId="0" builtinId="0"/>
    <cellStyle name="Normal 2" xfId="1" xr:uid="{00000000-0005-0000-0000-000006000000}"/>
    <cellStyle name="Normal 3" xfId="6" xr:uid="{00000000-0005-0000-0000-000007000000}"/>
    <cellStyle name="Normal 4" xfId="11" xr:uid="{CFACC039-0295-4B44-8500-74B870326428}"/>
    <cellStyle name="Normal_Sheet1" xfId="10" xr:uid="{D20A7D3D-6890-435E-937C-A40A028BB702}"/>
    <cellStyle name="Style 1" xfId="15" xr:uid="{E77BDADC-038C-417D-84E2-5F0C1C7D05D1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412216</xdr:colOff>
      <xdr:row>18</xdr:row>
      <xdr:rowOff>174493</xdr:rowOff>
    </xdr:from>
    <xdr:to>
      <xdr:col>13</xdr:col>
      <xdr:colOff>394607</xdr:colOff>
      <xdr:row>29</xdr:row>
      <xdr:rowOff>51893</xdr:rowOff>
    </xdr:to>
    <xdr:pic>
      <xdr:nvPicPr>
        <xdr:cNvPr id="2" name="Image 1" descr="https://murmotorsports.eng.unimelb.edu.au/__data/assets/image/0005/2367968/varieties/medium.jpg">
          <a:extLst>
            <a:ext uri="{FF2B5EF4-FFF2-40B4-BE49-F238E27FC236}">
              <a16:creationId xmlns:a16="http://schemas.microsoft.com/office/drawing/2014/main" id="{26CE718F-865D-443F-9717-D3C7B3167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645" y="3793993"/>
          <a:ext cx="3125641" cy="197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393872</xdr:colOff>
      <xdr:row>14</xdr:row>
      <xdr:rowOff>9524</xdr:rowOff>
    </xdr:from>
    <xdr:to>
      <xdr:col>13</xdr:col>
      <xdr:colOff>170517</xdr:colOff>
      <xdr:row>24</xdr:row>
      <xdr:rowOff>180225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1B9F1C7-A378-4716-9DDB-4B0B4ADA3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4947" y="2867024"/>
          <a:ext cx="2824645" cy="226620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3</xdr:row>
      <xdr:rowOff>28575</xdr:rowOff>
    </xdr:from>
    <xdr:to>
      <xdr:col>16</xdr:col>
      <xdr:colOff>150886</xdr:colOff>
      <xdr:row>48</xdr:row>
      <xdr:rowOff>27503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6836FC-CD9E-43CA-B2B8-F93372437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00075"/>
          <a:ext cx="12114286" cy="857142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13</xdr:row>
      <xdr:rowOff>66675</xdr:rowOff>
    </xdr:from>
    <xdr:to>
      <xdr:col>13</xdr:col>
      <xdr:colOff>75451</xdr:colOff>
      <xdr:row>23</xdr:row>
      <xdr:rowOff>94542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3DDF04F-B410-4463-A054-47A66011C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73050" y="2733675"/>
          <a:ext cx="2351926" cy="193286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</xdr:row>
      <xdr:rowOff>142875</xdr:rowOff>
    </xdr:from>
    <xdr:to>
      <xdr:col>16</xdr:col>
      <xdr:colOff>293762</xdr:colOff>
      <xdr:row>46</xdr:row>
      <xdr:rowOff>141803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2C38CA7-6D69-4ACC-A010-D018B9429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33375"/>
          <a:ext cx="12104762" cy="857142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419922</xdr:colOff>
      <xdr:row>13</xdr:row>
      <xdr:rowOff>152399</xdr:rowOff>
    </xdr:from>
    <xdr:to>
      <xdr:col>11</xdr:col>
      <xdr:colOff>732771</xdr:colOff>
      <xdr:row>23</xdr:row>
      <xdr:rowOff>151586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30A659E-5C3D-4AB5-AC1E-73ADF3B2E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26072" y="2628899"/>
          <a:ext cx="1836849" cy="228518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15</xdr:col>
      <xdr:colOff>693809</xdr:colOff>
      <xdr:row>46</xdr:row>
      <xdr:rowOff>189428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5B1FB30-FAA5-46FF-BEC4-59C9430E8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123809" cy="85714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477148</xdr:colOff>
      <xdr:row>13</xdr:row>
      <xdr:rowOff>133349</xdr:rowOff>
    </xdr:from>
    <xdr:to>
      <xdr:col>11</xdr:col>
      <xdr:colOff>590549</xdr:colOff>
      <xdr:row>23</xdr:row>
      <xdr:rowOff>183624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D2AD27-052D-4F7E-8C2F-7B70B3E51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88123" y="2609849"/>
          <a:ext cx="1637401" cy="214577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95250</xdr:rowOff>
    </xdr:from>
    <xdr:to>
      <xdr:col>15</xdr:col>
      <xdr:colOff>693809</xdr:colOff>
      <xdr:row>47</xdr:row>
      <xdr:rowOff>94178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F007648-4F4A-469B-ACDB-5EC10AB64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"/>
          <a:ext cx="12123809" cy="857142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458372</xdr:colOff>
      <xdr:row>14</xdr:row>
      <xdr:rowOff>0</xdr:rowOff>
    </xdr:from>
    <xdr:to>
      <xdr:col>14</xdr:col>
      <xdr:colOff>131763</xdr:colOff>
      <xdr:row>28</xdr:row>
      <xdr:rowOff>55790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E1E7AE-3F3C-465D-BFDA-0E7C034EE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42460" y="2667000"/>
          <a:ext cx="3483391" cy="272279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591792</xdr:colOff>
      <xdr:row>13</xdr:row>
      <xdr:rowOff>180975</xdr:rowOff>
    </xdr:from>
    <xdr:to>
      <xdr:col>13</xdr:col>
      <xdr:colOff>589559</xdr:colOff>
      <xdr:row>27</xdr:row>
      <xdr:rowOff>46821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B0DB1D4-A93F-47DC-B712-02714B82B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8042" y="2657475"/>
          <a:ext cx="3121967" cy="25328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71467</xdr:colOff>
      <xdr:row>14</xdr:row>
      <xdr:rowOff>104775</xdr:rowOff>
    </xdr:from>
    <xdr:to>
      <xdr:col>13</xdr:col>
      <xdr:colOff>303654</xdr:colOff>
      <xdr:row>24</xdr:row>
      <xdr:rowOff>66675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3FA679-96BD-43D5-BF35-DF976C85D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9842" y="2771775"/>
          <a:ext cx="2518187" cy="2057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584864</xdr:colOff>
      <xdr:row>12</xdr:row>
      <xdr:rowOff>142875</xdr:rowOff>
    </xdr:from>
    <xdr:to>
      <xdr:col>13</xdr:col>
      <xdr:colOff>579917</xdr:colOff>
      <xdr:row>23</xdr:row>
      <xdr:rowOff>18332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E7E2411-C110-464B-8EC9-80A06A754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5314" y="2428875"/>
          <a:ext cx="3043053" cy="197095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12</xdr:col>
      <xdr:colOff>732190</xdr:colOff>
      <xdr:row>38</xdr:row>
      <xdr:rowOff>65803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356D1C9-02FC-480B-AA3F-3D20FD8E1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9876190" cy="6971428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485775</xdr:colOff>
      <xdr:row>13</xdr:row>
      <xdr:rowOff>152400</xdr:rowOff>
    </xdr:from>
    <xdr:to>
      <xdr:col>14</xdr:col>
      <xdr:colOff>18476</xdr:colOff>
      <xdr:row>24</xdr:row>
      <xdr:rowOff>46926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7B2ADF5-BFF8-4D8A-9C36-723CED20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06225" y="2628900"/>
          <a:ext cx="3342701" cy="199002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95250</xdr:rowOff>
    </xdr:from>
    <xdr:to>
      <xdr:col>13</xdr:col>
      <xdr:colOff>103539</xdr:colOff>
      <xdr:row>38</xdr:row>
      <xdr:rowOff>18178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D690046-51DF-4C9D-9928-1667E8FC9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85750"/>
          <a:ext cx="9885714" cy="6971428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657225</xdr:colOff>
      <xdr:row>13</xdr:row>
      <xdr:rowOff>85725</xdr:rowOff>
    </xdr:from>
    <xdr:to>
      <xdr:col>13</xdr:col>
      <xdr:colOff>637056</xdr:colOff>
      <xdr:row>25</xdr:row>
      <xdr:rowOff>36826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C90C9D6-2C0E-478F-A60F-3474BC2E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01500" y="2562225"/>
          <a:ext cx="3027831" cy="2237101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619125</xdr:colOff>
      <xdr:row>13</xdr:row>
      <xdr:rowOff>95251</xdr:rowOff>
    </xdr:from>
    <xdr:to>
      <xdr:col>13</xdr:col>
      <xdr:colOff>133350</xdr:colOff>
      <xdr:row>23</xdr:row>
      <xdr:rowOff>83825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2D80B67-9350-4FD7-BE53-DE528A756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39600" y="2571751"/>
          <a:ext cx="2562225" cy="189357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161925</xdr:colOff>
      <xdr:row>14</xdr:row>
      <xdr:rowOff>200025</xdr:rowOff>
    </xdr:from>
    <xdr:to>
      <xdr:col>13</xdr:col>
      <xdr:colOff>566112</xdr:colOff>
      <xdr:row>20</xdr:row>
      <xdr:rowOff>143578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7995EAB-5927-445F-BC73-E65440AF6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81925" y="3057525"/>
          <a:ext cx="2690187" cy="2420053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161925</xdr:rowOff>
    </xdr:from>
    <xdr:to>
      <xdr:col>13</xdr:col>
      <xdr:colOff>18288</xdr:colOff>
      <xdr:row>41</xdr:row>
      <xdr:rowOff>100965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123C8D-BEE0-4D6F-9AF2-F9308492D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050" y="352425"/>
          <a:ext cx="9905238" cy="755904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48527</xdr:colOff>
      <xdr:row>13</xdr:row>
      <xdr:rowOff>95250</xdr:rowOff>
    </xdr:from>
    <xdr:to>
      <xdr:col>12</xdr:col>
      <xdr:colOff>733425</xdr:colOff>
      <xdr:row>23</xdr:row>
      <xdr:rowOff>124466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BA12762-A01E-49F4-8E1B-C94C36A4E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88202" y="2571750"/>
          <a:ext cx="2208898" cy="193421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104774</xdr:colOff>
      <xdr:row>1</xdr:row>
      <xdr:rowOff>188868</xdr:rowOff>
    </xdr:from>
    <xdr:to>
      <xdr:col>13</xdr:col>
      <xdr:colOff>70593</xdr:colOff>
      <xdr:row>38</xdr:row>
      <xdr:rowOff>114300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16A90E-E2BC-4E5A-BAD3-30C27354B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4" y="379368"/>
          <a:ext cx="9871819" cy="69739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</xdr:row>
      <xdr:rowOff>28575</xdr:rowOff>
    </xdr:from>
    <xdr:to>
      <xdr:col>13</xdr:col>
      <xdr:colOff>55912</xdr:colOff>
      <xdr:row>38</xdr:row>
      <xdr:rowOff>170575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D8E5EB1-39DA-4C6D-ADD3-37054688B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09575"/>
          <a:ext cx="9904762" cy="7000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313765</xdr:colOff>
      <xdr:row>12</xdr:row>
      <xdr:rowOff>67235</xdr:rowOff>
    </xdr:from>
    <xdr:to>
      <xdr:col>11</xdr:col>
      <xdr:colOff>724729</xdr:colOff>
      <xdr:row>22</xdr:row>
      <xdr:rowOff>86374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23C89EA-04D7-4CA7-8404-D7AE65D64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62765" y="2353235"/>
          <a:ext cx="1934964" cy="192413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152400</xdr:rowOff>
    </xdr:from>
    <xdr:to>
      <xdr:col>13</xdr:col>
      <xdr:colOff>179739</xdr:colOff>
      <xdr:row>38</xdr:row>
      <xdr:rowOff>46757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7BA7BDE-2D51-4B2C-BC3D-1382ABEB2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342900"/>
          <a:ext cx="9885714" cy="6942857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238904</xdr:colOff>
      <xdr:row>12</xdr:row>
      <xdr:rowOff>47625</xdr:rowOff>
    </xdr:from>
    <xdr:to>
      <xdr:col>11</xdr:col>
      <xdr:colOff>447172</xdr:colOff>
      <xdr:row>22</xdr:row>
      <xdr:rowOff>9525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C8B0E6E-0F25-4BB8-9BEA-A4A621DEE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5954" y="2333625"/>
          <a:ext cx="1732268" cy="18669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152400</xdr:rowOff>
    </xdr:from>
    <xdr:to>
      <xdr:col>13</xdr:col>
      <xdr:colOff>390525</xdr:colOff>
      <xdr:row>39</xdr:row>
      <xdr:rowOff>94330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CF1B870-522C-4DE6-91A3-B487A30FB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342900"/>
          <a:ext cx="10163175" cy="71809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58419</xdr:colOff>
      <xdr:row>14</xdr:row>
      <xdr:rowOff>104775</xdr:rowOff>
    </xdr:from>
    <xdr:to>
      <xdr:col>12</xdr:col>
      <xdr:colOff>590550</xdr:colOff>
      <xdr:row>24</xdr:row>
      <xdr:rowOff>64752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CF1CCA-D0A1-4C0C-AF3C-C938BFEB8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4319" y="2771775"/>
          <a:ext cx="2056131" cy="22459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171450</xdr:rowOff>
    </xdr:from>
    <xdr:to>
      <xdr:col>13</xdr:col>
      <xdr:colOff>208317</xdr:colOff>
      <xdr:row>38</xdr:row>
      <xdr:rowOff>94378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AC9B739-30D5-4C64-B1F1-7DB8C6C84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61950"/>
          <a:ext cx="9866667" cy="69714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314325</xdr:colOff>
      <xdr:row>12</xdr:row>
      <xdr:rowOff>117426</xdr:rowOff>
    </xdr:from>
    <xdr:to>
      <xdr:col>11</xdr:col>
      <xdr:colOff>285750</xdr:colOff>
      <xdr:row>25</xdr:row>
      <xdr:rowOff>8710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FF74699-F881-4FB4-B779-B78B9B954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0" y="2403426"/>
          <a:ext cx="1495425" cy="29392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38100</xdr:rowOff>
    </xdr:from>
    <xdr:to>
      <xdr:col>16</xdr:col>
      <xdr:colOff>65159</xdr:colOff>
      <xdr:row>46</xdr:row>
      <xdr:rowOff>37028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8A16B71-D05A-4ABF-BE69-811FA2434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28600"/>
          <a:ext cx="12123809" cy="85714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314325</xdr:colOff>
      <xdr:row>12</xdr:row>
      <xdr:rowOff>19787</xdr:rowOff>
    </xdr:from>
    <xdr:to>
      <xdr:col>11</xdr:col>
      <xdr:colOff>371475</xdr:colOff>
      <xdr:row>26</xdr:row>
      <xdr:rowOff>110835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CA6A76C-D9AE-4B4E-8BDC-405BE2BA3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3200" y="2305787"/>
          <a:ext cx="1581150" cy="313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95250</xdr:rowOff>
    </xdr:from>
    <xdr:to>
      <xdr:col>16</xdr:col>
      <xdr:colOff>131837</xdr:colOff>
      <xdr:row>46</xdr:row>
      <xdr:rowOff>94178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785991-D816-4A13-9208-5E67E33A9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285750"/>
          <a:ext cx="12104762" cy="85714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%20Assembl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BR Assembly"/>
      <sheetName val="BR Part 1"/>
      <sheetName val="BR Drawing Part 1"/>
      <sheetName val="EN Assembly"/>
    </sheetNames>
    <sheetDataSet>
      <sheetData sheetId="0" refreshError="1"/>
      <sheetData sheetId="1" refreshError="1"/>
      <sheetData sheetId="2" refreshError="1">
        <row r="3">
          <cell r="B3" t="str">
            <v>Brake System</v>
          </cell>
        </row>
        <row r="4">
          <cell r="B4" t="str">
            <v>Nom de l'assemblage 1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opLeftCell="A54" workbookViewId="0">
      <selection activeCell="L64" sqref="L64"/>
    </sheetView>
  </sheetViews>
  <sheetFormatPr baseColWidth="10" defaultRowHeight="15" x14ac:dyDescent="0.25"/>
  <sheetData>
    <row r="1" spans="1:2" x14ac:dyDescent="0.25">
      <c r="A1" s="67" t="s">
        <v>120</v>
      </c>
    </row>
    <row r="3" spans="1:2" x14ac:dyDescent="0.25">
      <c r="A3" s="66" t="s">
        <v>65</v>
      </c>
      <c r="B3" s="64" t="s">
        <v>66</v>
      </c>
    </row>
    <row r="5" spans="1:2" x14ac:dyDescent="0.25">
      <c r="A5" t="s">
        <v>121</v>
      </c>
    </row>
    <row r="6" spans="1:2" x14ac:dyDescent="0.25">
      <c r="A6" t="s">
        <v>98</v>
      </c>
    </row>
    <row r="7" spans="1:2" x14ac:dyDescent="0.25">
      <c r="A7" t="s">
        <v>104</v>
      </c>
    </row>
    <row r="8" spans="1:2" x14ac:dyDescent="0.25">
      <c r="A8" t="s">
        <v>102</v>
      </c>
    </row>
    <row r="9" spans="1:2" x14ac:dyDescent="0.25">
      <c r="A9" t="s">
        <v>67</v>
      </c>
    </row>
    <row r="10" spans="1:2" x14ac:dyDescent="0.25">
      <c r="A10" s="64" t="s">
        <v>95</v>
      </c>
    </row>
    <row r="11" spans="1:2" x14ac:dyDescent="0.25">
      <c r="A11" t="s">
        <v>132</v>
      </c>
    </row>
    <row r="12" spans="1:2" x14ac:dyDescent="0.25">
      <c r="A12" t="s">
        <v>68</v>
      </c>
    </row>
    <row r="14" spans="1:2" x14ac:dyDescent="0.25">
      <c r="A14" t="s">
        <v>97</v>
      </c>
    </row>
    <row r="15" spans="1:2" x14ac:dyDescent="0.25">
      <c r="A15" t="s">
        <v>122</v>
      </c>
    </row>
    <row r="16" spans="1:2" x14ac:dyDescent="0.25">
      <c r="A16" t="s">
        <v>108</v>
      </c>
    </row>
    <row r="18" spans="1:3" x14ac:dyDescent="0.25">
      <c r="A18" s="66" t="s">
        <v>69</v>
      </c>
      <c r="B18" s="64" t="s">
        <v>100</v>
      </c>
      <c r="C18" s="64"/>
    </row>
    <row r="20" spans="1:3" x14ac:dyDescent="0.25">
      <c r="A20" t="s">
        <v>107</v>
      </c>
    </row>
    <row r="21" spans="1:3" x14ac:dyDescent="0.25">
      <c r="A21" t="s">
        <v>133</v>
      </c>
    </row>
    <row r="23" spans="1:3" x14ac:dyDescent="0.25">
      <c r="A23" s="66" t="s">
        <v>71</v>
      </c>
      <c r="B23" s="64" t="s">
        <v>72</v>
      </c>
    </row>
    <row r="25" spans="1:3" x14ac:dyDescent="0.25">
      <c r="A25" t="s">
        <v>123</v>
      </c>
    </row>
    <row r="26" spans="1:3" x14ac:dyDescent="0.25">
      <c r="A26" t="s">
        <v>78</v>
      </c>
    </row>
    <row r="27" spans="1:3" x14ac:dyDescent="0.25">
      <c r="A27" t="s">
        <v>73</v>
      </c>
    </row>
    <row r="28" spans="1:3" x14ac:dyDescent="0.25">
      <c r="A28" t="s">
        <v>105</v>
      </c>
    </row>
    <row r="29" spans="1:3" x14ac:dyDescent="0.25">
      <c r="A29" t="s">
        <v>103</v>
      </c>
    </row>
    <row r="30" spans="1:3" x14ac:dyDescent="0.25">
      <c r="A30" t="s">
        <v>74</v>
      </c>
    </row>
    <row r="31" spans="1:3" x14ac:dyDescent="0.25">
      <c r="A31" s="64" t="s">
        <v>95</v>
      </c>
    </row>
    <row r="32" spans="1:3" x14ac:dyDescent="0.25">
      <c r="A32" t="s">
        <v>124</v>
      </c>
    </row>
    <row r="33" spans="1:2" x14ac:dyDescent="0.25">
      <c r="A33" t="s">
        <v>125</v>
      </c>
    </row>
    <row r="35" spans="1:2" x14ac:dyDescent="0.25">
      <c r="A35" t="s">
        <v>106</v>
      </c>
    </row>
    <row r="36" spans="1:2" x14ac:dyDescent="0.25">
      <c r="A36" t="s">
        <v>126</v>
      </c>
    </row>
    <row r="37" spans="1:2" x14ac:dyDescent="0.25">
      <c r="A37" t="s">
        <v>109</v>
      </c>
    </row>
    <row r="39" spans="1:2" x14ac:dyDescent="0.25">
      <c r="A39" s="66" t="s">
        <v>75</v>
      </c>
      <c r="B39" s="64" t="s">
        <v>70</v>
      </c>
    </row>
    <row r="41" spans="1:2" x14ac:dyDescent="0.25">
      <c r="A41" t="s">
        <v>114</v>
      </c>
    </row>
    <row r="42" spans="1:2" x14ac:dyDescent="0.25">
      <c r="A42" t="s">
        <v>115</v>
      </c>
    </row>
    <row r="43" spans="1:2" x14ac:dyDescent="0.25">
      <c r="A43" t="s">
        <v>99</v>
      </c>
    </row>
    <row r="45" spans="1:2" x14ac:dyDescent="0.25">
      <c r="A45" s="66" t="s">
        <v>76</v>
      </c>
      <c r="B45" s="64" t="s">
        <v>92</v>
      </c>
    </row>
    <row r="47" spans="1:2" x14ac:dyDescent="0.25">
      <c r="A47" t="s">
        <v>127</v>
      </c>
    </row>
    <row r="48" spans="1:2" x14ac:dyDescent="0.25">
      <c r="A48" t="s">
        <v>93</v>
      </c>
    </row>
    <row r="49" spans="1:2" x14ac:dyDescent="0.25">
      <c r="A49" t="s">
        <v>94</v>
      </c>
    </row>
    <row r="50" spans="1:2" x14ac:dyDescent="0.25">
      <c r="A50" t="s">
        <v>128</v>
      </c>
    </row>
    <row r="51" spans="1:2" x14ac:dyDescent="0.25">
      <c r="A51" t="s">
        <v>116</v>
      </c>
    </row>
    <row r="52" spans="1:2" x14ac:dyDescent="0.25">
      <c r="A52" t="s">
        <v>129</v>
      </c>
    </row>
    <row r="53" spans="1:2" x14ac:dyDescent="0.25">
      <c r="A53" t="s">
        <v>131</v>
      </c>
    </row>
    <row r="55" spans="1:2" x14ac:dyDescent="0.25">
      <c r="A55" t="s">
        <v>110</v>
      </c>
    </row>
    <row r="57" spans="1:2" x14ac:dyDescent="0.25">
      <c r="A57" s="66" t="s">
        <v>80</v>
      </c>
      <c r="B57" s="64" t="s">
        <v>77</v>
      </c>
    </row>
    <row r="59" spans="1:2" x14ac:dyDescent="0.25">
      <c r="A59" t="s">
        <v>79</v>
      </c>
    </row>
    <row r="60" spans="1:2" x14ac:dyDescent="0.25">
      <c r="A60" t="s">
        <v>111</v>
      </c>
    </row>
    <row r="61" spans="1:2" x14ac:dyDescent="0.25">
      <c r="A61" t="s">
        <v>130</v>
      </c>
    </row>
    <row r="63" spans="1:2" x14ac:dyDescent="0.25">
      <c r="A63" s="66" t="s">
        <v>91</v>
      </c>
      <c r="B63" s="64" t="s">
        <v>81</v>
      </c>
    </row>
    <row r="65" spans="1:1" x14ac:dyDescent="0.25">
      <c r="A65" t="s">
        <v>82</v>
      </c>
    </row>
    <row r="66" spans="1:1" x14ac:dyDescent="0.25">
      <c r="A66" t="s">
        <v>84</v>
      </c>
    </row>
    <row r="67" spans="1:1" x14ac:dyDescent="0.25">
      <c r="A67" t="s">
        <v>83</v>
      </c>
    </row>
    <row r="68" spans="1:1" x14ac:dyDescent="0.25">
      <c r="A68" t="s">
        <v>85</v>
      </c>
    </row>
    <row r="69" spans="1:1" x14ac:dyDescent="0.25">
      <c r="A69" t="s">
        <v>86</v>
      </c>
    </row>
    <row r="70" spans="1:1" x14ac:dyDescent="0.25">
      <c r="A70" t="s">
        <v>87</v>
      </c>
    </row>
    <row r="71" spans="1:1" x14ac:dyDescent="0.25">
      <c r="A71" t="s">
        <v>112</v>
      </c>
    </row>
    <row r="72" spans="1:1" x14ac:dyDescent="0.25">
      <c r="A72" t="s">
        <v>113</v>
      </c>
    </row>
    <row r="74" spans="1:1" x14ac:dyDescent="0.25">
      <c r="A74" t="s">
        <v>117</v>
      </c>
    </row>
    <row r="75" spans="1:1" x14ac:dyDescent="0.25">
      <c r="A75" t="s">
        <v>88</v>
      </c>
    </row>
    <row r="76" spans="1:1" x14ac:dyDescent="0.25">
      <c r="A76" t="s">
        <v>89</v>
      </c>
    </row>
    <row r="77" spans="1:1" x14ac:dyDescent="0.25">
      <c r="A77" t="s">
        <v>112</v>
      </c>
    </row>
    <row r="78" spans="1:1" x14ac:dyDescent="0.25">
      <c r="A78" t="s">
        <v>113</v>
      </c>
    </row>
    <row r="80" spans="1:1" x14ac:dyDescent="0.25">
      <c r="A80" s="64" t="s">
        <v>96</v>
      </c>
    </row>
    <row r="82" spans="1:1" x14ac:dyDescent="0.25">
      <c r="A82" s="67" t="s">
        <v>101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83026-3302-4202-B427-41AC0D6EAB9C}">
  <sheetPr>
    <tabColor theme="6" tint="0.39997558519241921"/>
  </sheetPr>
  <dimension ref="A1"/>
  <sheetViews>
    <sheetView topLeftCell="A17" zoomScaleNormal="100" workbookViewId="0">
      <selection activeCell="N48" sqref="N48"/>
    </sheetView>
  </sheetViews>
  <sheetFormatPr baseColWidth="10" defaultRowHeight="15" x14ac:dyDescent="0.25"/>
  <sheetData>
    <row r="1" spans="1:1" x14ac:dyDescent="0.25">
      <c r="A1" s="213" t="s">
        <v>223</v>
      </c>
    </row>
  </sheetData>
  <hyperlinks>
    <hyperlink ref="A1" location="EN_0900_004" display="EN_0900_004" xr:uid="{2E4E2DB0-CD4F-4100-BC62-30408841A317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611C-5FF0-43D8-A173-C5E8D33A1FBB}">
  <sheetPr>
    <tabColor theme="6" tint="0.39997558519241921"/>
  </sheetPr>
  <dimension ref="A1:O28"/>
  <sheetViews>
    <sheetView workbookViewId="0">
      <selection activeCell="B4" sqref="B4"/>
    </sheetView>
  </sheetViews>
  <sheetFormatPr baseColWidth="10" defaultRowHeight="15" x14ac:dyDescent="0.25"/>
  <cols>
    <col min="2" max="2" width="21.28515625" bestFit="1" customWidth="1"/>
    <col min="3" max="3" width="33.42578125" bestFit="1" customWidth="1"/>
    <col min="9" max="9" width="27.42578125" bestFit="1" customWidth="1"/>
  </cols>
  <sheetData>
    <row r="1" spans="1:15" x14ac:dyDescent="0.25">
      <c r="A1" s="150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2"/>
    </row>
    <row r="2" spans="1:15" x14ac:dyDescent="0.25">
      <c r="A2" s="169" t="s">
        <v>0</v>
      </c>
      <c r="B2" s="170" t="s">
        <v>42</v>
      </c>
      <c r="C2" s="44"/>
      <c r="D2" s="44"/>
      <c r="E2" s="44"/>
      <c r="F2" s="44"/>
      <c r="G2" s="44" t="s">
        <v>119</v>
      </c>
      <c r="H2" s="44"/>
      <c r="I2" s="44"/>
      <c r="J2" s="95" t="s">
        <v>1</v>
      </c>
      <c r="K2" s="62">
        <v>81</v>
      </c>
      <c r="L2" s="44"/>
      <c r="M2" s="94" t="s">
        <v>16</v>
      </c>
      <c r="N2" s="60">
        <f>EN_0900_005_m+EN_0900_005_p</f>
        <v>17.198412672</v>
      </c>
      <c r="O2" s="153"/>
    </row>
    <row r="3" spans="1:15" x14ac:dyDescent="0.25">
      <c r="A3" s="171" t="s">
        <v>3</v>
      </c>
      <c r="B3" s="170" t="s">
        <v>134</v>
      </c>
      <c r="C3" s="44"/>
      <c r="D3" s="212" t="s">
        <v>6</v>
      </c>
      <c r="E3" s="44" t="s">
        <v>90</v>
      </c>
      <c r="F3" s="44"/>
      <c r="G3" s="44"/>
      <c r="H3" s="44"/>
      <c r="I3" s="44"/>
      <c r="J3" s="44"/>
      <c r="K3" s="44"/>
      <c r="L3" s="44"/>
      <c r="M3" s="94" t="s">
        <v>4</v>
      </c>
      <c r="N3" s="61">
        <v>1</v>
      </c>
      <c r="O3" s="153"/>
    </row>
    <row r="4" spans="1:15" x14ac:dyDescent="0.25">
      <c r="A4" s="172" t="s">
        <v>5</v>
      </c>
      <c r="B4" s="215" t="s">
        <v>135</v>
      </c>
      <c r="C4" s="44"/>
      <c r="D4" s="94" t="s">
        <v>8</v>
      </c>
      <c r="E4" s="44"/>
      <c r="F4" s="44"/>
      <c r="G4" s="44"/>
      <c r="H4" s="44"/>
      <c r="I4" s="44"/>
      <c r="J4" s="96" t="s">
        <v>6</v>
      </c>
      <c r="K4" s="44"/>
      <c r="L4" s="44"/>
      <c r="M4" s="44"/>
      <c r="N4" s="44"/>
      <c r="O4" s="153"/>
    </row>
    <row r="5" spans="1:15" x14ac:dyDescent="0.25">
      <c r="A5" s="172" t="s">
        <v>15</v>
      </c>
      <c r="B5" s="44" t="s">
        <v>230</v>
      </c>
      <c r="C5" s="44"/>
      <c r="D5" s="94" t="s">
        <v>12</v>
      </c>
      <c r="E5" s="44"/>
      <c r="F5" s="44"/>
      <c r="G5" s="44"/>
      <c r="H5" s="44"/>
      <c r="I5" s="44"/>
      <c r="J5" s="96" t="s">
        <v>8</v>
      </c>
      <c r="K5" s="44"/>
      <c r="L5" s="44"/>
      <c r="M5" s="94" t="s">
        <v>9</v>
      </c>
      <c r="N5" s="60">
        <f>N3*N2</f>
        <v>17.198412672</v>
      </c>
      <c r="O5" s="153"/>
    </row>
    <row r="6" spans="1:15" x14ac:dyDescent="0.25">
      <c r="A6" s="172" t="s">
        <v>7</v>
      </c>
      <c r="B6" s="165" t="s">
        <v>231</v>
      </c>
      <c r="C6" s="44"/>
      <c r="D6" s="44"/>
      <c r="E6" s="44"/>
      <c r="F6" s="44"/>
      <c r="G6" s="44"/>
      <c r="H6" s="44"/>
      <c r="I6" s="44"/>
      <c r="J6" s="96" t="s">
        <v>12</v>
      </c>
      <c r="K6" s="44"/>
      <c r="L6" s="44"/>
      <c r="M6" s="44"/>
      <c r="N6" s="44"/>
      <c r="O6" s="153"/>
    </row>
    <row r="7" spans="1:15" x14ac:dyDescent="0.25">
      <c r="A7" s="173" t="s">
        <v>10</v>
      </c>
      <c r="B7" s="170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153"/>
    </row>
    <row r="8" spans="1:15" x14ac:dyDescent="0.25">
      <c r="A8" s="169" t="s">
        <v>13</v>
      </c>
      <c r="B8" s="10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153"/>
    </row>
    <row r="9" spans="1:15" x14ac:dyDescent="0.25">
      <c r="A9" s="174"/>
      <c r="B9" s="20"/>
      <c r="C9" s="20"/>
      <c r="D9" s="20"/>
      <c r="E9" s="20"/>
      <c r="F9" s="44"/>
      <c r="G9" s="44"/>
      <c r="H9" s="44"/>
      <c r="I9" s="44"/>
      <c r="J9" s="44"/>
      <c r="K9" s="44"/>
      <c r="L9" s="44"/>
      <c r="M9" s="44"/>
      <c r="N9" s="44"/>
      <c r="O9" s="153"/>
    </row>
    <row r="10" spans="1:15" x14ac:dyDescent="0.25">
      <c r="A10" s="175" t="s">
        <v>14</v>
      </c>
      <c r="B10" s="100" t="s">
        <v>19</v>
      </c>
      <c r="C10" s="100" t="s">
        <v>20</v>
      </c>
      <c r="D10" s="100" t="s">
        <v>21</v>
      </c>
      <c r="E10" s="100" t="s">
        <v>22</v>
      </c>
      <c r="F10" s="176" t="s">
        <v>23</v>
      </c>
      <c r="G10" s="176" t="s">
        <v>24</v>
      </c>
      <c r="H10" s="176" t="s">
        <v>25</v>
      </c>
      <c r="I10" s="176" t="s">
        <v>26</v>
      </c>
      <c r="J10" s="176" t="s">
        <v>27</v>
      </c>
      <c r="K10" s="176" t="s">
        <v>28</v>
      </c>
      <c r="L10" s="176" t="s">
        <v>29</v>
      </c>
      <c r="M10" s="176" t="s">
        <v>17</v>
      </c>
      <c r="N10" s="176" t="s">
        <v>18</v>
      </c>
      <c r="O10" s="153"/>
    </row>
    <row r="11" spans="1:15" x14ac:dyDescent="0.25">
      <c r="A11" s="195">
        <v>10</v>
      </c>
      <c r="B11" s="196" t="s">
        <v>154</v>
      </c>
      <c r="C11" s="197" t="s">
        <v>225</v>
      </c>
      <c r="D11" s="198">
        <v>4.2</v>
      </c>
      <c r="E11" s="199">
        <f>J11*K11*L11</f>
        <v>1.3388601600000001</v>
      </c>
      <c r="F11" s="187" t="s">
        <v>155</v>
      </c>
      <c r="G11" s="187"/>
      <c r="H11" s="200"/>
      <c r="I11" s="201" t="s">
        <v>232</v>
      </c>
      <c r="J11" s="202">
        <f>374*120/1000000</f>
        <v>4.4880000000000003E-2</v>
      </c>
      <c r="K11" s="203">
        <f>11/1000</f>
        <v>1.0999999999999999E-2</v>
      </c>
      <c r="L11" s="204">
        <v>2712</v>
      </c>
      <c r="M11" s="204">
        <v>1</v>
      </c>
      <c r="N11" s="205">
        <f>IF(J11="",D11*M11,D11*J11*K11*L11*M11)</f>
        <v>5.6232126720000002</v>
      </c>
      <c r="O11" s="157"/>
    </row>
    <row r="12" spans="1:15" x14ac:dyDescent="0.25">
      <c r="A12" s="180"/>
      <c r="B12" s="120"/>
      <c r="C12" s="121"/>
      <c r="D12" s="122"/>
      <c r="E12" s="121"/>
      <c r="F12" s="121"/>
      <c r="G12" s="121"/>
      <c r="H12" s="123"/>
      <c r="I12" s="124"/>
      <c r="J12" s="125"/>
      <c r="K12" s="126"/>
      <c r="L12" s="127"/>
      <c r="M12" s="181"/>
      <c r="N12" s="128"/>
      <c r="O12" s="157"/>
    </row>
    <row r="13" spans="1:15" x14ac:dyDescent="0.25">
      <c r="A13" s="15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2" t="s">
        <v>18</v>
      </c>
      <c r="N13" s="98">
        <f>SUM(N11:N11)</f>
        <v>5.6232126720000002</v>
      </c>
      <c r="O13" s="153"/>
    </row>
    <row r="14" spans="1:15" x14ac:dyDescent="0.25">
      <c r="A14" s="15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153"/>
    </row>
    <row r="15" spans="1:15" x14ac:dyDescent="0.25">
      <c r="A15" s="172" t="s">
        <v>14</v>
      </c>
      <c r="B15" s="176" t="s">
        <v>31</v>
      </c>
      <c r="C15" s="176" t="s">
        <v>20</v>
      </c>
      <c r="D15" s="176" t="s">
        <v>21</v>
      </c>
      <c r="E15" s="176" t="s">
        <v>32</v>
      </c>
      <c r="F15" s="176" t="s">
        <v>17</v>
      </c>
      <c r="G15" s="176" t="s">
        <v>33</v>
      </c>
      <c r="H15" s="176" t="s">
        <v>34</v>
      </c>
      <c r="I15" s="176" t="s">
        <v>18</v>
      </c>
      <c r="J15" s="18"/>
      <c r="K15" s="18"/>
      <c r="L15" s="18"/>
      <c r="M15" s="18"/>
      <c r="N15" s="18"/>
      <c r="O15" s="153"/>
    </row>
    <row r="16" spans="1:15" ht="30" x14ac:dyDescent="0.25">
      <c r="A16" s="177">
        <v>10</v>
      </c>
      <c r="B16" s="206" t="s">
        <v>43</v>
      </c>
      <c r="C16" s="206" t="s">
        <v>227</v>
      </c>
      <c r="D16" s="198">
        <v>1.3</v>
      </c>
      <c r="E16" s="184" t="s">
        <v>32</v>
      </c>
      <c r="F16" s="207">
        <v>1</v>
      </c>
      <c r="G16" s="207"/>
      <c r="H16" s="194"/>
      <c r="I16" s="205">
        <f>IF(H16="",D16*F16,D16*F16*H16)</f>
        <v>1.3</v>
      </c>
      <c r="J16" s="46"/>
      <c r="K16" s="46"/>
      <c r="L16" s="46"/>
      <c r="M16" s="46"/>
      <c r="N16" s="46"/>
      <c r="O16" s="159"/>
    </row>
    <row r="17" spans="1:15" ht="30" x14ac:dyDescent="0.25">
      <c r="A17" s="177">
        <v>20</v>
      </c>
      <c r="B17" s="206" t="s">
        <v>161</v>
      </c>
      <c r="C17" s="206" t="s">
        <v>228</v>
      </c>
      <c r="D17" s="198">
        <v>0.04</v>
      </c>
      <c r="E17" s="187" t="s">
        <v>162</v>
      </c>
      <c r="F17" s="193">
        <v>256.88</v>
      </c>
      <c r="G17" s="184" t="s">
        <v>229</v>
      </c>
      <c r="H17" s="194">
        <v>1</v>
      </c>
      <c r="I17" s="205">
        <f>IF(H17="",D17*F17,D17*F17*H17)</f>
        <v>10.2752</v>
      </c>
      <c r="J17" s="46"/>
      <c r="K17" s="46"/>
      <c r="L17" s="46"/>
      <c r="M17" s="46"/>
      <c r="N17" s="46"/>
      <c r="O17" s="159"/>
    </row>
    <row r="18" spans="1:15" x14ac:dyDescent="0.25">
      <c r="A18" s="158"/>
      <c r="B18" s="18"/>
      <c r="C18" s="18"/>
      <c r="D18" s="18"/>
      <c r="E18" s="18"/>
      <c r="F18" s="18"/>
      <c r="G18" s="18"/>
      <c r="H18" s="103" t="s">
        <v>18</v>
      </c>
      <c r="I18" s="98">
        <f>SUM(I16:I17)</f>
        <v>11.575200000000001</v>
      </c>
      <c r="J18" s="18"/>
      <c r="K18" s="18"/>
      <c r="L18" s="18"/>
      <c r="M18" s="18"/>
      <c r="N18" s="18"/>
      <c r="O18" s="153"/>
    </row>
    <row r="19" spans="1:15" x14ac:dyDescent="0.25">
      <c r="A19" s="15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153"/>
    </row>
    <row r="20" spans="1:15" x14ac:dyDescent="0.25">
      <c r="A20" s="15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153"/>
    </row>
    <row r="21" spans="1:15" x14ac:dyDescent="0.25">
      <c r="A21" s="15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153"/>
    </row>
    <row r="22" spans="1:15" x14ac:dyDescent="0.25">
      <c r="A22" s="154"/>
      <c r="B22" s="44"/>
      <c r="C22" s="44"/>
      <c r="D22" s="44"/>
      <c r="E22" s="167"/>
      <c r="F22" s="208"/>
      <c r="G22" s="208"/>
      <c r="H22" s="44"/>
      <c r="I22" s="44"/>
      <c r="J22" s="44"/>
      <c r="K22" s="44"/>
      <c r="L22" s="44"/>
      <c r="M22" s="44"/>
      <c r="N22" s="44"/>
      <c r="O22" s="153"/>
    </row>
    <row r="23" spans="1:15" x14ac:dyDescent="0.25">
      <c r="A23" s="154"/>
      <c r="B23" s="44"/>
      <c r="C23" s="44"/>
      <c r="D23" s="44"/>
      <c r="E23" s="208"/>
      <c r="F23" s="44"/>
      <c r="G23" s="44"/>
      <c r="H23" s="44"/>
      <c r="I23" s="44"/>
      <c r="J23" s="44"/>
      <c r="K23" s="44"/>
      <c r="L23" s="44"/>
      <c r="M23" s="44"/>
      <c r="N23" s="44"/>
      <c r="O23" s="153"/>
    </row>
    <row r="24" spans="1:15" x14ac:dyDescent="0.25">
      <c r="A24" s="15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153"/>
    </row>
    <row r="25" spans="1:15" x14ac:dyDescent="0.25">
      <c r="A25" s="15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153"/>
    </row>
    <row r="26" spans="1:15" x14ac:dyDescent="0.25">
      <c r="A26" s="15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153"/>
    </row>
    <row r="27" spans="1:15" x14ac:dyDescent="0.25">
      <c r="A27" s="15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153"/>
    </row>
    <row r="28" spans="1:15" ht="15.75" thickBot="1" x14ac:dyDescent="0.3">
      <c r="A28" s="162"/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4"/>
    </row>
  </sheetData>
  <hyperlinks>
    <hyperlink ref="D3" location="'EN_0900_005 Drawing'!A1" display="FileLink1" xr:uid="{61892D57-9684-4295-9529-3CA5DC00953C}"/>
    <hyperlink ref="B4" location="EN_A0900!A1" display="Differential" xr:uid="{C621E891-E732-4DF6-A9C8-22D55A42E267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2B02-713E-4B1A-90B4-9B3E5C72B5DC}">
  <sheetPr>
    <tabColor theme="6" tint="0.39997558519241921"/>
  </sheetPr>
  <dimension ref="A1"/>
  <sheetViews>
    <sheetView topLeftCell="A7" workbookViewId="0">
      <selection activeCell="A2" sqref="A2"/>
    </sheetView>
  </sheetViews>
  <sheetFormatPr baseColWidth="10" defaultRowHeight="15" x14ac:dyDescent="0.25"/>
  <sheetData>
    <row r="1" spans="1:1" x14ac:dyDescent="0.25">
      <c r="A1" s="65" t="s">
        <v>231</v>
      </c>
    </row>
  </sheetData>
  <hyperlinks>
    <hyperlink ref="A1" location="EN_0900_005" display="EN_0900_005" xr:uid="{C4345D02-149F-4EAA-AEE8-2D8364388E73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1F031-A6B2-4C3F-B011-3A3FB7B7A2BE}">
  <sheetPr>
    <tabColor theme="6" tint="0.39997558519241921"/>
  </sheetPr>
  <dimension ref="A1:O26"/>
  <sheetViews>
    <sheetView topLeftCell="D1" workbookViewId="0">
      <selection activeCell="H16" sqref="H16"/>
    </sheetView>
  </sheetViews>
  <sheetFormatPr baseColWidth="10" defaultRowHeight="15" x14ac:dyDescent="0.25"/>
  <cols>
    <col min="2" max="2" width="28.5703125" bestFit="1" customWidth="1"/>
    <col min="3" max="3" width="39.28515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150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2"/>
    </row>
    <row r="2" spans="1:15" x14ac:dyDescent="0.25">
      <c r="A2" s="169" t="s">
        <v>0</v>
      </c>
      <c r="B2" s="170" t="s">
        <v>42</v>
      </c>
      <c r="C2" s="44"/>
      <c r="D2" s="44"/>
      <c r="E2" s="44"/>
      <c r="F2" s="44"/>
      <c r="G2" s="44" t="s">
        <v>119</v>
      </c>
      <c r="H2" s="44"/>
      <c r="I2" s="44"/>
      <c r="J2" s="95" t="s">
        <v>1</v>
      </c>
      <c r="K2" s="62">
        <v>81</v>
      </c>
      <c r="L2" s="44"/>
      <c r="M2" s="94" t="s">
        <v>16</v>
      </c>
      <c r="N2" s="60">
        <f>EN_0900_006_m+EN_0900_006_p</f>
        <v>0.99587245000000002</v>
      </c>
      <c r="O2" s="153"/>
    </row>
    <row r="3" spans="1:15" x14ac:dyDescent="0.25">
      <c r="A3" s="171" t="s">
        <v>3</v>
      </c>
      <c r="B3" s="170" t="s">
        <v>134</v>
      </c>
      <c r="C3" s="44"/>
      <c r="D3" s="212" t="s">
        <v>6</v>
      </c>
      <c r="E3" s="44" t="s">
        <v>90</v>
      </c>
      <c r="F3" s="44"/>
      <c r="G3" s="44"/>
      <c r="H3" s="44"/>
      <c r="I3" s="44"/>
      <c r="J3" s="44"/>
      <c r="K3" s="44"/>
      <c r="L3" s="44"/>
      <c r="M3" s="94" t="s">
        <v>4</v>
      </c>
      <c r="N3" s="61">
        <v>4</v>
      </c>
      <c r="O3" s="153"/>
    </row>
    <row r="4" spans="1:15" x14ac:dyDescent="0.25">
      <c r="A4" s="172" t="s">
        <v>5</v>
      </c>
      <c r="B4" s="215" t="s">
        <v>135</v>
      </c>
      <c r="C4" s="44"/>
      <c r="D4" s="94" t="s">
        <v>8</v>
      </c>
      <c r="E4" s="44"/>
      <c r="F4" s="44"/>
      <c r="G4" s="44"/>
      <c r="H4" s="44"/>
      <c r="I4" s="44"/>
      <c r="J4" s="96" t="s">
        <v>6</v>
      </c>
      <c r="K4" s="44"/>
      <c r="L4" s="44"/>
      <c r="M4" s="44"/>
      <c r="N4" s="44"/>
      <c r="O4" s="153"/>
    </row>
    <row r="5" spans="1:15" x14ac:dyDescent="0.25">
      <c r="A5" s="172" t="s">
        <v>15</v>
      </c>
      <c r="B5" s="44" t="s">
        <v>214</v>
      </c>
      <c r="C5" s="44"/>
      <c r="D5" s="94" t="s">
        <v>12</v>
      </c>
      <c r="E5" s="44"/>
      <c r="F5" s="44"/>
      <c r="G5" s="44"/>
      <c r="H5" s="44"/>
      <c r="I5" s="44"/>
      <c r="J5" s="96" t="s">
        <v>8</v>
      </c>
      <c r="K5" s="44"/>
      <c r="L5" s="44"/>
      <c r="M5" s="94" t="s">
        <v>9</v>
      </c>
      <c r="N5" s="60">
        <f>N3*N2</f>
        <v>3.9834898000000001</v>
      </c>
      <c r="O5" s="153"/>
    </row>
    <row r="6" spans="1:15" x14ac:dyDescent="0.25">
      <c r="A6" s="172" t="s">
        <v>7</v>
      </c>
      <c r="B6" s="165" t="s">
        <v>233</v>
      </c>
      <c r="C6" s="44"/>
      <c r="D6" s="44"/>
      <c r="E6" s="44"/>
      <c r="F6" s="44"/>
      <c r="G6" s="44"/>
      <c r="H6" s="44"/>
      <c r="I6" s="44"/>
      <c r="J6" s="96" t="s">
        <v>12</v>
      </c>
      <c r="K6" s="44"/>
      <c r="L6" s="44"/>
      <c r="M6" s="44"/>
      <c r="N6" s="44"/>
      <c r="O6" s="153"/>
    </row>
    <row r="7" spans="1:15" x14ac:dyDescent="0.25">
      <c r="A7" s="173" t="s">
        <v>10</v>
      </c>
      <c r="B7" s="170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153"/>
    </row>
    <row r="8" spans="1:15" x14ac:dyDescent="0.25">
      <c r="A8" s="169" t="s">
        <v>13</v>
      </c>
      <c r="B8" s="10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153"/>
    </row>
    <row r="9" spans="1:15" x14ac:dyDescent="0.25">
      <c r="A9" s="174"/>
      <c r="B9" s="20"/>
      <c r="C9" s="20"/>
      <c r="D9" s="20"/>
      <c r="E9" s="20"/>
      <c r="F9" s="44"/>
      <c r="G9" s="44"/>
      <c r="H9" s="44"/>
      <c r="I9" s="44"/>
      <c r="J9" s="44"/>
      <c r="K9" s="44"/>
      <c r="L9" s="44"/>
      <c r="M9" s="44"/>
      <c r="N9" s="44"/>
      <c r="O9" s="153"/>
    </row>
    <row r="10" spans="1:15" x14ac:dyDescent="0.25">
      <c r="A10" s="175" t="s">
        <v>14</v>
      </c>
      <c r="B10" s="100" t="s">
        <v>19</v>
      </c>
      <c r="C10" s="100" t="s">
        <v>20</v>
      </c>
      <c r="D10" s="100" t="s">
        <v>21</v>
      </c>
      <c r="E10" s="100" t="s">
        <v>22</v>
      </c>
      <c r="F10" s="176" t="s">
        <v>23</v>
      </c>
      <c r="G10" s="176" t="s">
        <v>24</v>
      </c>
      <c r="H10" s="176" t="s">
        <v>25</v>
      </c>
      <c r="I10" s="176" t="s">
        <v>26</v>
      </c>
      <c r="J10" s="176" t="s">
        <v>27</v>
      </c>
      <c r="K10" s="176" t="s">
        <v>28</v>
      </c>
      <c r="L10" s="176" t="s">
        <v>29</v>
      </c>
      <c r="M10" s="176" t="s">
        <v>17</v>
      </c>
      <c r="N10" s="176" t="s">
        <v>18</v>
      </c>
      <c r="O10" s="153"/>
    </row>
    <row r="11" spans="1:15" x14ac:dyDescent="0.25">
      <c r="A11" s="183">
        <v>10</v>
      </c>
      <c r="B11" s="209" t="s">
        <v>234</v>
      </c>
      <c r="C11" s="179" t="s">
        <v>235</v>
      </c>
      <c r="D11" s="131">
        <v>2.25</v>
      </c>
      <c r="E11" s="132">
        <f>J11*K11*L11</f>
        <v>3.6832200000000002E-2</v>
      </c>
      <c r="F11" s="130" t="s">
        <v>155</v>
      </c>
      <c r="G11" s="130"/>
      <c r="H11" s="133"/>
      <c r="I11" s="134" t="s">
        <v>236</v>
      </c>
      <c r="J11" s="134">
        <f>46*34/1000000</f>
        <v>1.5640000000000001E-3</v>
      </c>
      <c r="K11" s="135">
        <f>3/1000</f>
        <v>3.0000000000000001E-3</v>
      </c>
      <c r="L11" s="136">
        <v>7850</v>
      </c>
      <c r="M11" s="136">
        <v>1</v>
      </c>
      <c r="N11" s="131">
        <f>M11*L11*J11*K11*D11</f>
        <v>8.287245E-2</v>
      </c>
      <c r="O11" s="157"/>
    </row>
    <row r="12" spans="1:15" x14ac:dyDescent="0.25">
      <c r="A12" s="15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2" t="s">
        <v>18</v>
      </c>
      <c r="N12" s="98">
        <f>SUM(N11:N11)</f>
        <v>8.287245E-2</v>
      </c>
      <c r="O12" s="153"/>
    </row>
    <row r="13" spans="1:15" x14ac:dyDescent="0.25">
      <c r="A13" s="15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153"/>
    </row>
    <row r="14" spans="1:15" x14ac:dyDescent="0.25">
      <c r="A14" s="172" t="s">
        <v>14</v>
      </c>
      <c r="B14" s="176" t="s">
        <v>31</v>
      </c>
      <c r="C14" s="176" t="s">
        <v>20</v>
      </c>
      <c r="D14" s="176" t="s">
        <v>21</v>
      </c>
      <c r="E14" s="176" t="s">
        <v>32</v>
      </c>
      <c r="F14" s="176" t="s">
        <v>17</v>
      </c>
      <c r="G14" s="176" t="s">
        <v>33</v>
      </c>
      <c r="H14" s="176" t="s">
        <v>34</v>
      </c>
      <c r="I14" s="176" t="s">
        <v>18</v>
      </c>
      <c r="J14" s="18"/>
      <c r="K14" s="18"/>
      <c r="L14" s="18"/>
      <c r="M14" s="18"/>
      <c r="N14" s="18"/>
      <c r="O14" s="153"/>
    </row>
    <row r="15" spans="1:15" ht="30" x14ac:dyDescent="0.25">
      <c r="A15" s="177">
        <v>10</v>
      </c>
      <c r="B15" s="210" t="s">
        <v>43</v>
      </c>
      <c r="C15" s="185" t="s">
        <v>218</v>
      </c>
      <c r="D15" s="211">
        <v>1.3</v>
      </c>
      <c r="E15" s="187" t="s">
        <v>32</v>
      </c>
      <c r="F15" s="187">
        <v>1</v>
      </c>
      <c r="G15" s="197" t="s">
        <v>374</v>
      </c>
      <c r="H15" s="185">
        <f>1/4</f>
        <v>0.25</v>
      </c>
      <c r="I15" s="131">
        <f>IF(H15="",D15*F15,D15*F15*H15)</f>
        <v>0.32500000000000001</v>
      </c>
      <c r="J15" s="46"/>
      <c r="K15" s="46"/>
      <c r="L15" s="46"/>
      <c r="M15" s="46"/>
      <c r="N15" s="46"/>
      <c r="O15" s="159"/>
    </row>
    <row r="16" spans="1:15" x14ac:dyDescent="0.25">
      <c r="A16" s="195">
        <v>20</v>
      </c>
      <c r="B16" s="185" t="s">
        <v>44</v>
      </c>
      <c r="C16" s="206" t="s">
        <v>238</v>
      </c>
      <c r="D16" s="211">
        <v>0.01</v>
      </c>
      <c r="E16" s="187" t="s">
        <v>45</v>
      </c>
      <c r="F16" s="187">
        <v>19.600000000000001</v>
      </c>
      <c r="G16" s="187" t="s">
        <v>237</v>
      </c>
      <c r="H16" s="187">
        <v>3</v>
      </c>
      <c r="I16" s="131">
        <f>IF(H16="",D16*F16,D16*F16*H16)</f>
        <v>0.58800000000000008</v>
      </c>
      <c r="J16" s="46"/>
      <c r="K16" s="46"/>
      <c r="L16" s="46"/>
      <c r="M16" s="46"/>
      <c r="N16" s="46"/>
      <c r="O16" s="159"/>
    </row>
    <row r="17" spans="1:15" x14ac:dyDescent="0.25">
      <c r="A17" s="158"/>
      <c r="B17" s="18"/>
      <c r="C17" s="18"/>
      <c r="D17" s="18"/>
      <c r="E17" s="18"/>
      <c r="F17" s="18"/>
      <c r="G17" s="18"/>
      <c r="H17" s="103" t="s">
        <v>18</v>
      </c>
      <c r="I17" s="98">
        <f>SUM(I15:I16)</f>
        <v>0.91300000000000003</v>
      </c>
      <c r="J17" s="18"/>
      <c r="K17" s="18"/>
      <c r="L17" s="18"/>
      <c r="M17" s="18"/>
      <c r="N17" s="18"/>
      <c r="O17" s="153"/>
    </row>
    <row r="18" spans="1:15" x14ac:dyDescent="0.25">
      <c r="A18" s="15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153"/>
    </row>
    <row r="19" spans="1:15" x14ac:dyDescent="0.25">
      <c r="A19" s="15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153"/>
    </row>
    <row r="20" spans="1:15" x14ac:dyDescent="0.25">
      <c r="A20" s="154"/>
      <c r="B20" s="44"/>
      <c r="C20" s="167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153"/>
    </row>
    <row r="21" spans="1:15" x14ac:dyDescent="0.25">
      <c r="A21" s="154"/>
      <c r="B21" s="44"/>
      <c r="C21" s="167"/>
      <c r="D21" s="167"/>
      <c r="E21" s="167"/>
      <c r="F21" s="44"/>
      <c r="G21" s="44"/>
      <c r="H21" s="44"/>
      <c r="I21" s="44"/>
      <c r="J21" s="44"/>
      <c r="K21" s="44"/>
      <c r="L21" s="44"/>
      <c r="M21" s="44"/>
      <c r="N21" s="44"/>
      <c r="O21" s="153"/>
    </row>
    <row r="22" spans="1:15" x14ac:dyDescent="0.25">
      <c r="A22" s="15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153"/>
    </row>
    <row r="23" spans="1:15" x14ac:dyDescent="0.25">
      <c r="A23" s="15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153"/>
    </row>
    <row r="24" spans="1:15" x14ac:dyDescent="0.25">
      <c r="A24" s="15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153"/>
    </row>
    <row r="25" spans="1:15" x14ac:dyDescent="0.25">
      <c r="A25" s="15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153"/>
    </row>
    <row r="26" spans="1:15" ht="15.75" thickBot="1" x14ac:dyDescent="0.3">
      <c r="A26" s="162"/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4"/>
    </row>
  </sheetData>
  <hyperlinks>
    <hyperlink ref="D3" location="'EN_0900_006 Drawing'!A1" display="FileLink1" xr:uid="{731B3E14-BD29-4A7B-8AEC-C7E1C65CD6EF}"/>
    <hyperlink ref="B4" location="EN_A0900!A1" display="Differential" xr:uid="{C1C6B9F0-5163-4372-B430-5697255E03BF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2C23-2CF0-4D1F-B54A-55E717260FC6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5" t="s">
        <v>233</v>
      </c>
    </row>
  </sheetData>
  <hyperlinks>
    <hyperlink ref="A1" location="EN_0900_006" display="EN_0900_006" xr:uid="{459E7C1C-6BD1-47EF-AA5D-C8488BE4679A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0DC19-37A4-4EEE-84E9-C63D226B8D65}">
  <sheetPr>
    <tabColor theme="6" tint="0.39997558519241921"/>
  </sheetPr>
  <dimension ref="A1:O25"/>
  <sheetViews>
    <sheetView zoomScale="85" zoomScaleNormal="85" workbookViewId="0">
      <selection activeCell="G15" sqref="G15"/>
    </sheetView>
  </sheetViews>
  <sheetFormatPr baseColWidth="10" defaultRowHeight="15" x14ac:dyDescent="0.25"/>
  <cols>
    <col min="2" max="2" width="33.7109375" bestFit="1" customWidth="1"/>
    <col min="3" max="3" width="31" bestFit="1" customWidth="1"/>
    <col min="7" max="7" width="35.85546875" bestFit="1" customWidth="1"/>
    <col min="9" max="9" width="25.28515625" bestFit="1" customWidth="1"/>
  </cols>
  <sheetData>
    <row r="1" spans="1:15" x14ac:dyDescent="0.25">
      <c r="A1" s="150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2"/>
    </row>
    <row r="2" spans="1:15" x14ac:dyDescent="0.25">
      <c r="A2" s="169" t="s">
        <v>0</v>
      </c>
      <c r="B2" s="170" t="s">
        <v>42</v>
      </c>
      <c r="C2" s="44"/>
      <c r="D2" s="44"/>
      <c r="E2" s="44"/>
      <c r="F2" s="44"/>
      <c r="G2" s="44" t="s">
        <v>119</v>
      </c>
      <c r="H2" s="44"/>
      <c r="I2" s="44"/>
      <c r="J2" s="95" t="s">
        <v>1</v>
      </c>
      <c r="K2" s="62">
        <v>81</v>
      </c>
      <c r="L2" s="44"/>
      <c r="M2" s="94" t="s">
        <v>16</v>
      </c>
      <c r="N2" s="60">
        <f>EN_0900_007_m+EN_0900_007_p</f>
        <v>0.96928532500000009</v>
      </c>
      <c r="O2" s="153"/>
    </row>
    <row r="3" spans="1:15" x14ac:dyDescent="0.25">
      <c r="A3" s="171" t="s">
        <v>3</v>
      </c>
      <c r="B3" s="170" t="s">
        <v>134</v>
      </c>
      <c r="C3" s="44"/>
      <c r="D3" s="212" t="s">
        <v>6</v>
      </c>
      <c r="E3" s="44" t="s">
        <v>90</v>
      </c>
      <c r="F3" s="44"/>
      <c r="G3" s="44"/>
      <c r="H3" s="44"/>
      <c r="I3" s="44"/>
      <c r="J3" s="44"/>
      <c r="K3" s="44"/>
      <c r="L3" s="44"/>
      <c r="M3" s="94" t="s">
        <v>4</v>
      </c>
      <c r="N3" s="61">
        <v>4</v>
      </c>
      <c r="O3" s="153"/>
    </row>
    <row r="4" spans="1:15" x14ac:dyDescent="0.25">
      <c r="A4" s="172" t="s">
        <v>5</v>
      </c>
      <c r="B4" s="215" t="s">
        <v>135</v>
      </c>
      <c r="C4" s="44"/>
      <c r="D4" s="94" t="s">
        <v>8</v>
      </c>
      <c r="E4" s="44"/>
      <c r="F4" s="44"/>
      <c r="G4" s="44"/>
      <c r="H4" s="44"/>
      <c r="I4" s="44"/>
      <c r="J4" s="96" t="s">
        <v>6</v>
      </c>
      <c r="K4" s="44"/>
      <c r="L4" s="44"/>
      <c r="M4" s="44"/>
      <c r="N4" s="44"/>
      <c r="O4" s="153"/>
    </row>
    <row r="5" spans="1:15" x14ac:dyDescent="0.25">
      <c r="A5" s="172" t="s">
        <v>15</v>
      </c>
      <c r="B5" s="44" t="s">
        <v>215</v>
      </c>
      <c r="C5" s="44"/>
      <c r="D5" s="94" t="s">
        <v>12</v>
      </c>
      <c r="E5" s="44"/>
      <c r="F5" s="44"/>
      <c r="G5" s="44"/>
      <c r="H5" s="44"/>
      <c r="I5" s="44"/>
      <c r="J5" s="96" t="s">
        <v>8</v>
      </c>
      <c r="K5" s="44"/>
      <c r="L5" s="44"/>
      <c r="M5" s="94" t="s">
        <v>9</v>
      </c>
      <c r="N5" s="60">
        <f>N3*N2</f>
        <v>3.8771413000000003</v>
      </c>
      <c r="O5" s="153"/>
    </row>
    <row r="6" spans="1:15" x14ac:dyDescent="0.25">
      <c r="A6" s="172" t="s">
        <v>7</v>
      </c>
      <c r="B6" s="165" t="s">
        <v>239</v>
      </c>
      <c r="C6" s="44"/>
      <c r="D6" s="44"/>
      <c r="E6" s="44"/>
      <c r="F6" s="44"/>
      <c r="G6" s="44"/>
      <c r="H6" s="44"/>
      <c r="I6" s="44"/>
      <c r="J6" s="96" t="s">
        <v>12</v>
      </c>
      <c r="K6" s="44"/>
      <c r="L6" s="44"/>
      <c r="M6" s="44"/>
      <c r="N6" s="44"/>
      <c r="O6" s="153"/>
    </row>
    <row r="7" spans="1:15" x14ac:dyDescent="0.25">
      <c r="A7" s="173" t="s">
        <v>10</v>
      </c>
      <c r="B7" s="170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153"/>
    </row>
    <row r="8" spans="1:15" x14ac:dyDescent="0.25">
      <c r="A8" s="169" t="s">
        <v>13</v>
      </c>
      <c r="B8" s="10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153"/>
    </row>
    <row r="9" spans="1:15" x14ac:dyDescent="0.25">
      <c r="A9" s="174"/>
      <c r="B9" s="20"/>
      <c r="C9" s="20"/>
      <c r="D9" s="20"/>
      <c r="E9" s="20"/>
      <c r="F9" s="44"/>
      <c r="G9" s="44"/>
      <c r="H9" s="44"/>
      <c r="I9" s="44"/>
      <c r="J9" s="44"/>
      <c r="K9" s="44"/>
      <c r="L9" s="44"/>
      <c r="M9" s="44"/>
      <c r="N9" s="44"/>
      <c r="O9" s="153"/>
    </row>
    <row r="10" spans="1:15" x14ac:dyDescent="0.25">
      <c r="A10" s="175" t="s">
        <v>14</v>
      </c>
      <c r="B10" s="100" t="s">
        <v>19</v>
      </c>
      <c r="C10" s="100" t="s">
        <v>20</v>
      </c>
      <c r="D10" s="100" t="s">
        <v>21</v>
      </c>
      <c r="E10" s="100" t="s">
        <v>22</v>
      </c>
      <c r="F10" s="176" t="s">
        <v>23</v>
      </c>
      <c r="G10" s="176" t="s">
        <v>24</v>
      </c>
      <c r="H10" s="176" t="s">
        <v>25</v>
      </c>
      <c r="I10" s="176" t="s">
        <v>26</v>
      </c>
      <c r="J10" s="176" t="s">
        <v>27</v>
      </c>
      <c r="K10" s="176" t="s">
        <v>28</v>
      </c>
      <c r="L10" s="176" t="s">
        <v>29</v>
      </c>
      <c r="M10" s="176" t="s">
        <v>17</v>
      </c>
      <c r="N10" s="176" t="s">
        <v>18</v>
      </c>
      <c r="O10" s="153"/>
    </row>
    <row r="11" spans="1:15" x14ac:dyDescent="0.25">
      <c r="A11" s="183">
        <v>10</v>
      </c>
      <c r="B11" s="209" t="s">
        <v>234</v>
      </c>
      <c r="C11" s="179" t="s">
        <v>235</v>
      </c>
      <c r="D11" s="131">
        <v>2.25</v>
      </c>
      <c r="E11" s="132">
        <f>J11*K11*L11</f>
        <v>3.1415699999999998E-2</v>
      </c>
      <c r="F11" s="130" t="s">
        <v>155</v>
      </c>
      <c r="G11" s="130"/>
      <c r="H11" s="133"/>
      <c r="I11" s="134" t="s">
        <v>240</v>
      </c>
      <c r="J11" s="134">
        <f>46*29/1000000</f>
        <v>1.3339999999999999E-3</v>
      </c>
      <c r="K11" s="135">
        <f>3/1000</f>
        <v>3.0000000000000001E-3</v>
      </c>
      <c r="L11" s="136">
        <v>7850</v>
      </c>
      <c r="M11" s="136">
        <v>1</v>
      </c>
      <c r="N11" s="131">
        <f>M11*L11*J11*K11*D11</f>
        <v>7.0685324999999993E-2</v>
      </c>
      <c r="O11" s="157"/>
    </row>
    <row r="12" spans="1:15" x14ac:dyDescent="0.25">
      <c r="A12" s="15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2" t="s">
        <v>18</v>
      </c>
      <c r="N12" s="98">
        <f>SUM(N11:N11)</f>
        <v>7.0685324999999993E-2</v>
      </c>
      <c r="O12" s="153"/>
    </row>
    <row r="13" spans="1:15" x14ac:dyDescent="0.25">
      <c r="A13" s="15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153"/>
    </row>
    <row r="14" spans="1:15" x14ac:dyDescent="0.25">
      <c r="A14" s="172" t="s">
        <v>14</v>
      </c>
      <c r="B14" s="176" t="s">
        <v>31</v>
      </c>
      <c r="C14" s="176" t="s">
        <v>20</v>
      </c>
      <c r="D14" s="176" t="s">
        <v>21</v>
      </c>
      <c r="E14" s="176" t="s">
        <v>32</v>
      </c>
      <c r="F14" s="176" t="s">
        <v>17</v>
      </c>
      <c r="G14" s="176" t="s">
        <v>33</v>
      </c>
      <c r="H14" s="176" t="s">
        <v>34</v>
      </c>
      <c r="I14" s="176" t="s">
        <v>18</v>
      </c>
      <c r="J14" s="18"/>
      <c r="K14" s="18"/>
      <c r="L14" s="18"/>
      <c r="M14" s="18"/>
      <c r="N14" s="18"/>
      <c r="O14" s="153"/>
    </row>
    <row r="15" spans="1:15" ht="30" x14ac:dyDescent="0.25">
      <c r="A15" s="177">
        <v>10</v>
      </c>
      <c r="B15" s="210" t="s">
        <v>43</v>
      </c>
      <c r="C15" s="185" t="s">
        <v>218</v>
      </c>
      <c r="D15" s="211">
        <v>1.3</v>
      </c>
      <c r="E15" s="187" t="s">
        <v>32</v>
      </c>
      <c r="F15" s="187">
        <v>1</v>
      </c>
      <c r="G15" s="197" t="s">
        <v>374</v>
      </c>
      <c r="H15" s="185">
        <f>1/4</f>
        <v>0.25</v>
      </c>
      <c r="I15" s="131">
        <f>IF(H15="",D15*F15,D15*F15*H15)</f>
        <v>0.32500000000000001</v>
      </c>
      <c r="J15" s="46"/>
      <c r="K15" s="46"/>
      <c r="L15" s="46"/>
      <c r="M15" s="46"/>
      <c r="N15" s="46"/>
      <c r="O15" s="159"/>
    </row>
    <row r="16" spans="1:15" ht="30" x14ac:dyDescent="0.25">
      <c r="A16" s="195">
        <v>20</v>
      </c>
      <c r="B16" s="185" t="s">
        <v>44</v>
      </c>
      <c r="C16" s="206" t="s">
        <v>238</v>
      </c>
      <c r="D16" s="211">
        <v>0.01</v>
      </c>
      <c r="E16" s="187" t="s">
        <v>45</v>
      </c>
      <c r="F16" s="187">
        <v>19.12</v>
      </c>
      <c r="G16" s="187" t="s">
        <v>237</v>
      </c>
      <c r="H16" s="187">
        <v>3</v>
      </c>
      <c r="I16" s="131">
        <f>IF(H16="",D16*F16,D16*F16*H16)</f>
        <v>0.5736</v>
      </c>
      <c r="J16" s="46"/>
      <c r="K16" s="46"/>
      <c r="L16" s="46"/>
      <c r="M16" s="46"/>
      <c r="N16" s="46"/>
      <c r="O16" s="159"/>
    </row>
    <row r="17" spans="1:15" x14ac:dyDescent="0.25">
      <c r="A17" s="158"/>
      <c r="B17" s="18"/>
      <c r="C17" s="18"/>
      <c r="D17" s="18"/>
      <c r="E17" s="18"/>
      <c r="F17" s="18"/>
      <c r="G17" s="18"/>
      <c r="H17" s="103" t="s">
        <v>18</v>
      </c>
      <c r="I17" s="98">
        <f>SUM(I15:I16)</f>
        <v>0.89860000000000007</v>
      </c>
      <c r="J17" s="18"/>
      <c r="K17" s="18"/>
      <c r="L17" s="18"/>
      <c r="M17" s="18"/>
      <c r="N17" s="18"/>
      <c r="O17" s="153"/>
    </row>
    <row r="18" spans="1:15" x14ac:dyDescent="0.25">
      <c r="A18" s="15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153"/>
    </row>
    <row r="19" spans="1:15" x14ac:dyDescent="0.25">
      <c r="A19" s="15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153"/>
    </row>
    <row r="20" spans="1:15" x14ac:dyDescent="0.25">
      <c r="A20" s="15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153"/>
    </row>
    <row r="21" spans="1:15" x14ac:dyDescent="0.25">
      <c r="A21" s="15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153"/>
    </row>
    <row r="22" spans="1:15" x14ac:dyDescent="0.25">
      <c r="A22" s="15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153"/>
    </row>
    <row r="23" spans="1:15" x14ac:dyDescent="0.25">
      <c r="A23" s="15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153"/>
    </row>
    <row r="24" spans="1:15" x14ac:dyDescent="0.25">
      <c r="A24" s="15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153"/>
    </row>
    <row r="25" spans="1:15" ht="15.75" thickBot="1" x14ac:dyDescent="0.3">
      <c r="A25" s="162"/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4"/>
    </row>
  </sheetData>
  <hyperlinks>
    <hyperlink ref="D3" location="'EN_0900_007 Drawing'!A1" display="FileLink1" xr:uid="{456BD7D5-0F5C-4D47-BE9E-315D5EC71C92}"/>
    <hyperlink ref="B4" location="EN_A0900!A1" display="Differential" xr:uid="{0B4776C4-222A-4C11-8FD8-6C52C73E682C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CC624-E26D-4C77-98B2-9FCF568FF717}">
  <sheetPr>
    <tabColor theme="6" tint="0.39997558519241921"/>
  </sheetPr>
  <dimension ref="A1"/>
  <sheetViews>
    <sheetView topLeftCell="A13" workbookViewId="0"/>
  </sheetViews>
  <sheetFormatPr baseColWidth="10" defaultRowHeight="15" x14ac:dyDescent="0.25"/>
  <sheetData>
    <row r="1" spans="1:1" x14ac:dyDescent="0.25">
      <c r="A1" s="65" t="s">
        <v>239</v>
      </c>
    </row>
  </sheetData>
  <hyperlinks>
    <hyperlink ref="A1" location="EN_0900_007" display="EN_0900_007" xr:uid="{3D2D908B-3D39-40F3-A8B1-E3AA97A249D9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03668-160D-42F8-9C78-2918A90FDF49}">
  <sheetPr>
    <tabColor theme="6" tint="0.39997558519241921"/>
  </sheetPr>
  <dimension ref="A1:O25"/>
  <sheetViews>
    <sheetView workbookViewId="0">
      <selection activeCell="I16" sqref="I16"/>
    </sheetView>
  </sheetViews>
  <sheetFormatPr baseColWidth="10" defaultRowHeight="15" x14ac:dyDescent="0.25"/>
  <cols>
    <col min="2" max="2" width="26.14062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150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2"/>
    </row>
    <row r="2" spans="1:15" x14ac:dyDescent="0.25">
      <c r="A2" s="169" t="s">
        <v>0</v>
      </c>
      <c r="B2" s="170" t="s">
        <v>42</v>
      </c>
      <c r="C2" s="44"/>
      <c r="D2" s="44"/>
      <c r="E2" s="44"/>
      <c r="F2" s="44"/>
      <c r="G2" s="44" t="s">
        <v>119</v>
      </c>
      <c r="H2" s="44"/>
      <c r="I2" s="44"/>
      <c r="J2" s="95" t="s">
        <v>1</v>
      </c>
      <c r="K2" s="62">
        <v>81</v>
      </c>
      <c r="L2" s="44"/>
      <c r="M2" s="94" t="s">
        <v>16</v>
      </c>
      <c r="N2" s="60">
        <f>EN_0900_008_m+EN_0900_008_p</f>
        <v>2.2021247500000003</v>
      </c>
      <c r="O2" s="153"/>
    </row>
    <row r="3" spans="1:15" x14ac:dyDescent="0.25">
      <c r="A3" s="171" t="s">
        <v>3</v>
      </c>
      <c r="B3" s="170" t="s">
        <v>134</v>
      </c>
      <c r="C3" s="44"/>
      <c r="D3" s="212" t="s">
        <v>6</v>
      </c>
      <c r="E3" s="44" t="s">
        <v>90</v>
      </c>
      <c r="F3" s="44"/>
      <c r="G3" s="44"/>
      <c r="H3" s="44"/>
      <c r="I3" s="44"/>
      <c r="J3" s="44"/>
      <c r="K3" s="44"/>
      <c r="L3" s="44"/>
      <c r="M3" s="94" t="s">
        <v>4</v>
      </c>
      <c r="N3" s="61">
        <v>1</v>
      </c>
      <c r="O3" s="153"/>
    </row>
    <row r="4" spans="1:15" x14ac:dyDescent="0.25">
      <c r="A4" s="172" t="s">
        <v>5</v>
      </c>
      <c r="B4" s="215" t="s">
        <v>135</v>
      </c>
      <c r="C4" s="44"/>
      <c r="D4" s="94" t="s">
        <v>8</v>
      </c>
      <c r="E4" s="44"/>
      <c r="F4" s="44"/>
      <c r="G4" s="44"/>
      <c r="H4" s="44"/>
      <c r="I4" s="44"/>
      <c r="J4" s="96" t="s">
        <v>6</v>
      </c>
      <c r="K4" s="44"/>
      <c r="L4" s="44"/>
      <c r="M4" s="44"/>
      <c r="N4" s="44"/>
      <c r="O4" s="153"/>
    </row>
    <row r="5" spans="1:15" x14ac:dyDescent="0.25">
      <c r="A5" s="172" t="s">
        <v>15</v>
      </c>
      <c r="B5" s="44" t="s">
        <v>152</v>
      </c>
      <c r="C5" s="44"/>
      <c r="D5" s="94" t="s">
        <v>12</v>
      </c>
      <c r="E5" s="44"/>
      <c r="F5" s="44"/>
      <c r="G5" s="44"/>
      <c r="H5" s="44"/>
      <c r="I5" s="44"/>
      <c r="J5" s="96" t="s">
        <v>8</v>
      </c>
      <c r="K5" s="44"/>
      <c r="L5" s="44"/>
      <c r="M5" s="94" t="s">
        <v>9</v>
      </c>
      <c r="N5" s="60">
        <f>N3*N2</f>
        <v>2.2021247500000003</v>
      </c>
      <c r="O5" s="153"/>
    </row>
    <row r="6" spans="1:15" x14ac:dyDescent="0.25">
      <c r="A6" s="172" t="s">
        <v>7</v>
      </c>
      <c r="B6" s="165" t="s">
        <v>241</v>
      </c>
      <c r="C6" s="44"/>
      <c r="D6" s="44"/>
      <c r="E6" s="44"/>
      <c r="F6" s="44"/>
      <c r="G6" s="44"/>
      <c r="H6" s="44"/>
      <c r="I6" s="44"/>
      <c r="J6" s="96" t="s">
        <v>12</v>
      </c>
      <c r="K6" s="44"/>
      <c r="L6" s="44"/>
      <c r="M6" s="44"/>
      <c r="N6" s="44"/>
      <c r="O6" s="153"/>
    </row>
    <row r="7" spans="1:15" x14ac:dyDescent="0.25">
      <c r="A7" s="173" t="s">
        <v>10</v>
      </c>
      <c r="B7" s="170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153"/>
    </row>
    <row r="8" spans="1:15" x14ac:dyDescent="0.25">
      <c r="A8" s="169" t="s">
        <v>13</v>
      </c>
      <c r="B8" s="10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153"/>
    </row>
    <row r="9" spans="1:15" x14ac:dyDescent="0.25">
      <c r="A9" s="174"/>
      <c r="B9" s="20"/>
      <c r="C9" s="20"/>
      <c r="D9" s="20"/>
      <c r="E9" s="20"/>
      <c r="F9" s="44"/>
      <c r="G9" s="44"/>
      <c r="H9" s="44"/>
      <c r="I9" s="44"/>
      <c r="J9" s="44"/>
      <c r="K9" s="44"/>
      <c r="L9" s="44"/>
      <c r="M9" s="44"/>
      <c r="N9" s="44"/>
      <c r="O9" s="153"/>
    </row>
    <row r="10" spans="1:15" x14ac:dyDescent="0.25">
      <c r="A10" s="175" t="s">
        <v>14</v>
      </c>
      <c r="B10" s="100" t="s">
        <v>19</v>
      </c>
      <c r="C10" s="100" t="s">
        <v>20</v>
      </c>
      <c r="D10" s="100" t="s">
        <v>21</v>
      </c>
      <c r="E10" s="100" t="s">
        <v>22</v>
      </c>
      <c r="F10" s="176" t="s">
        <v>23</v>
      </c>
      <c r="G10" s="176" t="s">
        <v>24</v>
      </c>
      <c r="H10" s="176" t="s">
        <v>25</v>
      </c>
      <c r="I10" s="176" t="s">
        <v>26</v>
      </c>
      <c r="J10" s="176" t="s">
        <v>27</v>
      </c>
      <c r="K10" s="176" t="s">
        <v>28</v>
      </c>
      <c r="L10" s="176" t="s">
        <v>29</v>
      </c>
      <c r="M10" s="176" t="s">
        <v>17</v>
      </c>
      <c r="N10" s="176" t="s">
        <v>18</v>
      </c>
      <c r="O10" s="153"/>
    </row>
    <row r="11" spans="1:15" x14ac:dyDescent="0.25">
      <c r="A11" s="183">
        <v>10</v>
      </c>
      <c r="B11" s="209" t="s">
        <v>234</v>
      </c>
      <c r="C11" s="179" t="s">
        <v>235</v>
      </c>
      <c r="D11" s="131">
        <v>2.25</v>
      </c>
      <c r="E11" s="132">
        <f>J11*K11*L11</f>
        <v>6.6410999999999998E-2</v>
      </c>
      <c r="F11" s="130" t="s">
        <v>155</v>
      </c>
      <c r="G11" s="130"/>
      <c r="H11" s="133"/>
      <c r="I11" s="134" t="s">
        <v>242</v>
      </c>
      <c r="J11" s="134">
        <f>60*47/1000000</f>
        <v>2.82E-3</v>
      </c>
      <c r="K11" s="135">
        <f>3/1000</f>
        <v>3.0000000000000001E-3</v>
      </c>
      <c r="L11" s="136">
        <v>7850</v>
      </c>
      <c r="M11" s="136">
        <v>1</v>
      </c>
      <c r="N11" s="131">
        <f>M11*L11*J11*K11*D11</f>
        <v>0.14942475</v>
      </c>
      <c r="O11" s="157"/>
    </row>
    <row r="12" spans="1:15" x14ac:dyDescent="0.25">
      <c r="A12" s="180"/>
      <c r="B12" s="120"/>
      <c r="C12" s="121"/>
      <c r="D12" s="122"/>
      <c r="E12" s="121"/>
      <c r="F12" s="121"/>
      <c r="G12" s="121"/>
      <c r="H12" s="123"/>
      <c r="I12" s="124"/>
      <c r="J12" s="125"/>
      <c r="K12" s="126"/>
      <c r="L12" s="127"/>
      <c r="M12" s="181"/>
      <c r="N12" s="128"/>
      <c r="O12" s="157"/>
    </row>
    <row r="13" spans="1:15" x14ac:dyDescent="0.25">
      <c r="A13" s="15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2" t="s">
        <v>18</v>
      </c>
      <c r="N13" s="98">
        <f>SUM(N11:N11)</f>
        <v>0.14942475</v>
      </c>
      <c r="O13" s="153"/>
    </row>
    <row r="14" spans="1:15" x14ac:dyDescent="0.25">
      <c r="A14" s="15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153"/>
    </row>
    <row r="15" spans="1:15" x14ac:dyDescent="0.25">
      <c r="A15" s="172" t="s">
        <v>14</v>
      </c>
      <c r="B15" s="176" t="s">
        <v>31</v>
      </c>
      <c r="C15" s="176" t="s">
        <v>20</v>
      </c>
      <c r="D15" s="176" t="s">
        <v>21</v>
      </c>
      <c r="E15" s="176" t="s">
        <v>32</v>
      </c>
      <c r="F15" s="176" t="s">
        <v>17</v>
      </c>
      <c r="G15" s="176" t="s">
        <v>33</v>
      </c>
      <c r="H15" s="176" t="s">
        <v>34</v>
      </c>
      <c r="I15" s="176" t="s">
        <v>18</v>
      </c>
      <c r="J15" s="18"/>
      <c r="K15" s="18"/>
      <c r="L15" s="18"/>
      <c r="M15" s="18"/>
      <c r="N15" s="18"/>
      <c r="O15" s="153"/>
    </row>
    <row r="16" spans="1:15" ht="30" x14ac:dyDescent="0.25">
      <c r="A16" s="177">
        <v>10</v>
      </c>
      <c r="B16" s="210" t="s">
        <v>43</v>
      </c>
      <c r="C16" s="185" t="s">
        <v>218</v>
      </c>
      <c r="D16" s="211">
        <v>1.3</v>
      </c>
      <c r="E16" s="187" t="s">
        <v>32</v>
      </c>
      <c r="F16" s="187">
        <v>1</v>
      </c>
      <c r="G16" s="197"/>
      <c r="H16" s="185"/>
      <c r="I16" s="131">
        <f>IF(H16="",D16*F16,D16*F16*H16)</f>
        <v>1.3</v>
      </c>
      <c r="J16" s="46"/>
      <c r="K16" s="46"/>
      <c r="L16" s="46"/>
      <c r="M16" s="46"/>
      <c r="N16" s="46"/>
      <c r="O16" s="159"/>
    </row>
    <row r="17" spans="1:15" ht="30" x14ac:dyDescent="0.25">
      <c r="A17" s="195">
        <v>20</v>
      </c>
      <c r="B17" s="185" t="s">
        <v>44</v>
      </c>
      <c r="C17" s="206" t="s">
        <v>238</v>
      </c>
      <c r="D17" s="211">
        <v>0.01</v>
      </c>
      <c r="E17" s="187" t="s">
        <v>45</v>
      </c>
      <c r="F17" s="187">
        <v>25.09</v>
      </c>
      <c r="G17" s="187" t="s">
        <v>237</v>
      </c>
      <c r="H17" s="187">
        <v>3</v>
      </c>
      <c r="I17" s="131">
        <f>IF(H17="",D17*F17,D17*F17*H17)</f>
        <v>0.75270000000000004</v>
      </c>
      <c r="J17" s="46"/>
      <c r="K17" s="46"/>
      <c r="L17" s="46"/>
      <c r="M17" s="46"/>
      <c r="N17" s="46"/>
      <c r="O17" s="159"/>
    </row>
    <row r="18" spans="1:15" x14ac:dyDescent="0.25">
      <c r="A18" s="158"/>
      <c r="B18" s="18"/>
      <c r="C18" s="18"/>
      <c r="D18" s="18"/>
      <c r="E18" s="18"/>
      <c r="F18" s="18"/>
      <c r="G18" s="18"/>
      <c r="H18" s="103" t="s">
        <v>18</v>
      </c>
      <c r="I18" s="98">
        <f>SUM(I16:I17)</f>
        <v>2.0527000000000002</v>
      </c>
      <c r="J18" s="18"/>
      <c r="K18" s="18"/>
      <c r="L18" s="18"/>
      <c r="M18" s="18"/>
      <c r="N18" s="18"/>
      <c r="O18" s="153"/>
    </row>
    <row r="19" spans="1:15" x14ac:dyDescent="0.25">
      <c r="A19" s="15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153"/>
    </row>
    <row r="20" spans="1:15" x14ac:dyDescent="0.25">
      <c r="A20" s="15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153"/>
    </row>
    <row r="21" spans="1:15" x14ac:dyDescent="0.25">
      <c r="A21" s="15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153"/>
    </row>
    <row r="22" spans="1:15" x14ac:dyDescent="0.25">
      <c r="A22" s="15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153"/>
    </row>
    <row r="23" spans="1:15" x14ac:dyDescent="0.25">
      <c r="A23" s="15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153"/>
    </row>
    <row r="24" spans="1:15" x14ac:dyDescent="0.25">
      <c r="A24" s="15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153"/>
    </row>
    <row r="25" spans="1:15" ht="15.75" thickBot="1" x14ac:dyDescent="0.3">
      <c r="A25" s="162"/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4"/>
    </row>
  </sheetData>
  <hyperlinks>
    <hyperlink ref="D3" location="'EN_0900_008 Drawing'!A1" display="FileLink1" xr:uid="{CF540C9A-7D70-4139-B381-37726EB07E31}"/>
    <hyperlink ref="B4" location="EN_A0900!A1" display="Differential" xr:uid="{8E555552-4149-49E4-B1BD-DF0DF724A9BC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C775-5DF4-43D4-A248-EF81D0028773}">
  <sheetPr>
    <tabColor theme="6" tint="0.39997558519241921"/>
  </sheetPr>
  <dimension ref="A1"/>
  <sheetViews>
    <sheetView topLeftCell="A13" workbookViewId="0"/>
  </sheetViews>
  <sheetFormatPr baseColWidth="10" defaultRowHeight="15" x14ac:dyDescent="0.25"/>
  <sheetData>
    <row r="1" spans="1:1" x14ac:dyDescent="0.25">
      <c r="A1" s="65" t="s">
        <v>241</v>
      </c>
    </row>
  </sheetData>
  <hyperlinks>
    <hyperlink ref="A1" location="EN_0900_008" display="EN_0900_008" xr:uid="{5451F878-B3C6-4CD7-9CFD-DA94F1169DC2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2C40-352C-4863-A7D8-A4EE5DA4B3A3}">
  <sheetPr>
    <tabColor theme="6" tint="0.39997558519241921"/>
  </sheetPr>
  <dimension ref="A1:O25"/>
  <sheetViews>
    <sheetView workbookViewId="0">
      <selection activeCell="G18" sqref="G18"/>
    </sheetView>
  </sheetViews>
  <sheetFormatPr baseColWidth="10" defaultRowHeight="15" x14ac:dyDescent="0.25"/>
  <cols>
    <col min="2" max="2" width="33.710937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150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2"/>
    </row>
    <row r="2" spans="1:15" x14ac:dyDescent="0.25">
      <c r="A2" s="169" t="s">
        <v>0</v>
      </c>
      <c r="B2" s="170" t="s">
        <v>42</v>
      </c>
      <c r="C2" s="44"/>
      <c r="D2" s="44"/>
      <c r="E2" s="44"/>
      <c r="F2" s="44"/>
      <c r="G2" s="44" t="s">
        <v>119</v>
      </c>
      <c r="H2" s="44"/>
      <c r="I2" s="44"/>
      <c r="J2" s="95" t="s">
        <v>1</v>
      </c>
      <c r="K2" s="62">
        <v>81</v>
      </c>
      <c r="L2" s="44"/>
      <c r="M2" s="94" t="s">
        <v>16</v>
      </c>
      <c r="N2" s="60">
        <f>EN_0900_009_m+EN_0900_009_p</f>
        <v>2.2130151625000001</v>
      </c>
      <c r="O2" s="153"/>
    </row>
    <row r="3" spans="1:15" x14ac:dyDescent="0.25">
      <c r="A3" s="171" t="s">
        <v>3</v>
      </c>
      <c r="B3" s="170" t="s">
        <v>134</v>
      </c>
      <c r="C3" s="44"/>
      <c r="D3" s="212" t="s">
        <v>6</v>
      </c>
      <c r="E3" s="44" t="s">
        <v>90</v>
      </c>
      <c r="F3" s="44"/>
      <c r="G3" s="44"/>
      <c r="H3" s="44"/>
      <c r="I3" s="44"/>
      <c r="J3" s="44"/>
      <c r="K3" s="44"/>
      <c r="L3" s="44"/>
      <c r="M3" s="94" t="s">
        <v>4</v>
      </c>
      <c r="N3" s="61">
        <v>1</v>
      </c>
      <c r="O3" s="153"/>
    </row>
    <row r="4" spans="1:15" x14ac:dyDescent="0.25">
      <c r="A4" s="172" t="s">
        <v>5</v>
      </c>
      <c r="B4" s="215" t="s">
        <v>135</v>
      </c>
      <c r="C4" s="44"/>
      <c r="D4" s="94" t="s">
        <v>8</v>
      </c>
      <c r="E4" s="44"/>
      <c r="F4" s="44"/>
      <c r="G4" s="44"/>
      <c r="H4" s="44"/>
      <c r="I4" s="44"/>
      <c r="J4" s="96" t="s">
        <v>6</v>
      </c>
      <c r="K4" s="44"/>
      <c r="L4" s="44"/>
      <c r="M4" s="44"/>
      <c r="N4" s="44"/>
      <c r="O4" s="153"/>
    </row>
    <row r="5" spans="1:15" x14ac:dyDescent="0.25">
      <c r="A5" s="172" t="s">
        <v>15</v>
      </c>
      <c r="B5" s="44" t="s">
        <v>243</v>
      </c>
      <c r="C5" s="44"/>
      <c r="D5" s="94" t="s">
        <v>12</v>
      </c>
      <c r="E5" s="44"/>
      <c r="F5" s="44"/>
      <c r="G5" s="44"/>
      <c r="H5" s="44"/>
      <c r="I5" s="44"/>
      <c r="J5" s="96" t="s">
        <v>8</v>
      </c>
      <c r="K5" s="44"/>
      <c r="L5" s="44"/>
      <c r="M5" s="94" t="s">
        <v>9</v>
      </c>
      <c r="N5" s="60">
        <f>N3*N2</f>
        <v>2.2130151625000001</v>
      </c>
      <c r="O5" s="153"/>
    </row>
    <row r="6" spans="1:15" x14ac:dyDescent="0.25">
      <c r="A6" s="172" t="s">
        <v>7</v>
      </c>
      <c r="B6" s="165" t="s">
        <v>244</v>
      </c>
      <c r="C6" s="44"/>
      <c r="D6" s="44"/>
      <c r="E6" s="44"/>
      <c r="F6" s="44"/>
      <c r="G6" s="44"/>
      <c r="H6" s="44"/>
      <c r="I6" s="44"/>
      <c r="J6" s="96" t="s">
        <v>12</v>
      </c>
      <c r="K6" s="44"/>
      <c r="L6" s="44"/>
      <c r="M6" s="44"/>
      <c r="N6" s="44"/>
      <c r="O6" s="153"/>
    </row>
    <row r="7" spans="1:15" x14ac:dyDescent="0.25">
      <c r="A7" s="173" t="s">
        <v>10</v>
      </c>
      <c r="B7" s="170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153"/>
    </row>
    <row r="8" spans="1:15" x14ac:dyDescent="0.25">
      <c r="A8" s="169" t="s">
        <v>13</v>
      </c>
      <c r="B8" s="10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153"/>
    </row>
    <row r="9" spans="1:15" x14ac:dyDescent="0.25">
      <c r="A9" s="174"/>
      <c r="B9" s="20"/>
      <c r="C9" s="20"/>
      <c r="D9" s="20"/>
      <c r="E9" s="20"/>
      <c r="F9" s="44"/>
      <c r="G9" s="44"/>
      <c r="H9" s="44"/>
      <c r="I9" s="44"/>
      <c r="J9" s="44"/>
      <c r="K9" s="44"/>
      <c r="L9" s="44"/>
      <c r="M9" s="44"/>
      <c r="N9" s="44"/>
      <c r="O9" s="153"/>
    </row>
    <row r="10" spans="1:15" x14ac:dyDescent="0.25">
      <c r="A10" s="175" t="s">
        <v>14</v>
      </c>
      <c r="B10" s="100" t="s">
        <v>19</v>
      </c>
      <c r="C10" s="100" t="s">
        <v>20</v>
      </c>
      <c r="D10" s="100" t="s">
        <v>21</v>
      </c>
      <c r="E10" s="100" t="s">
        <v>22</v>
      </c>
      <c r="F10" s="176" t="s">
        <v>23</v>
      </c>
      <c r="G10" s="176" t="s">
        <v>24</v>
      </c>
      <c r="H10" s="176" t="s">
        <v>25</v>
      </c>
      <c r="I10" s="176" t="s">
        <v>26</v>
      </c>
      <c r="J10" s="176" t="s">
        <v>27</v>
      </c>
      <c r="K10" s="176" t="s">
        <v>28</v>
      </c>
      <c r="L10" s="176" t="s">
        <v>29</v>
      </c>
      <c r="M10" s="176" t="s">
        <v>17</v>
      </c>
      <c r="N10" s="176" t="s">
        <v>18</v>
      </c>
      <c r="O10" s="153"/>
    </row>
    <row r="11" spans="1:15" x14ac:dyDescent="0.25">
      <c r="A11" s="183">
        <v>10</v>
      </c>
      <c r="B11" s="209" t="s">
        <v>234</v>
      </c>
      <c r="C11" s="179" t="s">
        <v>235</v>
      </c>
      <c r="D11" s="131">
        <v>2.25</v>
      </c>
      <c r="E11" s="132">
        <f>J11*K11*L11</f>
        <v>6.7517850000000004E-2</v>
      </c>
      <c r="F11" s="130" t="s">
        <v>155</v>
      </c>
      <c r="G11" s="130"/>
      <c r="H11" s="133"/>
      <c r="I11" s="134" t="s">
        <v>245</v>
      </c>
      <c r="J11" s="134">
        <f>61*47/1000000</f>
        <v>2.8670000000000002E-3</v>
      </c>
      <c r="K11" s="135">
        <f>3/1000</f>
        <v>3.0000000000000001E-3</v>
      </c>
      <c r="L11" s="136">
        <v>7850</v>
      </c>
      <c r="M11" s="136">
        <v>1</v>
      </c>
      <c r="N11" s="131">
        <f>M11*L11*J11*K11*D11</f>
        <v>0.15191516250000001</v>
      </c>
      <c r="O11" s="157"/>
    </row>
    <row r="12" spans="1:15" x14ac:dyDescent="0.25">
      <c r="A12" s="180"/>
      <c r="B12" s="120"/>
      <c r="C12" s="121"/>
      <c r="D12" s="122"/>
      <c r="E12" s="121"/>
      <c r="F12" s="121"/>
      <c r="G12" s="121"/>
      <c r="H12" s="123"/>
      <c r="I12" s="124"/>
      <c r="J12" s="125"/>
      <c r="K12" s="126"/>
      <c r="L12" s="127"/>
      <c r="M12" s="181"/>
      <c r="N12" s="128"/>
      <c r="O12" s="157"/>
    </row>
    <row r="13" spans="1:15" x14ac:dyDescent="0.25">
      <c r="A13" s="15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2" t="s">
        <v>18</v>
      </c>
      <c r="N13" s="98">
        <f>SUM(N11:N11)</f>
        <v>0.15191516250000001</v>
      </c>
      <c r="O13" s="153"/>
    </row>
    <row r="14" spans="1:15" x14ac:dyDescent="0.25">
      <c r="A14" s="15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153"/>
    </row>
    <row r="15" spans="1:15" x14ac:dyDescent="0.25">
      <c r="A15" s="172" t="s">
        <v>14</v>
      </c>
      <c r="B15" s="176" t="s">
        <v>31</v>
      </c>
      <c r="C15" s="176" t="s">
        <v>20</v>
      </c>
      <c r="D15" s="176" t="s">
        <v>21</v>
      </c>
      <c r="E15" s="176" t="s">
        <v>32</v>
      </c>
      <c r="F15" s="176" t="s">
        <v>17</v>
      </c>
      <c r="G15" s="176" t="s">
        <v>33</v>
      </c>
      <c r="H15" s="176" t="s">
        <v>34</v>
      </c>
      <c r="I15" s="176" t="s">
        <v>18</v>
      </c>
      <c r="J15" s="18"/>
      <c r="K15" s="18"/>
      <c r="L15" s="18"/>
      <c r="M15" s="18"/>
      <c r="N15" s="18"/>
      <c r="O15" s="153"/>
    </row>
    <row r="16" spans="1:15" x14ac:dyDescent="0.25">
      <c r="A16" s="177">
        <v>10</v>
      </c>
      <c r="B16" s="210" t="s">
        <v>43</v>
      </c>
      <c r="C16" s="185" t="s">
        <v>218</v>
      </c>
      <c r="D16" s="211">
        <v>1.3</v>
      </c>
      <c r="E16" s="187" t="s">
        <v>32</v>
      </c>
      <c r="F16" s="187">
        <v>1</v>
      </c>
      <c r="G16" s="197"/>
      <c r="H16" s="185"/>
      <c r="I16" s="131">
        <f>IF(H16="",D16*F16,D16*F16*H16)</f>
        <v>1.3</v>
      </c>
      <c r="J16" s="46"/>
      <c r="K16" s="46"/>
      <c r="L16" s="46"/>
      <c r="M16" s="46"/>
      <c r="N16" s="46"/>
      <c r="O16" s="159"/>
    </row>
    <row r="17" spans="1:15" ht="30" x14ac:dyDescent="0.25">
      <c r="A17" s="195">
        <v>20</v>
      </c>
      <c r="B17" s="185" t="s">
        <v>44</v>
      </c>
      <c r="C17" s="206" t="s">
        <v>238</v>
      </c>
      <c r="D17" s="211">
        <v>0.01</v>
      </c>
      <c r="E17" s="187" t="s">
        <v>45</v>
      </c>
      <c r="F17" s="187">
        <v>25.37</v>
      </c>
      <c r="G17" s="187" t="s">
        <v>237</v>
      </c>
      <c r="H17" s="187">
        <v>3</v>
      </c>
      <c r="I17" s="131">
        <f>IF(H17="",D17*F17,D17*F17*H17)</f>
        <v>0.76110000000000011</v>
      </c>
      <c r="J17" s="46"/>
      <c r="K17" s="46"/>
      <c r="L17" s="46"/>
      <c r="M17" s="46"/>
      <c r="N17" s="46"/>
      <c r="O17" s="159"/>
    </row>
    <row r="18" spans="1:15" x14ac:dyDescent="0.25">
      <c r="A18" s="158"/>
      <c r="B18" s="18"/>
      <c r="C18" s="18"/>
      <c r="D18" s="18"/>
      <c r="E18" s="18"/>
      <c r="F18" s="18"/>
      <c r="G18" s="18"/>
      <c r="H18" s="103" t="s">
        <v>18</v>
      </c>
      <c r="I18" s="98">
        <f>SUM(I16:I17)</f>
        <v>2.0611000000000002</v>
      </c>
      <c r="J18" s="18"/>
      <c r="K18" s="18"/>
      <c r="L18" s="18"/>
      <c r="M18" s="18"/>
      <c r="N18" s="18"/>
      <c r="O18" s="153"/>
    </row>
    <row r="19" spans="1:15" x14ac:dyDescent="0.25">
      <c r="A19" s="15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153"/>
    </row>
    <row r="20" spans="1:15" x14ac:dyDescent="0.25">
      <c r="A20" s="15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153"/>
    </row>
    <row r="21" spans="1:15" x14ac:dyDescent="0.25">
      <c r="A21" s="15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153"/>
    </row>
    <row r="22" spans="1:15" x14ac:dyDescent="0.25">
      <c r="A22" s="15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153"/>
    </row>
    <row r="23" spans="1:15" x14ac:dyDescent="0.25">
      <c r="A23" s="15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153"/>
    </row>
    <row r="24" spans="1:15" x14ac:dyDescent="0.25">
      <c r="A24" s="15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153"/>
    </row>
    <row r="25" spans="1:15" ht="15.75" thickBot="1" x14ac:dyDescent="0.3">
      <c r="A25" s="162"/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4"/>
    </row>
  </sheetData>
  <hyperlinks>
    <hyperlink ref="D3" location="'EN_0900_009 Drawing'!A1" display="FileLink1" xr:uid="{C0B6B514-8E88-4C67-A76D-070A1E227D85}"/>
    <hyperlink ref="B4" location="EN_A0900!A1" display="Differential" xr:uid="{137EB44C-786B-48DF-87C7-3D5DCA7C709D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4"/>
  <sheetViews>
    <sheetView zoomScaleNormal="100" workbookViewId="0">
      <pane xSplit="3" ySplit="6" topLeftCell="E7" activePane="bottomRight" state="frozen"/>
      <selection activeCell="H10" sqref="H10"/>
      <selection pane="topRight" activeCell="H10" sqref="H10"/>
      <selection pane="bottomLeft" activeCell="H10" sqref="H10"/>
      <selection pane="bottomRight" activeCell="I21" sqref="I21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30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40" t="s">
        <v>0</v>
      </c>
      <c r="B1" s="70" t="s">
        <v>42</v>
      </c>
      <c r="D1" s="31"/>
      <c r="M1" s="43" t="s">
        <v>46</v>
      </c>
      <c r="N1" s="32"/>
      <c r="O1" s="42" t="e">
        <f>#REF!</f>
        <v>#REF!</v>
      </c>
    </row>
    <row r="2" spans="1:15" s="15" customFormat="1" ht="15.75" thickBot="1" x14ac:dyDescent="0.3">
      <c r="A2" s="38" t="s">
        <v>47</v>
      </c>
      <c r="B2" s="69" t="s">
        <v>118</v>
      </c>
      <c r="C2" s="14"/>
      <c r="F2" s="26"/>
    </row>
    <row r="3" spans="1:15" s="15" customFormat="1" ht="16.5" thickTop="1" thickBot="1" x14ac:dyDescent="0.3">
      <c r="A3" s="39" t="s">
        <v>48</v>
      </c>
      <c r="B3" s="41">
        <v>2018</v>
      </c>
      <c r="C3" s="14"/>
      <c r="F3" s="26"/>
    </row>
    <row r="4" spans="1:15" s="15" customFormat="1" ht="16.5" thickTop="1" thickBot="1" x14ac:dyDescent="0.3">
      <c r="A4" s="37" t="s">
        <v>1</v>
      </c>
      <c r="B4" s="68">
        <v>81</v>
      </c>
      <c r="C4" s="14"/>
      <c r="D4" s="31" t="s">
        <v>49</v>
      </c>
      <c r="F4" s="26"/>
    </row>
    <row r="5" spans="1:15" s="24" customFormat="1" ht="15.75" thickTop="1" x14ac:dyDescent="0.25">
      <c r="A5" s="23"/>
      <c r="B5" s="27"/>
      <c r="C5" s="25"/>
      <c r="F5" s="28"/>
    </row>
    <row r="6" spans="1:15" s="22" customFormat="1" ht="49.5" customHeight="1" x14ac:dyDescent="0.25">
      <c r="A6" s="21" t="s">
        <v>50</v>
      </c>
      <c r="B6" s="34" t="s">
        <v>51</v>
      </c>
      <c r="C6" s="34" t="s">
        <v>52</v>
      </c>
      <c r="D6" s="34" t="s">
        <v>53</v>
      </c>
      <c r="E6" s="34" t="s">
        <v>54</v>
      </c>
      <c r="F6" s="34" t="s">
        <v>55</v>
      </c>
      <c r="G6" s="34" t="s">
        <v>56</v>
      </c>
      <c r="H6" s="36" t="s">
        <v>57</v>
      </c>
      <c r="I6" s="34" t="s">
        <v>17</v>
      </c>
      <c r="J6" s="34" t="s">
        <v>58</v>
      </c>
      <c r="K6" s="34" t="s">
        <v>59</v>
      </c>
      <c r="L6" s="34" t="s">
        <v>60</v>
      </c>
      <c r="M6" s="34" t="s">
        <v>61</v>
      </c>
      <c r="N6" s="35" t="s">
        <v>62</v>
      </c>
      <c r="O6" s="34" t="s">
        <v>63</v>
      </c>
    </row>
    <row r="7" spans="1:15" ht="15" x14ac:dyDescent="0.25">
      <c r="A7" s="73"/>
      <c r="B7" s="74" t="str">
        <f>EN_A0900!B3</f>
        <v>Engine &amp; Drivetrain</v>
      </c>
      <c r="C7" s="75" t="e">
        <f>EN_A0001</f>
        <v>#NAME?</v>
      </c>
      <c r="D7" s="75" t="s">
        <v>11</v>
      </c>
      <c r="E7" s="75"/>
      <c r="F7" s="76" t="str">
        <f>'[1]BR Assembly'!B4</f>
        <v>Nom de l'assemblage 1</v>
      </c>
      <c r="G7" s="75"/>
      <c r="H7" s="77" t="e">
        <f>SUM(J7:M7)</f>
        <v>#NAME?</v>
      </c>
      <c r="I7" s="78" t="e">
        <f>EN_A0001_q</f>
        <v>#NAME?</v>
      </c>
      <c r="J7" s="79" t="e">
        <f>EN_A0001_m</f>
        <v>#NAME?</v>
      </c>
      <c r="K7" s="79" t="e">
        <f>EN_A0001_p</f>
        <v>#NAME?</v>
      </c>
      <c r="L7" s="79" t="e">
        <f>EN_A0001_f</f>
        <v>#NAME?</v>
      </c>
      <c r="M7" s="79" t="e">
        <f>EN_A0001_t</f>
        <v>#NAME?</v>
      </c>
      <c r="N7" s="80" t="e">
        <f t="shared" ref="N7:N17" si="0">H7*I7</f>
        <v>#NAME?</v>
      </c>
      <c r="O7" s="81"/>
    </row>
    <row r="8" spans="1:15" ht="15" x14ac:dyDescent="0.25">
      <c r="A8" s="82"/>
      <c r="B8" s="83" t="str">
        <f>EN_A0900!$B$3</f>
        <v>Engine &amp; Drivetrain</v>
      </c>
      <c r="C8" s="84" t="e">
        <f>EN_01001</f>
        <v>#NAME?</v>
      </c>
      <c r="D8" s="85" t="s">
        <v>11</v>
      </c>
      <c r="E8" s="85" t="str">
        <f>F7</f>
        <v>Nom de l'assemblage 1</v>
      </c>
      <c r="F8" s="86" t="str">
        <f>EN_0900_001!B5</f>
        <v>Housing</v>
      </c>
      <c r="G8" s="85"/>
      <c r="H8" s="87" t="e">
        <f t="shared" ref="H8:H17" si="1">SUM(J8:M8)</f>
        <v>#NAME?</v>
      </c>
      <c r="I8" s="88" t="e">
        <f>EN_A0001_q*EN_01001_q</f>
        <v>#NAME?</v>
      </c>
      <c r="J8" s="89" t="e">
        <f>EN_01001_m</f>
        <v>#NAME?</v>
      </c>
      <c r="K8" s="89" t="e">
        <f>EN_01001_p</f>
        <v>#NAME?</v>
      </c>
      <c r="L8" s="89" t="e">
        <f>EN_01001_f</f>
        <v>#NAME?</v>
      </c>
      <c r="M8" s="89" t="e">
        <f>EN_01001_t</f>
        <v>#NAME?</v>
      </c>
      <c r="N8" s="90" t="e">
        <f t="shared" si="0"/>
        <v>#NAME?</v>
      </c>
      <c r="O8" s="91"/>
    </row>
    <row r="9" spans="1:15" ht="14.25" x14ac:dyDescent="0.2">
      <c r="A9" s="82"/>
      <c r="B9" s="83" t="str">
        <f>EN_A0900!$B$3</f>
        <v>Engine &amp; Drivetrain</v>
      </c>
      <c r="C9" s="85"/>
      <c r="D9" s="85" t="s">
        <v>11</v>
      </c>
      <c r="E9" s="85"/>
      <c r="F9" s="83"/>
      <c r="G9" s="85"/>
      <c r="H9" s="87">
        <f t="shared" si="1"/>
        <v>0</v>
      </c>
      <c r="I9" s="92"/>
      <c r="J9" s="89"/>
      <c r="K9" s="89"/>
      <c r="L9" s="89"/>
      <c r="M9" s="89"/>
      <c r="N9" s="90">
        <f t="shared" si="0"/>
        <v>0</v>
      </c>
      <c r="O9" s="91"/>
    </row>
    <row r="10" spans="1:15" ht="14.25" x14ac:dyDescent="0.2">
      <c r="A10" s="82"/>
      <c r="B10" s="83" t="str">
        <f>EN_A0900!$B$3</f>
        <v>Engine &amp; Drivetrain</v>
      </c>
      <c r="C10" s="85"/>
      <c r="D10" s="85" t="s">
        <v>11</v>
      </c>
      <c r="E10" s="85"/>
      <c r="F10" s="83"/>
      <c r="G10" s="85"/>
      <c r="H10" s="87">
        <f t="shared" si="1"/>
        <v>0</v>
      </c>
      <c r="I10" s="92"/>
      <c r="J10" s="89"/>
      <c r="K10" s="89"/>
      <c r="L10" s="89"/>
      <c r="M10" s="89"/>
      <c r="N10" s="90">
        <f t="shared" si="0"/>
        <v>0</v>
      </c>
      <c r="O10" s="91"/>
    </row>
    <row r="11" spans="1:15" ht="14.25" x14ac:dyDescent="0.2">
      <c r="A11" s="82"/>
      <c r="B11" s="83" t="str">
        <f>EN_A0900!$B$3</f>
        <v>Engine &amp; Drivetrain</v>
      </c>
      <c r="C11" s="85"/>
      <c r="D11" s="85" t="s">
        <v>11</v>
      </c>
      <c r="E11" s="85"/>
      <c r="F11" s="83"/>
      <c r="G11" s="85"/>
      <c r="H11" s="87">
        <f t="shared" si="1"/>
        <v>0</v>
      </c>
      <c r="I11" s="92"/>
      <c r="J11" s="89"/>
      <c r="K11" s="89"/>
      <c r="L11" s="89"/>
      <c r="M11" s="89"/>
      <c r="N11" s="90">
        <f t="shared" si="0"/>
        <v>0</v>
      </c>
      <c r="O11" s="91"/>
    </row>
    <row r="12" spans="1:15" ht="14.25" x14ac:dyDescent="0.2">
      <c r="A12" s="82"/>
      <c r="B12" s="83" t="str">
        <f>EN_A0900!$B$3</f>
        <v>Engine &amp; Drivetrain</v>
      </c>
      <c r="C12" s="85"/>
      <c r="D12" s="85" t="s">
        <v>11</v>
      </c>
      <c r="E12" s="85"/>
      <c r="F12" s="83"/>
      <c r="G12" s="85"/>
      <c r="H12" s="87">
        <f t="shared" si="1"/>
        <v>0</v>
      </c>
      <c r="I12" s="92"/>
      <c r="J12" s="89"/>
      <c r="K12" s="89"/>
      <c r="L12" s="89"/>
      <c r="M12" s="89"/>
      <c r="N12" s="90">
        <f t="shared" si="0"/>
        <v>0</v>
      </c>
      <c r="O12" s="91"/>
    </row>
    <row r="13" spans="1:15" ht="14.25" x14ac:dyDescent="0.2">
      <c r="A13" s="82"/>
      <c r="B13" s="83" t="str">
        <f>EN_A0900!$B$3</f>
        <v>Engine &amp; Drivetrain</v>
      </c>
      <c r="C13" s="85"/>
      <c r="D13" s="85" t="s">
        <v>11</v>
      </c>
      <c r="E13" s="85"/>
      <c r="F13" s="83"/>
      <c r="G13" s="85"/>
      <c r="H13" s="87">
        <f t="shared" si="1"/>
        <v>0</v>
      </c>
      <c r="I13" s="92"/>
      <c r="J13" s="89"/>
      <c r="K13" s="89"/>
      <c r="L13" s="89"/>
      <c r="M13" s="89"/>
      <c r="N13" s="90">
        <f t="shared" si="0"/>
        <v>0</v>
      </c>
      <c r="O13" s="91"/>
    </row>
    <row r="14" spans="1:15" ht="14.25" x14ac:dyDescent="0.2">
      <c r="A14" s="82"/>
      <c r="B14" s="83" t="str">
        <f>EN_A0900!$B$3</f>
        <v>Engine &amp; Drivetrain</v>
      </c>
      <c r="C14" s="85"/>
      <c r="D14" s="85" t="s">
        <v>11</v>
      </c>
      <c r="E14" s="85"/>
      <c r="F14" s="83"/>
      <c r="G14" s="85"/>
      <c r="H14" s="87">
        <f t="shared" si="1"/>
        <v>0</v>
      </c>
      <c r="I14" s="92"/>
      <c r="J14" s="89"/>
      <c r="K14" s="89"/>
      <c r="L14" s="89"/>
      <c r="M14" s="89"/>
      <c r="N14" s="90">
        <f t="shared" si="0"/>
        <v>0</v>
      </c>
      <c r="O14" s="91"/>
    </row>
    <row r="15" spans="1:15" ht="14.25" x14ac:dyDescent="0.2">
      <c r="A15" s="82"/>
      <c r="B15" s="83" t="str">
        <f>EN_A0900!$B$3</f>
        <v>Engine &amp; Drivetrain</v>
      </c>
      <c r="C15" s="85"/>
      <c r="D15" s="85" t="s">
        <v>11</v>
      </c>
      <c r="E15" s="85"/>
      <c r="F15" s="83"/>
      <c r="G15" s="93"/>
      <c r="H15" s="87">
        <f t="shared" si="1"/>
        <v>0</v>
      </c>
      <c r="I15" s="92"/>
      <c r="J15" s="89"/>
      <c r="K15" s="89"/>
      <c r="L15" s="89"/>
      <c r="M15" s="89"/>
      <c r="N15" s="90">
        <f t="shared" si="0"/>
        <v>0</v>
      </c>
      <c r="O15" s="91"/>
    </row>
    <row r="16" spans="1:15" ht="14.25" x14ac:dyDescent="0.2">
      <c r="A16" s="82"/>
      <c r="B16" s="83" t="str">
        <f>EN_A0900!$B$3</f>
        <v>Engine &amp; Drivetrain</v>
      </c>
      <c r="C16" s="85"/>
      <c r="D16" s="85" t="s">
        <v>11</v>
      </c>
      <c r="E16" s="85"/>
      <c r="F16" s="83"/>
      <c r="G16" s="85"/>
      <c r="H16" s="87">
        <f t="shared" si="1"/>
        <v>0</v>
      </c>
      <c r="I16" s="92"/>
      <c r="J16" s="89"/>
      <c r="K16" s="89"/>
      <c r="L16" s="89"/>
      <c r="M16" s="89"/>
      <c r="N16" s="90">
        <f t="shared" si="0"/>
        <v>0</v>
      </c>
      <c r="O16" s="91"/>
    </row>
    <row r="17" spans="1:15" ht="15" thickBot="1" x14ac:dyDescent="0.25">
      <c r="A17" s="82"/>
      <c r="B17" s="83" t="str">
        <f>EN_A0900!$B$3</f>
        <v>Engine &amp; Drivetrain</v>
      </c>
      <c r="C17" s="85"/>
      <c r="D17" s="85" t="s">
        <v>11</v>
      </c>
      <c r="E17" s="85"/>
      <c r="F17" s="83"/>
      <c r="G17" s="85"/>
      <c r="H17" s="87">
        <f t="shared" si="1"/>
        <v>0</v>
      </c>
      <c r="I17" s="92"/>
      <c r="J17" s="89"/>
      <c r="K17" s="89"/>
      <c r="L17" s="89"/>
      <c r="M17" s="89"/>
      <c r="N17" s="90">
        <f t="shared" si="0"/>
        <v>0</v>
      </c>
      <c r="O17" s="91"/>
    </row>
    <row r="18" spans="1:15" s="12" customFormat="1" ht="15.75" thickTop="1" thickBot="1" x14ac:dyDescent="0.25">
      <c r="A18" s="5"/>
      <c r="B18" s="29" t="str">
        <f>EN_A0900!B3</f>
        <v>Engine &amp; Drivetrain</v>
      </c>
      <c r="C18" s="1"/>
      <c r="D18" s="1"/>
      <c r="E18" s="1"/>
      <c r="F18" s="29" t="s">
        <v>64</v>
      </c>
      <c r="G18" s="1"/>
      <c r="H18" s="3"/>
      <c r="I18" s="4"/>
      <c r="J18" s="72" t="e">
        <f>SUMPRODUCT($I7:$I17,J7:J17)</f>
        <v>#NAME?</v>
      </c>
      <c r="K18" s="72" t="e">
        <f>SUMPRODUCT($I7:$I17,K7:K17)</f>
        <v>#NAME?</v>
      </c>
      <c r="L18" s="72" t="e">
        <f>SUMPRODUCT($I7:$I17,L7:L17)</f>
        <v>#NAME?</v>
      </c>
      <c r="M18" s="72" t="e">
        <f>SUMPRODUCT($I7:$I17,M7:M17)</f>
        <v>#NAME?</v>
      </c>
      <c r="N18" s="72" t="e">
        <f>SUM(N7:N17)</f>
        <v>#NAME?</v>
      </c>
      <c r="O18" s="2"/>
    </row>
    <row r="19" spans="1:15" ht="13.5" thickTop="1" x14ac:dyDescent="0.2">
      <c r="A19" s="11"/>
      <c r="B19" s="30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30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33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33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30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30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30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30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30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30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30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30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30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30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30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30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30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30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30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30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30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30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30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30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30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30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30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30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30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30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30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30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30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30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30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30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30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30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30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30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30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30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30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30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30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30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30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30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30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30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30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30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30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30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30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30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30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30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30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30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30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30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30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30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30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30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30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30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30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30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30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30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30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30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30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30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30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30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30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30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30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30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30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30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30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30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30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30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30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30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30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30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30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30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30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30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30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30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30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30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30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30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30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30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30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30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30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30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30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30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30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30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30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30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30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30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30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30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30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30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 xr:uid="{00000000-0004-0000-0100-000000000000}"/>
    <hyperlink ref="F8" location="BR_01001" display="BR_01001" xr:uid="{00000000-0004-0000-0100-000002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  <ignoredErrors>
    <ignoredError sqref="H8:M8 H9:H17 C7:C8 I7:M7" unlocked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D844-52BF-4DAC-8E45-9D6F7FAE85A7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5" t="s">
        <v>244</v>
      </c>
    </row>
  </sheetData>
  <hyperlinks>
    <hyperlink ref="A1" location="EN_0900_009" display="EN_0900_009" xr:uid="{35F4E745-4FD9-40E4-8E32-5B4E844C3F5E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EEE4-A982-4527-B4DE-123C5F0D382E}">
  <sheetPr>
    <tabColor theme="6" tint="-0.249977111117893"/>
  </sheetPr>
  <dimension ref="A1:O44"/>
  <sheetViews>
    <sheetView topLeftCell="A19" zoomScaleNormal="100" workbookViewId="0">
      <selection activeCell="G24" sqref="G24"/>
    </sheetView>
  </sheetViews>
  <sheetFormatPr baseColWidth="10" defaultRowHeight="15" x14ac:dyDescent="0.25"/>
  <cols>
    <col min="2" max="2" width="28.42578125" bestFit="1" customWidth="1"/>
    <col min="3" max="3" width="43.85546875" bestFit="1" customWidth="1"/>
  </cols>
  <sheetData>
    <row r="1" spans="1:15" x14ac:dyDescent="0.25">
      <c r="A1" s="150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2"/>
    </row>
    <row r="2" spans="1:15" x14ac:dyDescent="0.25">
      <c r="A2" s="363" t="s">
        <v>0</v>
      </c>
      <c r="B2" s="104" t="s">
        <v>42</v>
      </c>
      <c r="C2" s="44"/>
      <c r="D2" s="44"/>
      <c r="E2" s="44" t="s">
        <v>119</v>
      </c>
      <c r="F2" s="44"/>
      <c r="G2" s="44"/>
      <c r="H2" s="44"/>
      <c r="I2" s="44"/>
      <c r="J2" s="365" t="s">
        <v>1</v>
      </c>
      <c r="K2" s="62">
        <v>81</v>
      </c>
      <c r="L2" s="44"/>
      <c r="M2" s="365" t="s">
        <v>2</v>
      </c>
      <c r="N2" s="71">
        <f>EN_A1000_pa+EN_A1000_m+EN_A1000_p+EN_A1000_f</f>
        <v>534.45240754550855</v>
      </c>
      <c r="O2" s="153"/>
    </row>
    <row r="3" spans="1:15" x14ac:dyDescent="0.25">
      <c r="A3" s="363" t="s">
        <v>3</v>
      </c>
      <c r="B3" s="104" t="s">
        <v>134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365" t="s">
        <v>4</v>
      </c>
      <c r="N3" s="61">
        <v>1</v>
      </c>
      <c r="O3" s="153"/>
    </row>
    <row r="4" spans="1:15" x14ac:dyDescent="0.25">
      <c r="A4" s="363" t="s">
        <v>5</v>
      </c>
      <c r="B4" s="104" t="s">
        <v>140</v>
      </c>
      <c r="C4" s="44"/>
      <c r="D4" s="44"/>
      <c r="E4" s="44"/>
      <c r="F4" s="44"/>
      <c r="G4" s="44"/>
      <c r="H4" s="44"/>
      <c r="I4" s="44"/>
      <c r="J4" s="370" t="s">
        <v>6</v>
      </c>
      <c r="K4" s="44"/>
      <c r="L4" s="44"/>
      <c r="M4" s="44"/>
      <c r="N4" s="44"/>
      <c r="O4" s="153"/>
    </row>
    <row r="5" spans="1:15" x14ac:dyDescent="0.25">
      <c r="A5" s="363" t="s">
        <v>7</v>
      </c>
      <c r="B5" s="105" t="s">
        <v>246</v>
      </c>
      <c r="C5" s="44"/>
      <c r="D5" s="44"/>
      <c r="E5" s="44"/>
      <c r="F5" s="44"/>
      <c r="G5" s="44"/>
      <c r="H5" s="44"/>
      <c r="I5" s="44"/>
      <c r="J5" s="370" t="s">
        <v>8</v>
      </c>
      <c r="K5" s="44"/>
      <c r="L5" s="44"/>
      <c r="M5" s="365" t="s">
        <v>9</v>
      </c>
      <c r="N5" s="60">
        <f>N2*N3</f>
        <v>534.45240754550855</v>
      </c>
      <c r="O5" s="153"/>
    </row>
    <row r="6" spans="1:15" x14ac:dyDescent="0.25">
      <c r="A6" s="363" t="s">
        <v>10</v>
      </c>
      <c r="B6" s="104" t="s">
        <v>11</v>
      </c>
      <c r="C6" s="44"/>
      <c r="D6" s="44"/>
      <c r="E6" s="44"/>
      <c r="F6" s="44"/>
      <c r="G6" s="44"/>
      <c r="H6" s="44"/>
      <c r="I6" s="44"/>
      <c r="J6" s="370" t="s">
        <v>12</v>
      </c>
      <c r="K6" s="44"/>
      <c r="L6" s="44"/>
      <c r="M6" s="44"/>
      <c r="N6" s="44"/>
      <c r="O6" s="153"/>
    </row>
    <row r="7" spans="1:15" x14ac:dyDescent="0.25">
      <c r="A7" s="363" t="s">
        <v>13</v>
      </c>
      <c r="B7" s="104" t="s">
        <v>247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153"/>
    </row>
    <row r="8" spans="1:15" x14ac:dyDescent="0.25">
      <c r="A8" s="15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153"/>
    </row>
    <row r="9" spans="1:15" x14ac:dyDescent="0.25">
      <c r="A9" s="371" t="s">
        <v>14</v>
      </c>
      <c r="B9" s="372" t="s">
        <v>15</v>
      </c>
      <c r="C9" s="373" t="s">
        <v>16</v>
      </c>
      <c r="D9" s="365" t="s">
        <v>17</v>
      </c>
      <c r="E9" s="365" t="s">
        <v>18</v>
      </c>
      <c r="F9" s="44"/>
      <c r="G9" s="44"/>
      <c r="H9" s="44"/>
      <c r="I9" s="44"/>
      <c r="J9" s="44"/>
      <c r="K9" s="44"/>
      <c r="L9" s="44"/>
      <c r="M9" s="44"/>
      <c r="N9" s="44"/>
      <c r="O9" s="153"/>
    </row>
    <row r="10" spans="1:15" x14ac:dyDescent="0.25">
      <c r="A10" s="218">
        <v>10</v>
      </c>
      <c r="B10" s="247" t="s">
        <v>248</v>
      </c>
      <c r="C10" s="217">
        <f>EN_1000_001!N$2</f>
        <v>66.549787154500507</v>
      </c>
      <c r="D10" s="219">
        <f>EN_1000_001_q</f>
        <v>2</v>
      </c>
      <c r="E10" s="220">
        <f>C10*D10</f>
        <v>133.09957430900101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53"/>
    </row>
    <row r="11" spans="1:15" x14ac:dyDescent="0.25">
      <c r="A11" s="218">
        <v>20</v>
      </c>
      <c r="B11" s="247" t="s">
        <v>249</v>
      </c>
      <c r="C11" s="217">
        <f>EN_1000_002!N$2</f>
        <v>72.275200595774251</v>
      </c>
      <c r="D11" s="219">
        <f>EN_1000_002_q</f>
        <v>2</v>
      </c>
      <c r="E11" s="220">
        <f>C11*D11</f>
        <v>144.5504011915485</v>
      </c>
      <c r="F11" s="104"/>
      <c r="G11" s="104"/>
      <c r="H11" s="104"/>
      <c r="I11" s="104"/>
      <c r="J11" s="104"/>
      <c r="K11" s="104"/>
      <c r="L11" s="104"/>
      <c r="M11" s="104"/>
      <c r="N11" s="104"/>
      <c r="O11" s="153"/>
    </row>
    <row r="12" spans="1:15" x14ac:dyDescent="0.25">
      <c r="A12" s="218">
        <v>30</v>
      </c>
      <c r="B12" s="273" t="s">
        <v>251</v>
      </c>
      <c r="C12" s="217">
        <f>EN_1000_003!N$2</f>
        <v>16.43313830045987</v>
      </c>
      <c r="D12" s="219">
        <f>EN_1000_003_q</f>
        <v>1</v>
      </c>
      <c r="E12" s="220">
        <f>C12*D12</f>
        <v>16.43313830045987</v>
      </c>
      <c r="F12" s="104"/>
      <c r="G12" s="104"/>
      <c r="H12" s="104"/>
      <c r="I12" s="104"/>
      <c r="J12" s="104"/>
      <c r="K12" s="104"/>
      <c r="L12" s="104"/>
      <c r="M12" s="104"/>
      <c r="N12" s="104"/>
      <c r="O12" s="157"/>
    </row>
    <row r="13" spans="1:15" x14ac:dyDescent="0.25">
      <c r="A13" s="218">
        <v>40</v>
      </c>
      <c r="B13" s="247" t="s">
        <v>250</v>
      </c>
      <c r="C13" s="217">
        <f>EN_1000_004!N$2</f>
        <v>17.337133082722115</v>
      </c>
      <c r="D13" s="219">
        <f>EN_1000_004_q</f>
        <v>1</v>
      </c>
      <c r="E13" s="220">
        <f>C13*D13</f>
        <v>17.337133082722115</v>
      </c>
      <c r="F13" s="104"/>
      <c r="G13" s="104"/>
      <c r="H13" s="104"/>
      <c r="I13" s="104"/>
      <c r="J13" s="104"/>
      <c r="K13" s="104"/>
      <c r="L13" s="104"/>
      <c r="M13" s="104"/>
      <c r="N13" s="104"/>
      <c r="O13" s="153"/>
    </row>
    <row r="14" spans="1:15" x14ac:dyDescent="0.25">
      <c r="A14" s="154"/>
      <c r="B14" s="44"/>
      <c r="C14" s="44"/>
      <c r="D14" s="368" t="s">
        <v>18</v>
      </c>
      <c r="E14" s="369">
        <f>SUM(E10:E13)</f>
        <v>311.42024688373152</v>
      </c>
      <c r="F14" s="45"/>
      <c r="G14" s="45"/>
      <c r="H14" s="45"/>
      <c r="I14" s="45"/>
      <c r="J14" s="45"/>
      <c r="K14" s="45"/>
      <c r="L14" s="45"/>
      <c r="M14" s="45"/>
      <c r="N14" s="45"/>
      <c r="O14" s="153"/>
    </row>
    <row r="15" spans="1:15" x14ac:dyDescent="0.25">
      <c r="A15" s="15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157"/>
    </row>
    <row r="16" spans="1:15" x14ac:dyDescent="0.25">
      <c r="A16" s="363" t="s">
        <v>14</v>
      </c>
      <c r="B16" s="365" t="s">
        <v>19</v>
      </c>
      <c r="C16" s="365" t="s">
        <v>20</v>
      </c>
      <c r="D16" s="365" t="s">
        <v>21</v>
      </c>
      <c r="E16" s="365" t="s">
        <v>22</v>
      </c>
      <c r="F16" s="365" t="s">
        <v>23</v>
      </c>
      <c r="G16" s="365" t="s">
        <v>24</v>
      </c>
      <c r="H16" s="365" t="s">
        <v>25</v>
      </c>
      <c r="I16" s="365" t="s">
        <v>26</v>
      </c>
      <c r="J16" s="365" t="s">
        <v>27</v>
      </c>
      <c r="K16" s="365" t="s">
        <v>28</v>
      </c>
      <c r="L16" s="365" t="s">
        <v>29</v>
      </c>
      <c r="M16" s="365" t="s">
        <v>17</v>
      </c>
      <c r="N16" s="365" t="s">
        <v>18</v>
      </c>
      <c r="O16" s="157"/>
    </row>
    <row r="17" spans="1:15" x14ac:dyDescent="0.25">
      <c r="A17" s="221">
        <v>10</v>
      </c>
      <c r="B17" s="222" t="s">
        <v>252</v>
      </c>
      <c r="C17" s="222" t="s">
        <v>253</v>
      </c>
      <c r="D17" s="223">
        <v>45</v>
      </c>
      <c r="E17" s="222"/>
      <c r="F17" s="222" t="s">
        <v>35</v>
      </c>
      <c r="G17" s="222"/>
      <c r="H17" s="224"/>
      <c r="I17" s="225"/>
      <c r="J17" s="226"/>
      <c r="K17" s="224"/>
      <c r="L17" s="224"/>
      <c r="M17" s="226">
        <v>4</v>
      </c>
      <c r="N17" s="227">
        <f>IF(J17="",D17*M17,D17*J17*K17*L17*M17)</f>
        <v>180</v>
      </c>
      <c r="O17" s="160"/>
    </row>
    <row r="18" spans="1:15" x14ac:dyDescent="0.25">
      <c r="A18" s="221">
        <v>20</v>
      </c>
      <c r="B18" s="222" t="s">
        <v>254</v>
      </c>
      <c r="C18" s="222" t="s">
        <v>255</v>
      </c>
      <c r="D18" s="223">
        <v>5</v>
      </c>
      <c r="E18" s="222"/>
      <c r="F18" s="222" t="s">
        <v>35</v>
      </c>
      <c r="G18" s="222"/>
      <c r="H18" s="224"/>
      <c r="I18" s="225"/>
      <c r="J18" s="226"/>
      <c r="K18" s="224"/>
      <c r="L18" s="224"/>
      <c r="M18" s="226">
        <v>4</v>
      </c>
      <c r="N18" s="227">
        <f>IF(J18="",D18*M18,D18*J18*K18*L18*M18)</f>
        <v>20</v>
      </c>
      <c r="O18" s="153"/>
    </row>
    <row r="19" spans="1:15" x14ac:dyDescent="0.25">
      <c r="A19" s="15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365" t="s">
        <v>18</v>
      </c>
      <c r="N19" s="366">
        <f>SUM(N17:N18)</f>
        <v>200</v>
      </c>
      <c r="O19" s="153"/>
    </row>
    <row r="20" spans="1:15" x14ac:dyDescent="0.25">
      <c r="A20" s="15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153"/>
    </row>
    <row r="21" spans="1:15" x14ac:dyDescent="0.25">
      <c r="A21" s="363" t="s">
        <v>14</v>
      </c>
      <c r="B21" s="365" t="s">
        <v>31</v>
      </c>
      <c r="C21" s="365" t="s">
        <v>20</v>
      </c>
      <c r="D21" s="365" t="s">
        <v>21</v>
      </c>
      <c r="E21" s="365" t="s">
        <v>32</v>
      </c>
      <c r="F21" s="365" t="s">
        <v>17</v>
      </c>
      <c r="G21" s="365" t="s">
        <v>33</v>
      </c>
      <c r="H21" s="365" t="s">
        <v>34</v>
      </c>
      <c r="I21" s="365" t="s">
        <v>18</v>
      </c>
      <c r="J21" s="18"/>
      <c r="K21" s="18"/>
      <c r="L21" s="18"/>
      <c r="M21" s="18"/>
      <c r="N21" s="18"/>
      <c r="O21" s="153"/>
    </row>
    <row r="22" spans="1:15" x14ac:dyDescent="0.25">
      <c r="A22" s="221">
        <v>10</v>
      </c>
      <c r="B22" s="219" t="s">
        <v>186</v>
      </c>
      <c r="C22" s="219" t="s">
        <v>256</v>
      </c>
      <c r="D22" s="223">
        <v>0.56000000000000005</v>
      </c>
      <c r="E22" s="222" t="s">
        <v>35</v>
      </c>
      <c r="F22" s="222">
        <v>2</v>
      </c>
      <c r="G22" s="222"/>
      <c r="H22" s="222">
        <v>1</v>
      </c>
      <c r="I22" s="223">
        <f t="shared" ref="I22:I33" si="0">D22*F22*H22</f>
        <v>1.1200000000000001</v>
      </c>
      <c r="J22" s="104"/>
      <c r="K22" s="104"/>
      <c r="L22" s="104"/>
      <c r="M22" s="45"/>
      <c r="N22" s="45"/>
      <c r="O22" s="153"/>
    </row>
    <row r="23" spans="1:15" x14ac:dyDescent="0.25">
      <c r="A23" s="221">
        <v>20</v>
      </c>
      <c r="B23" s="219" t="s">
        <v>257</v>
      </c>
      <c r="C23" s="219" t="s">
        <v>258</v>
      </c>
      <c r="D23" s="223">
        <v>1.5</v>
      </c>
      <c r="E23" s="222" t="s">
        <v>35</v>
      </c>
      <c r="F23" s="222">
        <v>2</v>
      </c>
      <c r="G23" s="222"/>
      <c r="H23" s="222">
        <v>1</v>
      </c>
      <c r="I23" s="223">
        <f t="shared" si="0"/>
        <v>3</v>
      </c>
      <c r="J23" s="104"/>
      <c r="K23" s="104"/>
      <c r="L23" s="104"/>
      <c r="M23" s="45"/>
      <c r="N23" s="45"/>
      <c r="O23" s="153"/>
    </row>
    <row r="24" spans="1:15" x14ac:dyDescent="0.25">
      <c r="A24" s="221">
        <v>30</v>
      </c>
      <c r="B24" s="219" t="s">
        <v>188</v>
      </c>
      <c r="C24" s="219" t="s">
        <v>259</v>
      </c>
      <c r="D24" s="223">
        <v>0.19</v>
      </c>
      <c r="E24" s="222" t="s">
        <v>35</v>
      </c>
      <c r="F24" s="222">
        <v>4</v>
      </c>
      <c r="G24" s="222"/>
      <c r="H24" s="222">
        <v>1</v>
      </c>
      <c r="I24" s="223">
        <f t="shared" si="0"/>
        <v>0.76</v>
      </c>
      <c r="J24" s="104"/>
      <c r="K24" s="104"/>
      <c r="L24" s="104"/>
      <c r="M24" s="44"/>
      <c r="N24" s="44"/>
      <c r="O24" s="153"/>
    </row>
    <row r="25" spans="1:15" x14ac:dyDescent="0.25">
      <c r="A25" s="221">
        <v>40</v>
      </c>
      <c r="B25" s="219" t="s">
        <v>188</v>
      </c>
      <c r="C25" s="219" t="s">
        <v>260</v>
      </c>
      <c r="D25" s="223">
        <v>0.19</v>
      </c>
      <c r="E25" s="222" t="s">
        <v>35</v>
      </c>
      <c r="F25" s="222">
        <v>4</v>
      </c>
      <c r="G25" s="222"/>
      <c r="H25" s="222">
        <v>1</v>
      </c>
      <c r="I25" s="223">
        <f t="shared" si="0"/>
        <v>0.76</v>
      </c>
      <c r="J25" s="104"/>
      <c r="K25" s="104"/>
      <c r="L25" s="104"/>
      <c r="M25" s="44"/>
      <c r="N25" s="44"/>
      <c r="O25" s="153"/>
    </row>
    <row r="26" spans="1:15" x14ac:dyDescent="0.25">
      <c r="A26" s="221">
        <v>50</v>
      </c>
      <c r="B26" s="219" t="s">
        <v>173</v>
      </c>
      <c r="C26" s="219" t="s">
        <v>261</v>
      </c>
      <c r="D26" s="223">
        <v>0.13</v>
      </c>
      <c r="E26" s="222" t="s">
        <v>35</v>
      </c>
      <c r="F26" s="222">
        <v>4</v>
      </c>
      <c r="G26" s="222"/>
      <c r="H26" s="222">
        <v>1</v>
      </c>
      <c r="I26" s="223">
        <f t="shared" si="0"/>
        <v>0.52</v>
      </c>
      <c r="J26" s="104"/>
      <c r="K26" s="104"/>
      <c r="L26" s="104"/>
      <c r="M26" s="44"/>
      <c r="N26" s="44"/>
      <c r="O26" s="160"/>
    </row>
    <row r="27" spans="1:15" x14ac:dyDescent="0.25">
      <c r="A27" s="221">
        <v>60</v>
      </c>
      <c r="B27" s="219" t="s">
        <v>188</v>
      </c>
      <c r="C27" s="219" t="s">
        <v>260</v>
      </c>
      <c r="D27" s="223">
        <v>0.19</v>
      </c>
      <c r="E27" s="222" t="s">
        <v>35</v>
      </c>
      <c r="F27" s="222">
        <v>4</v>
      </c>
      <c r="G27" s="222"/>
      <c r="H27" s="222">
        <v>1</v>
      </c>
      <c r="I27" s="223">
        <f t="shared" si="0"/>
        <v>0.76</v>
      </c>
      <c r="J27" s="104"/>
      <c r="K27" s="104"/>
      <c r="L27" s="104"/>
      <c r="M27" s="44"/>
      <c r="N27" s="44"/>
      <c r="O27" s="153"/>
    </row>
    <row r="28" spans="1:15" x14ac:dyDescent="0.25">
      <c r="A28" s="221">
        <v>70</v>
      </c>
      <c r="B28" s="219" t="s">
        <v>262</v>
      </c>
      <c r="C28" s="219" t="s">
        <v>263</v>
      </c>
      <c r="D28" s="223">
        <v>0.19</v>
      </c>
      <c r="E28" s="222" t="s">
        <v>35</v>
      </c>
      <c r="F28" s="222">
        <v>4</v>
      </c>
      <c r="G28" s="222"/>
      <c r="H28" s="222">
        <v>1</v>
      </c>
      <c r="I28" s="223">
        <f t="shared" si="0"/>
        <v>0.76</v>
      </c>
      <c r="J28" s="104"/>
      <c r="K28" s="104"/>
      <c r="L28" s="104"/>
      <c r="M28" s="44"/>
      <c r="N28" s="44"/>
      <c r="O28" s="153"/>
    </row>
    <row r="29" spans="1:15" x14ac:dyDescent="0.25">
      <c r="A29" s="221">
        <v>80</v>
      </c>
      <c r="B29" s="219" t="s">
        <v>188</v>
      </c>
      <c r="C29" s="219" t="s">
        <v>264</v>
      </c>
      <c r="D29" s="223">
        <v>0.19</v>
      </c>
      <c r="E29" s="222" t="s">
        <v>35</v>
      </c>
      <c r="F29" s="222">
        <v>4</v>
      </c>
      <c r="G29" s="222"/>
      <c r="H29" s="222">
        <v>1</v>
      </c>
      <c r="I29" s="223">
        <f t="shared" si="0"/>
        <v>0.76</v>
      </c>
      <c r="J29" s="104"/>
      <c r="K29" s="104"/>
      <c r="L29" s="104"/>
      <c r="M29" s="44"/>
      <c r="N29" s="44"/>
      <c r="O29" s="153"/>
    </row>
    <row r="30" spans="1:15" x14ac:dyDescent="0.25">
      <c r="A30" s="221">
        <v>90</v>
      </c>
      <c r="B30" s="219" t="s">
        <v>186</v>
      </c>
      <c r="C30" s="219" t="s">
        <v>265</v>
      </c>
      <c r="D30" s="223">
        <v>0.56000000000000005</v>
      </c>
      <c r="E30" s="222" t="s">
        <v>35</v>
      </c>
      <c r="F30" s="222">
        <v>2</v>
      </c>
      <c r="G30" s="222"/>
      <c r="H30" s="222">
        <v>1</v>
      </c>
      <c r="I30" s="223">
        <f t="shared" si="0"/>
        <v>1.1200000000000001</v>
      </c>
      <c r="J30" s="104"/>
      <c r="K30" s="146"/>
      <c r="L30" s="146"/>
      <c r="M30" s="46"/>
      <c r="N30" s="46"/>
      <c r="O30" s="153"/>
    </row>
    <row r="31" spans="1:15" x14ac:dyDescent="0.25">
      <c r="A31" s="221">
        <v>100</v>
      </c>
      <c r="B31" s="219" t="s">
        <v>186</v>
      </c>
      <c r="C31" s="219" t="s">
        <v>269</v>
      </c>
      <c r="D31" s="223">
        <v>0.56000000000000005</v>
      </c>
      <c r="E31" s="222" t="s">
        <v>35</v>
      </c>
      <c r="F31" s="222">
        <v>4</v>
      </c>
      <c r="G31" s="222"/>
      <c r="H31" s="222">
        <v>1</v>
      </c>
      <c r="I31" s="223">
        <f t="shared" si="0"/>
        <v>2.2400000000000002</v>
      </c>
      <c r="J31" s="104"/>
      <c r="K31" s="104"/>
      <c r="L31" s="146"/>
      <c r="M31" s="45"/>
      <c r="N31" s="45"/>
      <c r="O31" s="153"/>
    </row>
    <row r="32" spans="1:15" x14ac:dyDescent="0.25">
      <c r="A32" s="221">
        <v>110</v>
      </c>
      <c r="B32" s="219" t="s">
        <v>186</v>
      </c>
      <c r="C32" s="219" t="s">
        <v>268</v>
      </c>
      <c r="D32" s="223">
        <v>0.56000000000000005</v>
      </c>
      <c r="E32" s="222" t="s">
        <v>35</v>
      </c>
      <c r="F32" s="222">
        <v>4</v>
      </c>
      <c r="G32" s="222"/>
      <c r="H32" s="222">
        <v>1</v>
      </c>
      <c r="I32" s="223">
        <f t="shared" si="0"/>
        <v>2.2400000000000002</v>
      </c>
      <c r="J32" s="104"/>
      <c r="K32" s="104"/>
      <c r="L32" s="104"/>
      <c r="M32" s="46"/>
      <c r="N32" s="46"/>
      <c r="O32" s="153"/>
    </row>
    <row r="33" spans="1:15" x14ac:dyDescent="0.25">
      <c r="A33" s="221">
        <v>120</v>
      </c>
      <c r="B33" s="219" t="s">
        <v>266</v>
      </c>
      <c r="C33" s="219" t="s">
        <v>267</v>
      </c>
      <c r="D33" s="223">
        <v>0.75</v>
      </c>
      <c r="E33" s="222" t="s">
        <v>35</v>
      </c>
      <c r="F33" s="222">
        <v>2</v>
      </c>
      <c r="G33" s="222"/>
      <c r="H33" s="222">
        <v>1</v>
      </c>
      <c r="I33" s="223">
        <f t="shared" si="0"/>
        <v>1.5</v>
      </c>
      <c r="J33" s="104"/>
      <c r="K33" s="104"/>
      <c r="L33" s="104"/>
      <c r="M33" s="44"/>
      <c r="N33" s="44"/>
      <c r="O33" s="153"/>
    </row>
    <row r="34" spans="1:15" x14ac:dyDescent="0.25">
      <c r="A34" s="158"/>
      <c r="B34" s="18"/>
      <c r="C34" s="18"/>
      <c r="D34" s="18"/>
      <c r="E34" s="18"/>
      <c r="F34" s="18"/>
      <c r="G34" s="18"/>
      <c r="H34" s="367" t="s">
        <v>18</v>
      </c>
      <c r="I34" s="366">
        <f>SUM(I22:I33)</f>
        <v>15.54</v>
      </c>
      <c r="J34" s="44"/>
      <c r="K34" s="44"/>
      <c r="L34" s="44"/>
      <c r="M34" s="44"/>
      <c r="N34" s="44"/>
      <c r="O34" s="153"/>
    </row>
    <row r="35" spans="1:15" x14ac:dyDescent="0.25">
      <c r="A35" s="15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153"/>
    </row>
    <row r="36" spans="1:15" x14ac:dyDescent="0.25">
      <c r="A36" s="363" t="s">
        <v>14</v>
      </c>
      <c r="B36" s="365" t="s">
        <v>36</v>
      </c>
      <c r="C36" s="365" t="s">
        <v>20</v>
      </c>
      <c r="D36" s="365" t="s">
        <v>21</v>
      </c>
      <c r="E36" s="365" t="s">
        <v>22</v>
      </c>
      <c r="F36" s="365" t="s">
        <v>23</v>
      </c>
      <c r="G36" s="365" t="s">
        <v>24</v>
      </c>
      <c r="H36" s="365" t="s">
        <v>25</v>
      </c>
      <c r="I36" s="365" t="s">
        <v>17</v>
      </c>
      <c r="J36" s="365" t="s">
        <v>18</v>
      </c>
      <c r="K36" s="44"/>
      <c r="L36" s="44"/>
      <c r="M36" s="44"/>
      <c r="N36" s="44"/>
      <c r="O36" s="153"/>
    </row>
    <row r="37" spans="1:15" x14ac:dyDescent="0.25">
      <c r="A37" s="221">
        <v>10</v>
      </c>
      <c r="B37" s="222" t="s">
        <v>270</v>
      </c>
      <c r="C37" s="222" t="s">
        <v>271</v>
      </c>
      <c r="D37" s="228">
        <f>0.0002*E37*E37+0.013</f>
        <v>9.2999999999999999E-2</v>
      </c>
      <c r="E37" s="222">
        <v>20</v>
      </c>
      <c r="F37" s="229" t="s">
        <v>30</v>
      </c>
      <c r="G37" s="222"/>
      <c r="H37" s="219"/>
      <c r="I37" s="230">
        <v>8</v>
      </c>
      <c r="J37" s="223">
        <f>D37*I37</f>
        <v>0.74399999999999999</v>
      </c>
      <c r="K37" s="44"/>
      <c r="L37" s="44"/>
      <c r="M37" s="44"/>
      <c r="N37" s="44"/>
      <c r="O37" s="153"/>
    </row>
    <row r="38" spans="1:15" x14ac:dyDescent="0.25">
      <c r="A38" s="221">
        <v>20</v>
      </c>
      <c r="B38" s="231" t="s">
        <v>272</v>
      </c>
      <c r="C38" s="222" t="s">
        <v>273</v>
      </c>
      <c r="D38" s="228">
        <f>0.004*E38+0.5</f>
        <v>0.7898639999999999</v>
      </c>
      <c r="E38" s="222">
        <f>36.233*2</f>
        <v>72.465999999999994</v>
      </c>
      <c r="F38" s="229" t="s">
        <v>30</v>
      </c>
      <c r="G38" s="222"/>
      <c r="H38" s="219"/>
      <c r="I38" s="230">
        <v>4</v>
      </c>
      <c r="J38" s="223">
        <f>D38*I38</f>
        <v>3.1594559999999996</v>
      </c>
      <c r="K38" s="44"/>
      <c r="L38" s="44"/>
      <c r="M38" s="44"/>
      <c r="N38" s="44"/>
      <c r="O38" s="153"/>
    </row>
    <row r="39" spans="1:15" x14ac:dyDescent="0.25">
      <c r="A39" s="221">
        <v>30</v>
      </c>
      <c r="B39" s="231" t="s">
        <v>272</v>
      </c>
      <c r="C39" s="222" t="s">
        <v>273</v>
      </c>
      <c r="D39" s="228">
        <f>0.004*E39+0.5</f>
        <v>0.61115200000000003</v>
      </c>
      <c r="E39" s="222">
        <f>13.894*2</f>
        <v>27.788</v>
      </c>
      <c r="F39" s="229" t="s">
        <v>30</v>
      </c>
      <c r="G39" s="222"/>
      <c r="H39" s="219"/>
      <c r="I39" s="230">
        <v>4</v>
      </c>
      <c r="J39" s="223">
        <f>D39*I39</f>
        <v>2.4446080000000001</v>
      </c>
      <c r="K39" s="44"/>
      <c r="L39" s="44"/>
      <c r="M39" s="44"/>
      <c r="N39" s="44"/>
      <c r="O39" s="153"/>
    </row>
    <row r="40" spans="1:15" x14ac:dyDescent="0.25">
      <c r="A40" s="221">
        <v>40</v>
      </c>
      <c r="B40" s="222" t="s">
        <v>203</v>
      </c>
      <c r="C40" s="222" t="s">
        <v>274</v>
      </c>
      <c r="D40" s="228">
        <f>0.8/105154*E40*E40*G40*SQRT(G40)+(0.003*EXP(0.319*E40))</f>
        <v>8.2048330888522564E-2</v>
      </c>
      <c r="E40" s="222">
        <v>8</v>
      </c>
      <c r="F40" s="229" t="s">
        <v>30</v>
      </c>
      <c r="G40" s="222">
        <v>20</v>
      </c>
      <c r="H40" s="219" t="s">
        <v>30</v>
      </c>
      <c r="I40" s="230">
        <v>2</v>
      </c>
      <c r="J40" s="223">
        <f>D40*I40</f>
        <v>0.16409666177704513</v>
      </c>
      <c r="K40" s="44"/>
      <c r="L40" s="44"/>
      <c r="M40" s="44"/>
      <c r="N40" s="44"/>
      <c r="O40" s="153"/>
    </row>
    <row r="41" spans="1:15" x14ac:dyDescent="0.25">
      <c r="A41" s="221">
        <v>50</v>
      </c>
      <c r="B41" s="232" t="s">
        <v>275</v>
      </c>
      <c r="C41" s="222" t="s">
        <v>276</v>
      </c>
      <c r="D41" s="228">
        <v>0.49</v>
      </c>
      <c r="E41" s="222">
        <v>20</v>
      </c>
      <c r="F41" s="229" t="s">
        <v>30</v>
      </c>
      <c r="G41" s="222"/>
      <c r="H41" s="219"/>
      <c r="I41" s="230">
        <v>2</v>
      </c>
      <c r="J41" s="223">
        <f>D41*I41</f>
        <v>0.98</v>
      </c>
      <c r="K41" s="44"/>
      <c r="L41" s="44"/>
      <c r="M41" s="44"/>
      <c r="N41" s="44"/>
      <c r="O41" s="153"/>
    </row>
    <row r="42" spans="1:15" x14ac:dyDescent="0.25">
      <c r="A42" s="158"/>
      <c r="B42" s="18"/>
      <c r="C42" s="18"/>
      <c r="D42" s="18"/>
      <c r="E42" s="18"/>
      <c r="F42" s="18"/>
      <c r="G42" s="18"/>
      <c r="H42" s="18"/>
      <c r="I42" s="367" t="s">
        <v>18</v>
      </c>
      <c r="J42" s="366">
        <f>SUM(J37:J41)</f>
        <v>7.492160661777044</v>
      </c>
      <c r="K42" s="44"/>
      <c r="L42" s="44"/>
      <c r="M42" s="44"/>
      <c r="N42" s="44"/>
      <c r="O42" s="153"/>
    </row>
    <row r="43" spans="1:15" x14ac:dyDescent="0.25">
      <c r="A43" s="15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153"/>
    </row>
    <row r="44" spans="1:15" ht="15.75" thickBot="1" x14ac:dyDescent="0.3">
      <c r="A44" s="162"/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4"/>
    </row>
  </sheetData>
  <hyperlinks>
    <hyperlink ref="B10" location="EN_1000_001!A1" display="Inboard tripod housing" xr:uid="{A72A27D6-2A20-4300-924D-C758BA327F7E}"/>
    <hyperlink ref="B11" location="EN_1000_002!A1" display="Outboard tripod housing" xr:uid="{F3F51DEF-8CFB-40F9-85B6-42EB9AFF8C62}"/>
    <hyperlink ref="B13" location="EN_1000_004!A1" display="Right axle" xr:uid="{F9A1E856-B4CC-4119-A1D5-7D5CC7E17549}"/>
    <hyperlink ref="B12" location="EN_1000_003!A1" display="Left axle" xr:uid="{B3F2C828-FBF9-4C6B-8B62-07309ADDA238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4142-F7DE-4D85-951E-DDF478122F83}">
  <sheetPr>
    <tabColor theme="6" tint="0.39997558519241921"/>
  </sheetPr>
  <dimension ref="A1:O34"/>
  <sheetViews>
    <sheetView zoomScale="85" zoomScaleNormal="85" workbookViewId="0"/>
  </sheetViews>
  <sheetFormatPr baseColWidth="10" defaultRowHeight="15" x14ac:dyDescent="0.25"/>
  <cols>
    <col min="2" max="2" width="45.42578125" customWidth="1"/>
    <col min="3" max="3" width="59.5703125" customWidth="1"/>
    <col min="4" max="4" width="12.28515625" bestFit="1" customWidth="1"/>
    <col min="6" max="6" width="12.28515625" bestFit="1" customWidth="1"/>
    <col min="7" max="7" width="24.28515625" customWidth="1"/>
    <col min="9" max="9" width="20.140625" bestFit="1" customWidth="1"/>
  </cols>
  <sheetData>
    <row r="1" spans="1:15" x14ac:dyDescent="0.25">
      <c r="A1" s="150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2"/>
    </row>
    <row r="2" spans="1:15" x14ac:dyDescent="0.25">
      <c r="A2" s="169" t="s">
        <v>0</v>
      </c>
      <c r="B2" s="170" t="s">
        <v>42</v>
      </c>
      <c r="C2" s="44"/>
      <c r="D2" s="44"/>
      <c r="E2" s="44"/>
      <c r="F2" s="44"/>
      <c r="G2" s="44" t="s">
        <v>119</v>
      </c>
      <c r="H2" s="44"/>
      <c r="I2" s="44"/>
      <c r="J2" s="95" t="s">
        <v>1</v>
      </c>
      <c r="K2" s="62">
        <v>81</v>
      </c>
      <c r="L2" s="44"/>
      <c r="M2" s="94" t="s">
        <v>16</v>
      </c>
      <c r="N2" s="60">
        <f>EN_1000_001_m+EN_1000_001_p</f>
        <v>66.549787154500507</v>
      </c>
      <c r="O2" s="153"/>
    </row>
    <row r="3" spans="1:15" x14ac:dyDescent="0.25">
      <c r="A3" s="171" t="s">
        <v>3</v>
      </c>
      <c r="B3" s="170" t="s">
        <v>134</v>
      </c>
      <c r="C3" s="44"/>
      <c r="D3" s="239" t="s">
        <v>6</v>
      </c>
      <c r="E3" s="44" t="s">
        <v>90</v>
      </c>
      <c r="F3" s="44"/>
      <c r="G3" s="44"/>
      <c r="H3" s="44"/>
      <c r="I3" s="44"/>
      <c r="J3" s="44"/>
      <c r="K3" s="44"/>
      <c r="L3" s="44"/>
      <c r="M3" s="94" t="s">
        <v>4</v>
      </c>
      <c r="N3" s="61">
        <v>2</v>
      </c>
      <c r="O3" s="153"/>
    </row>
    <row r="4" spans="1:15" x14ac:dyDescent="0.25">
      <c r="A4" s="240" t="s">
        <v>5</v>
      </c>
      <c r="B4" s="241" t="s">
        <v>247</v>
      </c>
      <c r="C4" s="44"/>
      <c r="D4" s="94" t="s">
        <v>8</v>
      </c>
      <c r="E4" s="44"/>
      <c r="F4" s="44"/>
      <c r="G4" s="44"/>
      <c r="H4" s="44"/>
      <c r="I4" s="44"/>
      <c r="J4" s="96" t="s">
        <v>6</v>
      </c>
      <c r="K4" s="44"/>
      <c r="L4" s="44"/>
      <c r="M4" s="44"/>
      <c r="N4" s="44"/>
      <c r="O4" s="153"/>
    </row>
    <row r="5" spans="1:15" x14ac:dyDescent="0.25">
      <c r="A5" s="240" t="s">
        <v>15</v>
      </c>
      <c r="B5" s="216" t="s">
        <v>248</v>
      </c>
      <c r="C5" s="44"/>
      <c r="D5" s="94" t="s">
        <v>12</v>
      </c>
      <c r="E5" s="44"/>
      <c r="F5" s="44"/>
      <c r="G5" s="44"/>
      <c r="H5" s="44"/>
      <c r="I5" s="44"/>
      <c r="J5" s="96" t="s">
        <v>8</v>
      </c>
      <c r="K5" s="44"/>
      <c r="L5" s="44"/>
      <c r="M5" s="94" t="s">
        <v>9</v>
      </c>
      <c r="N5" s="60">
        <f>N3*N2</f>
        <v>133.09957430900101</v>
      </c>
      <c r="O5" s="153"/>
    </row>
    <row r="6" spans="1:15" x14ac:dyDescent="0.25">
      <c r="A6" s="240" t="s">
        <v>7</v>
      </c>
      <c r="B6" s="165" t="s">
        <v>277</v>
      </c>
      <c r="C6" s="44"/>
      <c r="D6" s="44"/>
      <c r="E6" s="44"/>
      <c r="F6" s="44"/>
      <c r="G6" s="44"/>
      <c r="H6" s="44"/>
      <c r="I6" s="44"/>
      <c r="J6" s="96" t="s">
        <v>12</v>
      </c>
      <c r="K6" s="44"/>
      <c r="L6" s="44"/>
      <c r="M6" s="44"/>
      <c r="N6" s="44"/>
      <c r="O6" s="153"/>
    </row>
    <row r="7" spans="1:15" x14ac:dyDescent="0.25">
      <c r="A7" s="173" t="s">
        <v>10</v>
      </c>
      <c r="B7" s="170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153"/>
    </row>
    <row r="8" spans="1:15" x14ac:dyDescent="0.25">
      <c r="A8" s="169" t="s">
        <v>13</v>
      </c>
      <c r="B8" s="104" t="s">
        <v>153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153"/>
    </row>
    <row r="9" spans="1:15" x14ac:dyDescent="0.25">
      <c r="A9" s="174"/>
      <c r="B9" s="20"/>
      <c r="C9" s="20"/>
      <c r="D9" s="20"/>
      <c r="E9" s="20"/>
      <c r="F9" s="44"/>
      <c r="G9" s="44"/>
      <c r="H9" s="44"/>
      <c r="I9" s="44"/>
      <c r="J9" s="44"/>
      <c r="K9" s="44"/>
      <c r="L9" s="44"/>
      <c r="M9" s="44"/>
      <c r="N9" s="44"/>
      <c r="O9" s="153"/>
    </row>
    <row r="10" spans="1:15" x14ac:dyDescent="0.25">
      <c r="A10" s="175" t="s">
        <v>14</v>
      </c>
      <c r="B10" s="100" t="s">
        <v>19</v>
      </c>
      <c r="C10" s="100" t="s">
        <v>20</v>
      </c>
      <c r="D10" s="100" t="s">
        <v>21</v>
      </c>
      <c r="E10" s="100" t="s">
        <v>22</v>
      </c>
      <c r="F10" s="242" t="s">
        <v>23</v>
      </c>
      <c r="G10" s="242" t="s">
        <v>24</v>
      </c>
      <c r="H10" s="242" t="s">
        <v>25</v>
      </c>
      <c r="I10" s="242" t="s">
        <v>26</v>
      </c>
      <c r="J10" s="242" t="s">
        <v>27</v>
      </c>
      <c r="K10" s="242" t="s">
        <v>28</v>
      </c>
      <c r="L10" s="242" t="s">
        <v>29</v>
      </c>
      <c r="M10" s="242" t="s">
        <v>17</v>
      </c>
      <c r="N10" s="242" t="s">
        <v>18</v>
      </c>
      <c r="O10" s="153"/>
    </row>
    <row r="11" spans="1:15" x14ac:dyDescent="0.25">
      <c r="A11" s="177">
        <v>10</v>
      </c>
      <c r="B11" s="231" t="s">
        <v>278</v>
      </c>
      <c r="C11" s="130" t="s">
        <v>279</v>
      </c>
      <c r="D11" s="131">
        <v>2.25</v>
      </c>
      <c r="E11" s="132">
        <f>J11*K11*L11</f>
        <v>4.0999054020002239</v>
      </c>
      <c r="F11" s="130" t="s">
        <v>155</v>
      </c>
      <c r="G11" s="130"/>
      <c r="H11" s="133"/>
      <c r="I11" s="134" t="s">
        <v>280</v>
      </c>
      <c r="J11" s="134">
        <f>PI()*65.5*65.5/4/1000000</f>
        <v>3.3695544705159026E-3</v>
      </c>
      <c r="K11" s="135">
        <v>0.155</v>
      </c>
      <c r="L11" s="136">
        <v>7850</v>
      </c>
      <c r="M11" s="136">
        <v>1</v>
      </c>
      <c r="N11" s="131">
        <f>D11*J11*K11*L11*M11</f>
        <v>9.224787154500504</v>
      </c>
      <c r="O11" s="157"/>
    </row>
    <row r="12" spans="1:15" x14ac:dyDescent="0.25">
      <c r="A12" s="180"/>
      <c r="B12" s="120"/>
      <c r="C12" s="121"/>
      <c r="D12" s="122"/>
      <c r="E12" s="121"/>
      <c r="F12" s="121"/>
      <c r="G12" s="121"/>
      <c r="H12" s="123"/>
      <c r="I12" s="124"/>
      <c r="J12" s="125"/>
      <c r="K12" s="126"/>
      <c r="L12" s="127"/>
      <c r="M12" s="243"/>
      <c r="N12" s="128"/>
      <c r="O12" s="157"/>
    </row>
    <row r="13" spans="1:15" x14ac:dyDescent="0.25">
      <c r="A13" s="15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244" t="s">
        <v>18</v>
      </c>
      <c r="N13" s="98">
        <f>SUM(N11:N11)</f>
        <v>9.224787154500504</v>
      </c>
      <c r="O13" s="153"/>
    </row>
    <row r="14" spans="1:15" x14ac:dyDescent="0.25">
      <c r="A14" s="15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153"/>
    </row>
    <row r="15" spans="1:15" x14ac:dyDescent="0.25">
      <c r="A15" s="240" t="s">
        <v>14</v>
      </c>
      <c r="B15" s="242" t="s">
        <v>31</v>
      </c>
      <c r="C15" s="242" t="s">
        <v>20</v>
      </c>
      <c r="D15" s="242" t="s">
        <v>21</v>
      </c>
      <c r="E15" s="242" t="s">
        <v>32</v>
      </c>
      <c r="F15" s="242" t="s">
        <v>17</v>
      </c>
      <c r="G15" s="242" t="s">
        <v>33</v>
      </c>
      <c r="H15" s="242" t="s">
        <v>34</v>
      </c>
      <c r="I15" s="242" t="s">
        <v>18</v>
      </c>
      <c r="J15" s="18"/>
      <c r="K15" s="18"/>
      <c r="L15" s="18"/>
      <c r="M15" s="18"/>
      <c r="N15" s="18"/>
      <c r="O15" s="153"/>
    </row>
    <row r="16" spans="1:15" x14ac:dyDescent="0.25">
      <c r="A16" s="245">
        <v>10</v>
      </c>
      <c r="B16" s="234" t="s">
        <v>43</v>
      </c>
      <c r="C16" s="235" t="s">
        <v>281</v>
      </c>
      <c r="D16" s="236">
        <v>1.3</v>
      </c>
      <c r="E16" s="234" t="s">
        <v>32</v>
      </c>
      <c r="F16" s="233">
        <v>1</v>
      </c>
      <c r="G16" s="233"/>
      <c r="H16" s="233"/>
      <c r="I16" s="237">
        <f>IF(H16="",D16*F16,D16*F16*H16)</f>
        <v>1.3</v>
      </c>
      <c r="J16" s="18"/>
      <c r="K16" s="18"/>
      <c r="L16" s="18"/>
      <c r="M16" s="18"/>
      <c r="N16" s="18"/>
      <c r="O16" s="153"/>
    </row>
    <row r="17" spans="1:15" x14ac:dyDescent="0.25">
      <c r="A17" s="246">
        <v>20</v>
      </c>
      <c r="B17" s="235" t="s">
        <v>161</v>
      </c>
      <c r="C17" s="235" t="s">
        <v>285</v>
      </c>
      <c r="D17" s="236">
        <v>0.04</v>
      </c>
      <c r="E17" s="250" t="s">
        <v>162</v>
      </c>
      <c r="F17" s="238">
        <v>269.89999999999998</v>
      </c>
      <c r="G17" s="252" t="s">
        <v>286</v>
      </c>
      <c r="H17" s="253">
        <v>3</v>
      </c>
      <c r="I17" s="237">
        <f t="shared" ref="I17:I21" si="0">IF(H17="",D17*F17,D17*F17*H17)</f>
        <v>32.387999999999998</v>
      </c>
      <c r="J17" s="44"/>
      <c r="K17" s="44"/>
      <c r="L17" s="44"/>
      <c r="M17" s="44"/>
      <c r="N17" s="44"/>
      <c r="O17" s="153"/>
    </row>
    <row r="18" spans="1:15" x14ac:dyDescent="0.25">
      <c r="A18" s="245">
        <v>30</v>
      </c>
      <c r="B18" s="234" t="s">
        <v>283</v>
      </c>
      <c r="C18" s="235" t="s">
        <v>288</v>
      </c>
      <c r="D18" s="236">
        <v>0.65</v>
      </c>
      <c r="E18" s="234" t="s">
        <v>32</v>
      </c>
      <c r="F18" s="233">
        <v>1</v>
      </c>
      <c r="G18" s="233"/>
      <c r="H18" s="233"/>
      <c r="I18" s="237">
        <f t="shared" si="0"/>
        <v>0.65</v>
      </c>
      <c r="J18" s="44"/>
      <c r="K18" s="44"/>
      <c r="L18" s="44"/>
      <c r="M18" s="44"/>
      <c r="N18" s="44"/>
      <c r="O18" s="153"/>
    </row>
    <row r="19" spans="1:15" x14ac:dyDescent="0.25">
      <c r="A19" s="255">
        <v>40</v>
      </c>
      <c r="B19" s="256" t="s">
        <v>161</v>
      </c>
      <c r="C19" s="256" t="s">
        <v>287</v>
      </c>
      <c r="D19" s="236">
        <v>0.04</v>
      </c>
      <c r="E19" s="257" t="s">
        <v>162</v>
      </c>
      <c r="F19" s="265">
        <v>175.85</v>
      </c>
      <c r="G19" s="252" t="s">
        <v>286</v>
      </c>
      <c r="H19" s="258">
        <v>3</v>
      </c>
      <c r="I19" s="259">
        <f t="shared" si="0"/>
        <v>21.102</v>
      </c>
      <c r="J19" s="44"/>
      <c r="K19" s="44"/>
      <c r="L19" s="44"/>
      <c r="M19" s="44"/>
      <c r="N19" s="44"/>
      <c r="O19" s="153"/>
    </row>
    <row r="20" spans="1:15" x14ac:dyDescent="0.25">
      <c r="A20" s="260">
        <v>50</v>
      </c>
      <c r="B20" s="234" t="s">
        <v>283</v>
      </c>
      <c r="C20" s="235" t="s">
        <v>289</v>
      </c>
      <c r="D20" s="236">
        <v>0.65</v>
      </c>
      <c r="E20" s="234" t="s">
        <v>32</v>
      </c>
      <c r="F20" s="233">
        <v>1</v>
      </c>
      <c r="G20" s="262"/>
      <c r="H20" s="263"/>
      <c r="I20" s="259">
        <f t="shared" si="0"/>
        <v>0.65</v>
      </c>
      <c r="J20" s="44"/>
      <c r="K20" s="44"/>
      <c r="L20" s="44"/>
      <c r="M20" s="44"/>
      <c r="N20" s="44"/>
      <c r="O20" s="153"/>
    </row>
    <row r="21" spans="1:15" x14ac:dyDescent="0.25">
      <c r="A21" s="260">
        <v>60</v>
      </c>
      <c r="B21" s="261" t="s">
        <v>170</v>
      </c>
      <c r="C21" s="261" t="s">
        <v>284</v>
      </c>
      <c r="D21" s="236">
        <v>0.5</v>
      </c>
      <c r="E21" s="262" t="s">
        <v>45</v>
      </c>
      <c r="F21" s="266">
        <v>2.4700000000000002</v>
      </c>
      <c r="G21" s="262"/>
      <c r="H21" s="263"/>
      <c r="I21" s="259">
        <f t="shared" si="0"/>
        <v>1.2350000000000001</v>
      </c>
      <c r="J21" s="44"/>
      <c r="K21" s="44"/>
      <c r="L21" s="44"/>
      <c r="M21" s="44"/>
      <c r="N21" s="44"/>
      <c r="O21" s="153"/>
    </row>
    <row r="22" spans="1:15" x14ac:dyDescent="0.25">
      <c r="A22" s="158"/>
      <c r="B22" s="18"/>
      <c r="C22" s="18"/>
      <c r="D22" s="18"/>
      <c r="E22" s="18"/>
      <c r="F22" s="18"/>
      <c r="G22" s="18"/>
      <c r="H22" s="103" t="s">
        <v>18</v>
      </c>
      <c r="I22" s="267">
        <f>SUM(I16:I21)</f>
        <v>57.324999999999996</v>
      </c>
      <c r="J22" s="44"/>
      <c r="K22" s="44"/>
      <c r="L22" s="44"/>
      <c r="M22" s="44"/>
      <c r="N22" s="44"/>
      <c r="O22" s="153"/>
    </row>
    <row r="23" spans="1:15" x14ac:dyDescent="0.25">
      <c r="A23" s="15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153"/>
    </row>
    <row r="24" spans="1:15" x14ac:dyDescent="0.25">
      <c r="A24" s="15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153"/>
    </row>
    <row r="25" spans="1:15" x14ac:dyDescent="0.25">
      <c r="A25" s="154"/>
      <c r="B25" s="44"/>
      <c r="C25" s="44"/>
      <c r="D25" s="44"/>
      <c r="E25" s="44"/>
      <c r="F25" s="167"/>
      <c r="G25" s="44"/>
      <c r="H25" s="44"/>
      <c r="I25" s="44"/>
      <c r="J25" s="44"/>
      <c r="K25" s="44"/>
      <c r="L25" s="44"/>
      <c r="M25" s="44"/>
      <c r="N25" s="44"/>
      <c r="O25" s="153"/>
    </row>
    <row r="26" spans="1:15" x14ac:dyDescent="0.25">
      <c r="A26" s="15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153"/>
    </row>
    <row r="27" spans="1:15" x14ac:dyDescent="0.25">
      <c r="A27" s="15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153"/>
    </row>
    <row r="28" spans="1:15" x14ac:dyDescent="0.25">
      <c r="A28" s="15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153"/>
    </row>
    <row r="29" spans="1:15" ht="15.75" thickBot="1" x14ac:dyDescent="0.3">
      <c r="A29" s="162"/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4"/>
    </row>
    <row r="31" spans="1:15" x14ac:dyDescent="0.25">
      <c r="I31" s="248"/>
    </row>
    <row r="32" spans="1:15" x14ac:dyDescent="0.25">
      <c r="H32" s="249"/>
      <c r="J32" s="249"/>
    </row>
    <row r="33" spans="6:11" x14ac:dyDescent="0.25">
      <c r="K33" s="249"/>
    </row>
    <row r="34" spans="6:11" x14ac:dyDescent="0.25">
      <c r="F34" s="248"/>
      <c r="G34" s="249"/>
      <c r="H34" s="249"/>
      <c r="J34" s="251"/>
      <c r="K34" s="251"/>
    </row>
  </sheetData>
  <hyperlinks>
    <hyperlink ref="B4" location="EN_A1000!A1" display="Driveshaft" xr:uid="{14C71347-ABED-4F3A-8B04-3EB2F1C5F84E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F321-BE68-4E0C-A8DD-7F6001EA6604}">
  <sheetPr>
    <tabColor theme="6" tint="0.39997558519241921"/>
  </sheetPr>
  <dimension ref="A1:O30"/>
  <sheetViews>
    <sheetView zoomScaleNormal="100" workbookViewId="0">
      <selection activeCell="B8" sqref="B8"/>
    </sheetView>
  </sheetViews>
  <sheetFormatPr baseColWidth="10" defaultRowHeight="15" x14ac:dyDescent="0.25"/>
  <cols>
    <col min="2" max="2" width="33.7109375" bestFit="1" customWidth="1"/>
    <col min="3" max="3" width="53" bestFit="1" customWidth="1"/>
    <col min="7" max="7" width="14.5703125" bestFit="1" customWidth="1"/>
    <col min="9" max="9" width="20.140625" bestFit="1" customWidth="1"/>
    <col min="12" max="13" width="12" bestFit="1" customWidth="1"/>
  </cols>
  <sheetData>
    <row r="1" spans="1:15" x14ac:dyDescent="0.25">
      <c r="A1" s="150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2"/>
    </row>
    <row r="2" spans="1:15" x14ac:dyDescent="0.25">
      <c r="A2" s="169" t="s">
        <v>0</v>
      </c>
      <c r="B2" s="170" t="s">
        <v>42</v>
      </c>
      <c r="C2" s="44"/>
      <c r="D2" s="44"/>
      <c r="E2" s="44"/>
      <c r="F2" s="44"/>
      <c r="G2" s="44" t="s">
        <v>119</v>
      </c>
      <c r="H2" s="44"/>
      <c r="I2" s="44"/>
      <c r="J2" s="95" t="s">
        <v>1</v>
      </c>
      <c r="K2" s="62">
        <v>81</v>
      </c>
      <c r="L2" s="44"/>
      <c r="M2" s="94" t="s">
        <v>16</v>
      </c>
      <c r="N2" s="60">
        <f>EN_1000_002_m+EN_1000_002_p</f>
        <v>72.275200595774251</v>
      </c>
      <c r="O2" s="153"/>
    </row>
    <row r="3" spans="1:15" x14ac:dyDescent="0.25">
      <c r="A3" s="171" t="s">
        <v>3</v>
      </c>
      <c r="B3" s="170" t="s">
        <v>134</v>
      </c>
      <c r="C3" s="44"/>
      <c r="D3" s="239" t="s">
        <v>6</v>
      </c>
      <c r="E3" s="44" t="s">
        <v>90</v>
      </c>
      <c r="F3" s="44"/>
      <c r="G3" s="44"/>
      <c r="H3" s="44"/>
      <c r="I3" s="44"/>
      <c r="J3" s="44"/>
      <c r="K3" s="44"/>
      <c r="L3" s="44"/>
      <c r="M3" s="94" t="s">
        <v>4</v>
      </c>
      <c r="N3" s="61">
        <v>2</v>
      </c>
      <c r="O3" s="153"/>
    </row>
    <row r="4" spans="1:15" x14ac:dyDescent="0.25">
      <c r="A4" s="240" t="s">
        <v>5</v>
      </c>
      <c r="B4" s="241" t="s">
        <v>247</v>
      </c>
      <c r="C4" s="44"/>
      <c r="D4" s="94" t="s">
        <v>8</v>
      </c>
      <c r="E4" s="44"/>
      <c r="F4" s="44"/>
      <c r="G4" s="44"/>
      <c r="H4" s="44"/>
      <c r="I4" s="44"/>
      <c r="J4" s="96" t="s">
        <v>6</v>
      </c>
      <c r="K4" s="44"/>
      <c r="L4" s="44"/>
      <c r="M4" s="44"/>
      <c r="N4" s="44"/>
      <c r="O4" s="153"/>
    </row>
    <row r="5" spans="1:15" x14ac:dyDescent="0.25">
      <c r="A5" s="240" t="s">
        <v>15</v>
      </c>
      <c r="B5" s="216" t="s">
        <v>249</v>
      </c>
      <c r="C5" s="44"/>
      <c r="D5" s="94" t="s">
        <v>12</v>
      </c>
      <c r="E5" s="44"/>
      <c r="F5" s="44"/>
      <c r="G5" s="44"/>
      <c r="H5" s="44"/>
      <c r="I5" s="44"/>
      <c r="J5" s="96" t="s">
        <v>8</v>
      </c>
      <c r="K5" s="44"/>
      <c r="L5" s="44"/>
      <c r="M5" s="94" t="s">
        <v>9</v>
      </c>
      <c r="N5" s="60">
        <f>N3*N2</f>
        <v>144.5504011915485</v>
      </c>
      <c r="O5" s="153"/>
    </row>
    <row r="6" spans="1:15" x14ac:dyDescent="0.25">
      <c r="A6" s="240" t="s">
        <v>7</v>
      </c>
      <c r="B6" s="165" t="s">
        <v>290</v>
      </c>
      <c r="C6" s="44"/>
      <c r="D6" s="44"/>
      <c r="E6" s="44"/>
      <c r="F6" s="44"/>
      <c r="G6" s="44"/>
      <c r="H6" s="44"/>
      <c r="I6" s="44"/>
      <c r="J6" s="96" t="s">
        <v>12</v>
      </c>
      <c r="K6" s="44"/>
      <c r="L6" s="44"/>
      <c r="M6" s="44"/>
      <c r="N6" s="44"/>
      <c r="O6" s="153"/>
    </row>
    <row r="7" spans="1:15" x14ac:dyDescent="0.25">
      <c r="A7" s="173" t="s">
        <v>10</v>
      </c>
      <c r="B7" s="170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153"/>
    </row>
    <row r="8" spans="1:15" x14ac:dyDescent="0.25">
      <c r="A8" s="169" t="s">
        <v>13</v>
      </c>
      <c r="B8" s="104" t="s">
        <v>153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153"/>
    </row>
    <row r="9" spans="1:15" x14ac:dyDescent="0.25">
      <c r="A9" s="174"/>
      <c r="B9" s="20"/>
      <c r="C9" s="20"/>
      <c r="D9" s="20"/>
      <c r="E9" s="20"/>
      <c r="F9" s="44"/>
      <c r="G9" s="44"/>
      <c r="H9" s="44"/>
      <c r="I9" s="44"/>
      <c r="J9" s="44"/>
      <c r="K9" s="44"/>
      <c r="L9" s="44"/>
      <c r="M9" s="44"/>
      <c r="N9" s="44"/>
      <c r="O9" s="153"/>
    </row>
    <row r="10" spans="1:15" x14ac:dyDescent="0.25">
      <c r="A10" s="175" t="s">
        <v>14</v>
      </c>
      <c r="B10" s="100" t="s">
        <v>19</v>
      </c>
      <c r="C10" s="100" t="s">
        <v>20</v>
      </c>
      <c r="D10" s="100" t="s">
        <v>21</v>
      </c>
      <c r="E10" s="100" t="s">
        <v>22</v>
      </c>
      <c r="F10" s="242" t="s">
        <v>23</v>
      </c>
      <c r="G10" s="242" t="s">
        <v>24</v>
      </c>
      <c r="H10" s="242" t="s">
        <v>25</v>
      </c>
      <c r="I10" s="242" t="s">
        <v>26</v>
      </c>
      <c r="J10" s="242" t="s">
        <v>27</v>
      </c>
      <c r="K10" s="242" t="s">
        <v>28</v>
      </c>
      <c r="L10" s="242" t="s">
        <v>29</v>
      </c>
      <c r="M10" s="242" t="s">
        <v>17</v>
      </c>
      <c r="N10" s="242" t="s">
        <v>18</v>
      </c>
      <c r="O10" s="153"/>
    </row>
    <row r="11" spans="1:15" x14ac:dyDescent="0.25">
      <c r="A11" s="177">
        <v>10</v>
      </c>
      <c r="B11" s="231" t="s">
        <v>278</v>
      </c>
      <c r="C11" s="130" t="s">
        <v>279</v>
      </c>
      <c r="D11" s="131">
        <v>2.25</v>
      </c>
      <c r="E11" s="132">
        <f>J11*K11*L11</f>
        <v>4.2790580425663371</v>
      </c>
      <c r="F11" s="130" t="s">
        <v>155</v>
      </c>
      <c r="G11" s="130"/>
      <c r="H11" s="133"/>
      <c r="I11" s="134" t="s">
        <v>280</v>
      </c>
      <c r="J11" s="134">
        <f>PI()*65.5*65.5/4/1000000</f>
        <v>3.3695544705159026E-3</v>
      </c>
      <c r="K11" s="135">
        <v>0.161773</v>
      </c>
      <c r="L11" s="136">
        <v>7850</v>
      </c>
      <c r="M11" s="136">
        <v>1</v>
      </c>
      <c r="N11" s="131">
        <f>D11*J11*K11*L11*M11</f>
        <v>9.6278805957742595</v>
      </c>
      <c r="O11" s="157"/>
    </row>
    <row r="12" spans="1:15" x14ac:dyDescent="0.25">
      <c r="A12" s="15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244" t="s">
        <v>18</v>
      </c>
      <c r="N12" s="98">
        <f>SUM(N11:N11)</f>
        <v>9.6278805957742595</v>
      </c>
      <c r="O12" s="153"/>
    </row>
    <row r="13" spans="1:15" x14ac:dyDescent="0.25">
      <c r="A13" s="15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153"/>
    </row>
    <row r="14" spans="1:15" x14ac:dyDescent="0.25">
      <c r="A14" s="240" t="s">
        <v>14</v>
      </c>
      <c r="B14" s="242" t="s">
        <v>31</v>
      </c>
      <c r="C14" s="242" t="s">
        <v>20</v>
      </c>
      <c r="D14" s="242" t="s">
        <v>21</v>
      </c>
      <c r="E14" s="242" t="s">
        <v>32</v>
      </c>
      <c r="F14" s="242" t="s">
        <v>17</v>
      </c>
      <c r="G14" s="242" t="s">
        <v>33</v>
      </c>
      <c r="H14" s="242" t="s">
        <v>34</v>
      </c>
      <c r="I14" s="242" t="s">
        <v>18</v>
      </c>
      <c r="J14" s="18"/>
      <c r="K14" s="18"/>
      <c r="L14" s="18"/>
      <c r="M14" s="18"/>
      <c r="N14" s="18"/>
      <c r="O14" s="153"/>
    </row>
    <row r="15" spans="1:15" x14ac:dyDescent="0.25">
      <c r="A15" s="245">
        <v>10</v>
      </c>
      <c r="B15" s="234" t="s">
        <v>43</v>
      </c>
      <c r="C15" s="235" t="s">
        <v>281</v>
      </c>
      <c r="D15" s="236">
        <v>1.3</v>
      </c>
      <c r="E15" s="234" t="s">
        <v>32</v>
      </c>
      <c r="F15" s="233">
        <v>1</v>
      </c>
      <c r="G15" s="233"/>
      <c r="H15" s="233"/>
      <c r="I15" s="237">
        <f>IF(H15="",D15*F15,D15*F15*H15)</f>
        <v>1.3</v>
      </c>
      <c r="J15" s="18"/>
      <c r="K15" s="18"/>
      <c r="L15" s="18"/>
      <c r="M15" s="18"/>
      <c r="N15" s="18"/>
      <c r="O15" s="153"/>
    </row>
    <row r="16" spans="1:15" x14ac:dyDescent="0.25">
      <c r="A16" s="246">
        <v>20</v>
      </c>
      <c r="B16" s="235" t="s">
        <v>161</v>
      </c>
      <c r="C16" s="235" t="s">
        <v>285</v>
      </c>
      <c r="D16" s="236">
        <v>0.04</v>
      </c>
      <c r="E16" s="250" t="s">
        <v>162</v>
      </c>
      <c r="F16" s="238">
        <v>313.90100000000001</v>
      </c>
      <c r="G16" s="252" t="s">
        <v>286</v>
      </c>
      <c r="H16" s="253">
        <v>3</v>
      </c>
      <c r="I16" s="237">
        <f t="shared" ref="I16:I22" si="0">IF(H16="",D16*F16,D16*F16*H16)</f>
        <v>37.668120000000002</v>
      </c>
      <c r="J16" s="44"/>
      <c r="K16" s="44"/>
      <c r="L16" s="44"/>
      <c r="M16" s="44"/>
      <c r="N16" s="44"/>
      <c r="O16" s="153"/>
    </row>
    <row r="17" spans="1:15" x14ac:dyDescent="0.25">
      <c r="A17" s="245">
        <v>30</v>
      </c>
      <c r="B17" s="234" t="s">
        <v>283</v>
      </c>
      <c r="C17" s="235" t="s">
        <v>288</v>
      </c>
      <c r="D17" s="236">
        <v>0.65</v>
      </c>
      <c r="E17" s="234" t="s">
        <v>32</v>
      </c>
      <c r="F17" s="233">
        <v>1</v>
      </c>
      <c r="G17" s="233"/>
      <c r="H17" s="233"/>
      <c r="I17" s="237">
        <f t="shared" si="0"/>
        <v>0.65</v>
      </c>
      <c r="J17" s="44"/>
      <c r="K17" s="44"/>
      <c r="L17" s="44"/>
      <c r="M17" s="44"/>
      <c r="N17" s="44"/>
      <c r="O17" s="153"/>
    </row>
    <row r="18" spans="1:15" x14ac:dyDescent="0.25">
      <c r="A18" s="255">
        <v>40</v>
      </c>
      <c r="B18" s="256" t="s">
        <v>161</v>
      </c>
      <c r="C18" s="256" t="s">
        <v>287</v>
      </c>
      <c r="D18" s="236">
        <v>0.04</v>
      </c>
      <c r="E18" s="257" t="s">
        <v>162</v>
      </c>
      <c r="F18" s="265">
        <v>161.94</v>
      </c>
      <c r="G18" s="252" t="s">
        <v>286</v>
      </c>
      <c r="H18" s="258">
        <v>3</v>
      </c>
      <c r="I18" s="259">
        <f t="shared" si="0"/>
        <v>19.4328</v>
      </c>
      <c r="J18" s="44"/>
      <c r="K18" s="44"/>
      <c r="L18" s="44"/>
      <c r="M18" s="44"/>
      <c r="N18" s="44"/>
      <c r="O18" s="153"/>
    </row>
    <row r="19" spans="1:15" x14ac:dyDescent="0.25">
      <c r="A19" s="260">
        <v>50</v>
      </c>
      <c r="B19" s="234" t="s">
        <v>283</v>
      </c>
      <c r="C19" s="235" t="s">
        <v>289</v>
      </c>
      <c r="D19" s="236">
        <v>0.65</v>
      </c>
      <c r="E19" s="234" t="s">
        <v>32</v>
      </c>
      <c r="F19" s="233">
        <v>1</v>
      </c>
      <c r="G19" s="262"/>
      <c r="H19" s="263"/>
      <c r="I19" s="259">
        <f t="shared" si="0"/>
        <v>0.65</v>
      </c>
      <c r="J19" s="44"/>
      <c r="K19" s="44"/>
      <c r="L19" s="44"/>
      <c r="M19" s="44"/>
      <c r="N19" s="44"/>
      <c r="O19" s="153"/>
    </row>
    <row r="20" spans="1:15" x14ac:dyDescent="0.25">
      <c r="A20" s="260">
        <v>60</v>
      </c>
      <c r="B20" s="261" t="s">
        <v>170</v>
      </c>
      <c r="C20" s="261" t="s">
        <v>284</v>
      </c>
      <c r="D20" s="236">
        <v>0.5</v>
      </c>
      <c r="E20" s="262" t="s">
        <v>45</v>
      </c>
      <c r="F20" s="266">
        <v>5.8928000000000003</v>
      </c>
      <c r="G20" s="262"/>
      <c r="H20" s="263"/>
      <c r="I20" s="259">
        <f t="shared" si="0"/>
        <v>2.9464000000000001</v>
      </c>
      <c r="J20" s="44"/>
      <c r="K20" s="44"/>
      <c r="L20" s="44"/>
      <c r="M20" s="44"/>
      <c r="N20" s="44"/>
      <c r="O20" s="153"/>
    </row>
    <row r="21" spans="1:15" x14ac:dyDescent="0.25">
      <c r="A21" s="268">
        <v>70</v>
      </c>
      <c r="B21" s="261" t="s">
        <v>283</v>
      </c>
      <c r="C21" s="261" t="s">
        <v>295</v>
      </c>
      <c r="D21" s="269">
        <v>0.65</v>
      </c>
      <c r="E21" s="270" t="s">
        <v>32</v>
      </c>
      <c r="F21" s="271">
        <v>1</v>
      </c>
      <c r="G21" s="272"/>
      <c r="H21" s="272"/>
      <c r="I21" s="264">
        <f t="shared" si="0"/>
        <v>0.65</v>
      </c>
      <c r="J21" s="44"/>
      <c r="K21" s="44"/>
      <c r="L21" s="44"/>
      <c r="M21" s="44"/>
      <c r="N21" s="44"/>
      <c r="O21" s="153"/>
    </row>
    <row r="22" spans="1:15" x14ac:dyDescent="0.25">
      <c r="A22" s="260">
        <v>80</v>
      </c>
      <c r="B22" s="261" t="s">
        <v>296</v>
      </c>
      <c r="C22" s="261" t="s">
        <v>297</v>
      </c>
      <c r="D22" s="269">
        <v>0.1</v>
      </c>
      <c r="E22" s="270" t="s">
        <v>45</v>
      </c>
      <c r="F22" s="271">
        <v>1.8452999999999999</v>
      </c>
      <c r="G22" s="272"/>
      <c r="H22" s="272"/>
      <c r="I22" s="264">
        <f t="shared" si="0"/>
        <v>0.18453</v>
      </c>
      <c r="J22" s="44"/>
      <c r="K22" s="44"/>
      <c r="L22" s="167"/>
      <c r="M22" s="208"/>
      <c r="N22" s="44"/>
      <c r="O22" s="153"/>
    </row>
    <row r="23" spans="1:15" x14ac:dyDescent="0.25">
      <c r="A23" s="268"/>
      <c r="B23" s="18"/>
      <c r="C23" s="18"/>
      <c r="D23" s="18"/>
      <c r="E23" s="18"/>
      <c r="F23" s="18"/>
      <c r="G23" s="18"/>
      <c r="H23" s="103" t="s">
        <v>18</v>
      </c>
      <c r="I23" s="267">
        <f>SUM(I15:I20)</f>
        <v>62.647319999999993</v>
      </c>
      <c r="J23" s="44"/>
      <c r="K23" s="44"/>
      <c r="L23" s="44"/>
      <c r="M23" s="44"/>
      <c r="N23" s="44"/>
      <c r="O23" s="153"/>
    </row>
    <row r="24" spans="1:15" x14ac:dyDescent="0.25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153"/>
    </row>
    <row r="25" spans="1:15" x14ac:dyDescent="0.25">
      <c r="B25" s="44"/>
      <c r="C25" s="254"/>
      <c r="D25" s="44"/>
      <c r="E25" s="167"/>
      <c r="F25" s="167"/>
      <c r="G25" s="44"/>
      <c r="H25" s="44"/>
      <c r="I25" s="44"/>
      <c r="J25" s="44"/>
      <c r="K25" s="44"/>
      <c r="L25" s="44"/>
      <c r="M25" s="44"/>
      <c r="N25" s="44"/>
      <c r="O25" s="153"/>
    </row>
    <row r="26" spans="1:15" x14ac:dyDescent="0.25">
      <c r="B26" s="44"/>
      <c r="C26" s="167"/>
      <c r="D26" s="44"/>
      <c r="E26" s="167"/>
      <c r="F26" s="44"/>
      <c r="G26" s="44"/>
      <c r="H26" s="44"/>
      <c r="I26" s="44"/>
      <c r="J26" s="44"/>
      <c r="K26" s="44"/>
      <c r="L26" s="44"/>
      <c r="M26" s="44"/>
      <c r="N26" s="44"/>
      <c r="O26" s="153"/>
    </row>
    <row r="27" spans="1:15" x14ac:dyDescent="0.25">
      <c r="B27" s="44"/>
      <c r="C27" s="44"/>
      <c r="D27" s="44"/>
      <c r="E27" s="274"/>
      <c r="F27" s="44"/>
      <c r="G27" s="44"/>
      <c r="H27" s="44"/>
      <c r="I27" s="44"/>
      <c r="J27" s="44"/>
      <c r="K27" s="44"/>
      <c r="L27" s="44"/>
      <c r="M27" s="44"/>
      <c r="N27" s="44"/>
      <c r="O27" s="153"/>
    </row>
    <row r="28" spans="1:15" x14ac:dyDescent="0.25"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153"/>
    </row>
    <row r="29" spans="1:15" x14ac:dyDescent="0.25"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153"/>
    </row>
    <row r="30" spans="1:15" ht="15.75" thickBot="1" x14ac:dyDescent="0.3"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4"/>
    </row>
  </sheetData>
  <hyperlinks>
    <hyperlink ref="B4" location="EN_A1000!A1" display="Driveshaft" xr:uid="{FF9C9BF0-8081-401C-8903-0E5F32CF10C8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E86C-E34C-48C6-8181-74AE21A7D0A0}">
  <sheetPr>
    <tabColor theme="6" tint="0.39997558519241921"/>
  </sheetPr>
  <dimension ref="A1:O30"/>
  <sheetViews>
    <sheetView zoomScaleNormal="100" workbookViewId="0">
      <selection activeCell="B6" sqref="B6"/>
    </sheetView>
  </sheetViews>
  <sheetFormatPr baseColWidth="10" defaultRowHeight="15" x14ac:dyDescent="0.25"/>
  <cols>
    <col min="2" max="2" width="33.7109375" bestFit="1" customWidth="1"/>
    <col min="3" max="3" width="43.5703125" bestFit="1" customWidth="1"/>
    <col min="5" max="5" width="17.28515625" bestFit="1" customWidth="1"/>
    <col min="7" max="7" width="13.7109375" bestFit="1" customWidth="1"/>
    <col min="9" max="9" width="20.140625" bestFit="1" customWidth="1"/>
  </cols>
  <sheetData>
    <row r="1" spans="1:15" x14ac:dyDescent="0.25">
      <c r="A1" s="150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2"/>
    </row>
    <row r="2" spans="1:15" x14ac:dyDescent="0.25">
      <c r="A2" s="169" t="s">
        <v>0</v>
      </c>
      <c r="B2" s="170" t="s">
        <v>42</v>
      </c>
      <c r="C2" s="44"/>
      <c r="D2" s="44"/>
      <c r="E2" s="44"/>
      <c r="F2" s="44"/>
      <c r="G2" s="44" t="s">
        <v>119</v>
      </c>
      <c r="H2" s="44"/>
      <c r="I2" s="44"/>
      <c r="J2" s="95" t="s">
        <v>1</v>
      </c>
      <c r="K2" s="62">
        <v>81</v>
      </c>
      <c r="L2" s="44"/>
      <c r="M2" s="94" t="s">
        <v>16</v>
      </c>
      <c r="N2" s="60">
        <f>EN_1000_003_m+EN_1000_003_p</f>
        <v>16.43313830045987</v>
      </c>
      <c r="O2" s="153"/>
    </row>
    <row r="3" spans="1:15" x14ac:dyDescent="0.25">
      <c r="A3" s="171" t="s">
        <v>3</v>
      </c>
      <c r="B3" s="170" t="s">
        <v>134</v>
      </c>
      <c r="C3" s="44"/>
      <c r="D3" s="241" t="s">
        <v>6</v>
      </c>
      <c r="E3" s="44" t="s">
        <v>305</v>
      </c>
      <c r="F3" s="44"/>
      <c r="G3" s="44"/>
      <c r="H3" s="44"/>
      <c r="I3" s="44"/>
      <c r="J3" s="44"/>
      <c r="K3" s="44"/>
      <c r="L3" s="44"/>
      <c r="M3" s="94" t="s">
        <v>4</v>
      </c>
      <c r="N3" s="61">
        <v>1</v>
      </c>
      <c r="O3" s="153"/>
    </row>
    <row r="4" spans="1:15" x14ac:dyDescent="0.25">
      <c r="A4" s="277" t="s">
        <v>5</v>
      </c>
      <c r="B4" s="241" t="s">
        <v>247</v>
      </c>
      <c r="C4" s="44"/>
      <c r="D4" s="94" t="s">
        <v>8</v>
      </c>
      <c r="E4" s="44"/>
      <c r="F4" s="44"/>
      <c r="G4" s="44"/>
      <c r="H4" s="44"/>
      <c r="I4" s="44"/>
      <c r="J4" s="96" t="s">
        <v>6</v>
      </c>
      <c r="K4" s="44"/>
      <c r="L4" s="44"/>
      <c r="M4" s="44"/>
      <c r="N4" s="44"/>
      <c r="O4" s="153"/>
    </row>
    <row r="5" spans="1:15" x14ac:dyDescent="0.25">
      <c r="A5" s="277" t="s">
        <v>15</v>
      </c>
      <c r="B5" s="239" t="s">
        <v>292</v>
      </c>
      <c r="C5" s="44"/>
      <c r="D5" s="94" t="s">
        <v>12</v>
      </c>
      <c r="E5" s="44"/>
      <c r="F5" s="44"/>
      <c r="G5" s="44"/>
      <c r="H5" s="44"/>
      <c r="I5" s="44"/>
      <c r="J5" s="96" t="s">
        <v>8</v>
      </c>
      <c r="K5" s="44"/>
      <c r="L5" s="44"/>
      <c r="M5" s="94" t="s">
        <v>9</v>
      </c>
      <c r="N5" s="60">
        <f>N3*N2</f>
        <v>16.43313830045987</v>
      </c>
      <c r="O5" s="153"/>
    </row>
    <row r="6" spans="1:15" x14ac:dyDescent="0.25">
      <c r="A6" s="277" t="s">
        <v>7</v>
      </c>
      <c r="B6" s="165" t="s">
        <v>291</v>
      </c>
      <c r="C6" s="44"/>
      <c r="D6" s="44"/>
      <c r="E6" s="44"/>
      <c r="F6" s="44"/>
      <c r="G6" s="44"/>
      <c r="H6" s="44"/>
      <c r="I6" s="44"/>
      <c r="J6" s="96" t="s">
        <v>12</v>
      </c>
      <c r="K6" s="44"/>
      <c r="L6" s="44"/>
      <c r="M6" s="44"/>
      <c r="N6" s="44"/>
      <c r="O6" s="153"/>
    </row>
    <row r="7" spans="1:15" x14ac:dyDescent="0.25">
      <c r="A7" s="173" t="s">
        <v>10</v>
      </c>
      <c r="B7" s="170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153"/>
    </row>
    <row r="8" spans="1:15" x14ac:dyDescent="0.25">
      <c r="A8" s="169" t="s">
        <v>13</v>
      </c>
      <c r="B8" s="104" t="s">
        <v>153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153"/>
    </row>
    <row r="9" spans="1:15" x14ac:dyDescent="0.25">
      <c r="A9" s="174"/>
      <c r="B9" s="20"/>
      <c r="C9" s="20"/>
      <c r="D9" s="20"/>
      <c r="E9" s="20"/>
      <c r="F9" s="44"/>
      <c r="G9" s="44"/>
      <c r="H9" s="44"/>
      <c r="I9" s="44"/>
      <c r="J9" s="44"/>
      <c r="K9" s="44"/>
      <c r="L9" s="44"/>
      <c r="M9" s="44"/>
      <c r="N9" s="44"/>
      <c r="O9" s="153"/>
    </row>
    <row r="10" spans="1:15" x14ac:dyDescent="0.25">
      <c r="A10" s="175" t="s">
        <v>14</v>
      </c>
      <c r="B10" s="100" t="s">
        <v>19</v>
      </c>
      <c r="C10" s="100" t="s">
        <v>20</v>
      </c>
      <c r="D10" s="100" t="s">
        <v>21</v>
      </c>
      <c r="E10" s="100" t="s">
        <v>22</v>
      </c>
      <c r="F10" s="278" t="s">
        <v>23</v>
      </c>
      <c r="G10" s="278" t="s">
        <v>24</v>
      </c>
      <c r="H10" s="278" t="s">
        <v>25</v>
      </c>
      <c r="I10" s="278" t="s">
        <v>26</v>
      </c>
      <c r="J10" s="278" t="s">
        <v>27</v>
      </c>
      <c r="K10" s="278" t="s">
        <v>28</v>
      </c>
      <c r="L10" s="278" t="s">
        <v>29</v>
      </c>
      <c r="M10" s="278" t="s">
        <v>17</v>
      </c>
      <c r="N10" s="278" t="s">
        <v>18</v>
      </c>
      <c r="O10" s="153"/>
    </row>
    <row r="11" spans="1:15" x14ac:dyDescent="0.25">
      <c r="A11" s="177">
        <v>10</v>
      </c>
      <c r="B11" s="279" t="s">
        <v>278</v>
      </c>
      <c r="C11" s="130" t="s">
        <v>299</v>
      </c>
      <c r="D11" s="131">
        <v>2.25</v>
      </c>
      <c r="E11" s="132">
        <f>J11*K11*L11</f>
        <v>1.1472790446544314</v>
      </c>
      <c r="F11" s="130" t="s">
        <v>155</v>
      </c>
      <c r="G11" s="130"/>
      <c r="H11" s="133"/>
      <c r="I11" s="134" t="s">
        <v>298</v>
      </c>
      <c r="J11" s="134">
        <f>PI()*22.1*22.1/4/1000000</f>
        <v>3.8359631698494783E-4</v>
      </c>
      <c r="K11" s="135">
        <v>0.38100000000000001</v>
      </c>
      <c r="L11" s="136">
        <v>7850</v>
      </c>
      <c r="M11" s="136">
        <v>1</v>
      </c>
      <c r="N11" s="131">
        <f>D11*J11*K11*L11*M11</f>
        <v>2.58137785047247</v>
      </c>
      <c r="O11" s="157"/>
    </row>
    <row r="12" spans="1:15" x14ac:dyDescent="0.25">
      <c r="A12" s="15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280" t="s">
        <v>18</v>
      </c>
      <c r="N12" s="98">
        <f>SUM(N11:N11)</f>
        <v>2.58137785047247</v>
      </c>
      <c r="O12" s="153"/>
    </row>
    <row r="13" spans="1:15" x14ac:dyDescent="0.25">
      <c r="A13" s="15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153"/>
    </row>
    <row r="14" spans="1:15" x14ac:dyDescent="0.25">
      <c r="A14" s="277" t="s">
        <v>14</v>
      </c>
      <c r="B14" s="278" t="s">
        <v>31</v>
      </c>
      <c r="C14" s="278" t="s">
        <v>20</v>
      </c>
      <c r="D14" s="278" t="s">
        <v>21</v>
      </c>
      <c r="E14" s="278" t="s">
        <v>32</v>
      </c>
      <c r="F14" s="278" t="s">
        <v>17</v>
      </c>
      <c r="G14" s="278" t="s">
        <v>33</v>
      </c>
      <c r="H14" s="278" t="s">
        <v>34</v>
      </c>
      <c r="I14" s="278" t="s">
        <v>18</v>
      </c>
      <c r="J14" s="18"/>
      <c r="K14" s="18"/>
      <c r="L14" s="18"/>
      <c r="M14" s="18"/>
      <c r="N14" s="18"/>
      <c r="O14" s="153"/>
    </row>
    <row r="15" spans="1:15" x14ac:dyDescent="0.25">
      <c r="A15" s="281">
        <v>10</v>
      </c>
      <c r="B15" s="261" t="s">
        <v>43</v>
      </c>
      <c r="C15" s="261" t="s">
        <v>300</v>
      </c>
      <c r="D15" s="269">
        <v>1.3</v>
      </c>
      <c r="E15" s="270" t="s">
        <v>32</v>
      </c>
      <c r="F15" s="271">
        <v>1</v>
      </c>
      <c r="G15" s="272"/>
      <c r="H15" s="272"/>
      <c r="I15" s="264">
        <f t="shared" ref="I15:I20" si="0">IF(H15="",D15*F15,D15*F15*H15)</f>
        <v>1.3</v>
      </c>
      <c r="J15" s="44"/>
      <c r="K15" s="44"/>
      <c r="L15" s="44"/>
      <c r="M15" s="44"/>
      <c r="N15" s="44"/>
      <c r="O15" s="153"/>
    </row>
    <row r="16" spans="1:15" x14ac:dyDescent="0.25">
      <c r="A16" s="281">
        <v>20</v>
      </c>
      <c r="B16" s="261" t="s">
        <v>161</v>
      </c>
      <c r="C16" s="261" t="s">
        <v>303</v>
      </c>
      <c r="D16" s="269">
        <v>0.04</v>
      </c>
      <c r="E16" s="270" t="s">
        <v>162</v>
      </c>
      <c r="F16" s="275">
        <f>J11*0.009896*2*1000000</f>
        <v>7.5921383057660883</v>
      </c>
      <c r="G16" s="276" t="s">
        <v>282</v>
      </c>
      <c r="H16" s="268">
        <v>3</v>
      </c>
      <c r="I16" s="264">
        <f t="shared" si="0"/>
        <v>0.91105659669193062</v>
      </c>
      <c r="J16" s="44"/>
      <c r="K16" s="44"/>
      <c r="L16" s="44"/>
      <c r="M16" s="44"/>
      <c r="N16" s="44"/>
      <c r="O16" s="153"/>
    </row>
    <row r="17" spans="1:15" x14ac:dyDescent="0.25">
      <c r="A17" s="281">
        <v>30</v>
      </c>
      <c r="B17" s="261" t="s">
        <v>283</v>
      </c>
      <c r="C17" s="261" t="s">
        <v>301</v>
      </c>
      <c r="D17" s="269">
        <v>0.65</v>
      </c>
      <c r="E17" s="270" t="s">
        <v>32</v>
      </c>
      <c r="F17" s="271">
        <v>1</v>
      </c>
      <c r="G17" s="272"/>
      <c r="H17" s="272"/>
      <c r="I17" s="264">
        <f t="shared" si="0"/>
        <v>0.65</v>
      </c>
      <c r="J17" s="44"/>
      <c r="K17" s="44"/>
      <c r="L17" s="44"/>
      <c r="M17" s="44"/>
      <c r="N17" s="44"/>
      <c r="O17" s="153"/>
    </row>
    <row r="18" spans="1:15" x14ac:dyDescent="0.25">
      <c r="A18" s="281">
        <v>40</v>
      </c>
      <c r="B18" s="261" t="s">
        <v>161</v>
      </c>
      <c r="C18" s="261" t="s">
        <v>304</v>
      </c>
      <c r="D18" s="269">
        <v>0.04</v>
      </c>
      <c r="E18" s="270" t="s">
        <v>162</v>
      </c>
      <c r="F18" s="275">
        <f>(K11-2*0.009896)*PI()*0.00635*0.00635*1000000</f>
        <v>45.756698777462248</v>
      </c>
      <c r="G18" s="276" t="s">
        <v>282</v>
      </c>
      <c r="H18" s="268">
        <v>3</v>
      </c>
      <c r="I18" s="264">
        <f t="shared" si="0"/>
        <v>5.4908038532954695</v>
      </c>
      <c r="J18" s="44"/>
      <c r="K18" s="44"/>
      <c r="L18" s="44"/>
      <c r="M18" s="44"/>
      <c r="N18" s="44"/>
      <c r="O18" s="153"/>
    </row>
    <row r="19" spans="1:15" x14ac:dyDescent="0.25">
      <c r="A19" s="281">
        <v>50</v>
      </c>
      <c r="B19" s="261" t="s">
        <v>283</v>
      </c>
      <c r="C19" s="261" t="s">
        <v>301</v>
      </c>
      <c r="D19" s="269">
        <v>0.65</v>
      </c>
      <c r="E19" s="270" t="s">
        <v>32</v>
      </c>
      <c r="F19" s="271">
        <v>1</v>
      </c>
      <c r="G19" s="272"/>
      <c r="H19" s="272"/>
      <c r="I19" s="264">
        <f t="shared" si="0"/>
        <v>0.65</v>
      </c>
      <c r="J19" s="44"/>
      <c r="K19" s="44"/>
      <c r="L19" s="44"/>
      <c r="M19" s="44"/>
      <c r="N19" s="44"/>
      <c r="O19" s="153"/>
    </row>
    <row r="20" spans="1:15" x14ac:dyDescent="0.25">
      <c r="A20" s="281">
        <v>60</v>
      </c>
      <c r="B20" s="261" t="s">
        <v>170</v>
      </c>
      <c r="C20" s="261" t="s">
        <v>302</v>
      </c>
      <c r="D20" s="269">
        <v>0.5</v>
      </c>
      <c r="E20" s="270" t="s">
        <v>45</v>
      </c>
      <c r="F20" s="271">
        <f>(58.395-9.896)*2/10</f>
        <v>9.6997999999999998</v>
      </c>
      <c r="G20" s="272"/>
      <c r="H20" s="272"/>
      <c r="I20" s="264">
        <f t="shared" si="0"/>
        <v>4.8498999999999999</v>
      </c>
      <c r="J20" s="44"/>
      <c r="K20" s="44"/>
      <c r="L20" s="44"/>
      <c r="M20" s="44"/>
      <c r="N20" s="44"/>
      <c r="O20" s="153"/>
    </row>
    <row r="21" spans="1:15" x14ac:dyDescent="0.25">
      <c r="A21" s="154"/>
      <c r="B21" s="18"/>
      <c r="C21" s="18"/>
      <c r="D21" s="18"/>
      <c r="E21" s="18"/>
      <c r="F21" s="18"/>
      <c r="G21" s="18"/>
      <c r="H21" s="103" t="s">
        <v>18</v>
      </c>
      <c r="I21" s="267">
        <f>SUM(I15:I20)</f>
        <v>13.851760449987401</v>
      </c>
      <c r="J21" s="44"/>
      <c r="K21" s="44"/>
      <c r="L21" s="44"/>
      <c r="M21" s="44"/>
      <c r="N21" s="44"/>
      <c r="O21" s="153"/>
    </row>
    <row r="22" spans="1:15" x14ac:dyDescent="0.25">
      <c r="A22" s="15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153"/>
    </row>
    <row r="23" spans="1:15" x14ac:dyDescent="0.25">
      <c r="A23" s="15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153"/>
    </row>
    <row r="24" spans="1:15" ht="15.75" thickBot="1" x14ac:dyDescent="0.3">
      <c r="A24" s="162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4"/>
    </row>
    <row r="25" spans="1:15" x14ac:dyDescent="0.25">
      <c r="B25" s="44"/>
      <c r="C25" s="44"/>
      <c r="D25" s="44"/>
      <c r="E25" s="44"/>
      <c r="F25" s="44"/>
      <c r="G25" s="44"/>
      <c r="H25" s="44"/>
      <c r="I25" s="44"/>
    </row>
    <row r="26" spans="1:15" x14ac:dyDescent="0.25">
      <c r="B26" s="44"/>
      <c r="C26" s="44"/>
      <c r="D26" s="44"/>
      <c r="E26" s="44"/>
      <c r="F26" s="44"/>
      <c r="G26" s="44"/>
      <c r="H26" s="44"/>
      <c r="I26" s="44"/>
    </row>
    <row r="27" spans="1:15" x14ac:dyDescent="0.25">
      <c r="B27" s="44"/>
      <c r="C27" s="44"/>
      <c r="D27" s="44"/>
      <c r="E27" s="44"/>
      <c r="F27" s="44"/>
      <c r="G27" s="44"/>
      <c r="H27" s="44"/>
      <c r="I27" s="44"/>
    </row>
    <row r="28" spans="1:15" x14ac:dyDescent="0.25">
      <c r="B28" s="44"/>
      <c r="C28" s="44"/>
      <c r="D28" s="44"/>
      <c r="E28" s="44"/>
      <c r="F28" s="44"/>
      <c r="G28" s="44"/>
      <c r="H28" s="44"/>
      <c r="I28" s="44"/>
    </row>
    <row r="29" spans="1:15" x14ac:dyDescent="0.25">
      <c r="B29" s="44"/>
      <c r="C29" s="44"/>
      <c r="D29" s="44"/>
      <c r="E29" s="44"/>
      <c r="F29" s="44"/>
      <c r="G29" s="44"/>
      <c r="H29" s="44"/>
      <c r="I29" s="44"/>
    </row>
    <row r="30" spans="1:15" x14ac:dyDescent="0.25">
      <c r="B30" s="44"/>
      <c r="C30" s="44"/>
      <c r="D30" s="44"/>
      <c r="E30" s="44"/>
      <c r="F30" s="44"/>
      <c r="G30" s="44"/>
      <c r="H30" s="44"/>
      <c r="I30" s="44"/>
    </row>
  </sheetData>
  <hyperlinks>
    <hyperlink ref="B4" location="EN_A1000!A1" display="Driveshaft" xr:uid="{264BDC21-2F70-442B-B94A-24FE91BAB0E8}"/>
    <hyperlink ref="D3" location="'EN_1000_003 Drawing'!A1" display="FileLink1" xr:uid="{E2643090-5EC8-4828-BDC3-2A60C67FB06D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F5FF-3B9E-4BE6-BCC4-B605A4A577E2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273" t="s">
        <v>291</v>
      </c>
    </row>
  </sheetData>
  <hyperlinks>
    <hyperlink ref="A1" location="EN_1000_003" display="EN_1000_003" xr:uid="{0059A778-37A3-42B6-B92C-98F89F6D26F7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7E70-3A36-4051-ADBC-E2E08B0C7EA8}">
  <sheetPr>
    <tabColor theme="6" tint="0.39997558519241921"/>
  </sheetPr>
  <dimension ref="A1:O32"/>
  <sheetViews>
    <sheetView zoomScale="85" zoomScaleNormal="85" workbookViewId="0">
      <selection activeCell="B8" sqref="B8"/>
    </sheetView>
  </sheetViews>
  <sheetFormatPr baseColWidth="10" defaultRowHeight="15" x14ac:dyDescent="0.25"/>
  <cols>
    <col min="2" max="2" width="33.7109375" bestFit="1" customWidth="1"/>
    <col min="3" max="3" width="43.5703125" bestFit="1" customWidth="1"/>
    <col min="5" max="5" width="17.28515625" bestFit="1" customWidth="1"/>
    <col min="7" max="7" width="13.7109375" bestFit="1" customWidth="1"/>
    <col min="9" max="9" width="20.140625" bestFit="1" customWidth="1"/>
  </cols>
  <sheetData>
    <row r="1" spans="1:15" x14ac:dyDescent="0.25">
      <c r="A1" s="150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2"/>
    </row>
    <row r="2" spans="1:15" x14ac:dyDescent="0.25">
      <c r="A2" s="169" t="s">
        <v>0</v>
      </c>
      <c r="B2" s="170" t="s">
        <v>42</v>
      </c>
      <c r="C2" s="44"/>
      <c r="D2" s="44"/>
      <c r="E2" s="44"/>
      <c r="F2" s="44"/>
      <c r="G2" s="44" t="s">
        <v>119</v>
      </c>
      <c r="H2" s="44"/>
      <c r="I2" s="44"/>
      <c r="J2" s="95" t="s">
        <v>1</v>
      </c>
      <c r="K2" s="62">
        <v>81</v>
      </c>
      <c r="L2" s="44"/>
      <c r="M2" s="94" t="s">
        <v>16</v>
      </c>
      <c r="N2" s="60">
        <f>EN_1000_004_m+EN_1000_004_p</f>
        <v>17.337133082722115</v>
      </c>
      <c r="O2" s="153"/>
    </row>
    <row r="3" spans="1:15" x14ac:dyDescent="0.25">
      <c r="A3" s="171" t="s">
        <v>3</v>
      </c>
      <c r="B3" s="170" t="s">
        <v>134</v>
      </c>
      <c r="C3" s="44"/>
      <c r="D3" s="241" t="s">
        <v>6</v>
      </c>
      <c r="E3" s="44" t="s">
        <v>305</v>
      </c>
      <c r="F3" s="44"/>
      <c r="G3" s="44"/>
      <c r="H3" s="44"/>
      <c r="I3" s="44"/>
      <c r="J3" s="44"/>
      <c r="K3" s="44"/>
      <c r="L3" s="44"/>
      <c r="M3" s="94" t="s">
        <v>4</v>
      </c>
      <c r="N3" s="61">
        <v>1</v>
      </c>
      <c r="O3" s="153"/>
    </row>
    <row r="4" spans="1:15" x14ac:dyDescent="0.25">
      <c r="A4" s="277" t="s">
        <v>5</v>
      </c>
      <c r="B4" s="241" t="s">
        <v>247</v>
      </c>
      <c r="C4" s="44"/>
      <c r="D4" s="94" t="s">
        <v>8</v>
      </c>
      <c r="E4" s="44"/>
      <c r="F4" s="44"/>
      <c r="G4" s="44"/>
      <c r="H4" s="44"/>
      <c r="I4" s="44"/>
      <c r="J4" s="96" t="s">
        <v>6</v>
      </c>
      <c r="K4" s="44"/>
      <c r="L4" s="44"/>
      <c r="M4" s="44"/>
      <c r="N4" s="44"/>
      <c r="O4" s="153"/>
    </row>
    <row r="5" spans="1:15" x14ac:dyDescent="0.25">
      <c r="A5" s="277" t="s">
        <v>15</v>
      </c>
      <c r="B5" s="239" t="s">
        <v>293</v>
      </c>
      <c r="C5" s="44"/>
      <c r="D5" s="94" t="s">
        <v>12</v>
      </c>
      <c r="E5" s="44"/>
      <c r="F5" s="44"/>
      <c r="G5" s="44"/>
      <c r="H5" s="44"/>
      <c r="I5" s="44"/>
      <c r="J5" s="96" t="s">
        <v>8</v>
      </c>
      <c r="K5" s="44"/>
      <c r="L5" s="44"/>
      <c r="M5" s="94" t="s">
        <v>9</v>
      </c>
      <c r="N5" s="60">
        <f>N3*N2</f>
        <v>17.337133082722115</v>
      </c>
      <c r="O5" s="153"/>
    </row>
    <row r="6" spans="1:15" x14ac:dyDescent="0.25">
      <c r="A6" s="277" t="s">
        <v>7</v>
      </c>
      <c r="B6" s="165" t="s">
        <v>294</v>
      </c>
      <c r="C6" s="44"/>
      <c r="D6" s="44"/>
      <c r="E6" s="44"/>
      <c r="F6" s="44"/>
      <c r="G6" s="44"/>
      <c r="H6" s="44"/>
      <c r="I6" s="44"/>
      <c r="J6" s="96" t="s">
        <v>12</v>
      </c>
      <c r="K6" s="44"/>
      <c r="L6" s="44"/>
      <c r="M6" s="44"/>
      <c r="N6" s="44"/>
      <c r="O6" s="153"/>
    </row>
    <row r="7" spans="1:15" x14ac:dyDescent="0.25">
      <c r="A7" s="173" t="s">
        <v>10</v>
      </c>
      <c r="B7" s="170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153"/>
    </row>
    <row r="8" spans="1:15" x14ac:dyDescent="0.25">
      <c r="A8" s="169" t="s">
        <v>13</v>
      </c>
      <c r="B8" s="104" t="s">
        <v>153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153"/>
    </row>
    <row r="9" spans="1:15" x14ac:dyDescent="0.25">
      <c r="A9" s="174"/>
      <c r="B9" s="20"/>
      <c r="C9" s="20"/>
      <c r="D9" s="20"/>
      <c r="E9" s="20"/>
      <c r="F9" s="44"/>
      <c r="G9" s="44"/>
      <c r="H9" s="44"/>
      <c r="I9" s="44"/>
      <c r="J9" s="44"/>
      <c r="K9" s="44"/>
      <c r="L9" s="44"/>
      <c r="M9" s="44"/>
      <c r="N9" s="44"/>
      <c r="O9" s="153"/>
    </row>
    <row r="10" spans="1:15" x14ac:dyDescent="0.25">
      <c r="A10" s="175" t="s">
        <v>14</v>
      </c>
      <c r="B10" s="100" t="s">
        <v>19</v>
      </c>
      <c r="C10" s="100" t="s">
        <v>20</v>
      </c>
      <c r="D10" s="100" t="s">
        <v>21</v>
      </c>
      <c r="E10" s="100" t="s">
        <v>22</v>
      </c>
      <c r="F10" s="278" t="s">
        <v>23</v>
      </c>
      <c r="G10" s="278" t="s">
        <v>24</v>
      </c>
      <c r="H10" s="278" t="s">
        <v>25</v>
      </c>
      <c r="I10" s="278" t="s">
        <v>26</v>
      </c>
      <c r="J10" s="278" t="s">
        <v>27</v>
      </c>
      <c r="K10" s="278" t="s">
        <v>28</v>
      </c>
      <c r="L10" s="278" t="s">
        <v>29</v>
      </c>
      <c r="M10" s="278" t="s">
        <v>17</v>
      </c>
      <c r="N10" s="278" t="s">
        <v>18</v>
      </c>
      <c r="O10" s="153"/>
    </row>
    <row r="11" spans="1:15" x14ac:dyDescent="0.25">
      <c r="A11" s="177">
        <v>10</v>
      </c>
      <c r="B11" s="279" t="s">
        <v>278</v>
      </c>
      <c r="C11" s="130" t="s">
        <v>299</v>
      </c>
      <c r="D11" s="131">
        <v>2.25</v>
      </c>
      <c r="E11" s="132">
        <f>J11*K11*L11</f>
        <v>1.3002495839416888</v>
      </c>
      <c r="F11" s="130" t="s">
        <v>155</v>
      </c>
      <c r="G11" s="130"/>
      <c r="H11" s="133"/>
      <c r="I11" s="134" t="s">
        <v>298</v>
      </c>
      <c r="J11" s="134">
        <f>PI()*22.1*22.1/4/1000000</f>
        <v>3.8359631698494783E-4</v>
      </c>
      <c r="K11" s="135">
        <v>0.43180000000000002</v>
      </c>
      <c r="L11" s="136">
        <v>7850</v>
      </c>
      <c r="M11" s="136">
        <v>1</v>
      </c>
      <c r="N11" s="131">
        <f>D11*J11*K11*L11*M11</f>
        <v>2.9255615638687997</v>
      </c>
      <c r="O11" s="157"/>
    </row>
    <row r="12" spans="1:15" x14ac:dyDescent="0.25">
      <c r="A12" s="15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280" t="s">
        <v>18</v>
      </c>
      <c r="N12" s="98">
        <f>SUM(N11:N11)</f>
        <v>2.9255615638687997</v>
      </c>
      <c r="O12" s="153"/>
    </row>
    <row r="13" spans="1:15" x14ac:dyDescent="0.25">
      <c r="A13" s="15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153"/>
    </row>
    <row r="14" spans="1:15" x14ac:dyDescent="0.25">
      <c r="A14" s="277" t="s">
        <v>14</v>
      </c>
      <c r="B14" s="278" t="s">
        <v>31</v>
      </c>
      <c r="C14" s="278" t="s">
        <v>20</v>
      </c>
      <c r="D14" s="278" t="s">
        <v>21</v>
      </c>
      <c r="E14" s="278" t="s">
        <v>32</v>
      </c>
      <c r="F14" s="278" t="s">
        <v>17</v>
      </c>
      <c r="G14" s="278" t="s">
        <v>33</v>
      </c>
      <c r="H14" s="278" t="s">
        <v>34</v>
      </c>
      <c r="I14" s="278" t="s">
        <v>18</v>
      </c>
      <c r="J14" s="18"/>
      <c r="K14" s="18"/>
      <c r="L14" s="18"/>
      <c r="M14" s="18"/>
      <c r="N14" s="18"/>
      <c r="O14" s="153"/>
    </row>
    <row r="15" spans="1:15" ht="30" x14ac:dyDescent="0.25">
      <c r="A15" s="281">
        <v>10</v>
      </c>
      <c r="B15" s="261" t="s">
        <v>43</v>
      </c>
      <c r="C15" s="261" t="s">
        <v>300</v>
      </c>
      <c r="D15" s="269">
        <v>1.3</v>
      </c>
      <c r="E15" s="270" t="s">
        <v>32</v>
      </c>
      <c r="F15" s="271">
        <v>1</v>
      </c>
      <c r="G15" s="272"/>
      <c r="H15" s="272"/>
      <c r="I15" s="264">
        <f t="shared" ref="I15:I20" si="0">IF(H15="",D15*F15,D15*F15*H15)</f>
        <v>1.3</v>
      </c>
      <c r="J15" s="44"/>
      <c r="K15" s="44"/>
      <c r="L15" s="44"/>
      <c r="M15" s="44"/>
      <c r="N15" s="44"/>
      <c r="O15" s="153"/>
    </row>
    <row r="16" spans="1:15" x14ac:dyDescent="0.25">
      <c r="A16" s="281">
        <v>20</v>
      </c>
      <c r="B16" s="261" t="s">
        <v>161</v>
      </c>
      <c r="C16" s="261" t="s">
        <v>303</v>
      </c>
      <c r="D16" s="269">
        <v>0.04</v>
      </c>
      <c r="E16" s="270" t="s">
        <v>162</v>
      </c>
      <c r="F16" s="275">
        <f>J11*0.0155015*2*1000000</f>
        <v>11.892636615484337</v>
      </c>
      <c r="G16" s="276" t="s">
        <v>282</v>
      </c>
      <c r="H16" s="268">
        <v>3</v>
      </c>
      <c r="I16" s="264">
        <f t="shared" si="0"/>
        <v>1.4271163938581204</v>
      </c>
      <c r="J16" s="44"/>
      <c r="K16" s="44"/>
      <c r="L16" s="44"/>
      <c r="M16" s="44"/>
      <c r="N16" s="44"/>
      <c r="O16" s="153"/>
    </row>
    <row r="17" spans="1:15" x14ac:dyDescent="0.25">
      <c r="A17" s="281">
        <v>30</v>
      </c>
      <c r="B17" s="261" t="s">
        <v>283</v>
      </c>
      <c r="C17" s="261" t="s">
        <v>301</v>
      </c>
      <c r="D17" s="269">
        <v>0.65</v>
      </c>
      <c r="E17" s="270" t="s">
        <v>32</v>
      </c>
      <c r="F17" s="271">
        <v>1</v>
      </c>
      <c r="G17" s="272"/>
      <c r="H17" s="272"/>
      <c r="I17" s="264">
        <f t="shared" si="0"/>
        <v>0.65</v>
      </c>
      <c r="J17" s="44"/>
      <c r="K17" s="44"/>
      <c r="L17" s="44"/>
      <c r="M17" s="44"/>
      <c r="N17" s="44"/>
      <c r="O17" s="153"/>
    </row>
    <row r="18" spans="1:15" x14ac:dyDescent="0.25">
      <c r="A18" s="281">
        <v>40</v>
      </c>
      <c r="B18" s="261" t="s">
        <v>161</v>
      </c>
      <c r="C18" s="261" t="s">
        <v>304</v>
      </c>
      <c r="D18" s="269">
        <v>0.04</v>
      </c>
      <c r="E18" s="270" t="s">
        <v>162</v>
      </c>
      <c r="F18" s="275">
        <f>(K11-2*0.0155015)*PI()*0.00635*0.00635*1000000</f>
        <v>50.771709374959947</v>
      </c>
      <c r="G18" s="276" t="s">
        <v>282</v>
      </c>
      <c r="H18" s="268">
        <v>3</v>
      </c>
      <c r="I18" s="264">
        <f t="shared" si="0"/>
        <v>6.0926051249951936</v>
      </c>
      <c r="J18" s="44"/>
      <c r="K18" s="44"/>
      <c r="L18" s="44"/>
      <c r="M18" s="44"/>
      <c r="N18" s="44"/>
      <c r="O18" s="153"/>
    </row>
    <row r="19" spans="1:15" x14ac:dyDescent="0.25">
      <c r="A19" s="281">
        <v>50</v>
      </c>
      <c r="B19" s="261" t="s">
        <v>283</v>
      </c>
      <c r="C19" s="261" t="s">
        <v>301</v>
      </c>
      <c r="D19" s="269">
        <v>0.65</v>
      </c>
      <c r="E19" s="270" t="s">
        <v>32</v>
      </c>
      <c r="F19" s="271">
        <v>1</v>
      </c>
      <c r="G19" s="272"/>
      <c r="H19" s="272"/>
      <c r="I19" s="264">
        <f t="shared" si="0"/>
        <v>0.65</v>
      </c>
      <c r="J19" s="44"/>
      <c r="K19" s="44"/>
      <c r="L19" s="44"/>
      <c r="M19" s="44"/>
      <c r="N19" s="44"/>
      <c r="O19" s="153"/>
    </row>
    <row r="20" spans="1:15" x14ac:dyDescent="0.25">
      <c r="A20" s="281">
        <v>60</v>
      </c>
      <c r="B20" s="261" t="s">
        <v>170</v>
      </c>
      <c r="C20" s="261" t="s">
        <v>302</v>
      </c>
      <c r="D20" s="269">
        <v>0.5</v>
      </c>
      <c r="E20" s="270" t="s">
        <v>45</v>
      </c>
      <c r="F20" s="271">
        <f>(58.42-15.5015)*2/10</f>
        <v>8.5837000000000003</v>
      </c>
      <c r="G20" s="272"/>
      <c r="H20" s="272"/>
      <c r="I20" s="264">
        <f t="shared" si="0"/>
        <v>4.2918500000000002</v>
      </c>
      <c r="J20" s="44"/>
      <c r="K20" s="44"/>
      <c r="L20" s="44"/>
      <c r="M20" s="44"/>
      <c r="N20" s="44"/>
      <c r="O20" s="153"/>
    </row>
    <row r="21" spans="1:15" x14ac:dyDescent="0.25">
      <c r="A21" s="154"/>
      <c r="B21" s="18"/>
      <c r="C21" s="18"/>
      <c r="D21" s="18"/>
      <c r="E21" s="18"/>
      <c r="F21" s="18"/>
      <c r="G21" s="18"/>
      <c r="H21" s="103" t="s">
        <v>18</v>
      </c>
      <c r="I21" s="267">
        <f>SUM(I15:I20)</f>
        <v>14.411571518853314</v>
      </c>
      <c r="J21" s="44"/>
      <c r="K21" s="44"/>
      <c r="L21" s="44"/>
      <c r="M21" s="44"/>
      <c r="N21" s="44"/>
      <c r="O21" s="153"/>
    </row>
    <row r="22" spans="1:15" x14ac:dyDescent="0.25">
      <c r="A22" s="15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153"/>
    </row>
    <row r="23" spans="1:15" x14ac:dyDescent="0.25">
      <c r="A23" s="15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153"/>
    </row>
    <row r="24" spans="1:15" x14ac:dyDescent="0.25">
      <c r="A24" s="15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153"/>
    </row>
    <row r="25" spans="1:15" x14ac:dyDescent="0.25">
      <c r="A25" s="15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153"/>
    </row>
    <row r="26" spans="1:15" ht="15.75" thickBot="1" x14ac:dyDescent="0.3">
      <c r="A26" s="162"/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4"/>
    </row>
    <row r="27" spans="1:15" x14ac:dyDescent="0.25">
      <c r="B27" s="44"/>
      <c r="C27" s="44"/>
      <c r="D27" s="44"/>
      <c r="E27" s="44"/>
      <c r="F27" s="44"/>
      <c r="G27" s="44"/>
      <c r="H27" s="44"/>
      <c r="I27" s="44"/>
    </row>
    <row r="28" spans="1:15" x14ac:dyDescent="0.25">
      <c r="B28" s="44"/>
      <c r="C28" s="44"/>
      <c r="D28" s="44"/>
      <c r="E28" s="44"/>
      <c r="F28" s="44"/>
      <c r="G28" s="44"/>
      <c r="H28" s="44"/>
      <c r="I28" s="44"/>
    </row>
    <row r="29" spans="1:15" x14ac:dyDescent="0.25">
      <c r="B29" s="44"/>
      <c r="C29" s="44"/>
      <c r="D29" s="44"/>
      <c r="E29" s="44"/>
      <c r="F29" s="44"/>
      <c r="G29" s="44"/>
      <c r="H29" s="44"/>
      <c r="I29" s="44"/>
    </row>
    <row r="30" spans="1:15" x14ac:dyDescent="0.25">
      <c r="A30" s="44"/>
      <c r="B30" s="44"/>
      <c r="C30" s="44"/>
      <c r="D30" s="44"/>
      <c r="E30" s="44"/>
      <c r="F30" s="44"/>
      <c r="G30" s="44"/>
      <c r="H30" s="44"/>
      <c r="I30" s="44"/>
    </row>
    <row r="31" spans="1:15" x14ac:dyDescent="0.25">
      <c r="A31" s="44"/>
      <c r="B31" s="44"/>
      <c r="C31" s="44"/>
      <c r="D31" s="44"/>
      <c r="E31" s="44"/>
      <c r="F31" s="44"/>
      <c r="G31" s="44"/>
      <c r="H31" s="44"/>
      <c r="I31" s="44"/>
    </row>
    <row r="32" spans="1:15" x14ac:dyDescent="0.25">
      <c r="A32" s="44"/>
      <c r="B32" s="44"/>
      <c r="C32" s="44"/>
      <c r="D32" s="44"/>
      <c r="E32" s="44"/>
      <c r="F32" s="44"/>
      <c r="G32" s="44"/>
      <c r="H32" s="44"/>
      <c r="I32" s="44"/>
    </row>
  </sheetData>
  <hyperlinks>
    <hyperlink ref="B4" location="EN_A1000!A1" display="Driveshaft" xr:uid="{58957493-CEF2-4EEA-B403-B9FA8EE073B4}"/>
    <hyperlink ref="D3" location="'EN_1000_004 Drawing'!A1" display="FileLink1" xr:uid="{D079C1BA-582D-4B7A-BF47-41C78B6C2493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D418-FC24-44FA-8188-943C3F051D67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5" t="s">
        <v>294</v>
      </c>
    </row>
  </sheetData>
  <hyperlinks>
    <hyperlink ref="A1" location="EN_1000_004" display="EN_1000_004" xr:uid="{C9FAD0C7-A44C-434E-9009-46372571A36E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1D719-8F9F-417C-A637-94C75E412176}">
  <sheetPr>
    <tabColor theme="6" tint="-0.249977111117893"/>
  </sheetPr>
  <dimension ref="A1:O61"/>
  <sheetViews>
    <sheetView topLeftCell="A20" workbookViewId="0">
      <selection activeCell="E54" sqref="E54"/>
    </sheetView>
  </sheetViews>
  <sheetFormatPr baseColWidth="10" defaultRowHeight="15" x14ac:dyDescent="0.25"/>
  <cols>
    <col min="2" max="2" width="28.42578125" bestFit="1" customWidth="1"/>
    <col min="3" max="3" width="43.5703125" bestFit="1" customWidth="1"/>
  </cols>
  <sheetData>
    <row r="1" spans="1:15" x14ac:dyDescent="0.25">
      <c r="A1" s="150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2"/>
    </row>
    <row r="2" spans="1:15" x14ac:dyDescent="0.25">
      <c r="A2" s="363" t="s">
        <v>0</v>
      </c>
      <c r="B2" s="104" t="s">
        <v>42</v>
      </c>
      <c r="C2" s="44"/>
      <c r="D2" s="44"/>
      <c r="E2" s="44" t="s">
        <v>119</v>
      </c>
      <c r="F2" s="44"/>
      <c r="G2" s="44"/>
      <c r="H2" s="44"/>
      <c r="I2" s="44"/>
      <c r="J2" s="365" t="s">
        <v>1</v>
      </c>
      <c r="K2" s="62">
        <v>81</v>
      </c>
      <c r="L2" s="44"/>
      <c r="M2" s="365" t="s">
        <v>2</v>
      </c>
      <c r="N2" s="71">
        <f>EN_A1100_pa+EN_A1100_m+EN_A1100_p+EN_A1100_f+EN_A1100_t</f>
        <v>133.38135203617514</v>
      </c>
      <c r="O2" s="153"/>
    </row>
    <row r="3" spans="1:15" x14ac:dyDescent="0.25">
      <c r="A3" s="363" t="s">
        <v>3</v>
      </c>
      <c r="B3" s="104" t="s">
        <v>134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365" t="s">
        <v>4</v>
      </c>
      <c r="N3" s="61">
        <v>1</v>
      </c>
      <c r="O3" s="153"/>
    </row>
    <row r="4" spans="1:15" x14ac:dyDescent="0.25">
      <c r="A4" s="363" t="s">
        <v>5</v>
      </c>
      <c r="B4" s="104" t="s">
        <v>334</v>
      </c>
      <c r="C4" s="44"/>
      <c r="D4" s="44"/>
      <c r="E4" s="44"/>
      <c r="F4" s="44"/>
      <c r="G4" s="44"/>
      <c r="H4" s="44"/>
      <c r="I4" s="44"/>
      <c r="J4" s="370" t="s">
        <v>6</v>
      </c>
      <c r="K4" s="44"/>
      <c r="L4" s="44"/>
      <c r="M4" s="44"/>
      <c r="N4" s="44"/>
      <c r="O4" s="153"/>
    </row>
    <row r="5" spans="1:15" x14ac:dyDescent="0.25">
      <c r="A5" s="363" t="s">
        <v>7</v>
      </c>
      <c r="B5" s="105" t="s">
        <v>306</v>
      </c>
      <c r="C5" s="44"/>
      <c r="D5" s="44"/>
      <c r="E5" s="44"/>
      <c r="F5" s="44"/>
      <c r="G5" s="44"/>
      <c r="H5" s="44"/>
      <c r="I5" s="44"/>
      <c r="J5" s="370" t="s">
        <v>8</v>
      </c>
      <c r="K5" s="44"/>
      <c r="L5" s="44"/>
      <c r="M5" s="365" t="s">
        <v>9</v>
      </c>
      <c r="N5" s="60">
        <f>N2*N3</f>
        <v>133.38135203617514</v>
      </c>
      <c r="O5" s="153"/>
    </row>
    <row r="6" spans="1:15" x14ac:dyDescent="0.25">
      <c r="A6" s="363" t="s">
        <v>10</v>
      </c>
      <c r="B6" s="104" t="s">
        <v>11</v>
      </c>
      <c r="C6" s="44"/>
      <c r="D6" s="44"/>
      <c r="E6" s="44"/>
      <c r="F6" s="44"/>
      <c r="G6" s="44"/>
      <c r="H6" s="44"/>
      <c r="I6" s="44"/>
      <c r="J6" s="370" t="s">
        <v>12</v>
      </c>
      <c r="K6" s="44"/>
      <c r="L6" s="44"/>
      <c r="M6" s="44"/>
      <c r="N6" s="44"/>
      <c r="O6" s="153"/>
    </row>
    <row r="7" spans="1:15" x14ac:dyDescent="0.25">
      <c r="A7" s="363" t="s">
        <v>13</v>
      </c>
      <c r="B7" s="10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153"/>
    </row>
    <row r="8" spans="1:15" x14ac:dyDescent="0.25">
      <c r="A8" s="15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153"/>
    </row>
    <row r="9" spans="1:15" x14ac:dyDescent="0.25">
      <c r="A9" s="371" t="s">
        <v>14</v>
      </c>
      <c r="B9" s="374" t="s">
        <v>15</v>
      </c>
      <c r="C9" s="373" t="s">
        <v>16</v>
      </c>
      <c r="D9" s="365" t="s">
        <v>17</v>
      </c>
      <c r="E9" s="365" t="s">
        <v>18</v>
      </c>
      <c r="F9" s="44"/>
      <c r="G9" s="44"/>
      <c r="H9" s="44"/>
      <c r="I9" s="44"/>
      <c r="J9" s="44"/>
      <c r="K9" s="44"/>
      <c r="L9" s="44"/>
      <c r="M9" s="44"/>
      <c r="N9" s="44"/>
      <c r="O9" s="153"/>
    </row>
    <row r="10" spans="1:15" x14ac:dyDescent="0.25">
      <c r="A10" s="295">
        <v>10</v>
      </c>
      <c r="B10" s="327" t="s">
        <v>307</v>
      </c>
      <c r="C10" s="296">
        <f>EN_1100_001!N$2</f>
        <v>24.754258243942196</v>
      </c>
      <c r="D10" s="297">
        <f>EN_1100_001_q</f>
        <v>1</v>
      </c>
      <c r="E10" s="298">
        <f>C10*D10</f>
        <v>24.754258243942196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53"/>
    </row>
    <row r="11" spans="1:15" x14ac:dyDescent="0.25">
      <c r="A11" s="295">
        <v>20</v>
      </c>
      <c r="B11" s="273" t="s">
        <v>308</v>
      </c>
      <c r="C11" s="296">
        <f>EN_1100_002!N$2</f>
        <v>41.802269960952131</v>
      </c>
      <c r="D11" s="297">
        <f>EN_1100_002_q</f>
        <v>1</v>
      </c>
      <c r="E11" s="298">
        <f t="shared" ref="E11:E14" si="0">C11*D11</f>
        <v>41.802269960952131</v>
      </c>
      <c r="F11" s="104"/>
      <c r="G11" s="104"/>
      <c r="H11" s="104"/>
      <c r="I11" s="104"/>
      <c r="J11" s="104"/>
      <c r="K11" s="104"/>
      <c r="L11" s="104"/>
      <c r="M11" s="104"/>
      <c r="N11" s="104"/>
      <c r="O11" s="153"/>
    </row>
    <row r="12" spans="1:15" x14ac:dyDescent="0.25">
      <c r="A12" s="295">
        <v>30</v>
      </c>
      <c r="B12" s="327" t="s">
        <v>309</v>
      </c>
      <c r="C12" s="296">
        <f>EN_1100_003!N$2</f>
        <v>29.160865459581132</v>
      </c>
      <c r="D12" s="297">
        <f>EN_1100_003_q</f>
        <v>1</v>
      </c>
      <c r="E12" s="298">
        <f t="shared" si="0"/>
        <v>29.160865459581132</v>
      </c>
      <c r="F12" s="104"/>
      <c r="G12" s="104"/>
      <c r="H12" s="104"/>
      <c r="I12" s="104"/>
      <c r="J12" s="104"/>
      <c r="K12" s="104"/>
      <c r="L12" s="104"/>
      <c r="M12" s="104"/>
      <c r="N12" s="104"/>
      <c r="O12" s="157"/>
    </row>
    <row r="13" spans="1:15" x14ac:dyDescent="0.25">
      <c r="A13" s="295">
        <v>40</v>
      </c>
      <c r="B13" s="327" t="s">
        <v>310</v>
      </c>
      <c r="C13" s="296">
        <f>EN_1100_004!N$2</f>
        <v>9.0978820921659498</v>
      </c>
      <c r="D13" s="297">
        <f>EN_1100_004_q</f>
        <v>1</v>
      </c>
      <c r="E13" s="298">
        <f t="shared" si="0"/>
        <v>9.0978820921659498</v>
      </c>
      <c r="F13" s="104"/>
      <c r="G13" s="104"/>
      <c r="H13" s="104"/>
      <c r="I13" s="104"/>
      <c r="J13" s="104"/>
      <c r="K13" s="104"/>
      <c r="L13" s="104"/>
      <c r="M13" s="104"/>
      <c r="N13" s="104"/>
      <c r="O13" s="153"/>
    </row>
    <row r="14" spans="1:15" x14ac:dyDescent="0.25">
      <c r="A14" s="299">
        <v>50</v>
      </c>
      <c r="B14" s="327" t="s">
        <v>368</v>
      </c>
      <c r="C14" s="296">
        <f>EN_1100_005!N$2</f>
        <v>1.7144014375000001</v>
      </c>
      <c r="D14" s="297">
        <f>EN_1100_005_q</f>
        <v>1</v>
      </c>
      <c r="E14" s="298">
        <f t="shared" si="0"/>
        <v>1.7144014375000001</v>
      </c>
      <c r="F14" s="104"/>
      <c r="G14" s="104"/>
      <c r="H14" s="104"/>
      <c r="I14" s="104"/>
      <c r="J14" s="104"/>
      <c r="K14" s="104"/>
      <c r="L14" s="104"/>
      <c r="M14" s="104"/>
      <c r="N14" s="104"/>
      <c r="O14" s="153"/>
    </row>
    <row r="15" spans="1:15" x14ac:dyDescent="0.25">
      <c r="A15" s="299">
        <v>60</v>
      </c>
      <c r="B15" s="327" t="s">
        <v>373</v>
      </c>
      <c r="C15" s="296">
        <f>EN_1100_006!N$2</f>
        <v>1.7139456024999999</v>
      </c>
      <c r="D15" s="297">
        <f>EN_1100_006_q</f>
        <v>1</v>
      </c>
      <c r="E15" s="298">
        <f t="shared" ref="E15" si="1">C15*D15</f>
        <v>1.7139456024999999</v>
      </c>
      <c r="F15" s="104"/>
      <c r="G15" s="104"/>
      <c r="H15" s="104"/>
      <c r="I15" s="104"/>
      <c r="J15" s="104"/>
      <c r="K15" s="104"/>
      <c r="L15" s="104"/>
      <c r="M15" s="104"/>
      <c r="N15" s="104"/>
      <c r="O15" s="153"/>
    </row>
    <row r="16" spans="1:15" x14ac:dyDescent="0.25">
      <c r="A16" s="154"/>
      <c r="B16" s="44"/>
      <c r="C16" s="44"/>
      <c r="D16" s="368" t="s">
        <v>18</v>
      </c>
      <c r="E16" s="369">
        <f>SUM(E10:E15)</f>
        <v>108.24362279664142</v>
      </c>
      <c r="F16" s="45"/>
      <c r="G16" s="45"/>
      <c r="H16" s="45"/>
      <c r="I16" s="45"/>
      <c r="J16" s="45"/>
      <c r="K16" s="45"/>
      <c r="L16" s="45"/>
      <c r="M16" s="45"/>
      <c r="N16" s="45"/>
      <c r="O16" s="153"/>
    </row>
    <row r="17" spans="1:15" x14ac:dyDescent="0.25">
      <c r="A17" s="15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157"/>
    </row>
    <row r="18" spans="1:15" x14ac:dyDescent="0.25">
      <c r="A18" s="363" t="s">
        <v>14</v>
      </c>
      <c r="B18" s="365" t="s">
        <v>19</v>
      </c>
      <c r="C18" s="365" t="s">
        <v>20</v>
      </c>
      <c r="D18" s="365" t="s">
        <v>21</v>
      </c>
      <c r="E18" s="365" t="s">
        <v>22</v>
      </c>
      <c r="F18" s="365" t="s">
        <v>23</v>
      </c>
      <c r="G18" s="365" t="s">
        <v>24</v>
      </c>
      <c r="H18" s="365" t="s">
        <v>25</v>
      </c>
      <c r="I18" s="365" t="s">
        <v>26</v>
      </c>
      <c r="J18" s="365" t="s">
        <v>27</v>
      </c>
      <c r="K18" s="365" t="s">
        <v>28</v>
      </c>
      <c r="L18" s="365" t="s">
        <v>29</v>
      </c>
      <c r="M18" s="365" t="s">
        <v>17</v>
      </c>
      <c r="N18" s="365" t="s">
        <v>18</v>
      </c>
      <c r="O18" s="157"/>
    </row>
    <row r="19" spans="1:15" x14ac:dyDescent="0.25">
      <c r="A19" s="299">
        <v>10</v>
      </c>
      <c r="B19" s="282" t="s">
        <v>311</v>
      </c>
      <c r="C19" s="282"/>
      <c r="D19" s="283">
        <v>0.05</v>
      </c>
      <c r="E19" s="282">
        <v>20</v>
      </c>
      <c r="F19" s="282" t="s">
        <v>30</v>
      </c>
      <c r="G19" s="282"/>
      <c r="H19" s="300"/>
      <c r="I19" s="301"/>
      <c r="J19" s="302"/>
      <c r="K19" s="300"/>
      <c r="L19" s="300"/>
      <c r="M19" s="302">
        <v>1</v>
      </c>
      <c r="N19" s="303">
        <f>IF(J19="",D19*M19*E19,D19*J19*K19*L19*M19)</f>
        <v>1</v>
      </c>
      <c r="O19" s="160"/>
    </row>
    <row r="20" spans="1:15" x14ac:dyDescent="0.25">
      <c r="A20" s="299">
        <v>20</v>
      </c>
      <c r="B20" s="282" t="s">
        <v>143</v>
      </c>
      <c r="C20" s="282" t="s">
        <v>312</v>
      </c>
      <c r="D20" s="283">
        <v>10</v>
      </c>
      <c r="E20" s="282">
        <f>0.001*2+0.116</f>
        <v>0.11800000000000001</v>
      </c>
      <c r="F20" s="282" t="s">
        <v>145</v>
      </c>
      <c r="G20" s="282"/>
      <c r="H20" s="300"/>
      <c r="I20" s="301"/>
      <c r="J20" s="302"/>
      <c r="K20" s="300"/>
      <c r="L20" s="300"/>
      <c r="M20" s="302">
        <v>1</v>
      </c>
      <c r="N20" s="303">
        <f>IF(J20="",D20*M20*E20,D20*J20*K20*L20*M20)</f>
        <v>1.1800000000000002</v>
      </c>
      <c r="O20" s="153"/>
    </row>
    <row r="21" spans="1:15" x14ac:dyDescent="0.25">
      <c r="A21" s="15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365" t="s">
        <v>18</v>
      </c>
      <c r="N21" s="366">
        <f>SUM(N19:N20)</f>
        <v>2.1800000000000002</v>
      </c>
      <c r="O21" s="153"/>
    </row>
    <row r="22" spans="1:15" x14ac:dyDescent="0.25">
      <c r="A22" s="15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153"/>
    </row>
    <row r="23" spans="1:15" x14ac:dyDescent="0.25">
      <c r="A23" s="363" t="s">
        <v>14</v>
      </c>
      <c r="B23" s="365" t="s">
        <v>31</v>
      </c>
      <c r="C23" s="365" t="s">
        <v>20</v>
      </c>
      <c r="D23" s="365" t="s">
        <v>21</v>
      </c>
      <c r="E23" s="365" t="s">
        <v>32</v>
      </c>
      <c r="F23" s="365" t="s">
        <v>17</v>
      </c>
      <c r="G23" s="365" t="s">
        <v>33</v>
      </c>
      <c r="H23" s="365" t="s">
        <v>34</v>
      </c>
      <c r="I23" s="365" t="s">
        <v>18</v>
      </c>
      <c r="J23" s="18"/>
      <c r="K23" s="18"/>
      <c r="L23" s="18"/>
      <c r="M23" s="18"/>
      <c r="N23" s="18"/>
      <c r="O23" s="153"/>
    </row>
    <row r="24" spans="1:15" x14ac:dyDescent="0.25">
      <c r="A24" s="304">
        <v>10</v>
      </c>
      <c r="B24" s="261" t="s">
        <v>183</v>
      </c>
      <c r="C24" s="261" t="s">
        <v>313</v>
      </c>
      <c r="D24" s="269">
        <v>0.15</v>
      </c>
      <c r="E24" s="270" t="s">
        <v>45</v>
      </c>
      <c r="F24" s="284">
        <v>2</v>
      </c>
      <c r="G24" s="285"/>
      <c r="H24" s="285"/>
      <c r="I24" s="286">
        <f t="shared" ref="I24:I39" si="2">IF(H24="",D24*F24,D24*F24*H24)</f>
        <v>0.3</v>
      </c>
      <c r="J24" s="104"/>
      <c r="K24" s="104"/>
      <c r="L24" s="104"/>
      <c r="M24" s="44"/>
      <c r="N24" s="44"/>
      <c r="O24" s="153"/>
    </row>
    <row r="25" spans="1:15" x14ac:dyDescent="0.25">
      <c r="A25" s="304">
        <v>20</v>
      </c>
      <c r="B25" s="261" t="s">
        <v>185</v>
      </c>
      <c r="C25" s="282" t="s">
        <v>314</v>
      </c>
      <c r="D25" s="269">
        <v>5.25</v>
      </c>
      <c r="E25" s="270" t="s">
        <v>145</v>
      </c>
      <c r="F25" s="282">
        <f>0.001*2+0.116</f>
        <v>0.11800000000000001</v>
      </c>
      <c r="G25" s="285"/>
      <c r="H25" s="285"/>
      <c r="I25" s="286">
        <f t="shared" si="2"/>
        <v>0.61950000000000005</v>
      </c>
      <c r="J25" s="104"/>
      <c r="K25" s="104"/>
      <c r="L25" s="104"/>
      <c r="M25" s="44"/>
      <c r="N25" s="44"/>
      <c r="O25" s="153"/>
    </row>
    <row r="26" spans="1:15" ht="30" x14ac:dyDescent="0.25">
      <c r="A26" s="304">
        <v>30</v>
      </c>
      <c r="B26" s="261" t="s">
        <v>188</v>
      </c>
      <c r="C26" s="261" t="s">
        <v>315</v>
      </c>
      <c r="D26" s="269">
        <v>0.19</v>
      </c>
      <c r="E26" s="270" t="s">
        <v>32</v>
      </c>
      <c r="F26" s="284">
        <v>1</v>
      </c>
      <c r="G26" s="260"/>
      <c r="H26" s="260"/>
      <c r="I26" s="286">
        <f t="shared" si="2"/>
        <v>0.19</v>
      </c>
      <c r="J26" s="104"/>
      <c r="K26" s="104"/>
      <c r="L26" s="104"/>
      <c r="M26" s="44"/>
      <c r="N26" s="44"/>
      <c r="O26" s="153"/>
    </row>
    <row r="27" spans="1:15" ht="30" x14ac:dyDescent="0.25">
      <c r="A27" s="304">
        <v>40</v>
      </c>
      <c r="B27" s="261" t="s">
        <v>188</v>
      </c>
      <c r="C27" s="261" t="s">
        <v>328</v>
      </c>
      <c r="D27" s="269">
        <v>0.19</v>
      </c>
      <c r="E27" s="270" t="s">
        <v>32</v>
      </c>
      <c r="F27" s="284">
        <v>6</v>
      </c>
      <c r="G27" s="260"/>
      <c r="H27" s="260"/>
      <c r="I27" s="286">
        <f t="shared" si="2"/>
        <v>1.1400000000000001</v>
      </c>
      <c r="J27" s="104"/>
      <c r="K27" s="104"/>
      <c r="L27" s="104"/>
      <c r="M27" s="44"/>
      <c r="N27" s="44"/>
      <c r="O27" s="153"/>
    </row>
    <row r="28" spans="1:15" x14ac:dyDescent="0.25">
      <c r="A28" s="304">
        <v>50</v>
      </c>
      <c r="B28" s="261" t="s">
        <v>173</v>
      </c>
      <c r="C28" s="261" t="s">
        <v>316</v>
      </c>
      <c r="D28" s="269">
        <v>0.13</v>
      </c>
      <c r="E28" s="270" t="s">
        <v>32</v>
      </c>
      <c r="F28" s="284">
        <v>1</v>
      </c>
      <c r="G28" s="260"/>
      <c r="H28" s="260"/>
      <c r="I28" s="286">
        <f t="shared" si="2"/>
        <v>0.13</v>
      </c>
      <c r="J28" s="104"/>
      <c r="K28" s="104"/>
      <c r="L28" s="104"/>
      <c r="M28" s="44"/>
      <c r="N28" s="44"/>
      <c r="O28" s="153"/>
    </row>
    <row r="29" spans="1:15" x14ac:dyDescent="0.25">
      <c r="A29" s="304">
        <v>60</v>
      </c>
      <c r="B29" s="261" t="s">
        <v>317</v>
      </c>
      <c r="C29" s="261" t="s">
        <v>318</v>
      </c>
      <c r="D29" s="269">
        <v>0.06</v>
      </c>
      <c r="E29" s="270" t="s">
        <v>32</v>
      </c>
      <c r="F29" s="284">
        <v>15</v>
      </c>
      <c r="G29" s="260"/>
      <c r="H29" s="260"/>
      <c r="I29" s="286">
        <f t="shared" si="2"/>
        <v>0.89999999999999991</v>
      </c>
      <c r="J29" s="104"/>
      <c r="K29" s="104"/>
      <c r="L29" s="104"/>
      <c r="M29" s="44"/>
      <c r="N29" s="44"/>
      <c r="O29" s="153"/>
    </row>
    <row r="30" spans="1:15" x14ac:dyDescent="0.25">
      <c r="A30" s="304">
        <v>70</v>
      </c>
      <c r="B30" s="261" t="s">
        <v>176</v>
      </c>
      <c r="C30" s="261" t="s">
        <v>319</v>
      </c>
      <c r="D30" s="269">
        <v>0.75</v>
      </c>
      <c r="E30" s="270" t="s">
        <v>32</v>
      </c>
      <c r="F30" s="284">
        <v>6</v>
      </c>
      <c r="G30" s="260"/>
      <c r="H30" s="260"/>
      <c r="I30" s="286">
        <f t="shared" si="2"/>
        <v>4.5</v>
      </c>
      <c r="J30" s="104"/>
      <c r="K30" s="104"/>
      <c r="L30" s="104"/>
      <c r="M30" s="44"/>
      <c r="N30" s="44"/>
      <c r="O30" s="153"/>
    </row>
    <row r="31" spans="1:15" x14ac:dyDescent="0.25">
      <c r="A31" s="304">
        <v>80</v>
      </c>
      <c r="B31" s="261" t="s">
        <v>320</v>
      </c>
      <c r="C31" s="261" t="s">
        <v>319</v>
      </c>
      <c r="D31" s="269">
        <v>0.25</v>
      </c>
      <c r="E31" s="270" t="s">
        <v>32</v>
      </c>
      <c r="F31" s="284">
        <v>6</v>
      </c>
      <c r="G31" s="260"/>
      <c r="H31" s="260"/>
      <c r="I31" s="286">
        <f t="shared" si="2"/>
        <v>1.5</v>
      </c>
      <c r="J31" s="104"/>
      <c r="K31" s="104"/>
      <c r="L31" s="104"/>
      <c r="M31" s="44"/>
      <c r="N31" s="44"/>
      <c r="O31" s="153"/>
    </row>
    <row r="32" spans="1:15" x14ac:dyDescent="0.25">
      <c r="A32" s="304">
        <v>90</v>
      </c>
      <c r="B32" s="261" t="s">
        <v>188</v>
      </c>
      <c r="C32" s="261" t="s">
        <v>321</v>
      </c>
      <c r="D32" s="269">
        <v>0.19</v>
      </c>
      <c r="E32" s="270" t="s">
        <v>32</v>
      </c>
      <c r="F32" s="284">
        <v>1</v>
      </c>
      <c r="G32" s="260"/>
      <c r="H32" s="260"/>
      <c r="I32" s="286">
        <f t="shared" si="2"/>
        <v>0.19</v>
      </c>
      <c r="J32" s="104"/>
      <c r="K32" s="104"/>
      <c r="L32" s="104"/>
      <c r="M32" s="44"/>
      <c r="N32" s="44"/>
      <c r="O32" s="153"/>
    </row>
    <row r="33" spans="1:15" x14ac:dyDescent="0.25">
      <c r="A33" s="304">
        <v>100</v>
      </c>
      <c r="B33" s="261" t="s">
        <v>176</v>
      </c>
      <c r="C33" s="261" t="s">
        <v>322</v>
      </c>
      <c r="D33" s="269">
        <v>0.75</v>
      </c>
      <c r="E33" s="270" t="s">
        <v>32</v>
      </c>
      <c r="F33" s="284">
        <v>1</v>
      </c>
      <c r="G33" s="260"/>
      <c r="H33" s="260"/>
      <c r="I33" s="286">
        <f t="shared" si="2"/>
        <v>0.75</v>
      </c>
      <c r="J33" s="146"/>
      <c r="K33" s="146"/>
      <c r="L33" s="146"/>
      <c r="M33" s="44"/>
      <c r="N33" s="44"/>
      <c r="O33" s="153"/>
    </row>
    <row r="34" spans="1:15" x14ac:dyDescent="0.25">
      <c r="A34" s="304">
        <v>110</v>
      </c>
      <c r="B34" s="261" t="s">
        <v>173</v>
      </c>
      <c r="C34" s="261" t="s">
        <v>323</v>
      </c>
      <c r="D34" s="269">
        <v>0.13</v>
      </c>
      <c r="E34" s="270" t="s">
        <v>32</v>
      </c>
      <c r="F34" s="284">
        <v>1</v>
      </c>
      <c r="G34" s="260"/>
      <c r="H34" s="260"/>
      <c r="I34" s="286">
        <f t="shared" si="2"/>
        <v>0.13</v>
      </c>
      <c r="J34" s="104"/>
      <c r="K34" s="104"/>
      <c r="L34" s="104"/>
      <c r="M34" s="44"/>
      <c r="N34" s="44"/>
      <c r="O34" s="153"/>
    </row>
    <row r="35" spans="1:15" x14ac:dyDescent="0.25">
      <c r="A35" s="304">
        <v>120</v>
      </c>
      <c r="B35" s="261" t="s">
        <v>324</v>
      </c>
      <c r="C35" s="261" t="s">
        <v>325</v>
      </c>
      <c r="D35" s="269">
        <v>5</v>
      </c>
      <c r="E35" s="270" t="s">
        <v>32</v>
      </c>
      <c r="F35" s="284">
        <v>1</v>
      </c>
      <c r="G35" s="260"/>
      <c r="H35" s="260"/>
      <c r="I35" s="286">
        <f t="shared" si="2"/>
        <v>5</v>
      </c>
      <c r="J35" s="146"/>
      <c r="K35" s="146"/>
      <c r="L35" s="146"/>
      <c r="M35" s="44"/>
      <c r="N35" s="44"/>
      <c r="O35" s="153"/>
    </row>
    <row r="36" spans="1:15" x14ac:dyDescent="0.25">
      <c r="A36" s="304">
        <v>130</v>
      </c>
      <c r="B36" s="261" t="s">
        <v>317</v>
      </c>
      <c r="C36" s="261" t="s">
        <v>318</v>
      </c>
      <c r="D36" s="269">
        <v>0.06</v>
      </c>
      <c r="E36" s="270" t="s">
        <v>32</v>
      </c>
      <c r="F36" s="284">
        <v>3</v>
      </c>
      <c r="G36" s="260"/>
      <c r="H36" s="260"/>
      <c r="I36" s="286">
        <f t="shared" si="2"/>
        <v>0.18</v>
      </c>
      <c r="J36" s="104"/>
      <c r="K36" s="104"/>
      <c r="L36" s="104"/>
      <c r="M36" s="44"/>
      <c r="N36" s="44"/>
      <c r="O36" s="153"/>
    </row>
    <row r="37" spans="1:15" x14ac:dyDescent="0.25">
      <c r="A37" s="304">
        <v>140</v>
      </c>
      <c r="B37" s="261" t="s">
        <v>176</v>
      </c>
      <c r="C37" s="261" t="s">
        <v>326</v>
      </c>
      <c r="D37" s="269">
        <v>0.75</v>
      </c>
      <c r="E37" s="270" t="s">
        <v>32</v>
      </c>
      <c r="F37" s="284">
        <v>1</v>
      </c>
      <c r="G37" s="260"/>
      <c r="H37" s="260"/>
      <c r="I37" s="286">
        <f t="shared" si="2"/>
        <v>0.75</v>
      </c>
      <c r="J37" s="104"/>
      <c r="K37" s="104"/>
      <c r="L37" s="104"/>
      <c r="M37" s="44"/>
      <c r="N37" s="44"/>
      <c r="O37" s="153"/>
    </row>
    <row r="38" spans="1:15" x14ac:dyDescent="0.25">
      <c r="A38" s="304">
        <v>150</v>
      </c>
      <c r="B38" s="261" t="s">
        <v>320</v>
      </c>
      <c r="C38" s="261" t="s">
        <v>326</v>
      </c>
      <c r="D38" s="269">
        <v>0.25</v>
      </c>
      <c r="E38" s="270" t="s">
        <v>32</v>
      </c>
      <c r="F38" s="284">
        <v>1</v>
      </c>
      <c r="G38" s="260"/>
      <c r="H38" s="260"/>
      <c r="I38" s="286">
        <f t="shared" si="2"/>
        <v>0.25</v>
      </c>
      <c r="J38" s="104"/>
      <c r="K38" s="104"/>
      <c r="L38" s="104"/>
      <c r="M38" s="44"/>
      <c r="N38" s="44"/>
      <c r="O38" s="153"/>
    </row>
    <row r="39" spans="1:15" x14ac:dyDescent="0.25">
      <c r="A39" s="304">
        <v>160</v>
      </c>
      <c r="B39" s="261" t="s">
        <v>317</v>
      </c>
      <c r="C39" s="261" t="s">
        <v>318</v>
      </c>
      <c r="D39" s="269">
        <v>0.06</v>
      </c>
      <c r="E39" s="270" t="s">
        <v>32</v>
      </c>
      <c r="F39" s="284">
        <v>3</v>
      </c>
      <c r="G39" s="260"/>
      <c r="H39" s="260"/>
      <c r="I39" s="286">
        <f t="shared" si="2"/>
        <v>0.18</v>
      </c>
      <c r="J39" s="104"/>
      <c r="K39" s="104"/>
      <c r="L39" s="104"/>
      <c r="M39" s="44"/>
      <c r="N39" s="44"/>
      <c r="O39" s="153"/>
    </row>
    <row r="40" spans="1:15" x14ac:dyDescent="0.25">
      <c r="A40" s="304">
        <v>170</v>
      </c>
      <c r="B40" s="261" t="s">
        <v>176</v>
      </c>
      <c r="C40" s="261" t="s">
        <v>327</v>
      </c>
      <c r="D40" s="269">
        <v>0.75</v>
      </c>
      <c r="E40" s="270" t="s">
        <v>32</v>
      </c>
      <c r="F40" s="284">
        <v>1</v>
      </c>
      <c r="G40" s="260"/>
      <c r="H40" s="260"/>
      <c r="I40" s="286">
        <f>IF(H40="",D40*F40,D40*F40*H40)</f>
        <v>0.75</v>
      </c>
      <c r="J40" s="104"/>
      <c r="K40" s="104"/>
      <c r="L40" s="104"/>
      <c r="M40" s="44"/>
      <c r="N40" s="44"/>
      <c r="O40" s="153"/>
    </row>
    <row r="41" spans="1:15" x14ac:dyDescent="0.25">
      <c r="A41" s="304">
        <v>180</v>
      </c>
      <c r="B41" s="261" t="s">
        <v>320</v>
      </c>
      <c r="C41" s="261" t="s">
        <v>327</v>
      </c>
      <c r="D41" s="269">
        <v>0.25</v>
      </c>
      <c r="E41" s="270" t="s">
        <v>32</v>
      </c>
      <c r="F41" s="284">
        <v>1</v>
      </c>
      <c r="G41" s="260"/>
      <c r="H41" s="260"/>
      <c r="I41" s="286">
        <f>IF(H41="",D41*F41,D41*F41*H41)</f>
        <v>0.25</v>
      </c>
      <c r="J41" s="104"/>
      <c r="K41" s="104"/>
      <c r="L41" s="104"/>
      <c r="M41" s="44"/>
      <c r="N41" s="44"/>
      <c r="O41" s="153"/>
    </row>
    <row r="42" spans="1:15" x14ac:dyDescent="0.25">
      <c r="A42" s="158"/>
      <c r="B42" s="18"/>
      <c r="C42" s="18"/>
      <c r="D42" s="18"/>
      <c r="E42" s="18"/>
      <c r="F42" s="18"/>
      <c r="G42" s="18"/>
      <c r="H42" s="367" t="s">
        <v>18</v>
      </c>
      <c r="I42" s="366">
        <f>SUM(I24:I41)</f>
        <v>17.709499999999998</v>
      </c>
      <c r="J42" s="44"/>
      <c r="K42" s="44"/>
      <c r="L42" s="44"/>
      <c r="M42" s="44"/>
      <c r="N42" s="44"/>
      <c r="O42" s="153"/>
    </row>
    <row r="43" spans="1:15" x14ac:dyDescent="0.25">
      <c r="A43" s="15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153"/>
    </row>
    <row r="44" spans="1:15" x14ac:dyDescent="0.25">
      <c r="A44" s="363" t="s">
        <v>14</v>
      </c>
      <c r="B44" s="365" t="s">
        <v>36</v>
      </c>
      <c r="C44" s="365" t="s">
        <v>20</v>
      </c>
      <c r="D44" s="365" t="s">
        <v>21</v>
      </c>
      <c r="E44" s="365" t="s">
        <v>22</v>
      </c>
      <c r="F44" s="365" t="s">
        <v>23</v>
      </c>
      <c r="G44" s="365" t="s">
        <v>24</v>
      </c>
      <c r="H44" s="365" t="s">
        <v>25</v>
      </c>
      <c r="I44" s="365" t="s">
        <v>17</v>
      </c>
      <c r="J44" s="365" t="s">
        <v>18</v>
      </c>
      <c r="K44" s="44"/>
      <c r="L44" s="44"/>
      <c r="M44" s="44"/>
      <c r="N44" s="44"/>
      <c r="O44" s="153"/>
    </row>
    <row r="45" spans="1:15" x14ac:dyDescent="0.25">
      <c r="A45" s="299">
        <v>10</v>
      </c>
      <c r="B45" s="282" t="s">
        <v>203</v>
      </c>
      <c r="C45" s="282" t="s">
        <v>329</v>
      </c>
      <c r="D45" s="287">
        <f>0.8/105154*E45*E45*G45*SQRT(G45)+(0.003*EXP(0.319*E45))</f>
        <v>0.19787566120335398</v>
      </c>
      <c r="E45" s="271">
        <v>10</v>
      </c>
      <c r="F45" s="288" t="s">
        <v>30</v>
      </c>
      <c r="G45" s="271">
        <v>30</v>
      </c>
      <c r="H45" s="289" t="s">
        <v>30</v>
      </c>
      <c r="I45" s="290">
        <v>6</v>
      </c>
      <c r="J45" s="286">
        <f t="shared" ref="J45:J55" si="3">I45*D45</f>
        <v>1.1872539672201239</v>
      </c>
      <c r="K45" s="44"/>
      <c r="L45" s="44"/>
      <c r="M45" s="44"/>
      <c r="N45" s="44"/>
      <c r="O45" s="153"/>
    </row>
    <row r="46" spans="1:15" x14ac:dyDescent="0.25">
      <c r="A46" s="299">
        <v>20</v>
      </c>
      <c r="B46" s="282" t="s">
        <v>205</v>
      </c>
      <c r="C46" s="282" t="s">
        <v>329</v>
      </c>
      <c r="D46" s="287">
        <f>0.009*EXP(0.2*E46)</f>
        <v>6.6501504890375845E-2</v>
      </c>
      <c r="E46" s="271">
        <v>10</v>
      </c>
      <c r="F46" s="288" t="s">
        <v>30</v>
      </c>
      <c r="G46" s="271"/>
      <c r="H46" s="289"/>
      <c r="I46" s="290">
        <v>6</v>
      </c>
      <c r="J46" s="286">
        <f t="shared" si="3"/>
        <v>0.39900902934225507</v>
      </c>
      <c r="K46" s="44"/>
      <c r="L46" s="44"/>
      <c r="M46" s="44"/>
      <c r="N46" s="44"/>
      <c r="O46" s="153"/>
    </row>
    <row r="47" spans="1:15" x14ac:dyDescent="0.25">
      <c r="A47" s="299">
        <v>30</v>
      </c>
      <c r="B47" s="282" t="s">
        <v>207</v>
      </c>
      <c r="C47" s="282" t="s">
        <v>329</v>
      </c>
      <c r="D47" s="287">
        <v>0.01</v>
      </c>
      <c r="E47" s="271"/>
      <c r="F47" s="288" t="s">
        <v>32</v>
      </c>
      <c r="G47" s="271"/>
      <c r="H47" s="289"/>
      <c r="I47" s="290">
        <v>12</v>
      </c>
      <c r="J47" s="291">
        <f t="shared" si="3"/>
        <v>0.12</v>
      </c>
      <c r="K47" s="44"/>
      <c r="L47" s="44"/>
      <c r="M47" s="44"/>
      <c r="N47" s="44"/>
      <c r="O47" s="153"/>
    </row>
    <row r="48" spans="1:15" x14ac:dyDescent="0.25">
      <c r="A48" s="299">
        <v>40</v>
      </c>
      <c r="B48" s="282" t="s">
        <v>203</v>
      </c>
      <c r="C48" s="282" t="s">
        <v>330</v>
      </c>
      <c r="D48" s="287">
        <f>0.8/105154*E48*E48*G48*SQRT(G48)+(0.003*EXP(0.319*E48))</f>
        <v>8.2048330888522564E-2</v>
      </c>
      <c r="E48" s="271">
        <v>8</v>
      </c>
      <c r="F48" s="288" t="s">
        <v>30</v>
      </c>
      <c r="G48" s="271">
        <v>20</v>
      </c>
      <c r="H48" s="289" t="s">
        <v>30</v>
      </c>
      <c r="I48" s="290">
        <v>1</v>
      </c>
      <c r="J48" s="264">
        <f t="shared" si="3"/>
        <v>8.2048330888522564E-2</v>
      </c>
      <c r="K48" s="44"/>
      <c r="L48" s="44"/>
      <c r="M48" s="44"/>
      <c r="N48" s="44"/>
      <c r="O48" s="153"/>
    </row>
    <row r="49" spans="1:15" x14ac:dyDescent="0.25">
      <c r="A49" s="299">
        <v>50</v>
      </c>
      <c r="B49" s="282" t="s">
        <v>205</v>
      </c>
      <c r="C49" s="282" t="s">
        <v>330</v>
      </c>
      <c r="D49" s="287">
        <f>0.009*EXP(0.2*E49)</f>
        <v>4.4577291819556032E-2</v>
      </c>
      <c r="E49" s="271">
        <v>8</v>
      </c>
      <c r="F49" s="288" t="s">
        <v>30</v>
      </c>
      <c r="G49" s="271"/>
      <c r="H49" s="289"/>
      <c r="I49" s="290">
        <v>1</v>
      </c>
      <c r="J49" s="292">
        <f t="shared" si="3"/>
        <v>4.4577291819556032E-2</v>
      </c>
      <c r="K49" s="44"/>
      <c r="L49" s="44"/>
      <c r="M49" s="44"/>
      <c r="N49" s="44"/>
      <c r="O49" s="153"/>
    </row>
    <row r="50" spans="1:15" x14ac:dyDescent="0.25">
      <c r="A50" s="299">
        <v>60</v>
      </c>
      <c r="B50" s="282" t="s">
        <v>207</v>
      </c>
      <c r="C50" s="282" t="s">
        <v>330</v>
      </c>
      <c r="D50" s="287">
        <v>0.01</v>
      </c>
      <c r="E50" s="271"/>
      <c r="F50" s="288" t="s">
        <v>32</v>
      </c>
      <c r="G50" s="271"/>
      <c r="H50" s="289"/>
      <c r="I50" s="290">
        <v>2</v>
      </c>
      <c r="J50" s="286">
        <f t="shared" si="3"/>
        <v>0.02</v>
      </c>
      <c r="K50" s="44"/>
      <c r="L50" s="44"/>
      <c r="M50" s="44"/>
      <c r="N50" s="44"/>
      <c r="O50" s="153"/>
    </row>
    <row r="51" spans="1:15" x14ac:dyDescent="0.25">
      <c r="A51" s="299">
        <v>70</v>
      </c>
      <c r="B51" s="282" t="s">
        <v>203</v>
      </c>
      <c r="C51" s="282" t="s">
        <v>330</v>
      </c>
      <c r="D51" s="287">
        <f>0.8/105154*E51*E51*G51*SQRT(G51)+(0.003*EXP(0.319*E51))</f>
        <v>8.2048330888522564E-2</v>
      </c>
      <c r="E51" s="271">
        <v>8</v>
      </c>
      <c r="F51" s="288" t="s">
        <v>30</v>
      </c>
      <c r="G51" s="271">
        <v>20</v>
      </c>
      <c r="H51" s="289" t="s">
        <v>30</v>
      </c>
      <c r="I51" s="290">
        <v>1</v>
      </c>
      <c r="J51" s="286">
        <f t="shared" si="3"/>
        <v>8.2048330888522564E-2</v>
      </c>
      <c r="K51" s="44"/>
      <c r="L51" s="44"/>
      <c r="M51" s="44"/>
      <c r="N51" s="44"/>
      <c r="O51" s="153"/>
    </row>
    <row r="52" spans="1:15" x14ac:dyDescent="0.25">
      <c r="A52" s="299">
        <v>80</v>
      </c>
      <c r="B52" s="282" t="s">
        <v>205</v>
      </c>
      <c r="C52" s="282" t="s">
        <v>330</v>
      </c>
      <c r="D52" s="287">
        <f>0.009*EXP(0.2*E52)</f>
        <v>4.4577291819556032E-2</v>
      </c>
      <c r="E52" s="271">
        <v>8</v>
      </c>
      <c r="F52" s="288" t="s">
        <v>30</v>
      </c>
      <c r="G52" s="271"/>
      <c r="H52" s="289"/>
      <c r="I52" s="290">
        <v>1</v>
      </c>
      <c r="J52" s="286">
        <f t="shared" si="3"/>
        <v>4.4577291819556032E-2</v>
      </c>
      <c r="K52" s="44"/>
      <c r="L52" s="44"/>
      <c r="M52" s="44"/>
      <c r="N52" s="44"/>
      <c r="O52" s="153"/>
    </row>
    <row r="53" spans="1:15" x14ac:dyDescent="0.25">
      <c r="A53" s="299">
        <v>90</v>
      </c>
      <c r="B53" s="282" t="s">
        <v>207</v>
      </c>
      <c r="C53" s="282" t="s">
        <v>330</v>
      </c>
      <c r="D53" s="287">
        <v>0.01</v>
      </c>
      <c r="E53" s="271"/>
      <c r="F53" s="288" t="s">
        <v>32</v>
      </c>
      <c r="G53" s="271"/>
      <c r="H53" s="289"/>
      <c r="I53" s="290">
        <v>2</v>
      </c>
      <c r="J53" s="286">
        <f t="shared" si="3"/>
        <v>0.02</v>
      </c>
      <c r="K53" s="44"/>
      <c r="L53" s="44"/>
      <c r="M53" s="44"/>
      <c r="N53" s="44"/>
      <c r="O53" s="153"/>
    </row>
    <row r="54" spans="1:15" x14ac:dyDescent="0.25">
      <c r="A54" s="299">
        <v>100</v>
      </c>
      <c r="B54" s="282" t="s">
        <v>203</v>
      </c>
      <c r="C54" s="282" t="s">
        <v>331</v>
      </c>
      <c r="D54" s="287">
        <f>0.8/105154*E54*E54*G54*SQRT(G54)+(0.003*EXP(0.319*E54))</f>
        <v>8.2048330888522564E-2</v>
      </c>
      <c r="E54" s="271">
        <v>8</v>
      </c>
      <c r="F54" s="288" t="s">
        <v>30</v>
      </c>
      <c r="G54" s="271">
        <v>20</v>
      </c>
      <c r="H54" s="289" t="s">
        <v>30</v>
      </c>
      <c r="I54" s="290">
        <v>1</v>
      </c>
      <c r="J54" s="286">
        <f t="shared" si="3"/>
        <v>8.2048330888522564E-2</v>
      </c>
      <c r="K54" s="44"/>
      <c r="L54" s="44"/>
      <c r="M54" s="44"/>
      <c r="N54" s="44"/>
      <c r="O54" s="153"/>
    </row>
    <row r="55" spans="1:15" x14ac:dyDescent="0.25">
      <c r="A55" s="299">
        <v>110</v>
      </c>
      <c r="B55" s="282" t="s">
        <v>332</v>
      </c>
      <c r="C55" s="282" t="s">
        <v>333</v>
      </c>
      <c r="D55" s="287">
        <v>0.5</v>
      </c>
      <c r="E55" s="271">
        <v>52</v>
      </c>
      <c r="F55" s="288" t="s">
        <v>30</v>
      </c>
      <c r="G55" s="271"/>
      <c r="H55" s="289"/>
      <c r="I55" s="290">
        <v>1</v>
      </c>
      <c r="J55" s="286">
        <f t="shared" si="3"/>
        <v>0.5</v>
      </c>
      <c r="K55" s="44"/>
      <c r="L55" s="44"/>
      <c r="M55" s="44"/>
      <c r="N55" s="44"/>
      <c r="O55" s="153"/>
    </row>
    <row r="56" spans="1:15" x14ac:dyDescent="0.25">
      <c r="A56" s="158"/>
      <c r="B56" s="18"/>
      <c r="C56" s="18"/>
      <c r="D56" s="18"/>
      <c r="E56" s="18"/>
      <c r="F56" s="18"/>
      <c r="G56" s="18"/>
      <c r="H56" s="18"/>
      <c r="I56" s="367" t="s">
        <v>18</v>
      </c>
      <c r="J56" s="366">
        <f>SUM(J45:J55)</f>
        <v>2.5815625728670586</v>
      </c>
      <c r="K56" s="44"/>
      <c r="L56" s="44"/>
      <c r="M56" s="44"/>
      <c r="N56" s="44"/>
      <c r="O56" s="153"/>
    </row>
    <row r="57" spans="1:15" x14ac:dyDescent="0.25">
      <c r="A57" s="15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153"/>
    </row>
    <row r="58" spans="1:15" x14ac:dyDescent="0.25">
      <c r="A58" s="363" t="s">
        <v>14</v>
      </c>
      <c r="B58" s="365" t="s">
        <v>37</v>
      </c>
      <c r="C58" s="365" t="s">
        <v>20</v>
      </c>
      <c r="D58" s="365" t="s">
        <v>21</v>
      </c>
      <c r="E58" s="365" t="s">
        <v>32</v>
      </c>
      <c r="F58" s="365" t="s">
        <v>17</v>
      </c>
      <c r="G58" s="365" t="s">
        <v>38</v>
      </c>
      <c r="H58" s="375" t="s">
        <v>39</v>
      </c>
      <c r="I58" s="374" t="s">
        <v>18</v>
      </c>
      <c r="J58" s="44"/>
      <c r="K58" s="44"/>
      <c r="L58" s="44"/>
      <c r="M58" s="44"/>
      <c r="N58" s="44"/>
      <c r="O58" s="153"/>
    </row>
    <row r="59" spans="1:15" x14ac:dyDescent="0.25">
      <c r="A59" s="161">
        <v>10</v>
      </c>
      <c r="B59" s="59" t="s">
        <v>40</v>
      </c>
      <c r="C59" s="59" t="s">
        <v>184</v>
      </c>
      <c r="D59" s="60">
        <v>500</v>
      </c>
      <c r="E59" s="59" t="s">
        <v>41</v>
      </c>
      <c r="F59" s="59">
        <v>16</v>
      </c>
      <c r="G59" s="59">
        <v>3000</v>
      </c>
      <c r="H59" s="293">
        <v>1</v>
      </c>
      <c r="I59" s="294">
        <f>D59*F59/G59*H59</f>
        <v>2.6666666666666665</v>
      </c>
      <c r="J59" s="44"/>
      <c r="K59" s="44"/>
      <c r="L59" s="44"/>
      <c r="M59" s="44"/>
      <c r="N59" s="44"/>
      <c r="O59" s="153"/>
    </row>
    <row r="60" spans="1:15" x14ac:dyDescent="0.25">
      <c r="A60" s="158"/>
      <c r="B60" s="18"/>
      <c r="C60" s="18"/>
      <c r="D60" s="18"/>
      <c r="E60" s="18"/>
      <c r="F60" s="18"/>
      <c r="G60" s="18"/>
      <c r="H60" s="368" t="s">
        <v>18</v>
      </c>
      <c r="I60" s="369">
        <f>SUM(I59:I59)</f>
        <v>2.6666666666666665</v>
      </c>
      <c r="J60" s="44"/>
      <c r="K60" s="44"/>
      <c r="L60" s="44"/>
      <c r="M60" s="44"/>
      <c r="N60" s="44"/>
      <c r="O60" s="153"/>
    </row>
    <row r="61" spans="1:15" ht="15.75" thickBot="1" x14ac:dyDescent="0.3">
      <c r="A61" s="162"/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4"/>
    </row>
  </sheetData>
  <hyperlinks>
    <hyperlink ref="B10" location="EN_1100_001" display="Front sprocket" xr:uid="{AF7F342E-4855-4789-AE27-F8B3AFD5FBAD}"/>
    <hyperlink ref="B11" location="EN_1100_002!A1" display="rear sprocket" xr:uid="{25FE80D6-1AC7-4466-93BA-31970C4A8461}"/>
    <hyperlink ref="B12" location="EN_1100_003!A1" display="Rear sprocket adaptor" xr:uid="{A9790CD9-4172-4535-8977-A9E1DF8C6F8E}"/>
    <hyperlink ref="B13" location="EN_1100_004!A1" display="Chain shield" xr:uid="{A8B9867F-E569-4B27-8530-827D704C9342}"/>
    <hyperlink ref="B14" location="EN_1100_005!A1" display="Upper chainshield bracket" xr:uid="{1018497E-B0E6-4B67-BBD0-C15FD336CD3E}"/>
    <hyperlink ref="B15" location="EN_1100_006!A1" display="Lower chainshield bracket" xr:uid="{582A9970-6C56-4D5A-8B4D-FBF593D1AB1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9E72-7A98-4A87-95B1-E43757B02DE2}">
  <sheetPr>
    <tabColor theme="6" tint="0.39997558519241921"/>
  </sheetPr>
  <dimension ref="A1:O26"/>
  <sheetViews>
    <sheetView zoomScale="85" zoomScaleNormal="85" workbookViewId="0">
      <selection activeCell="F16" sqref="F16"/>
    </sheetView>
  </sheetViews>
  <sheetFormatPr baseColWidth="10" defaultRowHeight="15" x14ac:dyDescent="0.25"/>
  <cols>
    <col min="2" max="2" width="33.7109375" bestFit="1" customWidth="1"/>
    <col min="3" max="3" width="47.5703125" bestFit="1" customWidth="1"/>
    <col min="7" max="7" width="13.5703125" bestFit="1" customWidth="1"/>
    <col min="9" max="9" width="18.140625" bestFit="1" customWidth="1"/>
  </cols>
  <sheetData>
    <row r="1" spans="1:15" x14ac:dyDescent="0.25">
      <c r="A1" s="150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2"/>
    </row>
    <row r="2" spans="1:15" x14ac:dyDescent="0.25">
      <c r="A2" s="169" t="s">
        <v>0</v>
      </c>
      <c r="B2" s="170" t="s">
        <v>42</v>
      </c>
      <c r="C2" s="44"/>
      <c r="D2" s="44"/>
      <c r="E2" s="44"/>
      <c r="F2" s="44"/>
      <c r="G2" s="44" t="s">
        <v>119</v>
      </c>
      <c r="H2" s="44"/>
      <c r="I2" s="44"/>
      <c r="J2" s="95" t="s">
        <v>1</v>
      </c>
      <c r="K2" s="62">
        <v>81</v>
      </c>
      <c r="L2" s="44"/>
      <c r="M2" s="94" t="s">
        <v>16</v>
      </c>
      <c r="N2" s="60">
        <f>EN_1100_001_m+EN_1100_001_p</f>
        <v>24.754258243942196</v>
      </c>
      <c r="O2" s="153"/>
    </row>
    <row r="3" spans="1:15" x14ac:dyDescent="0.25">
      <c r="A3" s="171" t="s">
        <v>3</v>
      </c>
      <c r="B3" s="170" t="s">
        <v>134</v>
      </c>
      <c r="C3" s="44"/>
      <c r="D3" s="216" t="s">
        <v>6</v>
      </c>
      <c r="E3" s="44"/>
      <c r="F3" s="44"/>
      <c r="G3" s="44"/>
      <c r="H3" s="44"/>
      <c r="I3" s="44"/>
      <c r="J3" s="44"/>
      <c r="K3" s="44"/>
      <c r="L3" s="44"/>
      <c r="M3" s="94" t="s">
        <v>4</v>
      </c>
      <c r="N3" s="61">
        <v>1</v>
      </c>
      <c r="O3" s="153"/>
    </row>
    <row r="4" spans="1:15" x14ac:dyDescent="0.25">
      <c r="A4" s="277" t="s">
        <v>5</v>
      </c>
      <c r="B4" s="273" t="s">
        <v>334</v>
      </c>
      <c r="C4" s="44"/>
      <c r="D4" s="94" t="s">
        <v>8</v>
      </c>
      <c r="E4" s="44"/>
      <c r="F4" s="44"/>
      <c r="G4" s="44"/>
      <c r="H4" s="44"/>
      <c r="I4" s="44"/>
      <c r="J4" s="96" t="s">
        <v>6</v>
      </c>
      <c r="K4" s="44"/>
      <c r="L4" s="44"/>
      <c r="M4" s="44"/>
      <c r="N4" s="44"/>
      <c r="O4" s="153"/>
    </row>
    <row r="5" spans="1:15" x14ac:dyDescent="0.25">
      <c r="A5" s="277" t="s">
        <v>15</v>
      </c>
      <c r="B5" s="239" t="s">
        <v>307</v>
      </c>
      <c r="C5" s="44"/>
      <c r="D5" s="94" t="s">
        <v>12</v>
      </c>
      <c r="E5" s="44"/>
      <c r="F5" s="44"/>
      <c r="G5" s="44"/>
      <c r="H5" s="44"/>
      <c r="I5" s="44"/>
      <c r="J5" s="96" t="s">
        <v>8</v>
      </c>
      <c r="K5" s="44"/>
      <c r="L5" s="44"/>
      <c r="M5" s="94" t="s">
        <v>9</v>
      </c>
      <c r="N5" s="60">
        <f>N3*N2</f>
        <v>24.754258243942196</v>
      </c>
      <c r="O5" s="153"/>
    </row>
    <row r="6" spans="1:15" x14ac:dyDescent="0.25">
      <c r="A6" s="277" t="s">
        <v>7</v>
      </c>
      <c r="B6" s="165" t="s">
        <v>335</v>
      </c>
      <c r="C6" s="44"/>
      <c r="D6" s="44"/>
      <c r="E6" s="44"/>
      <c r="F6" s="44"/>
      <c r="G6" s="44"/>
      <c r="H6" s="44"/>
      <c r="I6" s="44"/>
      <c r="J6" s="96" t="s">
        <v>12</v>
      </c>
      <c r="K6" s="44"/>
      <c r="L6" s="44"/>
      <c r="M6" s="44"/>
      <c r="N6" s="44"/>
      <c r="O6" s="153"/>
    </row>
    <row r="7" spans="1:15" x14ac:dyDescent="0.25">
      <c r="A7" s="173" t="s">
        <v>10</v>
      </c>
      <c r="B7" s="170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153"/>
    </row>
    <row r="8" spans="1:15" x14ac:dyDescent="0.25">
      <c r="A8" s="169" t="s">
        <v>13</v>
      </c>
      <c r="B8" s="104" t="s">
        <v>153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153"/>
    </row>
    <row r="9" spans="1:15" x14ac:dyDescent="0.25">
      <c r="A9" s="174"/>
      <c r="B9" s="20"/>
      <c r="C9" s="20"/>
      <c r="D9" s="20"/>
      <c r="E9" s="20"/>
      <c r="F9" s="44"/>
      <c r="G9" s="44"/>
      <c r="H9" s="44"/>
      <c r="I9" s="44"/>
      <c r="J9" s="44"/>
      <c r="K9" s="44"/>
      <c r="L9" s="44"/>
      <c r="M9" s="44"/>
      <c r="N9" s="44"/>
      <c r="O9" s="153"/>
    </row>
    <row r="10" spans="1:15" x14ac:dyDescent="0.25">
      <c r="A10" s="175" t="s">
        <v>14</v>
      </c>
      <c r="B10" s="100" t="s">
        <v>19</v>
      </c>
      <c r="C10" s="100" t="s">
        <v>20</v>
      </c>
      <c r="D10" s="100" t="s">
        <v>21</v>
      </c>
      <c r="E10" s="100" t="s">
        <v>22</v>
      </c>
      <c r="F10" s="278" t="s">
        <v>23</v>
      </c>
      <c r="G10" s="278" t="s">
        <v>24</v>
      </c>
      <c r="H10" s="278" t="s">
        <v>25</v>
      </c>
      <c r="I10" s="278" t="s">
        <v>26</v>
      </c>
      <c r="J10" s="278" t="s">
        <v>27</v>
      </c>
      <c r="K10" s="278" t="s">
        <v>28</v>
      </c>
      <c r="L10" s="278" t="s">
        <v>29</v>
      </c>
      <c r="M10" s="278" t="s">
        <v>17</v>
      </c>
      <c r="N10" s="278" t="s">
        <v>18</v>
      </c>
      <c r="O10" s="153"/>
    </row>
    <row r="11" spans="1:15" x14ac:dyDescent="0.25">
      <c r="A11" s="268">
        <v>10</v>
      </c>
      <c r="B11" s="305" t="s">
        <v>234</v>
      </c>
      <c r="C11" s="306" t="s">
        <v>336</v>
      </c>
      <c r="D11" s="269">
        <v>2.25</v>
      </c>
      <c r="E11" s="307">
        <f>J11*K11*L11</f>
        <v>0.67553218760489098</v>
      </c>
      <c r="F11" s="308" t="s">
        <v>155</v>
      </c>
      <c r="G11" s="308"/>
      <c r="H11" s="309"/>
      <c r="I11" s="310" t="s">
        <v>337</v>
      </c>
      <c r="J11" s="311">
        <f>PI()*(0.081/2)^2</f>
        <v>5.152997350050658E-3</v>
      </c>
      <c r="K11" s="312">
        <v>1.67E-2</v>
      </c>
      <c r="L11" s="313">
        <v>7850</v>
      </c>
      <c r="M11" s="314">
        <v>1</v>
      </c>
      <c r="N11" s="264">
        <f>IF(J11="",D11*M11,D11*J11*K11*L11*M11)</f>
        <v>1.519947422111005</v>
      </c>
      <c r="O11" s="157"/>
    </row>
    <row r="12" spans="1:15" x14ac:dyDescent="0.25">
      <c r="A12" s="15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280" t="s">
        <v>18</v>
      </c>
      <c r="N12" s="98">
        <f>SUM(N11:N11)</f>
        <v>1.519947422111005</v>
      </c>
      <c r="O12" s="153"/>
    </row>
    <row r="13" spans="1:15" x14ac:dyDescent="0.25">
      <c r="A13" s="15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153"/>
    </row>
    <row r="14" spans="1:15" x14ac:dyDescent="0.25">
      <c r="A14" s="277" t="s">
        <v>14</v>
      </c>
      <c r="B14" s="278" t="s">
        <v>31</v>
      </c>
      <c r="C14" s="278" t="s">
        <v>20</v>
      </c>
      <c r="D14" s="278" t="s">
        <v>21</v>
      </c>
      <c r="E14" s="278" t="s">
        <v>32</v>
      </c>
      <c r="F14" s="278" t="s">
        <v>17</v>
      </c>
      <c r="G14" s="278" t="s">
        <v>33</v>
      </c>
      <c r="H14" s="278" t="s">
        <v>34</v>
      </c>
      <c r="I14" s="278" t="s">
        <v>18</v>
      </c>
      <c r="J14" s="18"/>
      <c r="K14" s="18"/>
      <c r="L14" s="18"/>
      <c r="M14" s="18"/>
      <c r="N14" s="18"/>
      <c r="O14" s="153"/>
    </row>
    <row r="15" spans="1:15" ht="30" x14ac:dyDescent="0.25">
      <c r="A15" s="268">
        <v>10</v>
      </c>
      <c r="B15" s="261" t="s">
        <v>43</v>
      </c>
      <c r="C15" s="261" t="s">
        <v>338</v>
      </c>
      <c r="D15" s="269">
        <v>1.3</v>
      </c>
      <c r="E15" s="270" t="s">
        <v>32</v>
      </c>
      <c r="F15" s="315">
        <v>1</v>
      </c>
      <c r="G15" s="315"/>
      <c r="H15" s="315"/>
      <c r="I15" s="264">
        <f t="shared" ref="I15:I20" si="0">IF(H15="",D15*F15,D15*F15*H15)</f>
        <v>1.3</v>
      </c>
      <c r="J15" s="44"/>
      <c r="K15" s="44"/>
      <c r="L15" s="44"/>
      <c r="M15" s="44"/>
      <c r="N15" s="44"/>
      <c r="O15" s="153"/>
    </row>
    <row r="16" spans="1:15" x14ac:dyDescent="0.25">
      <c r="A16" s="268">
        <v>20</v>
      </c>
      <c r="B16" s="261" t="s">
        <v>161</v>
      </c>
      <c r="C16" s="261" t="s">
        <v>345</v>
      </c>
      <c r="D16" s="269">
        <v>0.04</v>
      </c>
      <c r="E16" s="270" t="s">
        <v>162</v>
      </c>
      <c r="F16" s="266">
        <f>PI()*((0.081/2)^2-(0.034/2)^2)*0.0048*2*100^3+PI()*0.013^2*0.0167*100^3</f>
        <v>49.61925684859326</v>
      </c>
      <c r="G16" s="316" t="s">
        <v>340</v>
      </c>
      <c r="H16" s="317">
        <v>3</v>
      </c>
      <c r="I16" s="264">
        <f t="shared" si="0"/>
        <v>5.9543108218311911</v>
      </c>
      <c r="J16" s="44"/>
      <c r="K16" s="44"/>
      <c r="L16" s="44"/>
      <c r="M16" s="44"/>
      <c r="N16" s="44"/>
      <c r="O16" s="153"/>
    </row>
    <row r="17" spans="1:15" x14ac:dyDescent="0.25">
      <c r="A17" s="326">
        <v>30</v>
      </c>
      <c r="B17" s="261" t="s">
        <v>283</v>
      </c>
      <c r="C17" s="319" t="s">
        <v>346</v>
      </c>
      <c r="D17" s="269">
        <v>0.65</v>
      </c>
      <c r="E17" s="270" t="s">
        <v>32</v>
      </c>
      <c r="F17" s="315">
        <v>1</v>
      </c>
      <c r="G17" s="315"/>
      <c r="H17" s="315"/>
      <c r="I17" s="264">
        <f t="shared" si="0"/>
        <v>0.65</v>
      </c>
      <c r="J17" s="44"/>
      <c r="K17" s="44"/>
      <c r="L17" s="44"/>
      <c r="M17" s="44"/>
      <c r="N17" s="44"/>
      <c r="O17" s="153"/>
    </row>
    <row r="18" spans="1:15" x14ac:dyDescent="0.25">
      <c r="A18" s="268">
        <v>40</v>
      </c>
      <c r="B18" s="318" t="s">
        <v>341</v>
      </c>
      <c r="C18" s="319" t="s">
        <v>347</v>
      </c>
      <c r="D18" s="320">
        <v>0.5</v>
      </c>
      <c r="E18" s="321" t="s">
        <v>45</v>
      </c>
      <c r="F18" s="322">
        <f>0.71*13</f>
        <v>9.23</v>
      </c>
      <c r="G18" s="323" t="s">
        <v>340</v>
      </c>
      <c r="H18" s="324">
        <v>3</v>
      </c>
      <c r="I18" s="325">
        <f t="shared" si="0"/>
        <v>13.845000000000001</v>
      </c>
      <c r="J18" s="44"/>
      <c r="K18" s="44"/>
      <c r="L18" s="44"/>
      <c r="M18" s="44"/>
      <c r="N18" s="44"/>
      <c r="O18" s="153"/>
    </row>
    <row r="19" spans="1:15" x14ac:dyDescent="0.25">
      <c r="A19" s="268">
        <v>50</v>
      </c>
      <c r="B19" s="319" t="s">
        <v>283</v>
      </c>
      <c r="C19" s="319" t="s">
        <v>342</v>
      </c>
      <c r="D19" s="320">
        <v>0.65</v>
      </c>
      <c r="E19" s="321" t="s">
        <v>32</v>
      </c>
      <c r="F19" s="324">
        <v>1</v>
      </c>
      <c r="G19" s="324"/>
      <c r="H19" s="324"/>
      <c r="I19" s="325">
        <f t="shared" si="0"/>
        <v>0.65</v>
      </c>
      <c r="J19" s="44"/>
      <c r="K19" s="44"/>
      <c r="L19" s="44"/>
      <c r="M19" s="44"/>
      <c r="N19" s="44"/>
      <c r="O19" s="153"/>
    </row>
    <row r="20" spans="1:15" x14ac:dyDescent="0.25">
      <c r="A20" s="326">
        <v>60</v>
      </c>
      <c r="B20" s="319" t="s">
        <v>343</v>
      </c>
      <c r="C20" s="319" t="s">
        <v>344</v>
      </c>
      <c r="D20" s="320">
        <v>0.5</v>
      </c>
      <c r="E20" s="321" t="s">
        <v>45</v>
      </c>
      <c r="F20" s="322">
        <v>1.67</v>
      </c>
      <c r="G20" s="323"/>
      <c r="H20" s="324"/>
      <c r="I20" s="325">
        <f t="shared" si="0"/>
        <v>0.83499999999999996</v>
      </c>
      <c r="J20" s="44"/>
      <c r="K20" s="44"/>
      <c r="L20" s="44"/>
      <c r="M20" s="44"/>
      <c r="N20" s="44"/>
      <c r="O20" s="153"/>
    </row>
    <row r="21" spans="1:15" x14ac:dyDescent="0.25">
      <c r="A21" s="154"/>
      <c r="B21" s="18"/>
      <c r="C21" s="18"/>
      <c r="D21" s="18"/>
      <c r="E21" s="18"/>
      <c r="F21" s="18"/>
      <c r="G21" s="18"/>
      <c r="H21" s="103" t="s">
        <v>18</v>
      </c>
      <c r="I21" s="267">
        <f>SUM(I15:I20)</f>
        <v>23.23431082183119</v>
      </c>
      <c r="J21" s="44"/>
      <c r="K21" s="44"/>
      <c r="L21" s="44"/>
      <c r="M21" s="44"/>
      <c r="N21" s="44"/>
      <c r="O21" s="153"/>
    </row>
    <row r="22" spans="1:15" x14ac:dyDescent="0.25">
      <c r="A22" s="15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153"/>
    </row>
    <row r="23" spans="1:15" x14ac:dyDescent="0.25">
      <c r="A23" s="15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153"/>
    </row>
    <row r="24" spans="1:15" x14ac:dyDescent="0.25">
      <c r="A24" s="15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153"/>
    </row>
    <row r="25" spans="1:15" x14ac:dyDescent="0.25">
      <c r="A25" s="15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153"/>
    </row>
    <row r="26" spans="1:15" ht="15.75" thickBot="1" x14ac:dyDescent="0.3">
      <c r="A26" s="162"/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4"/>
    </row>
  </sheetData>
  <hyperlinks>
    <hyperlink ref="B4" location="EN_A1100" display="Driveshaft" xr:uid="{808CCE2D-630F-4834-BE1D-C217A3D2E49A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  <pageSetUpPr fitToPage="1"/>
  </sheetPr>
  <dimension ref="A1:O62"/>
  <sheetViews>
    <sheetView zoomScale="85" zoomScaleNormal="85" zoomScaleSheetLayoutView="80" workbookViewId="0">
      <selection activeCell="I13" sqref="I13"/>
    </sheetView>
  </sheetViews>
  <sheetFormatPr baseColWidth="10" defaultColWidth="9.140625" defaultRowHeight="15" x14ac:dyDescent="0.25"/>
  <cols>
    <col min="1" max="1" width="11.42578125"/>
    <col min="2" max="2" width="41.42578125" bestFit="1" customWidth="1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0" width="13.42578125" customWidth="1"/>
    <col min="11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150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2"/>
    </row>
    <row r="2" spans="1:15" x14ac:dyDescent="0.25">
      <c r="A2" s="363" t="s">
        <v>0</v>
      </c>
      <c r="B2" s="104" t="s">
        <v>42</v>
      </c>
      <c r="C2" s="44"/>
      <c r="D2" s="44"/>
      <c r="E2" s="44" t="s">
        <v>119</v>
      </c>
      <c r="F2" s="44"/>
      <c r="G2" s="44"/>
      <c r="H2" s="44"/>
      <c r="I2" s="44"/>
      <c r="J2" s="365" t="s">
        <v>1</v>
      </c>
      <c r="K2" s="62">
        <v>81</v>
      </c>
      <c r="L2" s="44"/>
      <c r="M2" s="365" t="s">
        <v>2</v>
      </c>
      <c r="N2" s="71">
        <f>EN_A0900_pa+EN_A0900_m+EN_A0900_p+EN_A0900_f+EN_A0900_t</f>
        <v>402.70288022367509</v>
      </c>
      <c r="O2" s="153"/>
    </row>
    <row r="3" spans="1:15" x14ac:dyDescent="0.25">
      <c r="A3" s="363" t="s">
        <v>3</v>
      </c>
      <c r="B3" s="104" t="s">
        <v>134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365" t="s">
        <v>4</v>
      </c>
      <c r="N3" s="61">
        <v>1</v>
      </c>
      <c r="O3" s="153"/>
    </row>
    <row r="4" spans="1:15" x14ac:dyDescent="0.25">
      <c r="A4" s="363" t="s">
        <v>5</v>
      </c>
      <c r="B4" s="104" t="s">
        <v>140</v>
      </c>
      <c r="C4" s="44"/>
      <c r="D4" s="44"/>
      <c r="E4" s="44"/>
      <c r="F4" s="44"/>
      <c r="G4" s="44"/>
      <c r="H4" s="44"/>
      <c r="I4" s="44"/>
      <c r="J4" s="370" t="s">
        <v>6</v>
      </c>
      <c r="K4" s="44"/>
      <c r="L4" s="44"/>
      <c r="M4" s="44"/>
      <c r="N4" s="44"/>
      <c r="O4" s="153"/>
    </row>
    <row r="5" spans="1:15" x14ac:dyDescent="0.25">
      <c r="A5" s="363" t="s">
        <v>7</v>
      </c>
      <c r="B5" s="105" t="s">
        <v>159</v>
      </c>
      <c r="C5" s="44"/>
      <c r="D5" s="44"/>
      <c r="E5" s="44"/>
      <c r="F5" s="44"/>
      <c r="G5" s="44"/>
      <c r="H5" s="44"/>
      <c r="I5" s="44"/>
      <c r="J5" s="370" t="s">
        <v>8</v>
      </c>
      <c r="K5" s="44"/>
      <c r="L5" s="44"/>
      <c r="M5" s="365" t="s">
        <v>9</v>
      </c>
      <c r="N5" s="60">
        <f>N2*N3</f>
        <v>402.70288022367509</v>
      </c>
      <c r="O5" s="153"/>
    </row>
    <row r="6" spans="1:15" x14ac:dyDescent="0.25">
      <c r="A6" s="363" t="s">
        <v>10</v>
      </c>
      <c r="B6" s="104" t="s">
        <v>11</v>
      </c>
      <c r="C6" s="44"/>
      <c r="D6" s="44"/>
      <c r="E6" s="44"/>
      <c r="F6" s="44"/>
      <c r="G6" s="44"/>
      <c r="H6" s="44"/>
      <c r="I6" s="44"/>
      <c r="J6" s="370" t="s">
        <v>12</v>
      </c>
      <c r="K6" s="44"/>
      <c r="L6" s="44"/>
      <c r="M6" s="44"/>
      <c r="N6" s="44"/>
      <c r="O6" s="153"/>
    </row>
    <row r="7" spans="1:15" x14ac:dyDescent="0.25">
      <c r="A7" s="363" t="s">
        <v>13</v>
      </c>
      <c r="B7" s="104" t="s">
        <v>136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153"/>
    </row>
    <row r="8" spans="1:15" x14ac:dyDescent="0.25">
      <c r="A8" s="15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153"/>
    </row>
    <row r="9" spans="1:15" x14ac:dyDescent="0.25">
      <c r="A9" s="363" t="s">
        <v>14</v>
      </c>
      <c r="B9" s="364" t="s">
        <v>15</v>
      </c>
      <c r="C9" s="365" t="s">
        <v>16</v>
      </c>
      <c r="D9" s="365" t="s">
        <v>17</v>
      </c>
      <c r="E9" s="365" t="s">
        <v>18</v>
      </c>
      <c r="F9" s="44"/>
      <c r="G9" s="44"/>
      <c r="H9" s="44"/>
      <c r="I9" s="44"/>
      <c r="J9" s="44"/>
      <c r="K9" s="44"/>
      <c r="L9" s="44"/>
      <c r="M9" s="44"/>
      <c r="N9" s="44"/>
      <c r="O9" s="153"/>
    </row>
    <row r="10" spans="1:15" x14ac:dyDescent="0.25">
      <c r="A10" s="155">
        <v>10</v>
      </c>
      <c r="B10" s="214" t="s">
        <v>137</v>
      </c>
      <c r="C10" s="107">
        <f>EN_0900_001!N$2</f>
        <v>125.93892271516907</v>
      </c>
      <c r="D10" s="166">
        <f>EN_0900_001!N$3</f>
        <v>1</v>
      </c>
      <c r="E10" s="109">
        <f>C10*D10</f>
        <v>125.93892271516907</v>
      </c>
      <c r="F10" s="44"/>
      <c r="G10" s="44"/>
      <c r="H10" s="44"/>
      <c r="I10" s="44"/>
      <c r="J10" s="44"/>
      <c r="K10" s="44"/>
      <c r="L10" s="44"/>
      <c r="M10" s="44"/>
      <c r="N10" s="44"/>
      <c r="O10" s="153"/>
    </row>
    <row r="11" spans="1:15" x14ac:dyDescent="0.25">
      <c r="A11" s="155">
        <v>20</v>
      </c>
      <c r="B11" s="214" t="s">
        <v>139</v>
      </c>
      <c r="C11" s="107">
        <f>EN_0900_002!N$2</f>
        <v>10.904564699673662</v>
      </c>
      <c r="D11" s="166">
        <f>EN_0900_002!N$3</f>
        <v>1</v>
      </c>
      <c r="E11" s="109">
        <f>C11*D11</f>
        <v>10.904564699673662</v>
      </c>
      <c r="F11" s="45"/>
      <c r="G11" s="45"/>
      <c r="H11" s="45"/>
      <c r="I11" s="45"/>
      <c r="J11" s="45"/>
      <c r="K11" s="45"/>
      <c r="L11" s="45"/>
      <c r="M11" s="45"/>
      <c r="N11" s="45"/>
      <c r="O11" s="156"/>
    </row>
    <row r="12" spans="1:15" x14ac:dyDescent="0.25">
      <c r="A12" s="155">
        <v>30</v>
      </c>
      <c r="B12" s="214" t="s">
        <v>138</v>
      </c>
      <c r="C12" s="107">
        <f>EN_0900_003!N$2</f>
        <v>8.5389646196590014</v>
      </c>
      <c r="D12" s="166">
        <f>EN_0900_003!N$3</f>
        <v>1</v>
      </c>
      <c r="E12" s="109">
        <f t="shared" ref="E12:E18" si="0">C12*D12</f>
        <v>8.5389646196590014</v>
      </c>
      <c r="F12" s="45"/>
      <c r="G12" s="45"/>
      <c r="H12" s="45"/>
      <c r="I12" s="45"/>
      <c r="J12" s="45"/>
      <c r="K12" s="45"/>
      <c r="L12" s="45"/>
      <c r="M12" s="45"/>
      <c r="N12" s="45"/>
      <c r="O12" s="156"/>
    </row>
    <row r="13" spans="1:15" x14ac:dyDescent="0.25">
      <c r="A13" s="155">
        <v>40</v>
      </c>
      <c r="B13" s="214" t="s">
        <v>212</v>
      </c>
      <c r="C13" s="107">
        <f>EN_0900_004!N$2</f>
        <v>23.956417471999998</v>
      </c>
      <c r="D13" s="166">
        <f>EN_0900_004!N$3</f>
        <v>1</v>
      </c>
      <c r="E13" s="109">
        <f>C13*D13</f>
        <v>23.956417471999998</v>
      </c>
      <c r="F13" s="45"/>
      <c r="G13" s="45"/>
      <c r="H13" s="45"/>
      <c r="I13" s="45"/>
      <c r="J13" s="45"/>
      <c r="K13" s="45"/>
      <c r="L13" s="45"/>
      <c r="M13" s="45"/>
      <c r="N13" s="45"/>
      <c r="O13" s="153"/>
    </row>
    <row r="14" spans="1:15" x14ac:dyDescent="0.25">
      <c r="A14" s="155">
        <v>50</v>
      </c>
      <c r="B14" s="214" t="s">
        <v>213</v>
      </c>
      <c r="C14" s="107">
        <f>EN_0900_005!N$2</f>
        <v>17.198412672</v>
      </c>
      <c r="D14" s="166">
        <f>EN_0900_005!N$3</f>
        <v>1</v>
      </c>
      <c r="E14" s="109">
        <f>C14*D14</f>
        <v>17.198412672</v>
      </c>
      <c r="F14" s="45"/>
      <c r="G14" s="45"/>
      <c r="H14" s="45"/>
      <c r="I14" s="45"/>
      <c r="J14" s="45"/>
      <c r="K14" s="45"/>
      <c r="L14" s="45"/>
      <c r="M14" s="45"/>
      <c r="N14" s="45"/>
      <c r="O14" s="153"/>
    </row>
    <row r="15" spans="1:15" x14ac:dyDescent="0.25">
      <c r="A15" s="155">
        <v>60</v>
      </c>
      <c r="B15" s="214" t="s">
        <v>214</v>
      </c>
      <c r="C15" s="107">
        <f>EN_0900_006!N$2</f>
        <v>0.99587245000000002</v>
      </c>
      <c r="D15" s="166">
        <f>EN_0900_006!N$3</f>
        <v>4</v>
      </c>
      <c r="E15" s="109">
        <f>C15*D15</f>
        <v>3.9834898000000001</v>
      </c>
      <c r="F15" s="45"/>
      <c r="G15" s="45"/>
      <c r="H15" s="45"/>
      <c r="I15" s="45"/>
      <c r="J15" s="45"/>
      <c r="K15" s="45"/>
      <c r="L15" s="45"/>
      <c r="M15" s="45"/>
      <c r="N15" s="45"/>
      <c r="O15" s="153"/>
    </row>
    <row r="16" spans="1:15" x14ac:dyDescent="0.25">
      <c r="A16" s="155">
        <v>70</v>
      </c>
      <c r="B16" s="214" t="s">
        <v>215</v>
      </c>
      <c r="C16" s="107">
        <f>EN_0900_007!N$2</f>
        <v>0.96928532500000009</v>
      </c>
      <c r="D16" s="166">
        <f>EN_0900_007!N$3</f>
        <v>4</v>
      </c>
      <c r="E16" s="109">
        <f>C16*D16</f>
        <v>3.8771413000000003</v>
      </c>
      <c r="F16" s="45"/>
      <c r="G16" s="45"/>
      <c r="H16" s="45"/>
      <c r="I16" s="45"/>
      <c r="J16" s="45"/>
      <c r="K16" s="45"/>
      <c r="L16" s="45"/>
      <c r="M16" s="45"/>
      <c r="N16" s="45"/>
      <c r="O16" s="156"/>
    </row>
    <row r="17" spans="1:15" x14ac:dyDescent="0.25">
      <c r="A17" s="155">
        <v>80</v>
      </c>
      <c r="B17" s="214" t="s">
        <v>152</v>
      </c>
      <c r="C17" s="107">
        <f>EN_0900_008!N$2</f>
        <v>2.2021247500000003</v>
      </c>
      <c r="D17" s="166">
        <f>EN_0900_008!N$3</f>
        <v>1</v>
      </c>
      <c r="E17" s="109">
        <f t="shared" si="0"/>
        <v>2.2021247500000003</v>
      </c>
      <c r="F17" s="45"/>
      <c r="G17" s="45"/>
      <c r="H17" s="45"/>
      <c r="I17" s="45"/>
      <c r="J17" s="45"/>
      <c r="K17" s="45"/>
      <c r="L17" s="45"/>
      <c r="M17" s="45"/>
      <c r="N17" s="45"/>
      <c r="O17" s="156"/>
    </row>
    <row r="18" spans="1:15" x14ac:dyDescent="0.25">
      <c r="A18" s="155">
        <v>90</v>
      </c>
      <c r="B18" s="214" t="s">
        <v>243</v>
      </c>
      <c r="C18" s="107">
        <f>EN_0900_009!N$2</f>
        <v>2.2130151625000001</v>
      </c>
      <c r="D18" s="166">
        <f>EN_0900_009!N$3</f>
        <v>1</v>
      </c>
      <c r="E18" s="109">
        <f t="shared" si="0"/>
        <v>2.2130151625000001</v>
      </c>
      <c r="F18" s="45"/>
      <c r="G18" s="45"/>
      <c r="H18" s="45"/>
      <c r="I18" s="45"/>
      <c r="J18" s="45"/>
      <c r="K18" s="45"/>
      <c r="L18" s="45"/>
      <c r="M18" s="45"/>
      <c r="N18" s="45"/>
      <c r="O18" s="156"/>
    </row>
    <row r="19" spans="1:15" x14ac:dyDescent="0.25">
      <c r="A19" s="154"/>
      <c r="B19" s="44"/>
      <c r="C19" s="44"/>
      <c r="D19" s="368" t="s">
        <v>18</v>
      </c>
      <c r="E19" s="369">
        <f>SUM(E10:E18)</f>
        <v>198.81305319100173</v>
      </c>
      <c r="F19" s="45"/>
      <c r="G19" s="45"/>
      <c r="H19" s="45"/>
      <c r="I19" s="45"/>
      <c r="J19" s="45"/>
      <c r="K19" s="45"/>
      <c r="L19" s="45"/>
      <c r="M19" s="45"/>
      <c r="N19" s="45"/>
      <c r="O19" s="153"/>
    </row>
    <row r="20" spans="1:15" x14ac:dyDescent="0.25">
      <c r="A20" s="15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153"/>
    </row>
    <row r="21" spans="1:15" x14ac:dyDescent="0.25">
      <c r="A21" s="363" t="s">
        <v>14</v>
      </c>
      <c r="B21" s="365" t="s">
        <v>19</v>
      </c>
      <c r="C21" s="365" t="s">
        <v>20</v>
      </c>
      <c r="D21" s="365" t="s">
        <v>21</v>
      </c>
      <c r="E21" s="365" t="s">
        <v>22</v>
      </c>
      <c r="F21" s="365" t="s">
        <v>23</v>
      </c>
      <c r="G21" s="365" t="s">
        <v>24</v>
      </c>
      <c r="H21" s="365" t="s">
        <v>25</v>
      </c>
      <c r="I21" s="365" t="s">
        <v>26</v>
      </c>
      <c r="J21" s="365" t="s">
        <v>27</v>
      </c>
      <c r="K21" s="365" t="s">
        <v>28</v>
      </c>
      <c r="L21" s="365" t="s">
        <v>29</v>
      </c>
      <c r="M21" s="365" t="s">
        <v>17</v>
      </c>
      <c r="N21" s="365" t="s">
        <v>18</v>
      </c>
      <c r="O21" s="153"/>
    </row>
    <row r="22" spans="1:15" s="17" customFormat="1" x14ac:dyDescent="0.25">
      <c r="A22" s="155">
        <v>20</v>
      </c>
      <c r="B22" s="106" t="s">
        <v>150</v>
      </c>
      <c r="C22" s="106" t="s">
        <v>142</v>
      </c>
      <c r="D22" s="107">
        <f>0.1*(E22^2*G22)^0.5</f>
        <v>38.183766184073569</v>
      </c>
      <c r="E22" s="106">
        <v>90</v>
      </c>
      <c r="F22" s="106" t="s">
        <v>30</v>
      </c>
      <c r="G22" s="106">
        <v>18</v>
      </c>
      <c r="H22" s="110" t="s">
        <v>30</v>
      </c>
      <c r="I22" s="111"/>
      <c r="J22" s="112"/>
      <c r="K22" s="110"/>
      <c r="L22" s="110"/>
      <c r="M22" s="113">
        <v>1</v>
      </c>
      <c r="N22" s="114">
        <f>IF(J22="",D22*M22,D22*J22*K22*L22*M22)</f>
        <v>38.183766184073569</v>
      </c>
      <c r="O22" s="157"/>
    </row>
    <row r="23" spans="1:15" x14ac:dyDescent="0.25">
      <c r="A23" s="155">
        <v>10</v>
      </c>
      <c r="B23" s="106" t="s">
        <v>150</v>
      </c>
      <c r="C23" s="106" t="s">
        <v>141</v>
      </c>
      <c r="D23" s="107">
        <f>0.1*(E23^2*G23)^0.5</f>
        <v>32</v>
      </c>
      <c r="E23" s="106">
        <v>80</v>
      </c>
      <c r="F23" s="106" t="s">
        <v>30</v>
      </c>
      <c r="G23" s="106">
        <v>16</v>
      </c>
      <c r="H23" s="110" t="s">
        <v>30</v>
      </c>
      <c r="I23" s="111"/>
      <c r="J23" s="112"/>
      <c r="K23" s="110"/>
      <c r="L23" s="110"/>
      <c r="M23" s="113">
        <v>1</v>
      </c>
      <c r="N23" s="114">
        <f>IF(J23="",D23*M23,D23*J23*K23*L23*M23)</f>
        <v>32</v>
      </c>
      <c r="O23" s="153"/>
    </row>
    <row r="24" spans="1:15" s="17" customFormat="1" x14ac:dyDescent="0.25">
      <c r="A24" s="155">
        <v>30</v>
      </c>
      <c r="B24" s="106" t="s">
        <v>143</v>
      </c>
      <c r="C24" s="108" t="s">
        <v>151</v>
      </c>
      <c r="D24" s="107">
        <v>10</v>
      </c>
      <c r="E24" s="106">
        <f>0.002*4+0.002*4+0.004*2</f>
        <v>2.4E-2</v>
      </c>
      <c r="F24" s="106" t="s">
        <v>145</v>
      </c>
      <c r="G24" s="106"/>
      <c r="H24" s="110"/>
      <c r="I24" s="111"/>
      <c r="J24" s="112"/>
      <c r="K24" s="110"/>
      <c r="L24" s="110"/>
      <c r="M24" s="113">
        <v>1</v>
      </c>
      <c r="N24" s="114">
        <f>IF(J24="",D24*M24*E24,D24*J24*K24*L24*M24)</f>
        <v>0.24</v>
      </c>
      <c r="O24" s="157"/>
    </row>
    <row r="25" spans="1:15" s="17" customFormat="1" x14ac:dyDescent="0.25">
      <c r="A25" s="155">
        <v>40</v>
      </c>
      <c r="B25" s="106" t="s">
        <v>146</v>
      </c>
      <c r="C25" s="106" t="s">
        <v>147</v>
      </c>
      <c r="D25" s="107">
        <v>0.75</v>
      </c>
      <c r="E25" s="106">
        <v>0.06</v>
      </c>
      <c r="F25" s="106" t="s">
        <v>148</v>
      </c>
      <c r="G25" s="106"/>
      <c r="H25" s="110"/>
      <c r="I25" s="115"/>
      <c r="J25" s="112"/>
      <c r="K25" s="110"/>
      <c r="L25" s="116"/>
      <c r="M25" s="113">
        <v>1</v>
      </c>
      <c r="N25" s="114">
        <f>IF(J25="",D25*M25*E25,D25*J25*K25*L25*M25)</f>
        <v>4.4999999999999998E-2</v>
      </c>
      <c r="O25" s="157"/>
    </row>
    <row r="26" spans="1:15" ht="30" x14ac:dyDescent="0.25">
      <c r="A26" s="155">
        <v>50</v>
      </c>
      <c r="B26" s="117" t="s">
        <v>149</v>
      </c>
      <c r="C26" s="106"/>
      <c r="D26" s="107">
        <v>110</v>
      </c>
      <c r="E26" s="106">
        <v>1</v>
      </c>
      <c r="F26" s="106" t="s">
        <v>35</v>
      </c>
      <c r="G26" s="106"/>
      <c r="H26" s="110"/>
      <c r="I26" s="115"/>
      <c r="J26" s="112"/>
      <c r="K26" s="110"/>
      <c r="L26" s="116"/>
      <c r="M26" s="113">
        <v>1</v>
      </c>
      <c r="N26" s="114">
        <f>IF(J26="",D26*M26,D26*J26*K26*L26*M26)</f>
        <v>110</v>
      </c>
      <c r="O26" s="153"/>
    </row>
    <row r="27" spans="1:15" x14ac:dyDescent="0.25">
      <c r="A27" s="15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365" t="s">
        <v>18</v>
      </c>
      <c r="N27" s="366">
        <f>SUM(N22:N26)</f>
        <v>180.46876618407356</v>
      </c>
      <c r="O27" s="153"/>
    </row>
    <row r="28" spans="1:15" x14ac:dyDescent="0.25">
      <c r="A28" s="15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153"/>
    </row>
    <row r="29" spans="1:15" s="19" customFormat="1" x14ac:dyDescent="0.25">
      <c r="A29" s="363" t="s">
        <v>14</v>
      </c>
      <c r="B29" s="365" t="s">
        <v>31</v>
      </c>
      <c r="C29" s="365" t="s">
        <v>20</v>
      </c>
      <c r="D29" s="365" t="s">
        <v>21</v>
      </c>
      <c r="E29" s="365" t="s">
        <v>32</v>
      </c>
      <c r="F29" s="365" t="s">
        <v>17</v>
      </c>
      <c r="G29" s="365" t="s">
        <v>33</v>
      </c>
      <c r="H29" s="365" t="s">
        <v>34</v>
      </c>
      <c r="I29" s="365" t="s">
        <v>18</v>
      </c>
      <c r="J29" s="18"/>
      <c r="K29" s="18"/>
      <c r="L29" s="18"/>
      <c r="M29" s="18"/>
      <c r="N29" s="18"/>
      <c r="O29" s="159"/>
    </row>
    <row r="30" spans="1:15" s="19" customFormat="1" x14ac:dyDescent="0.25">
      <c r="A30" s="155">
        <v>10</v>
      </c>
      <c r="B30" s="108" t="s">
        <v>183</v>
      </c>
      <c r="C30" s="108" t="s">
        <v>184</v>
      </c>
      <c r="D30" s="107">
        <v>0.15</v>
      </c>
      <c r="E30" s="106" t="s">
        <v>45</v>
      </c>
      <c r="F30" s="106">
        <v>56.54</v>
      </c>
      <c r="G30" s="106"/>
      <c r="H30" s="106">
        <v>1</v>
      </c>
      <c r="I30" s="107">
        <f t="shared" ref="I30:I43" si="1">D30*F30*H30</f>
        <v>8.4809999999999999</v>
      </c>
      <c r="J30" s="104"/>
      <c r="K30" s="104"/>
      <c r="L30" s="104"/>
      <c r="M30" s="45"/>
      <c r="N30" s="45"/>
      <c r="O30" s="159"/>
    </row>
    <row r="31" spans="1:15" s="16" customFormat="1" x14ac:dyDescent="0.25">
      <c r="A31" s="155">
        <v>20</v>
      </c>
      <c r="B31" s="108" t="s">
        <v>185</v>
      </c>
      <c r="C31" s="108" t="s">
        <v>144</v>
      </c>
      <c r="D31" s="107">
        <v>5.25</v>
      </c>
      <c r="E31" s="106" t="s">
        <v>145</v>
      </c>
      <c r="F31" s="106">
        <f>0.002*4+0.002*4+0.004*2</f>
        <v>2.4E-2</v>
      </c>
      <c r="G31" s="106"/>
      <c r="H31" s="106">
        <v>1</v>
      </c>
      <c r="I31" s="107">
        <f t="shared" si="1"/>
        <v>0.126</v>
      </c>
      <c r="J31" s="104"/>
      <c r="K31" s="104"/>
      <c r="L31" s="104"/>
      <c r="M31" s="45"/>
      <c r="N31" s="45"/>
      <c r="O31" s="160"/>
    </row>
    <row r="32" spans="1:15" x14ac:dyDescent="0.25">
      <c r="A32" s="155">
        <v>30</v>
      </c>
      <c r="B32" s="141" t="s">
        <v>186</v>
      </c>
      <c r="C32" s="108" t="s">
        <v>187</v>
      </c>
      <c r="D32" s="107">
        <v>0.56000000000000005</v>
      </c>
      <c r="E32" s="106" t="s">
        <v>35</v>
      </c>
      <c r="F32" s="106">
        <v>2</v>
      </c>
      <c r="G32" s="106"/>
      <c r="H32" s="106">
        <v>1</v>
      </c>
      <c r="I32" s="107">
        <f t="shared" si="1"/>
        <v>1.1200000000000001</v>
      </c>
      <c r="J32" s="104"/>
      <c r="K32" s="104"/>
      <c r="L32" s="104"/>
      <c r="M32" s="44"/>
      <c r="N32" s="44"/>
      <c r="O32" s="153"/>
    </row>
    <row r="33" spans="1:15" x14ac:dyDescent="0.25">
      <c r="A33" s="155">
        <v>40</v>
      </c>
      <c r="B33" s="141" t="s">
        <v>188</v>
      </c>
      <c r="C33" s="108" t="s">
        <v>189</v>
      </c>
      <c r="D33" s="107">
        <v>0.19</v>
      </c>
      <c r="E33" s="106" t="s">
        <v>35</v>
      </c>
      <c r="F33" s="106">
        <v>1</v>
      </c>
      <c r="G33" s="106"/>
      <c r="H33" s="106">
        <v>1</v>
      </c>
      <c r="I33" s="107">
        <f t="shared" si="1"/>
        <v>0.19</v>
      </c>
      <c r="J33" s="104"/>
      <c r="K33" s="104"/>
      <c r="L33" s="104"/>
      <c r="M33" s="44"/>
      <c r="N33" s="44"/>
      <c r="O33" s="153"/>
    </row>
    <row r="34" spans="1:15" x14ac:dyDescent="0.25">
      <c r="A34" s="155">
        <v>50</v>
      </c>
      <c r="B34" s="108" t="s">
        <v>188</v>
      </c>
      <c r="C34" s="108" t="s">
        <v>190</v>
      </c>
      <c r="D34" s="107">
        <v>0.19</v>
      </c>
      <c r="E34" s="106" t="s">
        <v>35</v>
      </c>
      <c r="F34" s="106">
        <v>1</v>
      </c>
      <c r="G34" s="106"/>
      <c r="H34" s="106">
        <v>1</v>
      </c>
      <c r="I34" s="107">
        <f t="shared" si="1"/>
        <v>0.19</v>
      </c>
      <c r="J34" s="104"/>
      <c r="K34" s="104"/>
      <c r="L34" s="104"/>
      <c r="M34" s="44"/>
      <c r="N34" s="44"/>
      <c r="O34" s="153"/>
    </row>
    <row r="35" spans="1:15" x14ac:dyDescent="0.25">
      <c r="A35" s="155">
        <v>60</v>
      </c>
      <c r="B35" s="108" t="s">
        <v>188</v>
      </c>
      <c r="C35" s="108" t="s">
        <v>191</v>
      </c>
      <c r="D35" s="107">
        <v>0.19</v>
      </c>
      <c r="E35" s="106" t="s">
        <v>35</v>
      </c>
      <c r="F35" s="106">
        <v>2</v>
      </c>
      <c r="G35" s="106"/>
      <c r="H35" s="106">
        <v>1</v>
      </c>
      <c r="I35" s="107">
        <f t="shared" si="1"/>
        <v>0.38</v>
      </c>
      <c r="J35" s="104"/>
      <c r="K35" s="104"/>
      <c r="L35" s="104"/>
      <c r="M35" s="44"/>
      <c r="N35" s="44"/>
      <c r="O35" s="153"/>
    </row>
    <row r="36" spans="1:15" x14ac:dyDescent="0.25">
      <c r="A36" s="155">
        <v>70</v>
      </c>
      <c r="B36" s="108" t="s">
        <v>192</v>
      </c>
      <c r="C36" s="108" t="s">
        <v>193</v>
      </c>
      <c r="D36" s="107">
        <v>0.5</v>
      </c>
      <c r="E36" s="106" t="s">
        <v>35</v>
      </c>
      <c r="F36" s="106">
        <v>4</v>
      </c>
      <c r="G36" s="106"/>
      <c r="H36" s="106">
        <v>1</v>
      </c>
      <c r="I36" s="107">
        <f t="shared" si="1"/>
        <v>2</v>
      </c>
      <c r="J36" s="104"/>
      <c r="K36" s="104"/>
      <c r="L36" s="104"/>
      <c r="M36" s="44"/>
      <c r="N36" s="44"/>
      <c r="O36" s="153"/>
    </row>
    <row r="37" spans="1:15" x14ac:dyDescent="0.25">
      <c r="A37" s="155">
        <v>80</v>
      </c>
      <c r="B37" s="108" t="s">
        <v>194</v>
      </c>
      <c r="C37" s="108" t="s">
        <v>193</v>
      </c>
      <c r="D37" s="107">
        <v>0.25</v>
      </c>
      <c r="E37" s="106" t="s">
        <v>35</v>
      </c>
      <c r="F37" s="106">
        <v>4</v>
      </c>
      <c r="G37" s="106"/>
      <c r="H37" s="106">
        <v>1</v>
      </c>
      <c r="I37" s="107">
        <f t="shared" si="1"/>
        <v>1</v>
      </c>
      <c r="J37" s="104"/>
      <c r="K37" s="104"/>
      <c r="L37" s="104"/>
      <c r="M37" s="44"/>
      <c r="N37" s="44"/>
      <c r="O37" s="153"/>
    </row>
    <row r="38" spans="1:15" x14ac:dyDescent="0.25">
      <c r="A38" s="155">
        <v>90</v>
      </c>
      <c r="B38" s="108" t="s">
        <v>195</v>
      </c>
      <c r="C38" s="108" t="s">
        <v>196</v>
      </c>
      <c r="D38" s="107">
        <v>0.38</v>
      </c>
      <c r="E38" s="106" t="s">
        <v>35</v>
      </c>
      <c r="F38" s="106">
        <v>2</v>
      </c>
      <c r="G38" s="106"/>
      <c r="H38" s="106">
        <v>1</v>
      </c>
      <c r="I38" s="107">
        <f t="shared" si="1"/>
        <v>0.76</v>
      </c>
      <c r="J38" s="104"/>
      <c r="K38" s="146"/>
      <c r="L38" s="146"/>
      <c r="M38" s="46"/>
      <c r="N38" s="46"/>
      <c r="O38" s="153"/>
    </row>
    <row r="39" spans="1:15" x14ac:dyDescent="0.25">
      <c r="A39" s="155">
        <v>100</v>
      </c>
      <c r="B39" s="108" t="s">
        <v>197</v>
      </c>
      <c r="C39" s="108" t="s">
        <v>198</v>
      </c>
      <c r="D39" s="107">
        <v>0.06</v>
      </c>
      <c r="E39" s="106" t="s">
        <v>35</v>
      </c>
      <c r="F39" s="106">
        <v>4</v>
      </c>
      <c r="G39" s="106"/>
      <c r="H39" s="106">
        <v>1</v>
      </c>
      <c r="I39" s="107">
        <f t="shared" si="1"/>
        <v>0.24</v>
      </c>
      <c r="J39" s="104"/>
      <c r="K39" s="104"/>
      <c r="L39" s="104"/>
      <c r="M39" s="46"/>
      <c r="N39" s="46"/>
      <c r="O39" s="153"/>
    </row>
    <row r="40" spans="1:15" s="16" customFormat="1" x14ac:dyDescent="0.25">
      <c r="A40" s="155">
        <v>110</v>
      </c>
      <c r="B40" s="108" t="s">
        <v>199</v>
      </c>
      <c r="C40" s="108" t="s">
        <v>200</v>
      </c>
      <c r="D40" s="107">
        <v>0.75</v>
      </c>
      <c r="E40" s="106" t="s">
        <v>35</v>
      </c>
      <c r="F40" s="106">
        <v>2</v>
      </c>
      <c r="G40" s="106"/>
      <c r="H40" s="106">
        <v>1</v>
      </c>
      <c r="I40" s="107">
        <f t="shared" si="1"/>
        <v>1.5</v>
      </c>
      <c r="J40" s="104"/>
      <c r="K40" s="104"/>
      <c r="L40" s="146"/>
      <c r="M40" s="45"/>
      <c r="N40" s="45"/>
      <c r="O40" s="160"/>
    </row>
    <row r="41" spans="1:15" x14ac:dyDescent="0.25">
      <c r="A41" s="155">
        <v>120</v>
      </c>
      <c r="B41" s="108" t="s">
        <v>201</v>
      </c>
      <c r="C41" s="108" t="s">
        <v>200</v>
      </c>
      <c r="D41" s="107">
        <v>0.25</v>
      </c>
      <c r="E41" s="106" t="s">
        <v>35</v>
      </c>
      <c r="F41" s="106">
        <v>2</v>
      </c>
      <c r="G41" s="106"/>
      <c r="H41" s="106">
        <v>1</v>
      </c>
      <c r="I41" s="107">
        <f t="shared" si="1"/>
        <v>0.5</v>
      </c>
      <c r="J41" s="104"/>
      <c r="K41" s="104"/>
      <c r="L41" s="104"/>
      <c r="M41" s="46"/>
      <c r="N41" s="46"/>
      <c r="O41" s="153"/>
    </row>
    <row r="42" spans="1:15" x14ac:dyDescent="0.25">
      <c r="A42" s="155">
        <v>130</v>
      </c>
      <c r="B42" s="108" t="s">
        <v>199</v>
      </c>
      <c r="C42" s="108" t="s">
        <v>202</v>
      </c>
      <c r="D42" s="107">
        <v>0.75</v>
      </c>
      <c r="E42" s="106" t="s">
        <v>35</v>
      </c>
      <c r="F42" s="106">
        <v>2</v>
      </c>
      <c r="G42" s="106"/>
      <c r="H42" s="106">
        <v>1</v>
      </c>
      <c r="I42" s="107">
        <f t="shared" si="1"/>
        <v>1.5</v>
      </c>
      <c r="J42" s="104"/>
      <c r="K42" s="104"/>
      <c r="L42" s="104"/>
      <c r="M42" s="44"/>
      <c r="N42" s="44"/>
      <c r="O42" s="153"/>
    </row>
    <row r="43" spans="1:15" x14ac:dyDescent="0.25">
      <c r="A43" s="155">
        <v>140</v>
      </c>
      <c r="B43" s="108" t="s">
        <v>201</v>
      </c>
      <c r="C43" s="108" t="s">
        <v>202</v>
      </c>
      <c r="D43" s="107">
        <v>0.25</v>
      </c>
      <c r="E43" s="106" t="s">
        <v>35</v>
      </c>
      <c r="F43" s="106">
        <v>2</v>
      </c>
      <c r="G43" s="106"/>
      <c r="H43" s="106">
        <v>1</v>
      </c>
      <c r="I43" s="107">
        <f t="shared" si="1"/>
        <v>0.5</v>
      </c>
      <c r="J43" s="104"/>
      <c r="K43" s="104"/>
      <c r="L43" s="104"/>
      <c r="M43" s="44"/>
      <c r="N43" s="44"/>
      <c r="O43" s="153"/>
    </row>
    <row r="44" spans="1:15" x14ac:dyDescent="0.25">
      <c r="A44" s="158"/>
      <c r="B44" s="18"/>
      <c r="C44" s="18"/>
      <c r="D44" s="18"/>
      <c r="E44" s="18"/>
      <c r="F44" s="18"/>
      <c r="G44" s="18"/>
      <c r="H44" s="367" t="s">
        <v>18</v>
      </c>
      <c r="I44" s="366">
        <f>SUM(I30:I43)</f>
        <v>18.487000000000002</v>
      </c>
      <c r="J44" s="44"/>
      <c r="K44" s="44"/>
      <c r="L44" s="44"/>
      <c r="M44" s="44"/>
      <c r="N44" s="44"/>
      <c r="O44" s="153"/>
    </row>
    <row r="45" spans="1:15" x14ac:dyDescent="0.25">
      <c r="A45" s="15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153"/>
    </row>
    <row r="46" spans="1:15" x14ac:dyDescent="0.25">
      <c r="A46" s="363" t="s">
        <v>14</v>
      </c>
      <c r="B46" s="365" t="s">
        <v>36</v>
      </c>
      <c r="C46" s="365" t="s">
        <v>20</v>
      </c>
      <c r="D46" s="365" t="s">
        <v>21</v>
      </c>
      <c r="E46" s="365" t="s">
        <v>22</v>
      </c>
      <c r="F46" s="365" t="s">
        <v>23</v>
      </c>
      <c r="G46" s="365" t="s">
        <v>24</v>
      </c>
      <c r="H46" s="365" t="s">
        <v>25</v>
      </c>
      <c r="I46" s="365" t="s">
        <v>17</v>
      </c>
      <c r="J46" s="365" t="s">
        <v>18</v>
      </c>
      <c r="K46" s="44"/>
      <c r="L46" s="44"/>
      <c r="M46" s="44"/>
      <c r="N46" s="44"/>
      <c r="O46" s="153"/>
    </row>
    <row r="47" spans="1:15" x14ac:dyDescent="0.25">
      <c r="A47" s="155">
        <v>10</v>
      </c>
      <c r="B47" s="106" t="s">
        <v>203</v>
      </c>
      <c r="C47" s="106" t="s">
        <v>204</v>
      </c>
      <c r="D47" s="147">
        <f>0.8/105154*E47*E47*G47*SQRT(G47)+(0.003*EXP(0.319*E47))</f>
        <v>0.5252420080501925</v>
      </c>
      <c r="E47" s="106">
        <v>12</v>
      </c>
      <c r="F47" s="148" t="s">
        <v>30</v>
      </c>
      <c r="G47" s="106">
        <v>50</v>
      </c>
      <c r="H47" s="108" t="s">
        <v>30</v>
      </c>
      <c r="I47" s="149">
        <v>2</v>
      </c>
      <c r="J47" s="107">
        <f t="shared" ref="J47:J55" si="2">D47*I47</f>
        <v>1.050484016100385</v>
      </c>
      <c r="K47" s="104"/>
      <c r="L47" s="104"/>
      <c r="M47" s="104"/>
      <c r="N47" s="44"/>
      <c r="O47" s="153"/>
    </row>
    <row r="48" spans="1:15" x14ac:dyDescent="0.25">
      <c r="A48" s="155">
        <v>20</v>
      </c>
      <c r="B48" s="106" t="s">
        <v>205</v>
      </c>
      <c r="C48" s="106" t="s">
        <v>204</v>
      </c>
      <c r="D48" s="147">
        <f>0.009*EXP(0.2*E48)</f>
        <v>9.920858742577443E-2</v>
      </c>
      <c r="E48" s="106">
        <v>12</v>
      </c>
      <c r="F48" s="148" t="s">
        <v>30</v>
      </c>
      <c r="G48" s="106"/>
      <c r="H48" s="108"/>
      <c r="I48" s="149">
        <v>2</v>
      </c>
      <c r="J48" s="107">
        <f t="shared" si="2"/>
        <v>0.19841717485154886</v>
      </c>
      <c r="K48" s="104"/>
      <c r="L48" s="104"/>
      <c r="M48" s="104"/>
      <c r="N48" s="44"/>
      <c r="O48" s="153"/>
    </row>
    <row r="49" spans="1:15" x14ac:dyDescent="0.25">
      <c r="A49" s="155">
        <v>30</v>
      </c>
      <c r="B49" s="106" t="s">
        <v>203</v>
      </c>
      <c r="C49" s="106" t="s">
        <v>206</v>
      </c>
      <c r="D49" s="147">
        <f>0.8/105154*E49*E49*G49*SQRT(G49)+(0.003*EXP(0.319*E49))</f>
        <v>0.11850487334396681</v>
      </c>
      <c r="E49" s="106">
        <v>8</v>
      </c>
      <c r="F49" s="148" t="s">
        <v>30</v>
      </c>
      <c r="G49" s="106">
        <v>30</v>
      </c>
      <c r="H49" s="108" t="s">
        <v>30</v>
      </c>
      <c r="I49" s="149">
        <v>2</v>
      </c>
      <c r="J49" s="107">
        <f t="shared" si="2"/>
        <v>0.23700974668793362</v>
      </c>
      <c r="K49" s="104"/>
      <c r="L49" s="146"/>
      <c r="M49" s="146"/>
      <c r="N49" s="44"/>
      <c r="O49" s="153"/>
    </row>
    <row r="50" spans="1:15" x14ac:dyDescent="0.25">
      <c r="A50" s="155">
        <v>40</v>
      </c>
      <c r="B50" s="106" t="s">
        <v>205</v>
      </c>
      <c r="C50" s="106" t="s">
        <v>206</v>
      </c>
      <c r="D50" s="147">
        <f>0.009*EXP(0.2*E50)</f>
        <v>4.4577291819556032E-2</v>
      </c>
      <c r="E50" s="106">
        <v>8</v>
      </c>
      <c r="F50" s="148" t="s">
        <v>30</v>
      </c>
      <c r="G50" s="106"/>
      <c r="H50" s="108"/>
      <c r="I50" s="149">
        <v>2</v>
      </c>
      <c r="J50" s="107">
        <f t="shared" si="2"/>
        <v>8.9154583639112064E-2</v>
      </c>
      <c r="K50" s="104"/>
      <c r="L50" s="104"/>
      <c r="M50" s="104"/>
      <c r="N50" s="44"/>
      <c r="O50" s="153"/>
    </row>
    <row r="51" spans="1:15" x14ac:dyDescent="0.25">
      <c r="A51" s="155">
        <v>50</v>
      </c>
      <c r="B51" s="106" t="s">
        <v>207</v>
      </c>
      <c r="C51" s="106" t="s">
        <v>208</v>
      </c>
      <c r="D51" s="147">
        <v>0.01</v>
      </c>
      <c r="E51" s="106"/>
      <c r="F51" s="148" t="s">
        <v>35</v>
      </c>
      <c r="G51" s="106"/>
      <c r="H51" s="108"/>
      <c r="I51" s="149">
        <v>4</v>
      </c>
      <c r="J51" s="107">
        <f t="shared" si="2"/>
        <v>0.04</v>
      </c>
      <c r="K51" s="104"/>
      <c r="L51" s="104"/>
      <c r="M51" s="104"/>
      <c r="N51" s="44"/>
      <c r="O51" s="153"/>
    </row>
    <row r="52" spans="1:15" x14ac:dyDescent="0.25">
      <c r="A52" s="155">
        <v>60</v>
      </c>
      <c r="B52" s="106" t="s">
        <v>203</v>
      </c>
      <c r="C52" s="106" t="s">
        <v>209</v>
      </c>
      <c r="D52" s="147">
        <f>0.8/105154*E52*E52*G52*SQRT(G52)+(0.003*EXP(0.319*E52))</f>
        <v>0.11850487334396681</v>
      </c>
      <c r="E52" s="106">
        <v>8</v>
      </c>
      <c r="F52" s="148" t="s">
        <v>30</v>
      </c>
      <c r="G52" s="106">
        <v>30</v>
      </c>
      <c r="H52" s="108" t="s">
        <v>30</v>
      </c>
      <c r="I52" s="149">
        <v>2</v>
      </c>
      <c r="J52" s="107">
        <f t="shared" si="2"/>
        <v>0.23700974668793362</v>
      </c>
      <c r="K52" s="104"/>
      <c r="L52" s="104"/>
      <c r="M52" s="104"/>
      <c r="N52" s="44"/>
      <c r="O52" s="153"/>
    </row>
    <row r="53" spans="1:15" x14ac:dyDescent="0.25">
      <c r="A53" s="155">
        <v>70</v>
      </c>
      <c r="B53" s="106" t="s">
        <v>205</v>
      </c>
      <c r="C53" s="106" t="s">
        <v>209</v>
      </c>
      <c r="D53" s="147">
        <f>0.009*EXP(0.2*E53)</f>
        <v>4.4577291819556032E-2</v>
      </c>
      <c r="E53" s="106">
        <v>8</v>
      </c>
      <c r="F53" s="148" t="s">
        <v>30</v>
      </c>
      <c r="G53" s="106"/>
      <c r="H53" s="108"/>
      <c r="I53" s="149">
        <v>2</v>
      </c>
      <c r="J53" s="107">
        <f t="shared" si="2"/>
        <v>8.9154583639112064E-2</v>
      </c>
      <c r="K53" s="104"/>
      <c r="L53" s="104"/>
      <c r="M53" s="104"/>
      <c r="N53" s="44"/>
      <c r="O53" s="153"/>
    </row>
    <row r="54" spans="1:15" x14ac:dyDescent="0.25">
      <c r="A54" s="155">
        <v>80</v>
      </c>
      <c r="B54" s="106" t="s">
        <v>203</v>
      </c>
      <c r="C54" s="106" t="s">
        <v>210</v>
      </c>
      <c r="D54" s="147">
        <f>0.8/105154*E54*E54*G54*SQRT(G54)+(0.003*EXP(0.319*E54))</f>
        <v>0.11850487334396681</v>
      </c>
      <c r="E54" s="106">
        <v>8</v>
      </c>
      <c r="F54" s="148" t="s">
        <v>30</v>
      </c>
      <c r="G54" s="106">
        <v>30</v>
      </c>
      <c r="H54" s="108" t="s">
        <v>30</v>
      </c>
      <c r="I54" s="149">
        <v>2</v>
      </c>
      <c r="J54" s="107">
        <f t="shared" si="2"/>
        <v>0.23700974668793362</v>
      </c>
      <c r="K54" s="104"/>
      <c r="L54" s="104"/>
      <c r="M54" s="104"/>
      <c r="N54" s="44"/>
      <c r="O54" s="153"/>
    </row>
    <row r="55" spans="1:15" x14ac:dyDescent="0.25">
      <c r="A55" s="155">
        <v>90</v>
      </c>
      <c r="B55" s="106" t="s">
        <v>205</v>
      </c>
      <c r="C55" s="106" t="s">
        <v>210</v>
      </c>
      <c r="D55" s="147">
        <f>0.009*EXP(0.2*E55)</f>
        <v>4.4577291819556032E-2</v>
      </c>
      <c r="E55" s="106">
        <v>8</v>
      </c>
      <c r="F55" s="148" t="s">
        <v>30</v>
      </c>
      <c r="G55" s="106"/>
      <c r="H55" s="108"/>
      <c r="I55" s="149">
        <v>2</v>
      </c>
      <c r="J55" s="107">
        <f t="shared" si="2"/>
        <v>8.9154583639112064E-2</v>
      </c>
      <c r="K55" s="146"/>
      <c r="L55" s="104"/>
      <c r="M55" s="104"/>
      <c r="N55" s="44"/>
      <c r="O55" s="153"/>
    </row>
    <row r="56" spans="1:15" x14ac:dyDescent="0.25">
      <c r="A56" s="158"/>
      <c r="B56" s="18"/>
      <c r="C56" s="18"/>
      <c r="D56" s="18"/>
      <c r="E56" s="18"/>
      <c r="F56" s="18"/>
      <c r="G56" s="18"/>
      <c r="H56" s="18"/>
      <c r="I56" s="367" t="s">
        <v>18</v>
      </c>
      <c r="J56" s="366">
        <f>SUM(J47:J55)</f>
        <v>2.2673941819330707</v>
      </c>
      <c r="K56" s="44"/>
      <c r="L56" s="44"/>
      <c r="M56" s="44"/>
      <c r="N56" s="44"/>
      <c r="O56" s="153"/>
    </row>
    <row r="57" spans="1:15" x14ac:dyDescent="0.25">
      <c r="A57" s="15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153"/>
    </row>
    <row r="58" spans="1:15" x14ac:dyDescent="0.25">
      <c r="A58" s="363" t="s">
        <v>14</v>
      </c>
      <c r="B58" s="365" t="s">
        <v>37</v>
      </c>
      <c r="C58" s="365" t="s">
        <v>20</v>
      </c>
      <c r="D58" s="365" t="s">
        <v>21</v>
      </c>
      <c r="E58" s="365" t="s">
        <v>32</v>
      </c>
      <c r="F58" s="365" t="s">
        <v>17</v>
      </c>
      <c r="G58" s="365" t="s">
        <v>38</v>
      </c>
      <c r="H58" s="365" t="s">
        <v>39</v>
      </c>
      <c r="I58" s="365" t="s">
        <v>18</v>
      </c>
      <c r="J58" s="18"/>
      <c r="K58" s="44"/>
      <c r="L58" s="44"/>
      <c r="M58" s="44"/>
      <c r="N58" s="44"/>
      <c r="O58" s="153"/>
    </row>
    <row r="59" spans="1:15" x14ac:dyDescent="0.25">
      <c r="A59" s="161">
        <v>10</v>
      </c>
      <c r="B59" s="59" t="s">
        <v>40</v>
      </c>
      <c r="C59" s="59" t="s">
        <v>184</v>
      </c>
      <c r="D59" s="60">
        <v>500</v>
      </c>
      <c r="E59" s="59" t="s">
        <v>41</v>
      </c>
      <c r="F59" s="59">
        <v>16</v>
      </c>
      <c r="G59" s="59">
        <v>3000</v>
      </c>
      <c r="H59" s="59">
        <v>1</v>
      </c>
      <c r="I59" s="60">
        <f>D59*F59/G59*H59</f>
        <v>2.6666666666666665</v>
      </c>
      <c r="J59" s="18"/>
      <c r="K59" s="44"/>
      <c r="L59" s="44"/>
      <c r="M59" s="44"/>
      <c r="N59" s="44"/>
      <c r="O59" s="153"/>
    </row>
    <row r="60" spans="1:15" x14ac:dyDescent="0.25">
      <c r="A60" s="158"/>
      <c r="B60" s="18"/>
      <c r="C60" s="18"/>
      <c r="D60" s="18"/>
      <c r="E60" s="18"/>
      <c r="F60" s="18"/>
      <c r="G60" s="18"/>
      <c r="H60" s="368" t="s">
        <v>18</v>
      </c>
      <c r="I60" s="369">
        <f>SUM(I59:I59)</f>
        <v>2.6666666666666665</v>
      </c>
      <c r="J60" s="18"/>
      <c r="K60" s="44"/>
      <c r="L60" s="44"/>
      <c r="M60" s="44"/>
      <c r="N60" s="44"/>
      <c r="O60" s="153"/>
    </row>
    <row r="61" spans="1:15" ht="15.75" thickBot="1" x14ac:dyDescent="0.3">
      <c r="A61" s="162"/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4"/>
    </row>
    <row r="62" spans="1:15" x14ac:dyDescent="0.2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</row>
  </sheetData>
  <hyperlinks>
    <hyperlink ref="B10" location="EN_0900_001!A1" display="Housing" xr:uid="{DA3E61DF-D2AD-48C3-AF88-6F0CCBCB9351}"/>
    <hyperlink ref="B11" location="EN_0900_002!A1" display="Left Eccentric" xr:uid="{0BA6AE2C-0A00-45A2-8A7B-D87B3090E593}"/>
    <hyperlink ref="B12" location="EN_0900_003!A1" display="Right Eccentric" xr:uid="{DA08F1F9-017B-4164-9E84-D998C8B12ADC}"/>
    <hyperlink ref="B13" location="EN_0900_004!A1" display="Left Eccentric Carrier" xr:uid="{1588C84C-FDCA-4045-AAF6-A5DA801EC158}"/>
    <hyperlink ref="B14" location="EN_0900_005!A1" display="Right Eccentric Carrier" xr:uid="{C2F33B37-11FB-48A0-ADBF-00ACD192344A}"/>
    <hyperlink ref="B15" location="EN_0900_006!A1" display="Upper Eccentric Carrier bracket" xr:uid="{3C258538-23CE-47AB-8146-C084739CA550}"/>
    <hyperlink ref="B16" location="EN_0900_007!A1" display="Lower Eccentric Carrier bracket" xr:uid="{3DE5781F-31EF-4086-9BD0-6AD3267FC968}"/>
    <hyperlink ref="B17" location="EN_0900_008!A1" display="Left Jacking Bar bracket" xr:uid="{60988AB8-F287-436F-9EC9-2E99B50810F9}"/>
    <hyperlink ref="B18" location="EN_0900_009!A1" display="Right Jacking Bar bracket" xr:uid="{25F9E751-6FF5-4CE7-87FC-686F94734F31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040E-024A-4B5E-A081-1AE73B3B42FF}">
  <sheetPr>
    <tabColor theme="6" tint="0.39997558519241921"/>
  </sheetPr>
  <dimension ref="A1:P26"/>
  <sheetViews>
    <sheetView zoomScale="70" zoomScaleNormal="70" workbookViewId="0">
      <selection activeCell="O27" sqref="O27"/>
    </sheetView>
  </sheetViews>
  <sheetFormatPr baseColWidth="10" defaultRowHeight="15" x14ac:dyDescent="0.25"/>
  <cols>
    <col min="2" max="2" width="35.85546875" bestFit="1" customWidth="1"/>
    <col min="3" max="3" width="50.5703125" bestFit="1" customWidth="1"/>
    <col min="7" max="7" width="14.5703125" bestFit="1" customWidth="1"/>
    <col min="9" max="9" width="20.28515625" bestFit="1" customWidth="1"/>
  </cols>
  <sheetData>
    <row r="1" spans="1:15" x14ac:dyDescent="0.25">
      <c r="A1" s="150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2"/>
    </row>
    <row r="2" spans="1:15" x14ac:dyDescent="0.25">
      <c r="A2" s="169" t="s">
        <v>0</v>
      </c>
      <c r="B2" s="170" t="s">
        <v>42</v>
      </c>
      <c r="C2" s="44"/>
      <c r="D2" s="44"/>
      <c r="E2" s="44"/>
      <c r="F2" s="44"/>
      <c r="G2" s="44" t="s">
        <v>119</v>
      </c>
      <c r="H2" s="44"/>
      <c r="I2" s="44"/>
      <c r="J2" s="95" t="s">
        <v>1</v>
      </c>
      <c r="K2" s="62">
        <v>81</v>
      </c>
      <c r="L2" s="44"/>
      <c r="M2" s="94" t="s">
        <v>16</v>
      </c>
      <c r="N2" s="60">
        <f>EN_1100_002_m+EN_1100_002_p</f>
        <v>41.802269960952131</v>
      </c>
      <c r="O2" s="153"/>
    </row>
    <row r="3" spans="1:15" x14ac:dyDescent="0.25">
      <c r="A3" s="171" t="s">
        <v>3</v>
      </c>
      <c r="B3" s="170" t="s">
        <v>134</v>
      </c>
      <c r="C3" s="44"/>
      <c r="D3" s="239" t="s">
        <v>6</v>
      </c>
      <c r="E3" s="44"/>
      <c r="F3" s="44"/>
      <c r="G3" s="44"/>
      <c r="H3" s="44"/>
      <c r="I3" s="44"/>
      <c r="J3" s="44"/>
      <c r="K3" s="44"/>
      <c r="L3" s="44"/>
      <c r="M3" s="94" t="s">
        <v>4</v>
      </c>
      <c r="N3" s="61">
        <v>1</v>
      </c>
      <c r="O3" s="153"/>
    </row>
    <row r="4" spans="1:15" x14ac:dyDescent="0.25">
      <c r="A4" s="343" t="s">
        <v>5</v>
      </c>
      <c r="B4" s="241" t="s">
        <v>334</v>
      </c>
      <c r="C4" s="44"/>
      <c r="D4" s="94" t="s">
        <v>8</v>
      </c>
      <c r="E4" s="44"/>
      <c r="F4" s="44"/>
      <c r="G4" s="44"/>
      <c r="H4" s="44"/>
      <c r="I4" s="44"/>
      <c r="J4" s="96" t="s">
        <v>6</v>
      </c>
      <c r="K4" s="44"/>
      <c r="L4" s="44"/>
      <c r="M4" s="44"/>
      <c r="N4" s="44"/>
      <c r="O4" s="153"/>
    </row>
    <row r="5" spans="1:15" x14ac:dyDescent="0.25">
      <c r="A5" s="343" t="s">
        <v>15</v>
      </c>
      <c r="B5" s="239" t="s">
        <v>349</v>
      </c>
      <c r="C5" s="44"/>
      <c r="D5" s="94" t="s">
        <v>12</v>
      </c>
      <c r="E5" s="44"/>
      <c r="F5" s="44"/>
      <c r="G5" s="44"/>
      <c r="H5" s="44"/>
      <c r="I5" s="44"/>
      <c r="J5" s="96" t="s">
        <v>8</v>
      </c>
      <c r="K5" s="44"/>
      <c r="L5" s="44"/>
      <c r="M5" s="94" t="s">
        <v>9</v>
      </c>
      <c r="N5" s="60">
        <f>N3*N2</f>
        <v>41.802269960952131</v>
      </c>
      <c r="O5" s="153"/>
    </row>
    <row r="6" spans="1:15" x14ac:dyDescent="0.25">
      <c r="A6" s="343" t="s">
        <v>7</v>
      </c>
      <c r="B6" s="165" t="s">
        <v>348</v>
      </c>
      <c r="C6" s="44"/>
      <c r="D6" s="44"/>
      <c r="E6" s="44"/>
      <c r="F6" s="44"/>
      <c r="G6" s="44"/>
      <c r="H6" s="44"/>
      <c r="I6" s="44"/>
      <c r="J6" s="96" t="s">
        <v>12</v>
      </c>
      <c r="K6" s="44"/>
      <c r="L6" s="44"/>
      <c r="M6" s="44"/>
      <c r="N6" s="44"/>
      <c r="O6" s="153"/>
    </row>
    <row r="7" spans="1:15" x14ac:dyDescent="0.25">
      <c r="A7" s="173" t="s">
        <v>10</v>
      </c>
      <c r="B7" s="170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153"/>
    </row>
    <row r="8" spans="1:15" x14ac:dyDescent="0.25">
      <c r="A8" s="169" t="s">
        <v>13</v>
      </c>
      <c r="B8" s="104" t="s">
        <v>153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153"/>
    </row>
    <row r="9" spans="1:15" x14ac:dyDescent="0.25">
      <c r="A9" s="174"/>
      <c r="B9" s="20"/>
      <c r="C9" s="20"/>
      <c r="D9" s="20"/>
      <c r="E9" s="20"/>
      <c r="F9" s="44"/>
      <c r="G9" s="44"/>
      <c r="H9" s="44"/>
      <c r="I9" s="44"/>
      <c r="J9" s="44"/>
      <c r="K9" s="44"/>
      <c r="L9" s="44"/>
      <c r="M9" s="44"/>
      <c r="N9" s="44"/>
      <c r="O9" s="153"/>
    </row>
    <row r="10" spans="1:15" x14ac:dyDescent="0.25">
      <c r="A10" s="175" t="s">
        <v>14</v>
      </c>
      <c r="B10" s="100" t="s">
        <v>19</v>
      </c>
      <c r="C10" s="100" t="s">
        <v>20</v>
      </c>
      <c r="D10" s="100" t="s">
        <v>21</v>
      </c>
      <c r="E10" s="100" t="s">
        <v>22</v>
      </c>
      <c r="F10" s="344" t="s">
        <v>23</v>
      </c>
      <c r="G10" s="344" t="s">
        <v>24</v>
      </c>
      <c r="H10" s="344" t="s">
        <v>25</v>
      </c>
      <c r="I10" s="344" t="s">
        <v>26</v>
      </c>
      <c r="J10" s="344" t="s">
        <v>27</v>
      </c>
      <c r="K10" s="344" t="s">
        <v>28</v>
      </c>
      <c r="L10" s="344" t="s">
        <v>29</v>
      </c>
      <c r="M10" s="344" t="s">
        <v>17</v>
      </c>
      <c r="N10" s="344" t="s">
        <v>18</v>
      </c>
      <c r="O10" s="153"/>
    </row>
    <row r="11" spans="1:15" x14ac:dyDescent="0.25">
      <c r="A11" s="304">
        <v>10</v>
      </c>
      <c r="B11" s="328" t="s">
        <v>234</v>
      </c>
      <c r="C11" s="329" t="s">
        <v>350</v>
      </c>
      <c r="D11" s="320">
        <v>2.25</v>
      </c>
      <c r="E11" s="330">
        <f>J11*K11*L11</f>
        <v>1.3594653159787282</v>
      </c>
      <c r="F11" s="331" t="s">
        <v>155</v>
      </c>
      <c r="G11" s="331"/>
      <c r="H11" s="332"/>
      <c r="I11" s="333" t="s">
        <v>351</v>
      </c>
      <c r="J11" s="334">
        <f>0.105^2*PI()</f>
        <v>3.4636059005827467E-2</v>
      </c>
      <c r="K11" s="335">
        <v>5.0000000000000001E-3</v>
      </c>
      <c r="L11" s="336">
        <v>7850</v>
      </c>
      <c r="M11" s="337">
        <v>1</v>
      </c>
      <c r="N11" s="325">
        <f>IF(J11="",D11*M11,D11*J11*K11*L11*M11)</f>
        <v>3.0587969609521379</v>
      </c>
      <c r="O11" s="157"/>
    </row>
    <row r="12" spans="1:15" x14ac:dyDescent="0.25">
      <c r="A12" s="15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345" t="s">
        <v>18</v>
      </c>
      <c r="N12" s="98">
        <f>SUM(N11:N11)</f>
        <v>3.0587969609521379</v>
      </c>
      <c r="O12" s="153"/>
    </row>
    <row r="13" spans="1:15" x14ac:dyDescent="0.25">
      <c r="A13" s="15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153"/>
    </row>
    <row r="14" spans="1:15" x14ac:dyDescent="0.25">
      <c r="A14" s="343" t="s">
        <v>14</v>
      </c>
      <c r="B14" s="344" t="s">
        <v>31</v>
      </c>
      <c r="C14" s="344" t="s">
        <v>20</v>
      </c>
      <c r="D14" s="344" t="s">
        <v>21</v>
      </c>
      <c r="E14" s="344" t="s">
        <v>32</v>
      </c>
      <c r="F14" s="344" t="s">
        <v>17</v>
      </c>
      <c r="G14" s="344" t="s">
        <v>33</v>
      </c>
      <c r="H14" s="344" t="s">
        <v>34</v>
      </c>
      <c r="I14" s="344" t="s">
        <v>18</v>
      </c>
      <c r="J14" s="18"/>
      <c r="K14" s="18"/>
      <c r="L14" s="18"/>
      <c r="M14" s="18"/>
      <c r="N14" s="18"/>
      <c r="O14" s="153"/>
    </row>
    <row r="15" spans="1:15" x14ac:dyDescent="0.25">
      <c r="A15" s="304">
        <v>10</v>
      </c>
      <c r="B15" s="319" t="s">
        <v>43</v>
      </c>
      <c r="C15" s="319" t="s">
        <v>338</v>
      </c>
      <c r="D15" s="338">
        <v>1.3</v>
      </c>
      <c r="E15" s="321" t="s">
        <v>32</v>
      </c>
      <c r="F15" s="339">
        <v>1</v>
      </c>
      <c r="G15" s="340"/>
      <c r="H15" s="340"/>
      <c r="I15" s="325">
        <f>IF(H15="",D15*F15,D15*F15*H15)</f>
        <v>1.3</v>
      </c>
      <c r="J15" s="44"/>
      <c r="K15" s="44"/>
      <c r="L15" s="44"/>
      <c r="M15" s="44"/>
      <c r="N15" s="44"/>
      <c r="O15" s="153"/>
    </row>
    <row r="16" spans="1:15" x14ac:dyDescent="0.25">
      <c r="A16" s="304">
        <v>20</v>
      </c>
      <c r="B16" s="323" t="s">
        <v>341</v>
      </c>
      <c r="C16" s="319"/>
      <c r="D16" s="338">
        <v>0.5</v>
      </c>
      <c r="E16" s="321" t="s">
        <v>45</v>
      </c>
      <c r="F16" s="322">
        <f>44*0.5</f>
        <v>22</v>
      </c>
      <c r="G16" s="323" t="s">
        <v>340</v>
      </c>
      <c r="H16" s="324">
        <v>3</v>
      </c>
      <c r="I16" s="325">
        <f>IF(H16="",D16*F16,D16*F16*H16)</f>
        <v>33</v>
      </c>
      <c r="J16" s="44"/>
      <c r="K16" s="44"/>
      <c r="L16" s="44"/>
      <c r="M16" s="44"/>
      <c r="N16" s="44"/>
      <c r="O16" s="153"/>
    </row>
    <row r="17" spans="1:16" x14ac:dyDescent="0.25">
      <c r="A17" s="304">
        <v>30</v>
      </c>
      <c r="B17" s="319" t="s">
        <v>283</v>
      </c>
      <c r="C17" s="319" t="s">
        <v>352</v>
      </c>
      <c r="D17" s="338">
        <v>0.65</v>
      </c>
      <c r="E17" s="321" t="s">
        <v>32</v>
      </c>
      <c r="F17" s="339">
        <v>1</v>
      </c>
      <c r="G17" s="329"/>
      <c r="H17" s="341">
        <v>1</v>
      </c>
      <c r="I17" s="325">
        <f>IF(H17="",D17*F17,D17*F17*H17)</f>
        <v>0.65</v>
      </c>
      <c r="J17" s="44"/>
      <c r="K17" s="44"/>
      <c r="L17" s="44"/>
      <c r="M17" s="44"/>
      <c r="N17" s="44"/>
      <c r="O17" s="153"/>
    </row>
    <row r="18" spans="1:16" x14ac:dyDescent="0.25">
      <c r="A18" s="346">
        <v>40</v>
      </c>
      <c r="B18" s="319" t="s">
        <v>353</v>
      </c>
      <c r="C18" s="319" t="s">
        <v>339</v>
      </c>
      <c r="D18" s="338">
        <v>0.01</v>
      </c>
      <c r="E18" s="321" t="s">
        <v>45</v>
      </c>
      <c r="F18" s="342">
        <v>126.4491</v>
      </c>
      <c r="G18" s="329" t="s">
        <v>282</v>
      </c>
      <c r="H18" s="341">
        <v>3</v>
      </c>
      <c r="I18" s="325">
        <f>IF(H18="",D18*F18,D18*F18*H18)</f>
        <v>3.7934730000000001</v>
      </c>
      <c r="J18" s="44"/>
      <c r="K18" s="44"/>
      <c r="L18" s="44"/>
      <c r="M18" s="44"/>
      <c r="N18" s="44"/>
      <c r="O18" s="153"/>
    </row>
    <row r="19" spans="1:16" x14ac:dyDescent="0.25">
      <c r="A19" s="154"/>
      <c r="B19" s="18"/>
      <c r="C19" s="18"/>
      <c r="D19" s="18"/>
      <c r="E19" s="18"/>
      <c r="F19" s="18"/>
      <c r="G19" s="18"/>
      <c r="H19" s="103" t="s">
        <v>18</v>
      </c>
      <c r="I19" s="347">
        <f>SUM(I15:I18)</f>
        <v>38.743472999999994</v>
      </c>
      <c r="J19" s="44"/>
      <c r="K19" s="44"/>
      <c r="L19" s="44"/>
      <c r="M19" s="44"/>
      <c r="N19" s="44"/>
      <c r="O19" s="153"/>
    </row>
    <row r="20" spans="1:16" x14ac:dyDescent="0.25">
      <c r="A20" s="15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153"/>
      <c r="P20" s="44"/>
    </row>
    <row r="21" spans="1:16" x14ac:dyDescent="0.25">
      <c r="A21" s="15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153"/>
      <c r="P21" s="44"/>
    </row>
    <row r="22" spans="1:16" x14ac:dyDescent="0.25">
      <c r="A22" s="15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153"/>
      <c r="P22" s="44"/>
    </row>
    <row r="23" spans="1:16" x14ac:dyDescent="0.25">
      <c r="A23" s="15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153"/>
      <c r="P23" s="44"/>
    </row>
    <row r="24" spans="1:16" x14ac:dyDescent="0.25">
      <c r="A24" s="15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153"/>
      <c r="P24" s="44"/>
    </row>
    <row r="25" spans="1:16" ht="15.75" thickBot="1" x14ac:dyDescent="0.3">
      <c r="A25" s="162"/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4"/>
    </row>
    <row r="26" spans="1:16" x14ac:dyDescent="0.25">
      <c r="A26" s="44"/>
      <c r="B26" s="44"/>
      <c r="C26" s="44"/>
      <c r="D26" s="44"/>
      <c r="E26" s="44"/>
      <c r="F26" s="44"/>
      <c r="G26" s="44"/>
      <c r="H26" s="44"/>
      <c r="I26" s="44"/>
    </row>
  </sheetData>
  <hyperlinks>
    <hyperlink ref="B4" location="EN_A1100" display="Driveshaft" xr:uid="{72882053-F9F3-4562-A951-C8761541422D}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DE5C-CE62-420B-9FD6-ABCB30AD9686}">
  <sheetPr>
    <tabColor theme="6" tint="0.39997558519241921"/>
  </sheetPr>
  <dimension ref="A1:O24"/>
  <sheetViews>
    <sheetView workbookViewId="0">
      <selection activeCell="B6" sqref="B6"/>
    </sheetView>
  </sheetViews>
  <sheetFormatPr baseColWidth="10" defaultRowHeight="15" x14ac:dyDescent="0.25"/>
  <sheetData>
    <row r="1" spans="1:15" x14ac:dyDescent="0.25">
      <c r="A1" s="150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2"/>
    </row>
    <row r="2" spans="1:15" x14ac:dyDescent="0.25">
      <c r="A2" s="169" t="s">
        <v>0</v>
      </c>
      <c r="B2" s="170" t="s">
        <v>42</v>
      </c>
      <c r="C2" s="44"/>
      <c r="D2" s="44"/>
      <c r="E2" s="44"/>
      <c r="F2" s="44"/>
      <c r="G2" s="44" t="s">
        <v>119</v>
      </c>
      <c r="H2" s="44"/>
      <c r="I2" s="44"/>
      <c r="J2" s="95" t="s">
        <v>1</v>
      </c>
      <c r="K2" s="62">
        <v>81</v>
      </c>
      <c r="L2" s="44"/>
      <c r="M2" s="94" t="s">
        <v>16</v>
      </c>
      <c r="N2" s="60">
        <f>EN_1100_003_m+EN_1100_003_p</f>
        <v>29.160865459581132</v>
      </c>
      <c r="O2" s="153"/>
    </row>
    <row r="3" spans="1:15" x14ac:dyDescent="0.25">
      <c r="A3" s="171" t="s">
        <v>3</v>
      </c>
      <c r="B3" s="170" t="s">
        <v>134</v>
      </c>
      <c r="C3" s="44"/>
      <c r="D3" s="241" t="s">
        <v>6</v>
      </c>
      <c r="E3" s="44" t="s">
        <v>90</v>
      </c>
      <c r="F3" s="44"/>
      <c r="G3" s="44"/>
      <c r="H3" s="44"/>
      <c r="I3" s="44"/>
      <c r="J3" s="44"/>
      <c r="K3" s="44"/>
      <c r="L3" s="44"/>
      <c r="M3" s="94" t="s">
        <v>4</v>
      </c>
      <c r="N3" s="61">
        <v>1</v>
      </c>
      <c r="O3" s="153"/>
    </row>
    <row r="4" spans="1:15" x14ac:dyDescent="0.25">
      <c r="A4" s="343" t="s">
        <v>5</v>
      </c>
      <c r="B4" s="241" t="s">
        <v>334</v>
      </c>
      <c r="C4" s="44"/>
      <c r="D4" s="94" t="s">
        <v>8</v>
      </c>
      <c r="E4" s="44"/>
      <c r="F4" s="44"/>
      <c r="G4" s="44"/>
      <c r="H4" s="44"/>
      <c r="I4" s="44"/>
      <c r="J4" s="96" t="s">
        <v>6</v>
      </c>
      <c r="K4" s="44"/>
      <c r="L4" s="44"/>
      <c r="M4" s="44"/>
      <c r="N4" s="44"/>
      <c r="O4" s="153"/>
    </row>
    <row r="5" spans="1:15" x14ac:dyDescent="0.25">
      <c r="A5" s="343" t="s">
        <v>15</v>
      </c>
      <c r="B5" s="239" t="s">
        <v>309</v>
      </c>
      <c r="C5" s="44"/>
      <c r="D5" s="94" t="s">
        <v>12</v>
      </c>
      <c r="E5" s="44"/>
      <c r="F5" s="44"/>
      <c r="G5" s="44"/>
      <c r="H5" s="44"/>
      <c r="I5" s="44"/>
      <c r="J5" s="96" t="s">
        <v>8</v>
      </c>
      <c r="K5" s="44"/>
      <c r="L5" s="44"/>
      <c r="M5" s="94" t="s">
        <v>9</v>
      </c>
      <c r="N5" s="60">
        <f>N3*N2</f>
        <v>29.160865459581132</v>
      </c>
      <c r="O5" s="153"/>
    </row>
    <row r="6" spans="1:15" x14ac:dyDescent="0.25">
      <c r="A6" s="343" t="s">
        <v>7</v>
      </c>
      <c r="B6" s="165" t="s">
        <v>354</v>
      </c>
      <c r="C6" s="44"/>
      <c r="D6" s="44"/>
      <c r="E6" s="44"/>
      <c r="F6" s="44"/>
      <c r="G6" s="44"/>
      <c r="H6" s="44"/>
      <c r="I6" s="44"/>
      <c r="J6" s="96" t="s">
        <v>12</v>
      </c>
      <c r="K6" s="44"/>
      <c r="L6" s="44"/>
      <c r="M6" s="44"/>
      <c r="N6" s="44"/>
      <c r="O6" s="153"/>
    </row>
    <row r="7" spans="1:15" x14ac:dyDescent="0.25">
      <c r="A7" s="173" t="s">
        <v>10</v>
      </c>
      <c r="B7" s="170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153"/>
    </row>
    <row r="8" spans="1:15" x14ac:dyDescent="0.25">
      <c r="A8" s="169" t="s">
        <v>13</v>
      </c>
      <c r="B8" s="10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153"/>
    </row>
    <row r="9" spans="1:15" x14ac:dyDescent="0.25">
      <c r="A9" s="174"/>
      <c r="B9" s="20"/>
      <c r="C9" s="20"/>
      <c r="D9" s="20"/>
      <c r="E9" s="20"/>
      <c r="F9" s="44"/>
      <c r="G9" s="44"/>
      <c r="H9" s="44"/>
      <c r="I9" s="44"/>
      <c r="J9" s="44"/>
      <c r="K9" s="44"/>
      <c r="L9" s="44"/>
      <c r="M9" s="44"/>
      <c r="N9" s="44"/>
      <c r="O9" s="153"/>
    </row>
    <row r="10" spans="1:15" x14ac:dyDescent="0.25">
      <c r="A10" s="175" t="s">
        <v>14</v>
      </c>
      <c r="B10" s="100" t="s">
        <v>19</v>
      </c>
      <c r="C10" s="100" t="s">
        <v>20</v>
      </c>
      <c r="D10" s="100" t="s">
        <v>21</v>
      </c>
      <c r="E10" s="100" t="s">
        <v>22</v>
      </c>
      <c r="F10" s="344" t="s">
        <v>23</v>
      </c>
      <c r="G10" s="344" t="s">
        <v>24</v>
      </c>
      <c r="H10" s="344" t="s">
        <v>25</v>
      </c>
      <c r="I10" s="344" t="s">
        <v>26</v>
      </c>
      <c r="J10" s="344" t="s">
        <v>27</v>
      </c>
      <c r="K10" s="344" t="s">
        <v>28</v>
      </c>
      <c r="L10" s="344" t="s">
        <v>29</v>
      </c>
      <c r="M10" s="344" t="s">
        <v>17</v>
      </c>
      <c r="N10" s="344" t="s">
        <v>18</v>
      </c>
      <c r="O10" s="153"/>
    </row>
    <row r="11" spans="1:15" ht="30" x14ac:dyDescent="0.25">
      <c r="A11" s="326">
        <v>10</v>
      </c>
      <c r="B11" s="328" t="s">
        <v>154</v>
      </c>
      <c r="C11" s="329" t="s">
        <v>355</v>
      </c>
      <c r="D11" s="320">
        <v>4.2</v>
      </c>
      <c r="E11" s="348">
        <f>J11*K11*L11</f>
        <v>2.0761108237097923</v>
      </c>
      <c r="F11" s="349" t="s">
        <v>155</v>
      </c>
      <c r="G11" s="349"/>
      <c r="H11" s="350"/>
      <c r="I11" s="351" t="s">
        <v>356</v>
      </c>
      <c r="J11" s="352">
        <f>PI()*0.19^2/4</f>
        <v>2.8352873698647883E-2</v>
      </c>
      <c r="K11" s="353">
        <v>2.7E-2</v>
      </c>
      <c r="L11" s="354">
        <v>2712</v>
      </c>
      <c r="M11" s="354">
        <v>1</v>
      </c>
      <c r="N11" s="325">
        <f>IF(J11="",D11*M11,D11*J11*K11*L11*M11)</f>
        <v>8.7196654595811296</v>
      </c>
      <c r="O11" s="157"/>
    </row>
    <row r="12" spans="1:15" x14ac:dyDescent="0.25">
      <c r="A12" s="15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345" t="s">
        <v>18</v>
      </c>
      <c r="N12" s="98">
        <f>SUM(N11:N11)</f>
        <v>8.7196654595811296</v>
      </c>
      <c r="O12" s="153"/>
    </row>
    <row r="13" spans="1:15" x14ac:dyDescent="0.25">
      <c r="A13" s="15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153"/>
    </row>
    <row r="14" spans="1:15" x14ac:dyDescent="0.25">
      <c r="A14" s="343" t="s">
        <v>14</v>
      </c>
      <c r="B14" s="344" t="s">
        <v>31</v>
      </c>
      <c r="C14" s="344" t="s">
        <v>20</v>
      </c>
      <c r="D14" s="344" t="s">
        <v>21</v>
      </c>
      <c r="E14" s="344" t="s">
        <v>32</v>
      </c>
      <c r="F14" s="344" t="s">
        <v>17</v>
      </c>
      <c r="G14" s="344" t="s">
        <v>33</v>
      </c>
      <c r="H14" s="344" t="s">
        <v>34</v>
      </c>
      <c r="I14" s="344" t="s">
        <v>18</v>
      </c>
      <c r="J14" s="18"/>
      <c r="K14" s="18"/>
      <c r="L14" s="18"/>
      <c r="M14" s="18"/>
      <c r="N14" s="18"/>
      <c r="O14" s="153"/>
    </row>
    <row r="15" spans="1:15" ht="90" x14ac:dyDescent="0.25">
      <c r="A15" s="355">
        <v>10</v>
      </c>
      <c r="B15" s="319" t="s">
        <v>43</v>
      </c>
      <c r="C15" s="319" t="s">
        <v>357</v>
      </c>
      <c r="D15" s="320">
        <v>1.3</v>
      </c>
      <c r="E15" s="329" t="s">
        <v>32</v>
      </c>
      <c r="F15" s="356">
        <v>1</v>
      </c>
      <c r="G15" s="355"/>
      <c r="H15" s="355"/>
      <c r="I15" s="325">
        <f>IF(H15="",D15*F15,D15*F15*H15)</f>
        <v>1.3</v>
      </c>
      <c r="J15" s="44"/>
      <c r="K15" s="44"/>
      <c r="L15" s="44"/>
      <c r="M15" s="44"/>
      <c r="N15" s="44"/>
      <c r="O15" s="153"/>
    </row>
    <row r="16" spans="1:15" ht="30" x14ac:dyDescent="0.25">
      <c r="A16" s="355">
        <v>20</v>
      </c>
      <c r="B16" s="319" t="s">
        <v>161</v>
      </c>
      <c r="C16" s="319" t="s">
        <v>358</v>
      </c>
      <c r="D16" s="320">
        <v>0.04</v>
      </c>
      <c r="E16" s="329" t="s">
        <v>162</v>
      </c>
      <c r="F16" s="356">
        <v>444.78</v>
      </c>
      <c r="G16" s="355"/>
      <c r="H16" s="355"/>
      <c r="I16" s="325">
        <f>IF(H16="",D16*F16,D16*F16*H16)</f>
        <v>17.7912</v>
      </c>
      <c r="J16" s="44"/>
      <c r="K16" s="44"/>
      <c r="L16" s="44"/>
      <c r="M16" s="44"/>
      <c r="N16" s="44"/>
      <c r="O16" s="153"/>
    </row>
    <row r="17" spans="1:15" ht="30" x14ac:dyDescent="0.25">
      <c r="A17" s="355">
        <v>30</v>
      </c>
      <c r="B17" s="319" t="s">
        <v>343</v>
      </c>
      <c r="C17" s="319" t="s">
        <v>359</v>
      </c>
      <c r="D17" s="320">
        <v>0.5</v>
      </c>
      <c r="E17" s="329" t="s">
        <v>45</v>
      </c>
      <c r="F17" s="356">
        <v>2.7</v>
      </c>
      <c r="G17" s="355"/>
      <c r="H17" s="355"/>
      <c r="I17" s="325">
        <f>IF(H17="",D17*F17,D17*F17*H17)</f>
        <v>1.35</v>
      </c>
      <c r="J17" s="44"/>
      <c r="K17" s="44"/>
      <c r="L17" s="44"/>
      <c r="M17" s="44"/>
      <c r="N17" s="44"/>
      <c r="O17" s="153"/>
    </row>
    <row r="18" spans="1:15" x14ac:dyDescent="0.25">
      <c r="A18" s="154"/>
      <c r="B18" s="18"/>
      <c r="C18" s="18"/>
      <c r="D18" s="18"/>
      <c r="E18" s="18"/>
      <c r="F18" s="18"/>
      <c r="G18" s="18"/>
      <c r="H18" s="103" t="s">
        <v>18</v>
      </c>
      <c r="I18" s="347">
        <f>SUM(I15:I17)</f>
        <v>20.441200000000002</v>
      </c>
      <c r="J18" s="44"/>
      <c r="K18" s="44"/>
      <c r="L18" s="44"/>
      <c r="M18" s="44"/>
      <c r="N18" s="44"/>
      <c r="O18" s="153"/>
    </row>
    <row r="19" spans="1:15" x14ac:dyDescent="0.25">
      <c r="A19" s="15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153"/>
    </row>
    <row r="20" spans="1:15" x14ac:dyDescent="0.25">
      <c r="A20" s="15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153"/>
    </row>
    <row r="21" spans="1:15" x14ac:dyDescent="0.25">
      <c r="A21" s="15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153"/>
    </row>
    <row r="22" spans="1:15" x14ac:dyDescent="0.25">
      <c r="A22" s="15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153"/>
    </row>
    <row r="23" spans="1:15" x14ac:dyDescent="0.25">
      <c r="A23" s="15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153"/>
    </row>
    <row r="24" spans="1:15" ht="15.75" thickBot="1" x14ac:dyDescent="0.3">
      <c r="A24" s="162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4"/>
    </row>
  </sheetData>
  <hyperlinks>
    <hyperlink ref="B4" location="EN_A1100" display="Driveshaft" xr:uid="{8E8FEA7D-438F-4230-A32B-9D1285104007}"/>
    <hyperlink ref="D3" location="'EN_1100_003 Drawing'!A1" display="FileLink1" xr:uid="{8A494E03-AE7D-454C-BC1B-F5C1BFBA9858}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67E5-E5CB-46F5-BCB4-D4A31CE84611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273" t="s">
        <v>354</v>
      </c>
    </row>
  </sheetData>
  <hyperlinks>
    <hyperlink ref="A1" location="EN_1100_003" display="EN_1100_003" xr:uid="{BB8F04E1-D925-49FE-A39B-C1A80C6BFA68}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24ECF-34BC-4D82-9142-57F2E76D1F3B}">
  <sheetPr>
    <tabColor theme="6" tint="0.39997558519241921"/>
  </sheetPr>
  <dimension ref="A1:O24"/>
  <sheetViews>
    <sheetView workbookViewId="0">
      <selection activeCell="B4" sqref="B4"/>
    </sheetView>
  </sheetViews>
  <sheetFormatPr baseColWidth="10" defaultRowHeight="15" x14ac:dyDescent="0.25"/>
  <cols>
    <col min="2" max="2" width="33.7109375" bestFit="1" customWidth="1"/>
    <col min="3" max="3" width="45.28515625" bestFit="1" customWidth="1"/>
    <col min="7" max="7" width="13.7109375" bestFit="1" customWidth="1"/>
    <col min="9" max="9" width="28.28515625" bestFit="1" customWidth="1"/>
  </cols>
  <sheetData>
    <row r="1" spans="1:15" x14ac:dyDescent="0.25">
      <c r="A1" s="150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2"/>
    </row>
    <row r="2" spans="1:15" x14ac:dyDescent="0.25">
      <c r="A2" s="169" t="s">
        <v>0</v>
      </c>
      <c r="B2" s="170" t="s">
        <v>42</v>
      </c>
      <c r="C2" s="44"/>
      <c r="D2" s="44"/>
      <c r="E2" s="44"/>
      <c r="F2" s="44"/>
      <c r="G2" s="44" t="s">
        <v>119</v>
      </c>
      <c r="H2" s="44"/>
      <c r="I2" s="44"/>
      <c r="J2" s="95" t="s">
        <v>1</v>
      </c>
      <c r="K2" s="62">
        <v>81</v>
      </c>
      <c r="L2" s="44"/>
      <c r="M2" s="94" t="s">
        <v>16</v>
      </c>
      <c r="N2" s="60">
        <f>EN_1100_004_m+EN_1100_004_p</f>
        <v>9.0978820921659498</v>
      </c>
      <c r="O2" s="153"/>
    </row>
    <row r="3" spans="1:15" x14ac:dyDescent="0.25">
      <c r="A3" s="171" t="s">
        <v>3</v>
      </c>
      <c r="B3" s="170" t="s">
        <v>134</v>
      </c>
      <c r="C3" s="44"/>
      <c r="D3" s="239" t="s">
        <v>6</v>
      </c>
      <c r="E3" s="44" t="s">
        <v>90</v>
      </c>
      <c r="F3" s="44"/>
      <c r="G3" s="44"/>
      <c r="H3" s="44"/>
      <c r="I3" s="44"/>
      <c r="J3" s="44"/>
      <c r="K3" s="44"/>
      <c r="L3" s="44"/>
      <c r="M3" s="94" t="s">
        <v>4</v>
      </c>
      <c r="N3" s="61">
        <v>1</v>
      </c>
      <c r="O3" s="153"/>
    </row>
    <row r="4" spans="1:15" x14ac:dyDescent="0.25">
      <c r="A4" s="343" t="s">
        <v>5</v>
      </c>
      <c r="B4" s="241" t="s">
        <v>334</v>
      </c>
      <c r="C4" s="44"/>
      <c r="D4" s="94" t="s">
        <v>8</v>
      </c>
      <c r="E4" s="44"/>
      <c r="F4" s="44"/>
      <c r="G4" s="44"/>
      <c r="H4" s="44"/>
      <c r="I4" s="44"/>
      <c r="J4" s="96" t="s">
        <v>6</v>
      </c>
      <c r="K4" s="44"/>
      <c r="L4" s="44"/>
      <c r="M4" s="44"/>
      <c r="N4" s="44"/>
      <c r="O4" s="153"/>
    </row>
    <row r="5" spans="1:15" x14ac:dyDescent="0.25">
      <c r="A5" s="343" t="s">
        <v>15</v>
      </c>
      <c r="B5" s="239" t="s">
        <v>310</v>
      </c>
      <c r="C5" s="44"/>
      <c r="D5" s="94" t="s">
        <v>12</v>
      </c>
      <c r="E5" s="44"/>
      <c r="F5" s="44"/>
      <c r="G5" s="44"/>
      <c r="H5" s="44"/>
      <c r="I5" s="44"/>
      <c r="J5" s="96" t="s">
        <v>8</v>
      </c>
      <c r="K5" s="44"/>
      <c r="L5" s="44"/>
      <c r="M5" s="94" t="s">
        <v>9</v>
      </c>
      <c r="N5" s="60">
        <f>N3*N2</f>
        <v>9.0978820921659498</v>
      </c>
      <c r="O5" s="153"/>
    </row>
    <row r="6" spans="1:15" x14ac:dyDescent="0.25">
      <c r="A6" s="343" t="s">
        <v>7</v>
      </c>
      <c r="B6" s="165" t="s">
        <v>360</v>
      </c>
      <c r="C6" s="44"/>
      <c r="D6" s="44"/>
      <c r="E6" s="44"/>
      <c r="F6" s="44"/>
      <c r="G6" s="44"/>
      <c r="H6" s="44"/>
      <c r="I6" s="44"/>
      <c r="J6" s="96" t="s">
        <v>12</v>
      </c>
      <c r="K6" s="44"/>
      <c r="L6" s="44"/>
      <c r="M6" s="44"/>
      <c r="N6" s="44"/>
      <c r="O6" s="153"/>
    </row>
    <row r="7" spans="1:15" x14ac:dyDescent="0.25">
      <c r="A7" s="173" t="s">
        <v>10</v>
      </c>
      <c r="B7" s="170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153"/>
    </row>
    <row r="8" spans="1:15" x14ac:dyDescent="0.25">
      <c r="A8" s="169" t="s">
        <v>13</v>
      </c>
      <c r="B8" s="10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153"/>
    </row>
    <row r="9" spans="1:15" x14ac:dyDescent="0.25">
      <c r="A9" s="174"/>
      <c r="B9" s="20"/>
      <c r="C9" s="20"/>
      <c r="D9" s="20"/>
      <c r="E9" s="20"/>
      <c r="F9" s="44"/>
      <c r="G9" s="44"/>
      <c r="H9" s="44"/>
      <c r="I9" s="44"/>
      <c r="J9" s="44"/>
      <c r="K9" s="44"/>
      <c r="L9" s="44"/>
      <c r="M9" s="44"/>
      <c r="N9" s="44"/>
      <c r="O9" s="153"/>
    </row>
    <row r="10" spans="1:15" x14ac:dyDescent="0.25">
      <c r="A10" s="175" t="s">
        <v>14</v>
      </c>
      <c r="B10" s="100" t="s">
        <v>19</v>
      </c>
      <c r="C10" s="100" t="s">
        <v>20</v>
      </c>
      <c r="D10" s="100" t="s">
        <v>21</v>
      </c>
      <c r="E10" s="100" t="s">
        <v>22</v>
      </c>
      <c r="F10" s="344" t="s">
        <v>23</v>
      </c>
      <c r="G10" s="344" t="s">
        <v>24</v>
      </c>
      <c r="H10" s="344" t="s">
        <v>25</v>
      </c>
      <c r="I10" s="344" t="s">
        <v>26</v>
      </c>
      <c r="J10" s="344" t="s">
        <v>27</v>
      </c>
      <c r="K10" s="344" t="s">
        <v>28</v>
      </c>
      <c r="L10" s="344" t="s">
        <v>29</v>
      </c>
      <c r="M10" s="344" t="s">
        <v>17</v>
      </c>
      <c r="N10" s="344" t="s">
        <v>18</v>
      </c>
      <c r="O10" s="153"/>
    </row>
    <row r="11" spans="1:15" x14ac:dyDescent="0.25">
      <c r="A11" s="326">
        <v>10</v>
      </c>
      <c r="B11" s="328" t="s">
        <v>234</v>
      </c>
      <c r="C11" s="329" t="s">
        <v>361</v>
      </c>
      <c r="D11" s="320">
        <v>2.25</v>
      </c>
      <c r="E11" s="357">
        <f>J11*K11*L11</f>
        <v>1.4725155965181997</v>
      </c>
      <c r="F11" s="349" t="s">
        <v>155</v>
      </c>
      <c r="G11" s="349"/>
      <c r="H11" s="350"/>
      <c r="I11" s="358" t="s">
        <v>362</v>
      </c>
      <c r="J11" s="359">
        <f>100.841*930.086/1000000</f>
        <v>9.3790802325999983E-2</v>
      </c>
      <c r="K11" s="360">
        <f>2/1000</f>
        <v>2E-3</v>
      </c>
      <c r="L11" s="361">
        <v>7850</v>
      </c>
      <c r="M11" s="362">
        <v>1</v>
      </c>
      <c r="N11" s="325">
        <f>IF(J11="",D11*M11,D11*J11*K11*L11*M11)</f>
        <v>3.3131600921659494</v>
      </c>
      <c r="O11" s="157"/>
    </row>
    <row r="12" spans="1:15" x14ac:dyDescent="0.25">
      <c r="A12" s="15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345" t="s">
        <v>18</v>
      </c>
      <c r="N12" s="98">
        <f>SUM(N11:N11)</f>
        <v>3.3131600921659494</v>
      </c>
      <c r="O12" s="153"/>
    </row>
    <row r="13" spans="1:15" x14ac:dyDescent="0.25">
      <c r="A13" s="15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153"/>
    </row>
    <row r="14" spans="1:15" x14ac:dyDescent="0.25">
      <c r="A14" s="343" t="s">
        <v>14</v>
      </c>
      <c r="B14" s="344" t="s">
        <v>31</v>
      </c>
      <c r="C14" s="344" t="s">
        <v>20</v>
      </c>
      <c r="D14" s="344" t="s">
        <v>21</v>
      </c>
      <c r="E14" s="344" t="s">
        <v>32</v>
      </c>
      <c r="F14" s="344" t="s">
        <v>17</v>
      </c>
      <c r="G14" s="344" t="s">
        <v>33</v>
      </c>
      <c r="H14" s="344" t="s">
        <v>34</v>
      </c>
      <c r="I14" s="344" t="s">
        <v>18</v>
      </c>
      <c r="J14" s="18"/>
      <c r="K14" s="18"/>
      <c r="L14" s="18"/>
      <c r="M14" s="18"/>
      <c r="N14" s="18"/>
      <c r="O14" s="153"/>
    </row>
    <row r="15" spans="1:15" x14ac:dyDescent="0.25">
      <c r="A15" s="326">
        <v>10</v>
      </c>
      <c r="B15" s="319" t="s">
        <v>43</v>
      </c>
      <c r="C15" s="319" t="s">
        <v>363</v>
      </c>
      <c r="D15" s="320">
        <v>1.3</v>
      </c>
      <c r="E15" s="321" t="s">
        <v>32</v>
      </c>
      <c r="F15" s="339">
        <v>1</v>
      </c>
      <c r="G15" s="340"/>
      <c r="H15" s="340"/>
      <c r="I15" s="325">
        <f>IF(H15="",D15*F15,D15*F15*H15)</f>
        <v>1.3</v>
      </c>
      <c r="J15" s="44"/>
      <c r="K15" s="44"/>
      <c r="L15" s="44"/>
      <c r="M15" s="44"/>
      <c r="N15" s="44"/>
      <c r="O15" s="153"/>
    </row>
    <row r="16" spans="1:15" x14ac:dyDescent="0.25">
      <c r="A16" s="326">
        <v>20</v>
      </c>
      <c r="B16" s="319" t="s">
        <v>44</v>
      </c>
      <c r="C16" s="319" t="s">
        <v>364</v>
      </c>
      <c r="D16" s="320">
        <v>0.01</v>
      </c>
      <c r="E16" s="321" t="s">
        <v>45</v>
      </c>
      <c r="F16" s="339">
        <f>(11+7.541*2+13*2+31.416+19+533.083+63.5+7.541*2+27.3*2+31.416+138.488+110.764+14.251+18.85*2+60.192)/10</f>
        <v>116.15740000000001</v>
      </c>
      <c r="G16" s="329" t="s">
        <v>282</v>
      </c>
      <c r="H16" s="356">
        <v>3</v>
      </c>
      <c r="I16" s="325">
        <f>IF(H16="",D16*F16,D16*F16*H16)</f>
        <v>3.4847220000000005</v>
      </c>
      <c r="J16" s="44"/>
      <c r="K16" s="44"/>
      <c r="L16" s="44"/>
      <c r="M16" s="44"/>
      <c r="N16" s="44"/>
      <c r="O16" s="153"/>
    </row>
    <row r="17" spans="1:15" x14ac:dyDescent="0.25">
      <c r="A17" s="326">
        <v>30</v>
      </c>
      <c r="B17" s="319" t="s">
        <v>365</v>
      </c>
      <c r="C17" s="319" t="s">
        <v>366</v>
      </c>
      <c r="D17" s="320">
        <v>0.25</v>
      </c>
      <c r="E17" s="321" t="s">
        <v>367</v>
      </c>
      <c r="F17" s="339">
        <v>4</v>
      </c>
      <c r="G17" s="340"/>
      <c r="H17" s="340"/>
      <c r="I17" s="325">
        <f>IF(H17="",D17*F17,D17*F17*H17)</f>
        <v>1</v>
      </c>
      <c r="J17" s="44"/>
      <c r="K17" s="44"/>
      <c r="L17" s="44"/>
      <c r="M17" s="44"/>
      <c r="N17" s="44"/>
      <c r="O17" s="153"/>
    </row>
    <row r="18" spans="1:15" x14ac:dyDescent="0.25">
      <c r="A18" s="154"/>
      <c r="B18" s="18"/>
      <c r="C18" s="18"/>
      <c r="D18" s="18"/>
      <c r="E18" s="18"/>
      <c r="F18" s="18"/>
      <c r="G18" s="18"/>
      <c r="H18" s="103" t="s">
        <v>18</v>
      </c>
      <c r="I18" s="347">
        <f>SUM(I15:I17)</f>
        <v>5.7847220000000004</v>
      </c>
      <c r="J18" s="44"/>
      <c r="K18" s="44"/>
      <c r="L18" s="44"/>
      <c r="M18" s="44"/>
      <c r="N18" s="44"/>
      <c r="O18" s="153"/>
    </row>
    <row r="19" spans="1:15" x14ac:dyDescent="0.25">
      <c r="A19" s="15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153"/>
    </row>
    <row r="20" spans="1:15" x14ac:dyDescent="0.25">
      <c r="A20" s="15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153"/>
    </row>
    <row r="21" spans="1:15" x14ac:dyDescent="0.25">
      <c r="A21" s="15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153"/>
    </row>
    <row r="22" spans="1:15" x14ac:dyDescent="0.25">
      <c r="A22" s="15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153"/>
    </row>
    <row r="23" spans="1:15" x14ac:dyDescent="0.25">
      <c r="A23" s="15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153"/>
    </row>
    <row r="24" spans="1:15" ht="15.75" thickBot="1" x14ac:dyDescent="0.3">
      <c r="A24" s="162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4"/>
    </row>
  </sheetData>
  <hyperlinks>
    <hyperlink ref="B4" location="EN_A1100" display="Driveshaft" xr:uid="{2DE3E143-0FE8-49BE-91D6-67CEA81AD226}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9F532-E438-4A91-8BBE-37996A16BC9A}">
  <sheetPr>
    <tabColor theme="6" tint="0.39997558519241921"/>
  </sheetPr>
  <dimension ref="A1"/>
  <sheetViews>
    <sheetView workbookViewId="0">
      <selection activeCell="O18" sqref="O18"/>
    </sheetView>
  </sheetViews>
  <sheetFormatPr baseColWidth="10" defaultRowHeight="15" x14ac:dyDescent="0.25"/>
  <sheetData>
    <row r="1" spans="1:1" x14ac:dyDescent="0.25">
      <c r="A1" s="65" t="s">
        <v>360</v>
      </c>
    </row>
  </sheetData>
  <hyperlinks>
    <hyperlink ref="A1" location="EN_1100_004" display="EN_1100_004" xr:uid="{557BA407-7ABB-4CFE-84CF-3B7E140F3DC9}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C2C81-73DB-4AE6-B890-A435F6FB02D3}">
  <sheetPr>
    <tabColor theme="6" tint="0.39997558519241921"/>
  </sheetPr>
  <dimension ref="A1:Q23"/>
  <sheetViews>
    <sheetView zoomScale="85" zoomScaleNormal="85" workbookViewId="0"/>
  </sheetViews>
  <sheetFormatPr baseColWidth="10" defaultRowHeight="15" x14ac:dyDescent="0.25"/>
  <cols>
    <col min="2" max="2" width="35.42578125" bestFit="1" customWidth="1"/>
    <col min="3" max="3" width="33.140625" bestFit="1" customWidth="1"/>
    <col min="7" max="7" width="12" bestFit="1" customWidth="1"/>
    <col min="9" max="9" width="28" bestFit="1" customWidth="1"/>
  </cols>
  <sheetData>
    <row r="1" spans="1:17" x14ac:dyDescent="0.25">
      <c r="A1" s="150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2"/>
    </row>
    <row r="2" spans="1:17" x14ac:dyDescent="0.25">
      <c r="A2" s="169" t="s">
        <v>0</v>
      </c>
      <c r="B2" s="170" t="s">
        <v>42</v>
      </c>
      <c r="C2" s="44"/>
      <c r="D2" s="44"/>
      <c r="E2" s="44"/>
      <c r="F2" s="44"/>
      <c r="G2" s="44" t="s">
        <v>119</v>
      </c>
      <c r="H2" s="44"/>
      <c r="I2" s="44"/>
      <c r="J2" s="95" t="s">
        <v>1</v>
      </c>
      <c r="K2" s="62">
        <v>81</v>
      </c>
      <c r="L2" s="44"/>
      <c r="M2" s="94" t="s">
        <v>16</v>
      </c>
      <c r="N2" s="60">
        <f>EN_1100_005_m+EN_1100_005_p</f>
        <v>1.7144014375000001</v>
      </c>
      <c r="O2" s="153"/>
    </row>
    <row r="3" spans="1:17" x14ac:dyDescent="0.25">
      <c r="A3" s="171" t="s">
        <v>3</v>
      </c>
      <c r="B3" s="170" t="s">
        <v>134</v>
      </c>
      <c r="C3" s="44"/>
      <c r="D3" s="241" t="s">
        <v>6</v>
      </c>
      <c r="E3" s="44" t="s">
        <v>90</v>
      </c>
      <c r="F3" s="44"/>
      <c r="G3" s="44"/>
      <c r="H3" s="44"/>
      <c r="I3" s="44"/>
      <c r="J3" s="44"/>
      <c r="K3" s="44"/>
      <c r="L3" s="44"/>
      <c r="M3" s="94" t="s">
        <v>4</v>
      </c>
      <c r="N3" s="61">
        <v>1</v>
      </c>
      <c r="O3" s="153"/>
    </row>
    <row r="4" spans="1:17" x14ac:dyDescent="0.25">
      <c r="A4" s="343" t="s">
        <v>5</v>
      </c>
      <c r="B4" s="241" t="s">
        <v>334</v>
      </c>
      <c r="C4" s="44"/>
      <c r="D4" s="94" t="s">
        <v>8</v>
      </c>
      <c r="E4" s="44"/>
      <c r="F4" s="44"/>
      <c r="G4" s="44"/>
      <c r="H4" s="44"/>
      <c r="I4" s="44"/>
      <c r="J4" s="96" t="s">
        <v>6</v>
      </c>
      <c r="K4" s="44"/>
      <c r="L4" s="44"/>
      <c r="M4" s="44"/>
      <c r="N4" s="44"/>
      <c r="O4" s="153"/>
    </row>
    <row r="5" spans="1:17" x14ac:dyDescent="0.25">
      <c r="A5" s="343" t="s">
        <v>15</v>
      </c>
      <c r="B5" s="239" t="s">
        <v>368</v>
      </c>
      <c r="C5" s="44"/>
      <c r="D5" s="94" t="s">
        <v>12</v>
      </c>
      <c r="E5" s="44"/>
      <c r="F5" s="44"/>
      <c r="G5" s="44"/>
      <c r="H5" s="44"/>
      <c r="I5" s="44"/>
      <c r="J5" s="96" t="s">
        <v>8</v>
      </c>
      <c r="K5" s="44"/>
      <c r="L5" s="44"/>
      <c r="M5" s="94" t="s">
        <v>9</v>
      </c>
      <c r="N5" s="60">
        <f>N3*N2</f>
        <v>1.7144014375000001</v>
      </c>
      <c r="O5" s="153"/>
    </row>
    <row r="6" spans="1:17" x14ac:dyDescent="0.25">
      <c r="A6" s="343" t="s">
        <v>7</v>
      </c>
      <c r="B6" s="165" t="s">
        <v>369</v>
      </c>
      <c r="C6" s="44"/>
      <c r="D6" s="44"/>
      <c r="E6" s="44"/>
      <c r="F6" s="44"/>
      <c r="G6" s="44"/>
      <c r="H6" s="44"/>
      <c r="I6" s="44"/>
      <c r="J6" s="96" t="s">
        <v>12</v>
      </c>
      <c r="K6" s="44"/>
      <c r="L6" s="44"/>
      <c r="M6" s="44"/>
      <c r="N6" s="44"/>
      <c r="O6" s="153"/>
    </row>
    <row r="7" spans="1:17" x14ac:dyDescent="0.25">
      <c r="A7" s="173" t="s">
        <v>10</v>
      </c>
      <c r="B7" s="170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153"/>
    </row>
    <row r="8" spans="1:17" x14ac:dyDescent="0.25">
      <c r="A8" s="169" t="s">
        <v>13</v>
      </c>
      <c r="B8" s="10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153"/>
    </row>
    <row r="9" spans="1:17" x14ac:dyDescent="0.25">
      <c r="A9" s="174"/>
      <c r="B9" s="20"/>
      <c r="C9" s="20"/>
      <c r="D9" s="20"/>
      <c r="E9" s="20"/>
      <c r="F9" s="44"/>
      <c r="G9" s="44"/>
      <c r="H9" s="44"/>
      <c r="I9" s="44"/>
      <c r="J9" s="44"/>
      <c r="K9" s="44"/>
      <c r="L9" s="44"/>
      <c r="M9" s="44"/>
      <c r="N9" s="44"/>
      <c r="O9" s="153"/>
    </row>
    <row r="10" spans="1:17" x14ac:dyDescent="0.25">
      <c r="A10" s="175" t="s">
        <v>14</v>
      </c>
      <c r="B10" s="100" t="s">
        <v>19</v>
      </c>
      <c r="C10" s="100" t="s">
        <v>20</v>
      </c>
      <c r="D10" s="100" t="s">
        <v>21</v>
      </c>
      <c r="E10" s="100" t="s">
        <v>22</v>
      </c>
      <c r="F10" s="176" t="s">
        <v>23</v>
      </c>
      <c r="G10" s="176" t="s">
        <v>24</v>
      </c>
      <c r="H10" s="176" t="s">
        <v>25</v>
      </c>
      <c r="I10" s="176" t="s">
        <v>26</v>
      </c>
      <c r="J10" s="176" t="s">
        <v>27</v>
      </c>
      <c r="K10" s="176" t="s">
        <v>28</v>
      </c>
      <c r="L10" s="176" t="s">
        <v>29</v>
      </c>
      <c r="M10" s="176" t="s">
        <v>17</v>
      </c>
      <c r="N10" s="176" t="s">
        <v>18</v>
      </c>
      <c r="O10" s="153"/>
    </row>
    <row r="11" spans="1:17" x14ac:dyDescent="0.25">
      <c r="A11" s="183">
        <v>10</v>
      </c>
      <c r="B11" s="209" t="s">
        <v>234</v>
      </c>
      <c r="C11" s="179" t="s">
        <v>235</v>
      </c>
      <c r="D11" s="131">
        <v>2.25</v>
      </c>
      <c r="E11" s="132">
        <f>J11*K11*L11</f>
        <v>1.8015750000000001E-2</v>
      </c>
      <c r="F11" s="130" t="s">
        <v>155</v>
      </c>
      <c r="G11" s="130"/>
      <c r="H11" s="133"/>
      <c r="I11" s="134" t="s">
        <v>370</v>
      </c>
      <c r="J11" s="134">
        <f>30.6*25/1000000</f>
        <v>7.6499999999999995E-4</v>
      </c>
      <c r="K11" s="135">
        <f>3/1000</f>
        <v>3.0000000000000001E-3</v>
      </c>
      <c r="L11" s="136">
        <v>7850</v>
      </c>
      <c r="M11" s="136">
        <v>1</v>
      </c>
      <c r="N11" s="131">
        <f>M11*L11*J11*K11*D11</f>
        <v>4.0535437499999993E-2</v>
      </c>
      <c r="O11" s="157"/>
    </row>
    <row r="12" spans="1:17" x14ac:dyDescent="0.25">
      <c r="A12" s="15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2" t="s">
        <v>18</v>
      </c>
      <c r="N12" s="98">
        <f>SUM(N11:N11)</f>
        <v>4.0535437499999993E-2</v>
      </c>
      <c r="O12" s="153"/>
    </row>
    <row r="13" spans="1:17" x14ac:dyDescent="0.25">
      <c r="A13" s="15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153"/>
    </row>
    <row r="14" spans="1:17" x14ac:dyDescent="0.25">
      <c r="A14" s="172" t="s">
        <v>14</v>
      </c>
      <c r="B14" s="176" t="s">
        <v>31</v>
      </c>
      <c r="C14" s="176" t="s">
        <v>20</v>
      </c>
      <c r="D14" s="176" t="s">
        <v>21</v>
      </c>
      <c r="E14" s="176" t="s">
        <v>32</v>
      </c>
      <c r="F14" s="176" t="s">
        <v>17</v>
      </c>
      <c r="G14" s="176" t="s">
        <v>33</v>
      </c>
      <c r="H14" s="176" t="s">
        <v>34</v>
      </c>
      <c r="I14" s="176" t="s">
        <v>18</v>
      </c>
      <c r="J14" s="18"/>
      <c r="K14" s="18"/>
      <c r="L14" s="18"/>
      <c r="M14" s="18"/>
      <c r="N14" s="18"/>
      <c r="O14" s="153"/>
    </row>
    <row r="15" spans="1:17" x14ac:dyDescent="0.25">
      <c r="A15" s="177">
        <v>10</v>
      </c>
      <c r="B15" s="210" t="s">
        <v>43</v>
      </c>
      <c r="C15" s="185" t="s">
        <v>218</v>
      </c>
      <c r="D15" s="211">
        <v>1.3</v>
      </c>
      <c r="E15" s="187" t="s">
        <v>32</v>
      </c>
      <c r="F15" s="187">
        <v>1</v>
      </c>
      <c r="G15" s="197"/>
      <c r="H15" s="185"/>
      <c r="I15" s="131">
        <f>IF(H15="",D15*F15,D15*F15*H15)</f>
        <v>1.3</v>
      </c>
      <c r="J15" s="46"/>
      <c r="K15" s="46"/>
      <c r="L15" s="46"/>
      <c r="M15" s="46"/>
      <c r="N15" s="46"/>
      <c r="O15" s="153"/>
      <c r="Q15" s="249"/>
    </row>
    <row r="16" spans="1:17" x14ac:dyDescent="0.25">
      <c r="A16" s="195">
        <v>20</v>
      </c>
      <c r="B16" s="185" t="s">
        <v>44</v>
      </c>
      <c r="C16" s="206" t="s">
        <v>238</v>
      </c>
      <c r="D16" s="211">
        <v>0.01</v>
      </c>
      <c r="E16" s="187" t="s">
        <v>45</v>
      </c>
      <c r="F16" s="187">
        <f>124.622/10</f>
        <v>12.462199999999999</v>
      </c>
      <c r="G16" s="187" t="s">
        <v>237</v>
      </c>
      <c r="H16" s="187">
        <v>3</v>
      </c>
      <c r="I16" s="131">
        <f>IF(H16="",D16*F16,D16*F16*H16)</f>
        <v>0.37386599999999998</v>
      </c>
      <c r="J16" s="46"/>
      <c r="K16" s="46"/>
      <c r="L16" s="46"/>
      <c r="M16" s="46"/>
      <c r="N16" s="46"/>
      <c r="O16" s="153"/>
    </row>
    <row r="17" spans="1:15" x14ac:dyDescent="0.25">
      <c r="A17" s="158"/>
      <c r="B17" s="18"/>
      <c r="C17" s="18"/>
      <c r="D17" s="18"/>
      <c r="E17" s="18"/>
      <c r="F17" s="18"/>
      <c r="G17" s="18"/>
      <c r="H17" s="103" t="s">
        <v>18</v>
      </c>
      <c r="I17" s="98">
        <f>SUM(I15:I16)</f>
        <v>1.6738660000000001</v>
      </c>
      <c r="J17" s="18"/>
      <c r="K17" s="18"/>
      <c r="L17" s="18"/>
      <c r="M17" s="18"/>
      <c r="N17" s="18"/>
      <c r="O17" s="153"/>
    </row>
    <row r="18" spans="1:15" x14ac:dyDescent="0.25">
      <c r="A18" s="15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153"/>
    </row>
    <row r="19" spans="1:15" x14ac:dyDescent="0.25">
      <c r="A19" s="15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153"/>
    </row>
    <row r="20" spans="1:15" x14ac:dyDescent="0.25">
      <c r="A20" s="15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153"/>
    </row>
    <row r="21" spans="1:15" x14ac:dyDescent="0.25">
      <c r="A21" s="15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153"/>
    </row>
    <row r="22" spans="1:15" x14ac:dyDescent="0.25">
      <c r="A22" s="15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153"/>
    </row>
    <row r="23" spans="1:15" ht="15.75" thickBot="1" x14ac:dyDescent="0.3">
      <c r="A23" s="162"/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4"/>
    </row>
  </sheetData>
  <hyperlinks>
    <hyperlink ref="B4" location="EN_A1100" display="Driveshaft" xr:uid="{EF4C806F-12A5-4C08-A281-25FE1E3EFA25}"/>
    <hyperlink ref="D3" location="'EN_1100_005 Drawing'!A1" display="FileLink1" xr:uid="{62D14DB8-5112-40A5-92B2-BFF897B9F0A2}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3792D-1616-43C8-8E4C-2D8388A2C5D5}">
  <sheetPr>
    <tabColor theme="6" tint="0.39997558519241921"/>
  </sheetPr>
  <dimension ref="A1"/>
  <sheetViews>
    <sheetView workbookViewId="0">
      <selection activeCell="N29" sqref="N29"/>
    </sheetView>
  </sheetViews>
  <sheetFormatPr baseColWidth="10" defaultRowHeight="15" x14ac:dyDescent="0.25"/>
  <sheetData>
    <row r="1" spans="1:1" x14ac:dyDescent="0.25">
      <c r="A1" s="65" t="s">
        <v>369</v>
      </c>
    </row>
  </sheetData>
  <hyperlinks>
    <hyperlink ref="A1" location="EN_1100_005" display="EN_1100_005" xr:uid="{74E82E69-440C-45D7-8F9E-9D7551F2EC58}"/>
  </hyperlink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A2803-A8AA-46A9-BBF0-8BFC767AC654}">
  <sheetPr>
    <tabColor theme="6" tint="0.39997558519241921"/>
  </sheetPr>
  <dimension ref="A1:O23"/>
  <sheetViews>
    <sheetView workbookViewId="0">
      <selection activeCell="D3" sqref="D3"/>
    </sheetView>
  </sheetViews>
  <sheetFormatPr baseColWidth="10" defaultRowHeight="15" x14ac:dyDescent="0.25"/>
  <cols>
    <col min="2" max="2" width="33.7109375" bestFit="1" customWidth="1"/>
    <col min="3" max="3" width="31" bestFit="1" customWidth="1"/>
    <col min="7" max="7" width="14" bestFit="1" customWidth="1"/>
    <col min="9" max="9" width="27" bestFit="1" customWidth="1"/>
  </cols>
  <sheetData>
    <row r="1" spans="1:15" x14ac:dyDescent="0.25">
      <c r="A1" s="150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2"/>
    </row>
    <row r="2" spans="1:15" x14ac:dyDescent="0.25">
      <c r="A2" s="169" t="s">
        <v>0</v>
      </c>
      <c r="B2" s="170" t="s">
        <v>42</v>
      </c>
      <c r="C2" s="44"/>
      <c r="D2" s="44"/>
      <c r="E2" s="44"/>
      <c r="F2" s="44"/>
      <c r="G2" s="44" t="s">
        <v>119</v>
      </c>
      <c r="H2" s="44"/>
      <c r="I2" s="44"/>
      <c r="J2" s="95" t="s">
        <v>1</v>
      </c>
      <c r="K2" s="62">
        <v>81</v>
      </c>
      <c r="L2" s="44"/>
      <c r="M2" s="94" t="s">
        <v>16</v>
      </c>
      <c r="N2" s="60">
        <f>EN_1100_006_m+EN_1100_006_p</f>
        <v>1.7139456024999999</v>
      </c>
      <c r="O2" s="153"/>
    </row>
    <row r="3" spans="1:15" x14ac:dyDescent="0.25">
      <c r="A3" s="171" t="s">
        <v>3</v>
      </c>
      <c r="B3" s="170" t="s">
        <v>134</v>
      </c>
      <c r="C3" s="44"/>
      <c r="D3" s="241" t="s">
        <v>6</v>
      </c>
      <c r="E3" s="44" t="s">
        <v>90</v>
      </c>
      <c r="F3" s="44"/>
      <c r="G3" s="44"/>
      <c r="H3" s="44"/>
      <c r="I3" s="44"/>
      <c r="J3" s="44"/>
      <c r="K3" s="44"/>
      <c r="L3" s="44"/>
      <c r="M3" s="94" t="s">
        <v>4</v>
      </c>
      <c r="N3" s="61">
        <v>1</v>
      </c>
      <c r="O3" s="153"/>
    </row>
    <row r="4" spans="1:15" x14ac:dyDescent="0.25">
      <c r="A4" s="343" t="s">
        <v>5</v>
      </c>
      <c r="B4" s="241" t="s">
        <v>334</v>
      </c>
      <c r="C4" s="44"/>
      <c r="D4" s="94" t="s">
        <v>8</v>
      </c>
      <c r="E4" s="44"/>
      <c r="F4" s="44"/>
      <c r="G4" s="44"/>
      <c r="H4" s="44"/>
      <c r="I4" s="44"/>
      <c r="J4" s="96" t="s">
        <v>6</v>
      </c>
      <c r="K4" s="44"/>
      <c r="L4" s="44"/>
      <c r="M4" s="44"/>
      <c r="N4" s="44"/>
      <c r="O4" s="153"/>
    </row>
    <row r="5" spans="1:15" x14ac:dyDescent="0.25">
      <c r="A5" s="343" t="s">
        <v>15</v>
      </c>
      <c r="B5" s="239" t="s">
        <v>373</v>
      </c>
      <c r="C5" s="44"/>
      <c r="D5" s="94" t="s">
        <v>12</v>
      </c>
      <c r="E5" s="44"/>
      <c r="F5" s="44"/>
      <c r="G5" s="44"/>
      <c r="H5" s="44"/>
      <c r="I5" s="44"/>
      <c r="J5" s="96" t="s">
        <v>8</v>
      </c>
      <c r="K5" s="44"/>
      <c r="L5" s="44"/>
      <c r="M5" s="94" t="s">
        <v>9</v>
      </c>
      <c r="N5" s="60">
        <f>N3*N2</f>
        <v>1.7139456024999999</v>
      </c>
      <c r="O5" s="153"/>
    </row>
    <row r="6" spans="1:15" x14ac:dyDescent="0.25">
      <c r="A6" s="343" t="s">
        <v>7</v>
      </c>
      <c r="B6" s="165" t="s">
        <v>371</v>
      </c>
      <c r="C6" s="44"/>
      <c r="D6" s="44"/>
      <c r="E6" s="44"/>
      <c r="F6" s="44"/>
      <c r="G6" s="44"/>
      <c r="H6" s="44"/>
      <c r="I6" s="44"/>
      <c r="J6" s="96" t="s">
        <v>12</v>
      </c>
      <c r="K6" s="44"/>
      <c r="L6" s="44"/>
      <c r="M6" s="44"/>
      <c r="N6" s="44"/>
      <c r="O6" s="153"/>
    </row>
    <row r="7" spans="1:15" x14ac:dyDescent="0.25">
      <c r="A7" s="173" t="s">
        <v>10</v>
      </c>
      <c r="B7" s="170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153"/>
    </row>
    <row r="8" spans="1:15" x14ac:dyDescent="0.25">
      <c r="A8" s="169" t="s">
        <v>13</v>
      </c>
      <c r="B8" s="10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153"/>
    </row>
    <row r="9" spans="1:15" x14ac:dyDescent="0.25">
      <c r="A9" s="174"/>
      <c r="B9" s="20"/>
      <c r="C9" s="20"/>
      <c r="D9" s="20"/>
      <c r="E9" s="20"/>
      <c r="F9" s="44"/>
      <c r="G9" s="44"/>
      <c r="H9" s="44"/>
      <c r="I9" s="44"/>
      <c r="J9" s="44"/>
      <c r="K9" s="44"/>
      <c r="L9" s="44"/>
      <c r="M9" s="44"/>
      <c r="N9" s="44"/>
      <c r="O9" s="153"/>
    </row>
    <row r="10" spans="1:15" x14ac:dyDescent="0.25">
      <c r="A10" s="175" t="s">
        <v>14</v>
      </c>
      <c r="B10" s="100" t="s">
        <v>19</v>
      </c>
      <c r="C10" s="100" t="s">
        <v>20</v>
      </c>
      <c r="D10" s="100" t="s">
        <v>21</v>
      </c>
      <c r="E10" s="100" t="s">
        <v>22</v>
      </c>
      <c r="F10" s="176" t="s">
        <v>23</v>
      </c>
      <c r="G10" s="176" t="s">
        <v>24</v>
      </c>
      <c r="H10" s="176" t="s">
        <v>25</v>
      </c>
      <c r="I10" s="176" t="s">
        <v>26</v>
      </c>
      <c r="J10" s="176" t="s">
        <v>27</v>
      </c>
      <c r="K10" s="176" t="s">
        <v>28</v>
      </c>
      <c r="L10" s="176" t="s">
        <v>29</v>
      </c>
      <c r="M10" s="176" t="s">
        <v>17</v>
      </c>
      <c r="N10" s="176" t="s">
        <v>18</v>
      </c>
      <c r="O10" s="153"/>
    </row>
    <row r="11" spans="1:15" x14ac:dyDescent="0.25">
      <c r="A11" s="183">
        <v>10</v>
      </c>
      <c r="B11" s="209" t="s">
        <v>234</v>
      </c>
      <c r="C11" s="179" t="s">
        <v>235</v>
      </c>
      <c r="D11" s="131">
        <v>2.25</v>
      </c>
      <c r="E11" s="132">
        <f>J11*K11*L11</f>
        <v>1.6574490000000001E-2</v>
      </c>
      <c r="F11" s="130" t="s">
        <v>155</v>
      </c>
      <c r="G11" s="130"/>
      <c r="H11" s="133"/>
      <c r="I11" s="134" t="s">
        <v>372</v>
      </c>
      <c r="J11" s="134">
        <f>30.6*23/1000000</f>
        <v>7.0380000000000009E-4</v>
      </c>
      <c r="K11" s="135">
        <f>3/1000</f>
        <v>3.0000000000000001E-3</v>
      </c>
      <c r="L11" s="136">
        <v>7850</v>
      </c>
      <c r="M11" s="136">
        <v>1</v>
      </c>
      <c r="N11" s="131">
        <f>M11*L11*J11*K11*D11</f>
        <v>3.7292602500000001E-2</v>
      </c>
      <c r="O11" s="157"/>
    </row>
    <row r="12" spans="1:15" x14ac:dyDescent="0.25">
      <c r="A12" s="15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2" t="s">
        <v>18</v>
      </c>
      <c r="N12" s="98">
        <f>SUM(N11:N11)</f>
        <v>3.7292602500000001E-2</v>
      </c>
      <c r="O12" s="153"/>
    </row>
    <row r="13" spans="1:15" x14ac:dyDescent="0.25">
      <c r="A13" s="15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153"/>
    </row>
    <row r="14" spans="1:15" x14ac:dyDescent="0.25">
      <c r="A14" s="172" t="s">
        <v>14</v>
      </c>
      <c r="B14" s="176" t="s">
        <v>31</v>
      </c>
      <c r="C14" s="176" t="s">
        <v>20</v>
      </c>
      <c r="D14" s="176" t="s">
        <v>21</v>
      </c>
      <c r="E14" s="176" t="s">
        <v>32</v>
      </c>
      <c r="F14" s="176" t="s">
        <v>17</v>
      </c>
      <c r="G14" s="176" t="s">
        <v>33</v>
      </c>
      <c r="H14" s="176" t="s">
        <v>34</v>
      </c>
      <c r="I14" s="176" t="s">
        <v>18</v>
      </c>
      <c r="J14" s="18"/>
      <c r="K14" s="18"/>
      <c r="L14" s="18"/>
      <c r="M14" s="18"/>
      <c r="N14" s="18"/>
      <c r="O14" s="153"/>
    </row>
    <row r="15" spans="1:15" x14ac:dyDescent="0.25">
      <c r="A15" s="177">
        <v>10</v>
      </c>
      <c r="B15" s="210" t="s">
        <v>43</v>
      </c>
      <c r="C15" s="185" t="s">
        <v>218</v>
      </c>
      <c r="D15" s="211">
        <v>1.3</v>
      </c>
      <c r="E15" s="187" t="s">
        <v>32</v>
      </c>
      <c r="F15" s="187">
        <v>1</v>
      </c>
      <c r="G15" s="197"/>
      <c r="H15" s="185"/>
      <c r="I15" s="131">
        <f>IF(H15="",D15*F15,D15*F15*H15)</f>
        <v>1.3</v>
      </c>
      <c r="J15" s="46"/>
      <c r="K15" s="46"/>
      <c r="L15" s="46"/>
      <c r="M15" s="46"/>
      <c r="N15" s="46"/>
      <c r="O15" s="153"/>
    </row>
    <row r="16" spans="1:15" x14ac:dyDescent="0.25">
      <c r="A16" s="195">
        <v>20</v>
      </c>
      <c r="B16" s="185" t="s">
        <v>44</v>
      </c>
      <c r="C16" s="206" t="s">
        <v>238</v>
      </c>
      <c r="D16" s="211">
        <v>0.01</v>
      </c>
      <c r="E16" s="187" t="s">
        <v>45</v>
      </c>
      <c r="F16" s="187">
        <f>125.551/10</f>
        <v>12.555099999999999</v>
      </c>
      <c r="G16" s="187" t="s">
        <v>237</v>
      </c>
      <c r="H16" s="187">
        <v>3</v>
      </c>
      <c r="I16" s="131">
        <f>IF(H16="",D16*F16,D16*F16*H16)</f>
        <v>0.37665300000000002</v>
      </c>
      <c r="J16" s="46"/>
      <c r="K16" s="46"/>
      <c r="L16" s="46"/>
      <c r="M16" s="46"/>
      <c r="N16" s="46"/>
      <c r="O16" s="153"/>
    </row>
    <row r="17" spans="1:15" x14ac:dyDescent="0.25">
      <c r="A17" s="158"/>
      <c r="B17" s="18"/>
      <c r="C17" s="18"/>
      <c r="D17" s="18"/>
      <c r="E17" s="18"/>
      <c r="F17" s="18"/>
      <c r="G17" s="18"/>
      <c r="H17" s="103" t="s">
        <v>18</v>
      </c>
      <c r="I17" s="98">
        <f>SUM(I15:I16)</f>
        <v>1.6766529999999999</v>
      </c>
      <c r="J17" s="18"/>
      <c r="K17" s="18"/>
      <c r="L17" s="18"/>
      <c r="M17" s="18"/>
      <c r="N17" s="18"/>
      <c r="O17" s="153"/>
    </row>
    <row r="18" spans="1:15" x14ac:dyDescent="0.25">
      <c r="A18" s="15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153"/>
    </row>
    <row r="19" spans="1:15" x14ac:dyDescent="0.25">
      <c r="A19" s="15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153"/>
    </row>
    <row r="20" spans="1:15" x14ac:dyDescent="0.25">
      <c r="A20" s="15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153"/>
    </row>
    <row r="21" spans="1:15" x14ac:dyDescent="0.25">
      <c r="A21" s="15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153"/>
    </row>
    <row r="22" spans="1:15" x14ac:dyDescent="0.25">
      <c r="A22" s="15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153"/>
    </row>
    <row r="23" spans="1:15" ht="15.75" thickBot="1" x14ac:dyDescent="0.3">
      <c r="A23" s="162"/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4"/>
    </row>
  </sheetData>
  <hyperlinks>
    <hyperlink ref="B4" location="EN_A1100" display="Driveshaft" xr:uid="{94110715-C8E4-45D6-9125-D95D51DA3FCE}"/>
    <hyperlink ref="D3" location="'EN_1100_006 Drawing'!A1" display="FileLink1" xr:uid="{A30933CD-1D49-4094-803B-AB349BAE1DFE}"/>
  </hyperlink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AD3B-F57C-41C0-B6E2-524E0F98DB82}">
  <sheetPr>
    <tabColor theme="6" tint="0.39997558519241921"/>
  </sheetPr>
  <dimension ref="A1"/>
  <sheetViews>
    <sheetView tabSelected="1" topLeftCell="A13" workbookViewId="0">
      <selection activeCell="P9" sqref="P9"/>
    </sheetView>
  </sheetViews>
  <sheetFormatPr baseColWidth="10" defaultRowHeight="15" x14ac:dyDescent="0.25"/>
  <sheetData>
    <row r="1" spans="1:1" x14ac:dyDescent="0.25">
      <c r="A1" s="65" t="s">
        <v>371</v>
      </c>
    </row>
  </sheetData>
  <hyperlinks>
    <hyperlink ref="A1" location="EN_1100_006" display="EN_1100_006" xr:uid="{1588CF3A-87FF-43C8-91C3-441A75AE576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  <pageSetUpPr fitToPage="1"/>
  </sheetPr>
  <dimension ref="A1:O40"/>
  <sheetViews>
    <sheetView zoomScale="70" zoomScaleNormal="70" workbookViewId="0">
      <selection activeCell="Q15" sqref="Q15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14.140625"/>
    <col min="8" max="8" width="10.5703125"/>
    <col min="9" max="9" width="20" bestFit="1" customWidth="1"/>
    <col min="10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</row>
    <row r="2" spans="1:15" x14ac:dyDescent="0.25">
      <c r="A2" s="94" t="s">
        <v>0</v>
      </c>
      <c r="B2" s="118" t="s">
        <v>42</v>
      </c>
      <c r="C2" s="44"/>
      <c r="D2" s="44"/>
      <c r="E2" s="44"/>
      <c r="F2" s="44"/>
      <c r="G2" s="44" t="s">
        <v>119</v>
      </c>
      <c r="H2" s="44"/>
      <c r="I2" s="44"/>
      <c r="J2" s="95" t="s">
        <v>1</v>
      </c>
      <c r="K2" s="62">
        <v>81</v>
      </c>
      <c r="L2" s="44"/>
      <c r="M2" s="94" t="s">
        <v>16</v>
      </c>
      <c r="N2" s="60">
        <f>EN_0900_001_m+EN_0900_001_p+EN_0900_001_f</f>
        <v>125.93892271516907</v>
      </c>
      <c r="O2" s="50"/>
    </row>
    <row r="3" spans="1:15" x14ac:dyDescent="0.25">
      <c r="A3" s="94" t="s">
        <v>3</v>
      </c>
      <c r="B3" s="118" t="s">
        <v>134</v>
      </c>
      <c r="C3" s="44"/>
      <c r="D3" s="94" t="s">
        <v>6</v>
      </c>
      <c r="E3" t="s">
        <v>90</v>
      </c>
      <c r="F3" s="44"/>
      <c r="G3" s="44"/>
      <c r="H3" s="44"/>
      <c r="I3" s="44"/>
      <c r="J3" s="44"/>
      <c r="K3" s="44"/>
      <c r="L3" s="44"/>
      <c r="M3" s="94" t="s">
        <v>4</v>
      </c>
      <c r="N3" s="61">
        <v>1</v>
      </c>
      <c r="O3" s="50"/>
    </row>
    <row r="4" spans="1:15" x14ac:dyDescent="0.25">
      <c r="A4" s="94" t="s">
        <v>5</v>
      </c>
      <c r="B4" s="65" t="s">
        <v>135</v>
      </c>
      <c r="C4" s="44"/>
      <c r="D4" s="94" t="s">
        <v>8</v>
      </c>
      <c r="E4" s="44"/>
      <c r="F4" s="44"/>
      <c r="G4" s="44"/>
      <c r="H4" s="44"/>
      <c r="I4" s="44"/>
      <c r="J4" s="96" t="s">
        <v>6</v>
      </c>
      <c r="K4" s="44"/>
      <c r="L4" s="44"/>
      <c r="M4" s="44"/>
      <c r="N4" s="44"/>
      <c r="O4" s="50"/>
    </row>
    <row r="5" spans="1:15" x14ac:dyDescent="0.25">
      <c r="A5" s="94" t="s">
        <v>15</v>
      </c>
      <c r="B5" s="104" t="s">
        <v>137</v>
      </c>
      <c r="C5" s="44"/>
      <c r="D5" s="94" t="s">
        <v>12</v>
      </c>
      <c r="E5" s="44"/>
      <c r="F5" s="44"/>
      <c r="G5" s="44"/>
      <c r="H5" s="44"/>
      <c r="I5" s="44"/>
      <c r="J5" s="96" t="s">
        <v>8</v>
      </c>
      <c r="K5" s="44"/>
      <c r="L5" s="44"/>
      <c r="M5" s="94" t="s">
        <v>9</v>
      </c>
      <c r="N5" s="60">
        <f>N3*N2</f>
        <v>125.93892271516907</v>
      </c>
      <c r="O5" s="50"/>
    </row>
    <row r="6" spans="1:15" x14ac:dyDescent="0.25">
      <c r="A6" s="94" t="s">
        <v>7</v>
      </c>
      <c r="B6" s="119" t="s">
        <v>158</v>
      </c>
      <c r="C6" s="44"/>
      <c r="D6" s="44"/>
      <c r="E6" s="44"/>
      <c r="F6" s="44"/>
      <c r="G6" s="44"/>
      <c r="H6" s="44"/>
      <c r="I6" s="44"/>
      <c r="J6" s="96" t="s">
        <v>12</v>
      </c>
      <c r="K6" s="44"/>
      <c r="L6" s="44"/>
      <c r="M6" s="44"/>
      <c r="N6" s="44"/>
      <c r="O6" s="50"/>
    </row>
    <row r="7" spans="1:15" x14ac:dyDescent="0.25">
      <c r="A7" s="94" t="s">
        <v>10</v>
      </c>
      <c r="B7" s="118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50"/>
    </row>
    <row r="8" spans="1:15" x14ac:dyDescent="0.25">
      <c r="A8" s="94" t="s">
        <v>13</v>
      </c>
      <c r="B8" s="104" t="s">
        <v>153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50"/>
    </row>
    <row r="9" spans="1:15" x14ac:dyDescent="0.25">
      <c r="A9" s="63"/>
      <c r="B9" s="20"/>
      <c r="C9" s="20"/>
      <c r="D9" s="20"/>
      <c r="E9" s="20"/>
      <c r="F9" s="44"/>
      <c r="G9" s="44"/>
      <c r="H9" s="44"/>
      <c r="I9" s="44"/>
      <c r="J9" s="44"/>
      <c r="K9" s="44"/>
      <c r="L9" s="44"/>
      <c r="M9" s="44"/>
      <c r="N9" s="44"/>
      <c r="O9" s="50"/>
    </row>
    <row r="10" spans="1:15" x14ac:dyDescent="0.25">
      <c r="A10" s="99" t="s">
        <v>14</v>
      </c>
      <c r="B10" s="100" t="s">
        <v>19</v>
      </c>
      <c r="C10" s="100" t="s">
        <v>20</v>
      </c>
      <c r="D10" s="100" t="s">
        <v>21</v>
      </c>
      <c r="E10" s="100" t="s">
        <v>22</v>
      </c>
      <c r="F10" s="101" t="s">
        <v>23</v>
      </c>
      <c r="G10" s="101" t="s">
        <v>24</v>
      </c>
      <c r="H10" s="101" t="s">
        <v>25</v>
      </c>
      <c r="I10" s="101" t="s">
        <v>26</v>
      </c>
      <c r="J10" s="101" t="s">
        <v>27</v>
      </c>
      <c r="K10" s="101" t="s">
        <v>28</v>
      </c>
      <c r="L10" s="101" t="s">
        <v>29</v>
      </c>
      <c r="M10" s="101" t="s">
        <v>17</v>
      </c>
      <c r="N10" s="101" t="s">
        <v>18</v>
      </c>
      <c r="O10" s="50"/>
    </row>
    <row r="11" spans="1:15" s="17" customFormat="1" x14ac:dyDescent="0.25">
      <c r="A11" s="129">
        <v>10</v>
      </c>
      <c r="B11" s="130" t="s">
        <v>154</v>
      </c>
      <c r="C11" s="130"/>
      <c r="D11" s="131">
        <v>4.2</v>
      </c>
      <c r="E11" s="132">
        <f>J11*K11*L11</f>
        <v>1.905804558171124</v>
      </c>
      <c r="F11" s="130" t="s">
        <v>155</v>
      </c>
      <c r="G11" s="130"/>
      <c r="H11" s="133"/>
      <c r="I11" s="134" t="s">
        <v>156</v>
      </c>
      <c r="J11" s="134">
        <f>PI()*51*51/1000000</f>
        <v>8.171282491987052E-3</v>
      </c>
      <c r="K11" s="135">
        <v>8.5999999999999993E-2</v>
      </c>
      <c r="L11" s="136">
        <v>2712</v>
      </c>
      <c r="M11" s="136">
        <v>1</v>
      </c>
      <c r="N11" s="131">
        <f>D11*J11*K11*L11*M11</f>
        <v>8.0043791443187207</v>
      </c>
      <c r="O11" s="53"/>
    </row>
    <row r="12" spans="1:15" s="17" customFormat="1" x14ac:dyDescent="0.25">
      <c r="A12" s="129">
        <v>20</v>
      </c>
      <c r="B12" s="130" t="s">
        <v>154</v>
      </c>
      <c r="C12" s="130"/>
      <c r="D12" s="131">
        <v>4.2</v>
      </c>
      <c r="E12" s="132">
        <f>J12*K12*L12</f>
        <v>1.3961126414509397</v>
      </c>
      <c r="F12" s="130" t="s">
        <v>155</v>
      </c>
      <c r="G12" s="130"/>
      <c r="H12" s="133"/>
      <c r="I12" s="134" t="s">
        <v>156</v>
      </c>
      <c r="J12" s="134">
        <f>PI()*51*51/1000000</f>
        <v>8.171282491987052E-3</v>
      </c>
      <c r="K12" s="135">
        <v>6.3E-2</v>
      </c>
      <c r="L12" s="136">
        <v>2712</v>
      </c>
      <c r="M12" s="136">
        <v>1</v>
      </c>
      <c r="N12" s="131">
        <f>D12*J12*K12*L12*M12</f>
        <v>5.8636730940939472</v>
      </c>
      <c r="O12" s="53"/>
    </row>
    <row r="13" spans="1:15" s="17" customFormat="1" x14ac:dyDescent="0.25">
      <c r="A13" s="129">
        <v>30</v>
      </c>
      <c r="B13" s="130" t="s">
        <v>154</v>
      </c>
      <c r="C13" s="130"/>
      <c r="D13" s="131">
        <v>4.2</v>
      </c>
      <c r="E13" s="132">
        <f>J13*K13*L13</f>
        <v>1.7728414494615108</v>
      </c>
      <c r="F13" s="130" t="s">
        <v>155</v>
      </c>
      <c r="G13" s="130"/>
      <c r="H13" s="133"/>
      <c r="I13" s="137" t="s">
        <v>156</v>
      </c>
      <c r="J13" s="134">
        <f>PI()*51*51/1000000</f>
        <v>8.171282491987052E-3</v>
      </c>
      <c r="K13" s="135">
        <v>0.08</v>
      </c>
      <c r="L13" s="136">
        <v>2712</v>
      </c>
      <c r="M13" s="136">
        <v>1</v>
      </c>
      <c r="N13" s="131">
        <f>D13*J13*K13*L13*M13</f>
        <v>7.4459340877383466</v>
      </c>
      <c r="O13" s="53"/>
    </row>
    <row r="14" spans="1:15" s="17" customFormat="1" x14ac:dyDescent="0.25">
      <c r="A14" s="129">
        <v>40</v>
      </c>
      <c r="B14" s="130" t="s">
        <v>157</v>
      </c>
      <c r="C14" s="130"/>
      <c r="D14" s="131">
        <v>0.05</v>
      </c>
      <c r="E14" s="130"/>
      <c r="F14" s="130" t="s">
        <v>35</v>
      </c>
      <c r="G14" s="130"/>
      <c r="H14" s="133"/>
      <c r="I14" s="137"/>
      <c r="J14" s="138"/>
      <c r="K14" s="135"/>
      <c r="L14" s="136"/>
      <c r="M14" s="136">
        <v>2</v>
      </c>
      <c r="N14" s="131">
        <f>M14*D14</f>
        <v>0.1</v>
      </c>
      <c r="O14" s="53"/>
    </row>
    <row r="15" spans="1:15" x14ac:dyDescent="0.25">
      <c r="A15" s="54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97" t="s">
        <v>18</v>
      </c>
      <c r="N15" s="98">
        <f>SUM(N11:N14)</f>
        <v>21.413986326151015</v>
      </c>
      <c r="O15" s="50"/>
    </row>
    <row r="16" spans="1:15" x14ac:dyDescent="0.25">
      <c r="A16" s="51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50"/>
    </row>
    <row r="17" spans="1:15" x14ac:dyDescent="0.25">
      <c r="A17" s="102" t="s">
        <v>14</v>
      </c>
      <c r="B17" s="101" t="s">
        <v>31</v>
      </c>
      <c r="C17" s="101" t="s">
        <v>20</v>
      </c>
      <c r="D17" s="101" t="s">
        <v>21</v>
      </c>
      <c r="E17" s="101" t="s">
        <v>32</v>
      </c>
      <c r="F17" s="101" t="s">
        <v>17</v>
      </c>
      <c r="G17" s="101" t="s">
        <v>33</v>
      </c>
      <c r="H17" s="101" t="s">
        <v>34</v>
      </c>
      <c r="I17" s="101" t="s">
        <v>18</v>
      </c>
      <c r="J17" s="18"/>
      <c r="K17" s="18"/>
      <c r="L17" s="18"/>
      <c r="M17" s="18"/>
      <c r="N17" s="18"/>
      <c r="O17" s="50"/>
    </row>
    <row r="18" spans="1:15" s="19" customFormat="1" x14ac:dyDescent="0.25">
      <c r="A18" s="129">
        <v>10</v>
      </c>
      <c r="B18" s="139" t="s">
        <v>43</v>
      </c>
      <c r="C18" s="130" t="s">
        <v>160</v>
      </c>
      <c r="D18" s="131">
        <v>1.3</v>
      </c>
      <c r="E18" s="130" t="s">
        <v>35</v>
      </c>
      <c r="F18" s="130">
        <v>1</v>
      </c>
      <c r="G18" s="130"/>
      <c r="H18" s="130">
        <v>1</v>
      </c>
      <c r="I18" s="140">
        <f t="shared" ref="I18:I31" si="0">H18*F18*D18</f>
        <v>1.3</v>
      </c>
      <c r="J18" s="46"/>
      <c r="K18" s="46"/>
      <c r="L18" s="46"/>
      <c r="M18" s="46"/>
      <c r="N18" s="46"/>
      <c r="O18" s="55"/>
    </row>
    <row r="19" spans="1:15" s="19" customFormat="1" x14ac:dyDescent="0.25">
      <c r="A19" s="129">
        <v>20</v>
      </c>
      <c r="B19" s="139" t="s">
        <v>161</v>
      </c>
      <c r="C19" s="130" t="s">
        <v>161</v>
      </c>
      <c r="D19" s="131">
        <v>0.04</v>
      </c>
      <c r="E19" s="130" t="s">
        <v>162</v>
      </c>
      <c r="F19" s="130">
        <v>623</v>
      </c>
      <c r="G19" s="130" t="s">
        <v>163</v>
      </c>
      <c r="H19" s="130">
        <v>1</v>
      </c>
      <c r="I19" s="140">
        <f t="shared" si="0"/>
        <v>24.92</v>
      </c>
      <c r="J19" s="46"/>
      <c r="K19" s="46"/>
      <c r="L19" s="46"/>
      <c r="M19" s="46"/>
      <c r="N19" s="46"/>
      <c r="O19" s="55"/>
    </row>
    <row r="20" spans="1:15" s="19" customFormat="1" x14ac:dyDescent="0.25">
      <c r="A20" s="129">
        <v>30</v>
      </c>
      <c r="B20" s="139" t="s">
        <v>164</v>
      </c>
      <c r="C20" s="130" t="s">
        <v>165</v>
      </c>
      <c r="D20" s="131">
        <v>0.35</v>
      </c>
      <c r="E20" s="130" t="s">
        <v>166</v>
      </c>
      <c r="F20" s="130">
        <v>24</v>
      </c>
      <c r="G20" s="130"/>
      <c r="H20" s="130">
        <v>1</v>
      </c>
      <c r="I20" s="140">
        <f t="shared" si="0"/>
        <v>8.3999999999999986</v>
      </c>
      <c r="J20" s="46"/>
      <c r="K20" s="46"/>
      <c r="L20" s="46"/>
      <c r="M20" s="46"/>
      <c r="N20" s="46"/>
      <c r="O20" s="55"/>
    </row>
    <row r="21" spans="1:15" s="19" customFormat="1" x14ac:dyDescent="0.25">
      <c r="A21" s="129">
        <v>40</v>
      </c>
      <c r="B21" s="139" t="s">
        <v>164</v>
      </c>
      <c r="C21" s="130" t="s">
        <v>167</v>
      </c>
      <c r="D21" s="131">
        <v>0.35</v>
      </c>
      <c r="E21" s="130" t="s">
        <v>166</v>
      </c>
      <c r="F21" s="130">
        <v>3</v>
      </c>
      <c r="G21" s="130"/>
      <c r="H21" s="130">
        <v>1</v>
      </c>
      <c r="I21" s="140">
        <f t="shared" si="0"/>
        <v>1.0499999999999998</v>
      </c>
      <c r="J21" s="46"/>
      <c r="K21" s="46"/>
      <c r="L21" s="46"/>
      <c r="M21" s="46"/>
      <c r="N21" s="46"/>
      <c r="O21" s="55"/>
    </row>
    <row r="22" spans="1:15" s="19" customFormat="1" x14ac:dyDescent="0.25">
      <c r="A22" s="129">
        <v>50</v>
      </c>
      <c r="B22" s="139" t="s">
        <v>43</v>
      </c>
      <c r="C22" s="130" t="s">
        <v>160</v>
      </c>
      <c r="D22" s="131">
        <v>1.3</v>
      </c>
      <c r="E22" s="130" t="s">
        <v>35</v>
      </c>
      <c r="F22" s="130">
        <v>1</v>
      </c>
      <c r="G22" s="130"/>
      <c r="H22" s="130">
        <v>1</v>
      </c>
      <c r="I22" s="140">
        <f t="shared" si="0"/>
        <v>1.3</v>
      </c>
      <c r="J22" s="46"/>
      <c r="K22" s="46"/>
      <c r="L22" s="46"/>
      <c r="M22" s="46"/>
      <c r="N22" s="46"/>
      <c r="O22" s="55"/>
    </row>
    <row r="23" spans="1:15" s="19" customFormat="1" x14ac:dyDescent="0.25">
      <c r="A23" s="129">
        <v>60</v>
      </c>
      <c r="B23" s="139" t="s">
        <v>161</v>
      </c>
      <c r="C23" s="130" t="s">
        <v>161</v>
      </c>
      <c r="D23" s="131">
        <v>0.04</v>
      </c>
      <c r="E23" s="130" t="s">
        <v>162</v>
      </c>
      <c r="F23" s="130">
        <v>426</v>
      </c>
      <c r="G23" s="130" t="s">
        <v>163</v>
      </c>
      <c r="H23" s="130">
        <v>1</v>
      </c>
      <c r="I23" s="140">
        <f t="shared" si="0"/>
        <v>17.04</v>
      </c>
      <c r="J23" s="46"/>
      <c r="K23" s="46"/>
      <c r="L23" s="46"/>
      <c r="M23" s="46"/>
      <c r="N23" s="46"/>
      <c r="O23" s="55"/>
    </row>
    <row r="24" spans="1:15" s="19" customFormat="1" x14ac:dyDescent="0.25">
      <c r="A24" s="129">
        <v>70</v>
      </c>
      <c r="B24" s="141" t="s">
        <v>168</v>
      </c>
      <c r="C24" s="130" t="s">
        <v>169</v>
      </c>
      <c r="D24" s="131">
        <v>0.35</v>
      </c>
      <c r="E24" s="130" t="s">
        <v>166</v>
      </c>
      <c r="F24" s="130">
        <v>12</v>
      </c>
      <c r="G24" s="130"/>
      <c r="H24" s="130">
        <v>1</v>
      </c>
      <c r="I24" s="140">
        <f t="shared" si="0"/>
        <v>4.1999999999999993</v>
      </c>
      <c r="J24" s="46"/>
      <c r="K24" s="46"/>
      <c r="L24" s="46"/>
      <c r="M24" s="46"/>
      <c r="N24" s="46"/>
      <c r="O24" s="55"/>
    </row>
    <row r="25" spans="1:15" s="19" customFormat="1" x14ac:dyDescent="0.25">
      <c r="A25" s="129">
        <v>80</v>
      </c>
      <c r="B25" s="141" t="s">
        <v>170</v>
      </c>
      <c r="C25" s="130" t="s">
        <v>171</v>
      </c>
      <c r="D25" s="131">
        <v>0.5</v>
      </c>
      <c r="E25" s="130" t="s">
        <v>45</v>
      </c>
      <c r="F25" s="130">
        <v>3.5</v>
      </c>
      <c r="G25" s="130"/>
      <c r="H25" s="130">
        <v>1</v>
      </c>
      <c r="I25" s="140">
        <f t="shared" si="0"/>
        <v>1.75</v>
      </c>
      <c r="J25" s="46"/>
      <c r="K25" s="46"/>
      <c r="L25" s="46"/>
      <c r="M25" s="46"/>
      <c r="N25" s="46"/>
      <c r="O25" s="55"/>
    </row>
    <row r="26" spans="1:15" s="19" customFormat="1" x14ac:dyDescent="0.25">
      <c r="A26" s="129">
        <v>90</v>
      </c>
      <c r="B26" s="139" t="s">
        <v>43</v>
      </c>
      <c r="C26" s="130" t="s">
        <v>160</v>
      </c>
      <c r="D26" s="131">
        <v>1.3</v>
      </c>
      <c r="E26" s="130" t="s">
        <v>35</v>
      </c>
      <c r="F26" s="130">
        <v>1</v>
      </c>
      <c r="G26" s="130"/>
      <c r="H26" s="130">
        <v>1</v>
      </c>
      <c r="I26" s="140">
        <f t="shared" si="0"/>
        <v>1.3</v>
      </c>
      <c r="J26" s="46"/>
      <c r="K26" s="46"/>
      <c r="L26" s="46"/>
      <c r="M26" s="46"/>
      <c r="N26" s="46"/>
      <c r="O26" s="55"/>
    </row>
    <row r="27" spans="1:15" s="19" customFormat="1" x14ac:dyDescent="0.25">
      <c r="A27" s="129">
        <v>100</v>
      </c>
      <c r="B27" s="139" t="s">
        <v>161</v>
      </c>
      <c r="C27" s="130" t="s">
        <v>161</v>
      </c>
      <c r="D27" s="131">
        <v>0.04</v>
      </c>
      <c r="E27" s="130" t="s">
        <v>162</v>
      </c>
      <c r="F27" s="130">
        <v>538</v>
      </c>
      <c r="G27" s="130" t="s">
        <v>163</v>
      </c>
      <c r="H27" s="130">
        <v>1</v>
      </c>
      <c r="I27" s="140">
        <f t="shared" si="0"/>
        <v>21.52</v>
      </c>
      <c r="J27" s="46"/>
      <c r="K27" s="46"/>
      <c r="L27" s="46"/>
      <c r="M27" s="46"/>
      <c r="N27" s="46"/>
      <c r="O27" s="55"/>
    </row>
    <row r="28" spans="1:15" s="19" customFormat="1" x14ac:dyDescent="0.25">
      <c r="A28" s="129">
        <v>110</v>
      </c>
      <c r="B28" s="141" t="s">
        <v>168</v>
      </c>
      <c r="C28" s="130" t="s">
        <v>172</v>
      </c>
      <c r="D28" s="131">
        <v>0.35</v>
      </c>
      <c r="E28" s="130" t="s">
        <v>166</v>
      </c>
      <c r="F28" s="130">
        <v>12</v>
      </c>
      <c r="G28" s="130"/>
      <c r="H28" s="130">
        <v>1</v>
      </c>
      <c r="I28" s="140">
        <f t="shared" si="0"/>
        <v>4.1999999999999993</v>
      </c>
      <c r="J28" s="46"/>
      <c r="K28" s="46"/>
      <c r="L28" s="46"/>
      <c r="M28" s="46"/>
      <c r="N28" s="46"/>
      <c r="O28" s="55"/>
    </row>
    <row r="29" spans="1:15" s="19" customFormat="1" x14ac:dyDescent="0.25">
      <c r="A29" s="129">
        <v>120</v>
      </c>
      <c r="B29" s="141" t="s">
        <v>173</v>
      </c>
      <c r="C29" s="130" t="s">
        <v>174</v>
      </c>
      <c r="D29" s="131">
        <v>0.13</v>
      </c>
      <c r="E29" s="130" t="s">
        <v>35</v>
      </c>
      <c r="F29" s="130">
        <v>2</v>
      </c>
      <c r="G29" s="130"/>
      <c r="H29" s="130">
        <v>1</v>
      </c>
      <c r="I29" s="140">
        <f t="shared" si="0"/>
        <v>0.26</v>
      </c>
      <c r="J29" s="46"/>
      <c r="K29" s="46"/>
      <c r="L29" s="46"/>
      <c r="M29" s="46"/>
      <c r="N29" s="46"/>
      <c r="O29" s="55"/>
    </row>
    <row r="30" spans="1:15" x14ac:dyDescent="0.25">
      <c r="A30" s="129">
        <v>130</v>
      </c>
      <c r="B30" s="141" t="s">
        <v>175</v>
      </c>
      <c r="C30" s="130" t="s">
        <v>174</v>
      </c>
      <c r="D30" s="131">
        <v>0.5</v>
      </c>
      <c r="E30" s="130" t="s">
        <v>35</v>
      </c>
      <c r="F30" s="130">
        <v>24</v>
      </c>
      <c r="G30" s="130"/>
      <c r="H30" s="130">
        <v>1</v>
      </c>
      <c r="I30" s="140">
        <f t="shared" si="0"/>
        <v>12</v>
      </c>
      <c r="J30" s="44"/>
      <c r="L30" s="44"/>
      <c r="M30" s="44"/>
      <c r="N30" s="44"/>
      <c r="O30" s="50"/>
    </row>
    <row r="31" spans="1:15" s="16" customFormat="1" x14ac:dyDescent="0.25">
      <c r="A31" s="129">
        <v>140</v>
      </c>
      <c r="B31" s="141" t="s">
        <v>176</v>
      </c>
      <c r="C31" s="130" t="s">
        <v>177</v>
      </c>
      <c r="D31" s="131">
        <v>0.75</v>
      </c>
      <c r="E31" s="130" t="s">
        <v>35</v>
      </c>
      <c r="F31" s="130">
        <v>3</v>
      </c>
      <c r="G31" s="130"/>
      <c r="H31" s="130">
        <v>1</v>
      </c>
      <c r="I31" s="140">
        <f t="shared" si="0"/>
        <v>2.25</v>
      </c>
      <c r="J31" s="45"/>
      <c r="K31" s="45"/>
      <c r="L31" s="45"/>
      <c r="M31" s="45"/>
      <c r="N31" s="45"/>
      <c r="O31" s="52"/>
    </row>
    <row r="32" spans="1:15" x14ac:dyDescent="0.25">
      <c r="A32" s="54"/>
      <c r="B32" s="18"/>
      <c r="C32" s="18"/>
      <c r="D32" s="18"/>
      <c r="E32" s="18"/>
      <c r="F32" s="18"/>
      <c r="G32" s="18"/>
      <c r="H32" s="103" t="s">
        <v>18</v>
      </c>
      <c r="I32" s="98">
        <f>SUM(I18:I31)</f>
        <v>101.49</v>
      </c>
      <c r="J32" s="18"/>
      <c r="K32" s="18"/>
      <c r="L32" s="18"/>
      <c r="M32" s="18"/>
      <c r="N32" s="18"/>
      <c r="O32" s="50"/>
    </row>
    <row r="33" spans="1:15" x14ac:dyDescent="0.25">
      <c r="A33" s="51"/>
      <c r="B33" s="44"/>
      <c r="C33" s="44"/>
      <c r="D33" s="44"/>
      <c r="E33" s="44"/>
      <c r="F33" s="44"/>
      <c r="G33" s="44"/>
      <c r="H33" s="44"/>
      <c r="I33" s="45"/>
      <c r="J33" s="44"/>
      <c r="K33" s="44"/>
      <c r="L33" s="44"/>
      <c r="M33" s="44"/>
      <c r="N33" s="44"/>
      <c r="O33" s="50"/>
    </row>
    <row r="34" spans="1:15" x14ac:dyDescent="0.25">
      <c r="A34" s="102" t="s">
        <v>14</v>
      </c>
      <c r="B34" s="101" t="s">
        <v>36</v>
      </c>
      <c r="C34" s="101" t="s">
        <v>20</v>
      </c>
      <c r="D34" s="101" t="s">
        <v>21</v>
      </c>
      <c r="E34" s="101" t="s">
        <v>22</v>
      </c>
      <c r="F34" s="101" t="s">
        <v>23</v>
      </c>
      <c r="G34" s="101" t="s">
        <v>24</v>
      </c>
      <c r="H34" s="101" t="s">
        <v>25</v>
      </c>
      <c r="I34" s="101" t="s">
        <v>17</v>
      </c>
      <c r="J34" s="101" t="s">
        <v>18</v>
      </c>
      <c r="K34" s="44"/>
      <c r="L34" s="44"/>
      <c r="M34" s="44"/>
      <c r="N34" s="44"/>
      <c r="O34" s="50"/>
    </row>
    <row r="35" spans="1:15" x14ac:dyDescent="0.25">
      <c r="A35" s="139">
        <v>10</v>
      </c>
      <c r="B35" s="117" t="s">
        <v>178</v>
      </c>
      <c r="C35" s="139" t="s">
        <v>179</v>
      </c>
      <c r="D35" s="142">
        <f>1.25/105154*E35*E35*G35*SQRT(G35)+0.005*EXP(0.319*E35)</f>
        <v>5.6317842209943889E-2</v>
      </c>
      <c r="E35" s="139">
        <v>6</v>
      </c>
      <c r="F35" s="143" t="s">
        <v>30</v>
      </c>
      <c r="G35" s="139">
        <v>14</v>
      </c>
      <c r="H35" s="139" t="s">
        <v>30</v>
      </c>
      <c r="I35" s="144">
        <v>24</v>
      </c>
      <c r="J35" s="145">
        <f>I35*D35</f>
        <v>1.3516282130386532</v>
      </c>
      <c r="K35" s="44"/>
      <c r="L35" s="44"/>
      <c r="M35" s="44"/>
      <c r="N35" s="44"/>
      <c r="O35" s="50"/>
    </row>
    <row r="36" spans="1:15" x14ac:dyDescent="0.25">
      <c r="A36" s="139">
        <v>20</v>
      </c>
      <c r="B36" s="117" t="s">
        <v>180</v>
      </c>
      <c r="C36" s="139"/>
      <c r="D36" s="142">
        <v>0.02</v>
      </c>
      <c r="E36" s="139"/>
      <c r="F36" s="143" t="s">
        <v>35</v>
      </c>
      <c r="G36" s="139"/>
      <c r="H36" s="139"/>
      <c r="I36" s="144">
        <v>24</v>
      </c>
      <c r="J36" s="145">
        <f>I36*D36</f>
        <v>0.48</v>
      </c>
      <c r="K36" s="44"/>
      <c r="L36" s="44"/>
      <c r="M36" s="44"/>
      <c r="N36" s="44"/>
      <c r="O36" s="50"/>
    </row>
    <row r="37" spans="1:15" x14ac:dyDescent="0.25">
      <c r="A37" s="139">
        <v>30</v>
      </c>
      <c r="B37" s="117" t="s">
        <v>181</v>
      </c>
      <c r="C37" s="139"/>
      <c r="D37" s="142">
        <f>1/105154*E37*E37*G37*SQRT(G37)+0.004*EXP(0.319*E37)</f>
        <v>6.5102725326469366E-2</v>
      </c>
      <c r="E37" s="139">
        <v>8</v>
      </c>
      <c r="F37" s="143" t="s">
        <v>30</v>
      </c>
      <c r="G37" s="139">
        <v>8</v>
      </c>
      <c r="H37" s="139" t="s">
        <v>30</v>
      </c>
      <c r="I37" s="144">
        <v>3</v>
      </c>
      <c r="J37" s="145">
        <f>I37*D37</f>
        <v>0.19530817597940808</v>
      </c>
      <c r="K37" s="44"/>
      <c r="L37" s="44"/>
      <c r="M37" s="44"/>
      <c r="N37" s="44"/>
      <c r="O37" s="50"/>
    </row>
    <row r="38" spans="1:15" x14ac:dyDescent="0.25">
      <c r="A38" s="139">
        <v>40</v>
      </c>
      <c r="B38" s="117" t="s">
        <v>182</v>
      </c>
      <c r="C38" s="139"/>
      <c r="D38" s="142">
        <v>0.33600000000000002</v>
      </c>
      <c r="E38" s="139">
        <v>8</v>
      </c>
      <c r="F38" s="143" t="s">
        <v>30</v>
      </c>
      <c r="G38" s="139"/>
      <c r="H38" s="139"/>
      <c r="I38" s="144">
        <v>3</v>
      </c>
      <c r="J38" s="145">
        <f>I38*D38</f>
        <v>1.008</v>
      </c>
      <c r="K38" s="44"/>
      <c r="L38" s="44"/>
      <c r="M38" s="44"/>
      <c r="N38" s="44"/>
      <c r="O38" s="50"/>
    </row>
    <row r="39" spans="1:15" x14ac:dyDescent="0.25">
      <c r="A39" s="54"/>
      <c r="B39" s="18"/>
      <c r="C39" s="18"/>
      <c r="D39" s="18"/>
      <c r="E39" s="18"/>
      <c r="F39" s="18"/>
      <c r="G39" s="18"/>
      <c r="H39" s="18"/>
      <c r="I39" s="103" t="s">
        <v>18</v>
      </c>
      <c r="J39" s="98">
        <f>SUM(J35:J38)</f>
        <v>3.0349363890180614</v>
      </c>
      <c r="K39" s="44"/>
      <c r="L39" s="44"/>
      <c r="M39" s="44"/>
      <c r="N39" s="44"/>
      <c r="O39" s="50"/>
    </row>
    <row r="40" spans="1:15" ht="15.75" thickBot="1" x14ac:dyDescent="0.3">
      <c r="A40" s="56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8"/>
    </row>
  </sheetData>
  <hyperlinks>
    <hyperlink ref="B4" location="EN_A0900!A1" display="Differential" xr:uid="{6CB8330E-FA96-4AEF-AF47-83214EE548D7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40" max="16383" man="1"/>
    <brk id="74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AAA1-2CA2-4999-A56B-F4E826ADD4A0}">
  <sheetPr>
    <tabColor theme="6" tint="0.39997558519241921"/>
  </sheetPr>
  <dimension ref="A1:O26"/>
  <sheetViews>
    <sheetView workbookViewId="0">
      <selection activeCell="B4" sqref="B4"/>
    </sheetView>
  </sheetViews>
  <sheetFormatPr baseColWidth="10" defaultRowHeight="15" x14ac:dyDescent="0.25"/>
  <cols>
    <col min="2" max="2" width="33.7109375" bestFit="1" customWidth="1"/>
    <col min="3" max="3" width="22.7109375" bestFit="1" customWidth="1"/>
  </cols>
  <sheetData>
    <row r="1" spans="1:15" x14ac:dyDescent="0.25">
      <c r="A1" s="150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2"/>
    </row>
    <row r="2" spans="1:15" x14ac:dyDescent="0.25">
      <c r="A2" s="169" t="s">
        <v>0</v>
      </c>
      <c r="B2" s="170" t="s">
        <v>42</v>
      </c>
      <c r="C2" s="44"/>
      <c r="D2" s="44"/>
      <c r="E2" s="44"/>
      <c r="F2" s="44"/>
      <c r="G2" s="44" t="s">
        <v>119</v>
      </c>
      <c r="H2" s="44"/>
      <c r="I2" s="44"/>
      <c r="J2" s="95" t="s">
        <v>1</v>
      </c>
      <c r="K2" s="62">
        <v>81</v>
      </c>
      <c r="L2" s="44"/>
      <c r="M2" s="94" t="s">
        <v>16</v>
      </c>
      <c r="N2" s="60">
        <f>EN_0900_002_m+EN_0900_002_p</f>
        <v>10.904564699673662</v>
      </c>
      <c r="O2" s="153"/>
    </row>
    <row r="3" spans="1:15" x14ac:dyDescent="0.25">
      <c r="A3" s="171" t="s">
        <v>3</v>
      </c>
      <c r="B3" s="170" t="s">
        <v>134</v>
      </c>
      <c r="C3" s="44"/>
      <c r="D3" s="212" t="s">
        <v>6</v>
      </c>
      <c r="E3" s="44" t="s">
        <v>90</v>
      </c>
      <c r="F3" s="44"/>
      <c r="G3" s="44"/>
      <c r="H3" s="44"/>
      <c r="I3" s="44"/>
      <c r="J3" s="44"/>
      <c r="K3" s="44"/>
      <c r="L3" s="44"/>
      <c r="M3" s="94" t="s">
        <v>4</v>
      </c>
      <c r="N3" s="61">
        <v>1</v>
      </c>
      <c r="O3" s="153"/>
    </row>
    <row r="4" spans="1:15" x14ac:dyDescent="0.25">
      <c r="A4" s="172" t="s">
        <v>5</v>
      </c>
      <c r="B4" s="215" t="s">
        <v>135</v>
      </c>
      <c r="C4" s="44"/>
      <c r="D4" s="94" t="s">
        <v>8</v>
      </c>
      <c r="E4" s="44"/>
      <c r="F4" s="44"/>
      <c r="G4" s="44"/>
      <c r="H4" s="44"/>
      <c r="I4" s="44"/>
      <c r="J4" s="96" t="s">
        <v>6</v>
      </c>
      <c r="K4" s="44"/>
      <c r="L4" s="44"/>
      <c r="M4" s="44"/>
      <c r="N4" s="44"/>
      <c r="O4" s="153"/>
    </row>
    <row r="5" spans="1:15" x14ac:dyDescent="0.25">
      <c r="A5" s="172" t="s">
        <v>15</v>
      </c>
      <c r="B5" s="44" t="s">
        <v>139</v>
      </c>
      <c r="C5" s="44"/>
      <c r="D5" s="94" t="s">
        <v>12</v>
      </c>
      <c r="E5" s="44"/>
      <c r="F5" s="44"/>
      <c r="G5" s="44"/>
      <c r="H5" s="44"/>
      <c r="I5" s="44"/>
      <c r="J5" s="96" t="s">
        <v>8</v>
      </c>
      <c r="K5" s="44"/>
      <c r="L5" s="44"/>
      <c r="M5" s="94" t="s">
        <v>9</v>
      </c>
      <c r="N5" s="60">
        <f>N3*N2</f>
        <v>10.904564699673662</v>
      </c>
      <c r="O5" s="153"/>
    </row>
    <row r="6" spans="1:15" x14ac:dyDescent="0.25">
      <c r="A6" s="172" t="s">
        <v>7</v>
      </c>
      <c r="B6" s="165" t="s">
        <v>211</v>
      </c>
      <c r="C6" s="44"/>
      <c r="D6" s="44"/>
      <c r="E6" s="44"/>
      <c r="F6" s="44"/>
      <c r="G6" s="44"/>
      <c r="H6" s="44"/>
      <c r="I6" s="44"/>
      <c r="J6" s="96" t="s">
        <v>12</v>
      </c>
      <c r="K6" s="44"/>
      <c r="L6" s="44"/>
      <c r="M6" s="44"/>
      <c r="N6" s="44"/>
      <c r="O6" s="153"/>
    </row>
    <row r="7" spans="1:15" x14ac:dyDescent="0.25">
      <c r="A7" s="173" t="s">
        <v>10</v>
      </c>
      <c r="B7" s="170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153"/>
    </row>
    <row r="8" spans="1:15" x14ac:dyDescent="0.25">
      <c r="A8" s="169" t="s">
        <v>13</v>
      </c>
      <c r="B8" s="10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153"/>
    </row>
    <row r="9" spans="1:15" x14ac:dyDescent="0.25">
      <c r="A9" s="174"/>
      <c r="B9" s="20"/>
      <c r="C9" s="20"/>
      <c r="D9" s="20"/>
      <c r="E9" s="20"/>
      <c r="F9" s="44"/>
      <c r="G9" s="44"/>
      <c r="H9" s="44"/>
      <c r="I9" s="44"/>
      <c r="J9" s="44"/>
      <c r="K9" s="44"/>
      <c r="L9" s="44"/>
      <c r="M9" s="44"/>
      <c r="N9" s="44"/>
      <c r="O9" s="153"/>
    </row>
    <row r="10" spans="1:15" x14ac:dyDescent="0.25">
      <c r="A10" s="175" t="s">
        <v>14</v>
      </c>
      <c r="B10" s="100" t="s">
        <v>19</v>
      </c>
      <c r="C10" s="100" t="s">
        <v>20</v>
      </c>
      <c r="D10" s="100" t="s">
        <v>21</v>
      </c>
      <c r="E10" s="100" t="s">
        <v>22</v>
      </c>
      <c r="F10" s="176" t="s">
        <v>23</v>
      </c>
      <c r="G10" s="176" t="s">
        <v>24</v>
      </c>
      <c r="H10" s="176" t="s">
        <v>25</v>
      </c>
      <c r="I10" s="176" t="s">
        <v>26</v>
      </c>
      <c r="J10" s="176" t="s">
        <v>27</v>
      </c>
      <c r="K10" s="176" t="s">
        <v>28</v>
      </c>
      <c r="L10" s="176" t="s">
        <v>29</v>
      </c>
      <c r="M10" s="176" t="s">
        <v>17</v>
      </c>
      <c r="N10" s="176" t="s">
        <v>18</v>
      </c>
      <c r="O10" s="153"/>
    </row>
    <row r="11" spans="1:15" x14ac:dyDescent="0.25">
      <c r="A11" s="177">
        <v>10</v>
      </c>
      <c r="B11" s="178" t="s">
        <v>216</v>
      </c>
      <c r="C11" s="179"/>
      <c r="D11" s="131">
        <v>3.3</v>
      </c>
      <c r="E11" s="132">
        <f>J11*K11*L11</f>
        <v>0.78556506050717001</v>
      </c>
      <c r="F11" s="130" t="s">
        <v>155</v>
      </c>
      <c r="G11" s="130"/>
      <c r="H11" s="133"/>
      <c r="I11" s="134" t="s">
        <v>217</v>
      </c>
      <c r="J11" s="134">
        <f>PI()*87.5*87.5/1000000</f>
        <v>2.4052818754046849E-2</v>
      </c>
      <c r="K11" s="135">
        <v>2.3E-2</v>
      </c>
      <c r="L11" s="136">
        <v>1420</v>
      </c>
      <c r="M11" s="136">
        <v>1</v>
      </c>
      <c r="N11" s="131">
        <f>E11*D11</f>
        <v>2.5923646996736607</v>
      </c>
      <c r="O11" s="157"/>
    </row>
    <row r="12" spans="1:15" x14ac:dyDescent="0.25">
      <c r="A12" s="180"/>
      <c r="B12" s="120"/>
      <c r="C12" s="121"/>
      <c r="D12" s="122"/>
      <c r="E12" s="121"/>
      <c r="F12" s="121"/>
      <c r="G12" s="121"/>
      <c r="H12" s="123"/>
      <c r="I12" s="124"/>
      <c r="J12" s="125"/>
      <c r="K12" s="126"/>
      <c r="L12" s="127"/>
      <c r="M12" s="181"/>
      <c r="N12" s="128"/>
      <c r="O12" s="157"/>
    </row>
    <row r="13" spans="1:15" x14ac:dyDescent="0.25">
      <c r="A13" s="15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2" t="s">
        <v>18</v>
      </c>
      <c r="N13" s="98">
        <f>SUM(N11:N11)</f>
        <v>2.5923646996736607</v>
      </c>
      <c r="O13" s="153"/>
    </row>
    <row r="14" spans="1:15" x14ac:dyDescent="0.25">
      <c r="A14" s="15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153"/>
    </row>
    <row r="15" spans="1:15" x14ac:dyDescent="0.25">
      <c r="A15" s="172" t="s">
        <v>14</v>
      </c>
      <c r="B15" s="176" t="s">
        <v>31</v>
      </c>
      <c r="C15" s="176" t="s">
        <v>20</v>
      </c>
      <c r="D15" s="176" t="s">
        <v>21</v>
      </c>
      <c r="E15" s="176" t="s">
        <v>32</v>
      </c>
      <c r="F15" s="176" t="s">
        <v>17</v>
      </c>
      <c r="G15" s="176" t="s">
        <v>33</v>
      </c>
      <c r="H15" s="176" t="s">
        <v>34</v>
      </c>
      <c r="I15" s="176" t="s">
        <v>18</v>
      </c>
      <c r="J15" s="18"/>
      <c r="K15" s="18"/>
      <c r="L15" s="18"/>
      <c r="M15" s="18"/>
      <c r="N15" s="18"/>
      <c r="O15" s="153"/>
    </row>
    <row r="16" spans="1:15" x14ac:dyDescent="0.25">
      <c r="A16" s="183">
        <v>10</v>
      </c>
      <c r="B16" s="184" t="s">
        <v>43</v>
      </c>
      <c r="C16" s="185" t="s">
        <v>218</v>
      </c>
      <c r="D16" s="186">
        <v>1.3</v>
      </c>
      <c r="E16" s="187" t="s">
        <v>32</v>
      </c>
      <c r="F16" s="187">
        <v>1</v>
      </c>
      <c r="G16" s="188"/>
      <c r="H16" s="187"/>
      <c r="I16" s="189">
        <f>IF(H16="",D16*F16,D16*F16*H16)</f>
        <v>1.3</v>
      </c>
      <c r="J16" s="46"/>
      <c r="K16" s="46"/>
      <c r="L16" s="46"/>
      <c r="M16" s="46"/>
      <c r="N16" s="46"/>
      <c r="O16" s="159"/>
    </row>
    <row r="17" spans="1:15" ht="30" x14ac:dyDescent="0.25">
      <c r="A17" s="183">
        <v>20</v>
      </c>
      <c r="B17" s="190" t="s">
        <v>161</v>
      </c>
      <c r="C17" s="179" t="s">
        <v>219</v>
      </c>
      <c r="D17" s="191">
        <v>0.04</v>
      </c>
      <c r="E17" s="192" t="s">
        <v>162</v>
      </c>
      <c r="F17" s="193">
        <v>350.61</v>
      </c>
      <c r="G17" s="190" t="s">
        <v>220</v>
      </c>
      <c r="H17" s="194">
        <v>0.5</v>
      </c>
      <c r="I17" s="189">
        <f>IF(H17="",D17*F17,D17*F17*H17)</f>
        <v>7.0122</v>
      </c>
      <c r="J17" s="46"/>
      <c r="K17" s="46"/>
      <c r="L17" s="46"/>
      <c r="M17" s="46"/>
      <c r="N17" s="46"/>
      <c r="O17" s="159"/>
    </row>
    <row r="18" spans="1:15" x14ac:dyDescent="0.25">
      <c r="A18" s="158"/>
      <c r="B18" s="18"/>
      <c r="C18" s="18"/>
      <c r="D18" s="18"/>
      <c r="E18" s="18"/>
      <c r="F18" s="18"/>
      <c r="G18" s="18"/>
      <c r="H18" s="103" t="s">
        <v>18</v>
      </c>
      <c r="I18" s="98">
        <f>SUM(I16:I17)</f>
        <v>8.3122000000000007</v>
      </c>
      <c r="J18" s="18"/>
      <c r="K18" s="18"/>
      <c r="L18" s="18"/>
      <c r="M18" s="18"/>
      <c r="N18" s="18"/>
      <c r="O18" s="153"/>
    </row>
    <row r="19" spans="1:15" x14ac:dyDescent="0.25">
      <c r="A19" s="15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153"/>
    </row>
    <row r="20" spans="1:15" x14ac:dyDescent="0.25">
      <c r="A20" s="154"/>
      <c r="B20" s="44"/>
      <c r="C20" s="167"/>
      <c r="D20" s="167"/>
      <c r="E20" s="168"/>
      <c r="F20" s="44"/>
      <c r="G20" s="44"/>
      <c r="H20" s="44"/>
      <c r="I20" s="44"/>
      <c r="J20" s="44"/>
      <c r="K20" s="44"/>
      <c r="L20" s="44"/>
      <c r="M20" s="44"/>
      <c r="N20" s="44"/>
      <c r="O20" s="153"/>
    </row>
    <row r="21" spans="1:15" x14ac:dyDescent="0.25">
      <c r="A21" s="154"/>
      <c r="B21" s="44"/>
      <c r="C21" s="167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153"/>
    </row>
    <row r="22" spans="1:15" x14ac:dyDescent="0.25">
      <c r="A22" s="15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153"/>
    </row>
    <row r="23" spans="1:15" x14ac:dyDescent="0.25">
      <c r="A23" s="15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153"/>
    </row>
    <row r="24" spans="1:15" x14ac:dyDescent="0.25">
      <c r="A24" s="15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153"/>
    </row>
    <row r="25" spans="1:15" x14ac:dyDescent="0.25">
      <c r="A25" s="15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153"/>
    </row>
    <row r="26" spans="1:15" ht="15.75" thickBot="1" x14ac:dyDescent="0.3">
      <c r="A26" s="162"/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4"/>
    </row>
  </sheetData>
  <hyperlinks>
    <hyperlink ref="D3" location="'EN_0900_002 Drawing'!A1" display="FileLink1" xr:uid="{ECDC8661-0D3F-4C07-AD93-18900582CBCA}"/>
    <hyperlink ref="B4" location="EN_A0900!A1" display="Differential" xr:uid="{606CCB03-2F4A-462D-B9DA-17F06C3B5AE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  <pageSetUpPr fitToPage="1"/>
  </sheetPr>
  <dimension ref="A1:B1"/>
  <sheetViews>
    <sheetView zoomScale="85" zoomScaleNormal="85" workbookViewId="0">
      <selection activeCell="P21" sqref="P21"/>
    </sheetView>
  </sheetViews>
  <sheetFormatPr baseColWidth="10" defaultRowHeight="15" x14ac:dyDescent="0.25"/>
  <cols>
    <col min="1" max="1" width="14" customWidth="1"/>
  </cols>
  <sheetData>
    <row r="1" spans="1:2" x14ac:dyDescent="0.25">
      <c r="A1" s="65" t="s">
        <v>211</v>
      </c>
      <c r="B1" s="65"/>
    </row>
  </sheetData>
  <hyperlinks>
    <hyperlink ref="A1" location="EN_0900_002" display="EN_0900_002" xr:uid="{3E6B704C-0A42-4901-8D65-9CD184337D9B}"/>
  </hyperlinks>
  <pageMargins left="0.7" right="0.7" top="0.75" bottom="0.75" header="0.3" footer="0.3"/>
  <pageSetup paperSize="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CB35-5E4D-477D-B0C4-98B12375369F}">
  <sheetPr>
    <tabColor theme="6" tint="0.39997558519241921"/>
  </sheetPr>
  <dimension ref="A1:P31"/>
  <sheetViews>
    <sheetView zoomScale="70" zoomScaleNormal="70" workbookViewId="0">
      <selection activeCell="B4" sqref="B4"/>
    </sheetView>
  </sheetViews>
  <sheetFormatPr baseColWidth="10" defaultRowHeight="15" x14ac:dyDescent="0.25"/>
  <cols>
    <col min="2" max="2" width="33.7109375" bestFit="1" customWidth="1"/>
  </cols>
  <sheetData>
    <row r="1" spans="1:15" x14ac:dyDescent="0.25">
      <c r="A1" s="150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2"/>
    </row>
    <row r="2" spans="1:15" x14ac:dyDescent="0.25">
      <c r="A2" s="169" t="s">
        <v>0</v>
      </c>
      <c r="B2" s="170" t="s">
        <v>42</v>
      </c>
      <c r="C2" s="44"/>
      <c r="D2" s="44"/>
      <c r="E2" s="44"/>
      <c r="F2" s="44"/>
      <c r="G2" s="44" t="s">
        <v>119</v>
      </c>
      <c r="H2" s="44"/>
      <c r="I2" s="44"/>
      <c r="J2" s="95" t="s">
        <v>1</v>
      </c>
      <c r="K2" s="62">
        <v>81</v>
      </c>
      <c r="L2" s="44"/>
      <c r="M2" s="94" t="s">
        <v>16</v>
      </c>
      <c r="N2" s="60">
        <f>EN_0900_003_m+EN_0900_003_p</f>
        <v>8.5389646196590014</v>
      </c>
      <c r="O2" s="153"/>
    </row>
    <row r="3" spans="1:15" x14ac:dyDescent="0.25">
      <c r="A3" s="171" t="s">
        <v>3</v>
      </c>
      <c r="B3" s="170" t="s">
        <v>134</v>
      </c>
      <c r="C3" s="44"/>
      <c r="D3" s="212" t="s">
        <v>6</v>
      </c>
      <c r="E3" s="44" t="s">
        <v>90</v>
      </c>
      <c r="F3" s="44"/>
      <c r="G3" s="44"/>
      <c r="H3" s="44"/>
      <c r="I3" s="44"/>
      <c r="J3" s="44"/>
      <c r="K3" s="44"/>
      <c r="L3" s="44"/>
      <c r="M3" s="94" t="s">
        <v>4</v>
      </c>
      <c r="N3" s="61">
        <v>1</v>
      </c>
      <c r="O3" s="153"/>
    </row>
    <row r="4" spans="1:15" x14ac:dyDescent="0.25">
      <c r="A4" s="172" t="s">
        <v>5</v>
      </c>
      <c r="B4" s="215" t="s">
        <v>135</v>
      </c>
      <c r="C4" s="44"/>
      <c r="D4" s="94" t="s">
        <v>8</v>
      </c>
      <c r="E4" s="44"/>
      <c r="F4" s="44"/>
      <c r="G4" s="44"/>
      <c r="H4" s="44"/>
      <c r="I4" s="44"/>
      <c r="J4" s="96" t="s">
        <v>6</v>
      </c>
      <c r="K4" s="44"/>
      <c r="L4" s="44"/>
      <c r="M4" s="44"/>
      <c r="N4" s="44"/>
      <c r="O4" s="153"/>
    </row>
    <row r="5" spans="1:15" x14ac:dyDescent="0.25">
      <c r="A5" s="172" t="s">
        <v>15</v>
      </c>
      <c r="B5" s="44" t="s">
        <v>138</v>
      </c>
      <c r="C5" s="44"/>
      <c r="D5" s="94" t="s">
        <v>12</v>
      </c>
      <c r="E5" s="44"/>
      <c r="F5" s="44"/>
      <c r="G5" s="44"/>
      <c r="H5" s="44"/>
      <c r="I5" s="44"/>
      <c r="J5" s="96" t="s">
        <v>8</v>
      </c>
      <c r="K5" s="44"/>
      <c r="L5" s="44"/>
      <c r="M5" s="94" t="s">
        <v>9</v>
      </c>
      <c r="N5" s="60">
        <f>N3*N2</f>
        <v>8.5389646196590014</v>
      </c>
      <c r="O5" s="153"/>
    </row>
    <row r="6" spans="1:15" x14ac:dyDescent="0.25">
      <c r="A6" s="172" t="s">
        <v>7</v>
      </c>
      <c r="B6" s="165" t="s">
        <v>221</v>
      </c>
      <c r="C6" s="44"/>
      <c r="D6" s="44"/>
      <c r="E6" s="44"/>
      <c r="F6" s="44"/>
      <c r="G6" s="44"/>
      <c r="H6" s="44"/>
      <c r="I6" s="44"/>
      <c r="J6" s="96" t="s">
        <v>12</v>
      </c>
      <c r="K6" s="44"/>
      <c r="L6" s="44"/>
      <c r="M6" s="44"/>
      <c r="N6" s="44"/>
      <c r="O6" s="153"/>
    </row>
    <row r="7" spans="1:15" x14ac:dyDescent="0.25">
      <c r="A7" s="173" t="s">
        <v>10</v>
      </c>
      <c r="B7" s="170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153"/>
    </row>
    <row r="8" spans="1:15" x14ac:dyDescent="0.25">
      <c r="A8" s="169" t="s">
        <v>13</v>
      </c>
      <c r="B8" s="10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153"/>
    </row>
    <row r="9" spans="1:15" x14ac:dyDescent="0.25">
      <c r="A9" s="174"/>
      <c r="B9" s="20"/>
      <c r="C9" s="20"/>
      <c r="D9" s="20"/>
      <c r="E9" s="20"/>
      <c r="F9" s="44"/>
      <c r="G9" s="44"/>
      <c r="H9" s="44"/>
      <c r="I9" s="44"/>
      <c r="J9" s="44"/>
      <c r="K9" s="44"/>
      <c r="L9" s="44"/>
      <c r="M9" s="44"/>
      <c r="N9" s="44"/>
      <c r="O9" s="153"/>
    </row>
    <row r="10" spans="1:15" x14ac:dyDescent="0.25">
      <c r="A10" s="175" t="s">
        <v>14</v>
      </c>
      <c r="B10" s="100" t="s">
        <v>19</v>
      </c>
      <c r="C10" s="100" t="s">
        <v>20</v>
      </c>
      <c r="D10" s="100" t="s">
        <v>21</v>
      </c>
      <c r="E10" s="100" t="s">
        <v>22</v>
      </c>
      <c r="F10" s="176" t="s">
        <v>23</v>
      </c>
      <c r="G10" s="176" t="s">
        <v>24</v>
      </c>
      <c r="H10" s="176" t="s">
        <v>25</v>
      </c>
      <c r="I10" s="176" t="s">
        <v>26</v>
      </c>
      <c r="J10" s="176" t="s">
        <v>27</v>
      </c>
      <c r="K10" s="176" t="s">
        <v>28</v>
      </c>
      <c r="L10" s="176" t="s">
        <v>29</v>
      </c>
      <c r="M10" s="176" t="s">
        <v>17</v>
      </c>
      <c r="N10" s="176" t="s">
        <v>18</v>
      </c>
      <c r="O10" s="153"/>
    </row>
    <row r="11" spans="1:15" x14ac:dyDescent="0.25">
      <c r="A11" s="177">
        <v>10</v>
      </c>
      <c r="B11" s="178" t="s">
        <v>216</v>
      </c>
      <c r="C11" s="179"/>
      <c r="D11" s="131">
        <v>3.3</v>
      </c>
      <c r="E11" s="132">
        <f>J11*K11*L11</f>
        <v>0.60726200595727309</v>
      </c>
      <c r="F11" s="130" t="s">
        <v>155</v>
      </c>
      <c r="G11" s="130"/>
      <c r="H11" s="133"/>
      <c r="I11" s="134" t="s">
        <v>222</v>
      </c>
      <c r="J11" s="134">
        <f>PI()*82.5*82.5/1000000</f>
        <v>2.138246499849553E-2</v>
      </c>
      <c r="K11" s="135">
        <v>0.02</v>
      </c>
      <c r="L11" s="136">
        <v>1420</v>
      </c>
      <c r="M11" s="136">
        <v>1</v>
      </c>
      <c r="N11" s="131">
        <f>E11*D11</f>
        <v>2.0039646196590013</v>
      </c>
      <c r="O11" s="157"/>
    </row>
    <row r="12" spans="1:15" x14ac:dyDescent="0.25">
      <c r="A12" s="180"/>
      <c r="B12" s="120"/>
      <c r="C12" s="121"/>
      <c r="D12" s="122"/>
      <c r="E12" s="121"/>
      <c r="F12" s="121"/>
      <c r="G12" s="121"/>
      <c r="H12" s="123"/>
      <c r="I12" s="124"/>
      <c r="J12" s="125"/>
      <c r="K12" s="126"/>
      <c r="L12" s="127"/>
      <c r="M12" s="181"/>
      <c r="N12" s="128"/>
      <c r="O12" s="157"/>
    </row>
    <row r="13" spans="1:15" x14ac:dyDescent="0.25">
      <c r="A13" s="15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2" t="s">
        <v>18</v>
      </c>
      <c r="N13" s="98">
        <f>SUM(N11:N11)</f>
        <v>2.0039646196590013</v>
      </c>
      <c r="O13" s="153"/>
    </row>
    <row r="14" spans="1:15" x14ac:dyDescent="0.25">
      <c r="A14" s="15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153"/>
    </row>
    <row r="15" spans="1:15" x14ac:dyDescent="0.25">
      <c r="A15" s="172" t="s">
        <v>14</v>
      </c>
      <c r="B15" s="176" t="s">
        <v>31</v>
      </c>
      <c r="C15" s="176" t="s">
        <v>20</v>
      </c>
      <c r="D15" s="176" t="s">
        <v>21</v>
      </c>
      <c r="E15" s="176" t="s">
        <v>32</v>
      </c>
      <c r="F15" s="176" t="s">
        <v>17</v>
      </c>
      <c r="G15" s="176" t="s">
        <v>33</v>
      </c>
      <c r="H15" s="176" t="s">
        <v>34</v>
      </c>
      <c r="I15" s="176" t="s">
        <v>18</v>
      </c>
      <c r="J15" s="18"/>
      <c r="K15" s="18"/>
      <c r="L15" s="18"/>
      <c r="M15" s="18"/>
      <c r="N15" s="18"/>
      <c r="O15" s="153"/>
    </row>
    <row r="16" spans="1:15" ht="30" x14ac:dyDescent="0.25">
      <c r="A16" s="183">
        <v>10</v>
      </c>
      <c r="B16" s="184" t="s">
        <v>43</v>
      </c>
      <c r="C16" s="185" t="s">
        <v>218</v>
      </c>
      <c r="D16" s="186">
        <v>1.3</v>
      </c>
      <c r="E16" s="187" t="s">
        <v>32</v>
      </c>
      <c r="F16" s="187">
        <v>1</v>
      </c>
      <c r="G16" s="188"/>
      <c r="H16" s="187"/>
      <c r="I16" s="189">
        <f>IF(H16="",D16*F16,D16*F16*H16)</f>
        <v>1.3</v>
      </c>
      <c r="J16" s="46"/>
      <c r="K16" s="46"/>
      <c r="L16" s="46"/>
      <c r="M16" s="46"/>
      <c r="N16" s="46"/>
      <c r="O16" s="159"/>
    </row>
    <row r="17" spans="1:16" ht="30" x14ac:dyDescent="0.25">
      <c r="A17" s="183">
        <v>20</v>
      </c>
      <c r="B17" s="190" t="s">
        <v>161</v>
      </c>
      <c r="C17" s="179" t="s">
        <v>219</v>
      </c>
      <c r="D17" s="191">
        <v>0.04</v>
      </c>
      <c r="E17" s="192" t="s">
        <v>162</v>
      </c>
      <c r="F17" s="193">
        <v>261.75</v>
      </c>
      <c r="G17" s="190" t="s">
        <v>220</v>
      </c>
      <c r="H17" s="194">
        <v>0.5</v>
      </c>
      <c r="I17" s="189">
        <f>IF(H17="",D17*F17,D17*F17*H17)</f>
        <v>5.2350000000000003</v>
      </c>
      <c r="J17" s="46"/>
      <c r="K17" s="46"/>
      <c r="L17" s="46"/>
      <c r="M17" s="46"/>
      <c r="N17" s="46"/>
      <c r="O17" s="159"/>
    </row>
    <row r="18" spans="1:16" x14ac:dyDescent="0.25">
      <c r="A18" s="158"/>
      <c r="B18" s="18"/>
      <c r="C18" s="18"/>
      <c r="D18" s="18"/>
      <c r="E18" s="18"/>
      <c r="F18" s="18"/>
      <c r="G18" s="18"/>
      <c r="H18" s="103" t="s">
        <v>18</v>
      </c>
      <c r="I18" s="98">
        <f>SUM(I16:I17)</f>
        <v>6.5350000000000001</v>
      </c>
      <c r="J18" s="18"/>
      <c r="K18" s="18"/>
      <c r="L18" s="18"/>
      <c r="M18" s="18"/>
      <c r="N18" s="18"/>
      <c r="O18" s="153"/>
    </row>
    <row r="19" spans="1:16" x14ac:dyDescent="0.25">
      <c r="A19" s="15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153"/>
    </row>
    <row r="20" spans="1:16" x14ac:dyDescent="0.25">
      <c r="A20" s="15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153"/>
    </row>
    <row r="21" spans="1:16" x14ac:dyDescent="0.25">
      <c r="A21" s="154"/>
      <c r="B21" s="44"/>
      <c r="C21" s="44"/>
      <c r="D21" s="44"/>
      <c r="E21" s="167"/>
      <c r="F21" s="44"/>
      <c r="G21" s="167"/>
      <c r="H21" s="168"/>
      <c r="I21" s="44"/>
      <c r="J21" s="44"/>
      <c r="K21" s="44"/>
      <c r="L21" s="44"/>
      <c r="M21" s="44"/>
      <c r="N21" s="44"/>
      <c r="O21" s="153"/>
    </row>
    <row r="22" spans="1:16" x14ac:dyDescent="0.25">
      <c r="A22" s="154"/>
      <c r="B22" s="44"/>
      <c r="C22" s="44"/>
      <c r="D22" s="44"/>
      <c r="E22" s="167"/>
      <c r="F22" s="44"/>
      <c r="G22" s="44"/>
      <c r="H22" s="44"/>
      <c r="I22" s="44"/>
      <c r="J22" s="44"/>
      <c r="K22" s="44"/>
      <c r="L22" s="44"/>
      <c r="M22" s="44"/>
      <c r="N22" s="44"/>
      <c r="O22" s="153"/>
    </row>
    <row r="23" spans="1:16" x14ac:dyDescent="0.25">
      <c r="A23" s="15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153"/>
    </row>
    <row r="24" spans="1:16" x14ac:dyDescent="0.25">
      <c r="A24" s="15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153"/>
    </row>
    <row r="25" spans="1:16" x14ac:dyDescent="0.25">
      <c r="A25" s="15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153"/>
    </row>
    <row r="26" spans="1:16" x14ac:dyDescent="0.25">
      <c r="A26" s="15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153"/>
      <c r="P26" s="44"/>
    </row>
    <row r="27" spans="1:16" ht="15.75" thickBot="1" x14ac:dyDescent="0.3">
      <c r="A27" s="162"/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4"/>
      <c r="P27" s="44"/>
    </row>
    <row r="28" spans="1:16" x14ac:dyDescent="0.25">
      <c r="A28" s="15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</row>
    <row r="29" spans="1:16" x14ac:dyDescent="0.25">
      <c r="A29" s="15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</row>
    <row r="30" spans="1:16" x14ac:dyDescent="0.2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</row>
    <row r="31" spans="1:16" x14ac:dyDescent="0.2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</row>
  </sheetData>
  <hyperlinks>
    <hyperlink ref="D3" location="'EN_0900_003 Drawing'!A1" display="FileLink1" xr:uid="{59C5B32C-7553-42F4-AFEA-29C9E3DD5D96}"/>
    <hyperlink ref="B4" location="EN_A0900!A1" display="Differential" xr:uid="{1B866F73-6B2A-4890-8043-8FCD8402A00D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A229-419E-4C21-8D70-722F177075CC}">
  <sheetPr>
    <tabColor theme="6" tint="0.39997558519241921"/>
  </sheetPr>
  <dimension ref="A1"/>
  <sheetViews>
    <sheetView topLeftCell="A13" workbookViewId="0">
      <selection activeCell="O10" sqref="O10"/>
    </sheetView>
  </sheetViews>
  <sheetFormatPr baseColWidth="10" defaultRowHeight="15" x14ac:dyDescent="0.25"/>
  <sheetData>
    <row r="1" spans="1:1" x14ac:dyDescent="0.25">
      <c r="A1" s="65" t="s">
        <v>221</v>
      </c>
    </row>
  </sheetData>
  <hyperlinks>
    <hyperlink ref="A1" location="EN_0900_003" display="EN_0900_003" xr:uid="{3478DEC4-9D81-4D5D-B1A0-69D3277F469C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3489-9D64-49E7-BB99-1CCB29392CF5}">
  <sheetPr>
    <tabColor theme="6" tint="0.39997558519241921"/>
  </sheetPr>
  <dimension ref="A1:P26"/>
  <sheetViews>
    <sheetView workbookViewId="0">
      <selection activeCell="B4" sqref="B4"/>
    </sheetView>
  </sheetViews>
  <sheetFormatPr baseColWidth="10" defaultRowHeight="15" x14ac:dyDescent="0.25"/>
  <cols>
    <col min="2" max="2" width="21.28515625" bestFit="1" customWidth="1"/>
    <col min="3" max="3" width="32.28515625" bestFit="1" customWidth="1"/>
    <col min="9" max="9" width="27.42578125" bestFit="1" customWidth="1"/>
  </cols>
  <sheetData>
    <row r="1" spans="1:16" x14ac:dyDescent="0.25">
      <c r="A1" s="150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2"/>
    </row>
    <row r="2" spans="1:16" x14ac:dyDescent="0.25">
      <c r="A2" s="169" t="s">
        <v>0</v>
      </c>
      <c r="B2" s="170" t="s">
        <v>42</v>
      </c>
      <c r="C2" s="44"/>
      <c r="D2" s="44"/>
      <c r="E2" s="44"/>
      <c r="F2" s="44"/>
      <c r="G2" s="44" t="s">
        <v>119</v>
      </c>
      <c r="H2" s="44"/>
      <c r="I2" s="44"/>
      <c r="J2" s="95" t="s">
        <v>1</v>
      </c>
      <c r="K2" s="62">
        <v>81</v>
      </c>
      <c r="L2" s="44"/>
      <c r="M2" s="94" t="s">
        <v>16</v>
      </c>
      <c r="N2" s="60">
        <f>EN_0900_004_m+EN_0900_004_p</f>
        <v>23.956417471999998</v>
      </c>
      <c r="O2" s="153"/>
    </row>
    <row r="3" spans="1:16" x14ac:dyDescent="0.25">
      <c r="A3" s="171" t="s">
        <v>3</v>
      </c>
      <c r="B3" s="170" t="s">
        <v>134</v>
      </c>
      <c r="C3" s="44"/>
      <c r="D3" s="212" t="s">
        <v>6</v>
      </c>
      <c r="E3" s="44" t="s">
        <v>90</v>
      </c>
      <c r="F3" s="44"/>
      <c r="G3" s="44"/>
      <c r="H3" s="44"/>
      <c r="I3" s="44"/>
      <c r="J3" s="44"/>
      <c r="K3" s="44"/>
      <c r="L3" s="44"/>
      <c r="M3" s="94" t="s">
        <v>4</v>
      </c>
      <c r="N3" s="61">
        <v>1</v>
      </c>
      <c r="O3" s="153"/>
    </row>
    <row r="4" spans="1:16" x14ac:dyDescent="0.25">
      <c r="A4" s="172" t="s">
        <v>5</v>
      </c>
      <c r="B4" s="215" t="s">
        <v>135</v>
      </c>
      <c r="C4" s="44"/>
      <c r="D4" s="94" t="s">
        <v>8</v>
      </c>
      <c r="E4" s="44"/>
      <c r="F4" s="44"/>
      <c r="G4" s="44"/>
      <c r="H4" s="44"/>
      <c r="I4" s="44"/>
      <c r="J4" s="96" t="s">
        <v>6</v>
      </c>
      <c r="K4" s="44"/>
      <c r="L4" s="44"/>
      <c r="M4" s="44"/>
      <c r="N4" s="44"/>
      <c r="O4" s="153"/>
    </row>
    <row r="5" spans="1:16" x14ac:dyDescent="0.25">
      <c r="A5" s="172" t="s">
        <v>15</v>
      </c>
      <c r="B5" s="44" t="s">
        <v>224</v>
      </c>
      <c r="C5" s="44"/>
      <c r="D5" s="94" t="s">
        <v>12</v>
      </c>
      <c r="E5" s="44"/>
      <c r="F5" s="44"/>
      <c r="G5" s="44"/>
      <c r="H5" s="44"/>
      <c r="I5" s="44"/>
      <c r="J5" s="96" t="s">
        <v>8</v>
      </c>
      <c r="K5" s="44"/>
      <c r="L5" s="44"/>
      <c r="M5" s="94" t="s">
        <v>9</v>
      </c>
      <c r="N5" s="60">
        <f>N3*N2</f>
        <v>23.956417471999998</v>
      </c>
      <c r="O5" s="153"/>
    </row>
    <row r="6" spans="1:16" x14ac:dyDescent="0.25">
      <c r="A6" s="172" t="s">
        <v>7</v>
      </c>
      <c r="B6" s="165" t="s">
        <v>223</v>
      </c>
      <c r="C6" s="44"/>
      <c r="D6" s="44"/>
      <c r="E6" s="44"/>
      <c r="F6" s="44"/>
      <c r="G6" s="44"/>
      <c r="H6" s="44"/>
      <c r="I6" s="44"/>
      <c r="J6" s="96" t="s">
        <v>12</v>
      </c>
      <c r="K6" s="44"/>
      <c r="L6" s="44"/>
      <c r="M6" s="44"/>
      <c r="N6" s="44"/>
      <c r="O6" s="153"/>
    </row>
    <row r="7" spans="1:16" x14ac:dyDescent="0.25">
      <c r="A7" s="173" t="s">
        <v>10</v>
      </c>
      <c r="B7" s="170" t="s">
        <v>11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153"/>
      <c r="P7">
        <f>341.663+32</f>
        <v>373.66300000000001</v>
      </c>
    </row>
    <row r="8" spans="1:16" x14ac:dyDescent="0.25">
      <c r="A8" s="169" t="s">
        <v>13</v>
      </c>
      <c r="B8" s="10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153"/>
    </row>
    <row r="9" spans="1:16" x14ac:dyDescent="0.25">
      <c r="A9" s="174"/>
      <c r="B9" s="20"/>
      <c r="C9" s="20"/>
      <c r="D9" s="20"/>
      <c r="E9" s="20"/>
      <c r="F9" s="44"/>
      <c r="G9" s="44"/>
      <c r="H9" s="44"/>
      <c r="I9" s="44"/>
      <c r="J9" s="44"/>
      <c r="K9" s="44"/>
      <c r="L9" s="44"/>
      <c r="M9" s="44"/>
      <c r="N9" s="44"/>
      <c r="O9" s="153"/>
    </row>
    <row r="10" spans="1:16" x14ac:dyDescent="0.25">
      <c r="A10" s="175" t="s">
        <v>14</v>
      </c>
      <c r="B10" s="100" t="s">
        <v>19</v>
      </c>
      <c r="C10" s="100" t="s">
        <v>20</v>
      </c>
      <c r="D10" s="100" t="s">
        <v>21</v>
      </c>
      <c r="E10" s="100" t="s">
        <v>22</v>
      </c>
      <c r="F10" s="176" t="s">
        <v>23</v>
      </c>
      <c r="G10" s="176" t="s">
        <v>24</v>
      </c>
      <c r="H10" s="176" t="s">
        <v>25</v>
      </c>
      <c r="I10" s="176" t="s">
        <v>26</v>
      </c>
      <c r="J10" s="176" t="s">
        <v>27</v>
      </c>
      <c r="K10" s="176" t="s">
        <v>28</v>
      </c>
      <c r="L10" s="176" t="s">
        <v>29</v>
      </c>
      <c r="M10" s="176" t="s">
        <v>17</v>
      </c>
      <c r="N10" s="176" t="s">
        <v>18</v>
      </c>
      <c r="O10" s="153"/>
    </row>
    <row r="11" spans="1:16" x14ac:dyDescent="0.25">
      <c r="A11" s="195">
        <v>10</v>
      </c>
      <c r="B11" s="196" t="s">
        <v>154</v>
      </c>
      <c r="C11" s="197" t="s">
        <v>225</v>
      </c>
      <c r="D11" s="198">
        <v>4.2</v>
      </c>
      <c r="E11" s="199">
        <f>J11*K11*L11</f>
        <v>1.8460041599999997</v>
      </c>
      <c r="F11" s="187" t="s">
        <v>155</v>
      </c>
      <c r="G11" s="187"/>
      <c r="H11" s="200"/>
      <c r="I11" s="201" t="s">
        <v>226</v>
      </c>
      <c r="J11" s="202">
        <f>374*130/1000000</f>
        <v>4.8619999999999997E-2</v>
      </c>
      <c r="K11" s="203">
        <f>14/1000</f>
        <v>1.4E-2</v>
      </c>
      <c r="L11" s="204">
        <v>2712</v>
      </c>
      <c r="M11" s="204">
        <v>1</v>
      </c>
      <c r="N11" s="205">
        <f>IF(J11="",D11*M11,D11*J11*K11*L11*M11)</f>
        <v>7.7532174719999993</v>
      </c>
      <c r="O11" s="157"/>
    </row>
    <row r="12" spans="1:16" x14ac:dyDescent="0.25">
      <c r="A12" s="180"/>
      <c r="B12" s="120"/>
      <c r="C12" s="121"/>
      <c r="D12" s="122"/>
      <c r="E12" s="121"/>
      <c r="F12" s="121"/>
      <c r="G12" s="121"/>
      <c r="H12" s="123"/>
      <c r="I12" s="124"/>
      <c r="J12" s="125"/>
      <c r="K12" s="126"/>
      <c r="L12" s="127"/>
      <c r="M12" s="181"/>
      <c r="N12" s="128"/>
      <c r="O12" s="157"/>
    </row>
    <row r="13" spans="1:16" x14ac:dyDescent="0.25">
      <c r="A13" s="15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2" t="s">
        <v>18</v>
      </c>
      <c r="N13" s="98">
        <f>SUM(N11:N11)</f>
        <v>7.7532174719999993</v>
      </c>
      <c r="O13" s="153"/>
    </row>
    <row r="14" spans="1:16" x14ac:dyDescent="0.25">
      <c r="A14" s="15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153"/>
    </row>
    <row r="15" spans="1:16" x14ac:dyDescent="0.25">
      <c r="A15" s="172" t="s">
        <v>14</v>
      </c>
      <c r="B15" s="176" t="s">
        <v>31</v>
      </c>
      <c r="C15" s="176" t="s">
        <v>20</v>
      </c>
      <c r="D15" s="176" t="s">
        <v>21</v>
      </c>
      <c r="E15" s="176" t="s">
        <v>32</v>
      </c>
      <c r="F15" s="176" t="s">
        <v>17</v>
      </c>
      <c r="G15" s="176" t="s">
        <v>33</v>
      </c>
      <c r="H15" s="176" t="s">
        <v>34</v>
      </c>
      <c r="I15" s="176" t="s">
        <v>18</v>
      </c>
      <c r="J15" s="18"/>
      <c r="K15" s="18"/>
      <c r="L15" s="18"/>
      <c r="M15" s="18"/>
      <c r="N15" s="18"/>
      <c r="O15" s="153"/>
    </row>
    <row r="16" spans="1:16" ht="45" x14ac:dyDescent="0.25">
      <c r="A16" s="177">
        <v>10</v>
      </c>
      <c r="B16" s="206" t="s">
        <v>43</v>
      </c>
      <c r="C16" s="206" t="s">
        <v>227</v>
      </c>
      <c r="D16" s="198">
        <v>1.3</v>
      </c>
      <c r="E16" s="184" t="s">
        <v>32</v>
      </c>
      <c r="F16" s="207">
        <v>1</v>
      </c>
      <c r="G16" s="207"/>
      <c r="H16" s="194"/>
      <c r="I16" s="205">
        <f>IF(H16="",D16*F16,D16*F16*H16)</f>
        <v>1.3</v>
      </c>
      <c r="J16" s="46"/>
      <c r="K16" s="46"/>
      <c r="L16" s="46"/>
      <c r="M16" s="46"/>
      <c r="N16" s="46"/>
      <c r="O16" s="159"/>
    </row>
    <row r="17" spans="1:15" ht="30" x14ac:dyDescent="0.25">
      <c r="A17" s="177">
        <v>20</v>
      </c>
      <c r="B17" s="206" t="s">
        <v>161</v>
      </c>
      <c r="C17" s="206" t="s">
        <v>228</v>
      </c>
      <c r="D17" s="198">
        <v>0.04</v>
      </c>
      <c r="E17" s="187" t="s">
        <v>162</v>
      </c>
      <c r="F17" s="193">
        <v>372.58</v>
      </c>
      <c r="G17" s="184" t="s">
        <v>229</v>
      </c>
      <c r="H17" s="194">
        <v>1</v>
      </c>
      <c r="I17" s="205">
        <f>IF(H17="",D17*F17,D17*F17*H17)</f>
        <v>14.9032</v>
      </c>
      <c r="J17" s="46"/>
      <c r="K17" s="46"/>
      <c r="L17" s="46"/>
      <c r="M17" s="46"/>
      <c r="N17" s="46"/>
      <c r="O17" s="159"/>
    </row>
    <row r="18" spans="1:15" x14ac:dyDescent="0.25">
      <c r="A18" s="158"/>
      <c r="B18" s="18"/>
      <c r="C18" s="18"/>
      <c r="D18" s="18"/>
      <c r="E18" s="18"/>
      <c r="F18" s="18"/>
      <c r="G18" s="18"/>
      <c r="H18" s="103" t="s">
        <v>18</v>
      </c>
      <c r="I18" s="98">
        <f>SUM(I16:I17)</f>
        <v>16.203199999999999</v>
      </c>
      <c r="J18" s="18"/>
      <c r="K18" s="18"/>
      <c r="L18" s="18"/>
      <c r="M18" s="18"/>
      <c r="N18" s="18"/>
      <c r="O18" s="153"/>
    </row>
    <row r="19" spans="1:15" x14ac:dyDescent="0.25">
      <c r="A19" s="15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153"/>
    </row>
    <row r="20" spans="1:15" x14ac:dyDescent="0.25">
      <c r="A20" s="15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153"/>
    </row>
    <row r="21" spans="1:15" x14ac:dyDescent="0.25">
      <c r="A21" s="154"/>
      <c r="B21" s="44"/>
      <c r="C21" s="44"/>
      <c r="D21" s="44"/>
      <c r="E21" s="44"/>
      <c r="F21" s="167"/>
      <c r="G21" s="168"/>
      <c r="H21" s="168"/>
      <c r="I21" s="44"/>
      <c r="J21" s="44"/>
      <c r="K21" s="44"/>
      <c r="L21" s="44"/>
      <c r="M21" s="44"/>
      <c r="N21" s="44"/>
      <c r="O21" s="153"/>
    </row>
    <row r="22" spans="1:15" x14ac:dyDescent="0.25">
      <c r="A22" s="154"/>
      <c r="B22" s="44"/>
      <c r="C22" s="44"/>
      <c r="D22" s="44"/>
      <c r="E22" s="44"/>
      <c r="F22" s="167"/>
      <c r="G22" s="44"/>
      <c r="H22" s="44"/>
      <c r="I22" s="44"/>
      <c r="J22" s="44"/>
      <c r="K22" s="44"/>
      <c r="L22" s="44"/>
      <c r="M22" s="44"/>
      <c r="N22" s="44"/>
      <c r="O22" s="153"/>
    </row>
    <row r="23" spans="1:15" x14ac:dyDescent="0.25">
      <c r="A23" s="15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153"/>
    </row>
    <row r="24" spans="1:15" x14ac:dyDescent="0.25">
      <c r="A24" s="15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153"/>
    </row>
    <row r="25" spans="1:15" x14ac:dyDescent="0.25">
      <c r="A25" s="15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153"/>
    </row>
    <row r="26" spans="1:15" ht="15.75" thickBot="1" x14ac:dyDescent="0.3">
      <c r="A26" s="162"/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4"/>
    </row>
  </sheetData>
  <hyperlinks>
    <hyperlink ref="D3" location="'EN_0900_004 Drawing'!A1" display="FileLink1" xr:uid="{6A68EED4-513C-421E-A1FD-224DD9A14C59}"/>
    <hyperlink ref="B4" location="EN_A0900!A1" display="Differential" xr:uid="{0AE4B8F9-86C3-4AB7-AB62-0DE605A2148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38</vt:i4>
      </vt:variant>
      <vt:variant>
        <vt:lpstr>Plages nommées</vt:lpstr>
      </vt:variant>
      <vt:variant>
        <vt:i4>102</vt:i4>
      </vt:variant>
    </vt:vector>
  </HeadingPairs>
  <TitlesOfParts>
    <vt:vector size="140" baseType="lpstr">
      <vt:lpstr>Instructions</vt:lpstr>
      <vt:lpstr>BOM</vt:lpstr>
      <vt:lpstr>EN_A0900</vt:lpstr>
      <vt:lpstr>EN_0900_001</vt:lpstr>
      <vt:lpstr>EN_0900_002</vt:lpstr>
      <vt:lpstr>EN_0900_002 Drawing</vt:lpstr>
      <vt:lpstr>EN_0900_003</vt:lpstr>
      <vt:lpstr>EN_0900_003 Drawing</vt:lpstr>
      <vt:lpstr>EN_0900_004</vt:lpstr>
      <vt:lpstr>EN_0900_004 Drawing</vt:lpstr>
      <vt:lpstr>EN_0900_005</vt:lpstr>
      <vt:lpstr>EN_0900_005 Drawing</vt:lpstr>
      <vt:lpstr>EN_0900_006</vt:lpstr>
      <vt:lpstr>EN_0900_006 Drawing</vt:lpstr>
      <vt:lpstr>EN_0900_007</vt:lpstr>
      <vt:lpstr>EN_0900_007 Drawing</vt:lpstr>
      <vt:lpstr>EN_0900_008</vt:lpstr>
      <vt:lpstr>EN_0900_008 Drawing</vt:lpstr>
      <vt:lpstr>EN_0900_009</vt:lpstr>
      <vt:lpstr>EN_0900_009 Drawing</vt:lpstr>
      <vt:lpstr>EN_A1000</vt:lpstr>
      <vt:lpstr>EN_1000_001</vt:lpstr>
      <vt:lpstr>EN_1000_002</vt:lpstr>
      <vt:lpstr>EN_1000_003</vt:lpstr>
      <vt:lpstr>EN_1000_003 Drawing</vt:lpstr>
      <vt:lpstr>EN_1000_004</vt:lpstr>
      <vt:lpstr>EN_1000_004 Drawing</vt:lpstr>
      <vt:lpstr>EN_A1100</vt:lpstr>
      <vt:lpstr>EN_1100_001</vt:lpstr>
      <vt:lpstr>EN_1100_002</vt:lpstr>
      <vt:lpstr>EN_1100_003</vt:lpstr>
      <vt:lpstr>EN_1100_003 Drawing</vt:lpstr>
      <vt:lpstr>EN_1100_004</vt:lpstr>
      <vt:lpstr>EN_1100_004 Drawing</vt:lpstr>
      <vt:lpstr>EN_1100_005</vt:lpstr>
      <vt:lpstr>EN_1100_005 Drawing</vt:lpstr>
      <vt:lpstr>EN_1100_006</vt:lpstr>
      <vt:lpstr>EN_1100_006 Drawing</vt:lpstr>
      <vt:lpstr>BOM!Car</vt:lpstr>
      <vt:lpstr>BOM!CompCode</vt:lpstr>
      <vt:lpstr>dBR_01001</vt:lpstr>
      <vt:lpstr>dEL_01001</vt:lpstr>
      <vt:lpstr>EN_0900_001</vt:lpstr>
      <vt:lpstr>EN_0900_001_f</vt:lpstr>
      <vt:lpstr>EN_0900_001_m</vt:lpstr>
      <vt:lpstr>EN_0900_001_p</vt:lpstr>
      <vt:lpstr>EN_0900_002</vt:lpstr>
      <vt:lpstr>EN_0900_002_m</vt:lpstr>
      <vt:lpstr>EN_0900_002_p</vt:lpstr>
      <vt:lpstr>EN_0900_002_q</vt:lpstr>
      <vt:lpstr>EN_0900_003</vt:lpstr>
      <vt:lpstr>EN_0900_003_m</vt:lpstr>
      <vt:lpstr>EN_0900_003_p</vt:lpstr>
      <vt:lpstr>EN_0900_003_q</vt:lpstr>
      <vt:lpstr>EN_0900_004</vt:lpstr>
      <vt:lpstr>EN_0900_004_m</vt:lpstr>
      <vt:lpstr>EN_0900_004_p</vt:lpstr>
      <vt:lpstr>EN_0900_004_q</vt:lpstr>
      <vt:lpstr>EN_0900_005</vt:lpstr>
      <vt:lpstr>EN_0900_005_m</vt:lpstr>
      <vt:lpstr>EN_0900_005_p</vt:lpstr>
      <vt:lpstr>EN_0900_005_q</vt:lpstr>
      <vt:lpstr>EN_0900_006</vt:lpstr>
      <vt:lpstr>EN_0900_006_m</vt:lpstr>
      <vt:lpstr>EN_0900_006_p</vt:lpstr>
      <vt:lpstr>EN_0900_006_q</vt:lpstr>
      <vt:lpstr>EN_0900_007</vt:lpstr>
      <vt:lpstr>EN_0900_007_m</vt:lpstr>
      <vt:lpstr>EN_0900_007_p</vt:lpstr>
      <vt:lpstr>EN_0900_007_q</vt:lpstr>
      <vt:lpstr>EN_0900_008</vt:lpstr>
      <vt:lpstr>EN_0900_008_m</vt:lpstr>
      <vt:lpstr>EN_0900_008_p</vt:lpstr>
      <vt:lpstr>EN_0900_008_q</vt:lpstr>
      <vt:lpstr>EN_0900_009</vt:lpstr>
      <vt:lpstr>EN_0900_009_m</vt:lpstr>
      <vt:lpstr>EN_0900_009_p</vt:lpstr>
      <vt:lpstr>EN_0900_009_q</vt:lpstr>
      <vt:lpstr>EN_1000_001</vt:lpstr>
      <vt:lpstr>EN_1000_001_m</vt:lpstr>
      <vt:lpstr>EN_1000_001_p</vt:lpstr>
      <vt:lpstr>EN_1000_001_q</vt:lpstr>
      <vt:lpstr>EN_1000_002</vt:lpstr>
      <vt:lpstr>EN_1000_002_m</vt:lpstr>
      <vt:lpstr>EN_1000_002_p</vt:lpstr>
      <vt:lpstr>EN_1000_002_q</vt:lpstr>
      <vt:lpstr>EN_1000_003</vt:lpstr>
      <vt:lpstr>EN_1000_003_m</vt:lpstr>
      <vt:lpstr>EN_1000_003_p</vt:lpstr>
      <vt:lpstr>EN_1000_003_q</vt:lpstr>
      <vt:lpstr>EN_1000_004</vt:lpstr>
      <vt:lpstr>EN_1000_004_m</vt:lpstr>
      <vt:lpstr>EN_1000_004_p</vt:lpstr>
      <vt:lpstr>EN_1000_004_q</vt:lpstr>
      <vt:lpstr>EN_1100_001</vt:lpstr>
      <vt:lpstr>EN_1100_001_m</vt:lpstr>
      <vt:lpstr>EN_1100_001_p</vt:lpstr>
      <vt:lpstr>EN_1100_001_q</vt:lpstr>
      <vt:lpstr>EN_1100_002</vt:lpstr>
      <vt:lpstr>EN_1100_002_m</vt:lpstr>
      <vt:lpstr>EN_1100_002_p</vt:lpstr>
      <vt:lpstr>EN_1100_002_q</vt:lpstr>
      <vt:lpstr>EN_1100_003</vt:lpstr>
      <vt:lpstr>EN_1100_003_m</vt:lpstr>
      <vt:lpstr>EN_1100_003_p</vt:lpstr>
      <vt:lpstr>EN_1100_003_q</vt:lpstr>
      <vt:lpstr>EN_1100_004</vt:lpstr>
      <vt:lpstr>EN_1100_004_m</vt:lpstr>
      <vt:lpstr>EN_1100_004_p</vt:lpstr>
      <vt:lpstr>EN_1100_004_q</vt:lpstr>
      <vt:lpstr>EN_1100_005</vt:lpstr>
      <vt:lpstr>EN_1100_005_m</vt:lpstr>
      <vt:lpstr>EN_1100_005_p</vt:lpstr>
      <vt:lpstr>EN_1100_005_q</vt:lpstr>
      <vt:lpstr>EN_1100_006</vt:lpstr>
      <vt:lpstr>EN_1100_006_m</vt:lpstr>
      <vt:lpstr>EN_1100_006_p</vt:lpstr>
      <vt:lpstr>EN_1100_006_q</vt:lpstr>
      <vt:lpstr>EN_A0900</vt:lpstr>
      <vt:lpstr>EN_A0900_f</vt:lpstr>
      <vt:lpstr>EN_A0900_m</vt:lpstr>
      <vt:lpstr>EN_A0900_p</vt:lpstr>
      <vt:lpstr>EN_A0900_pa</vt:lpstr>
      <vt:lpstr>EN_A0900_q</vt:lpstr>
      <vt:lpstr>EN_A0900_t</vt:lpstr>
      <vt:lpstr>EN_A0900p</vt:lpstr>
      <vt:lpstr>EN_A090f</vt:lpstr>
      <vt:lpstr>EN_A1000_f</vt:lpstr>
      <vt:lpstr>EN_A1000_m</vt:lpstr>
      <vt:lpstr>EN_A1000_p</vt:lpstr>
      <vt:lpstr>EN_A1000_pa</vt:lpstr>
      <vt:lpstr>EN_A1100</vt:lpstr>
      <vt:lpstr>EN_A1100_f</vt:lpstr>
      <vt:lpstr>EN_A1100_m</vt:lpstr>
      <vt:lpstr>EN_A1100_p</vt:lpstr>
      <vt:lpstr>EN_A1100_pa</vt:lpstr>
      <vt:lpstr>EN_A1100_q</vt:lpstr>
      <vt:lpstr>EN_A1100_t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Adrien de la Salle</cp:lastModifiedBy>
  <cp:revision>0</cp:revision>
  <dcterms:created xsi:type="dcterms:W3CDTF">2015-05-29T18:57:13Z</dcterms:created>
  <dcterms:modified xsi:type="dcterms:W3CDTF">2018-04-02T18:37:46Z</dcterms:modified>
  <dc:language>fr-FR</dc:language>
</cp:coreProperties>
</file>