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EN\"/>
    </mc:Choice>
  </mc:AlternateContent>
  <xr:revisionPtr revIDLastSave="0" documentId="13_ncr:1_{1A89293E-5CE3-45DC-9467-D0EDFB6B54AB}" xr6:coauthVersionLast="32" xr6:coauthVersionMax="32" xr10:uidLastSave="{00000000-0000-0000-0000-000000000000}"/>
  <bookViews>
    <workbookView xWindow="0" yWindow="0" windowWidth="20490" windowHeight="7545" tabRatio="736" xr2:uid="{00000000-000D-0000-FFFF-FFFF00000000}"/>
  </bookViews>
  <sheets>
    <sheet name="BOM" sheetId="8" r:id="rId1"/>
    <sheet name="EN A0100" sheetId="97" r:id="rId2"/>
    <sheet name="EN 01001" sheetId="98" r:id="rId3"/>
    <sheet name="EN 01002" sheetId="99" r:id="rId4"/>
    <sheet name="dEN 01002" sheetId="100" r:id="rId5"/>
    <sheet name="EN 01003" sheetId="101" r:id="rId6"/>
    <sheet name="dEN 01003" sheetId="102" r:id="rId7"/>
    <sheet name="EN A0200" sheetId="84" r:id="rId8"/>
    <sheet name="EN_02001" sheetId="85" r:id="rId9"/>
    <sheet name="dEN_02001" sheetId="86" r:id="rId10"/>
    <sheet name="EN_02002" sheetId="87" r:id="rId11"/>
    <sheet name="dEN_02002" sheetId="88" r:id="rId12"/>
    <sheet name="EN_02003" sheetId="89" r:id="rId13"/>
    <sheet name="EN_02004" sheetId="90" r:id="rId14"/>
    <sheet name="EN_02005" sheetId="91" r:id="rId15"/>
    <sheet name="EN_02006" sheetId="92" r:id="rId16"/>
    <sheet name="EN_02007" sheetId="93" r:id="rId17"/>
    <sheet name="EN_02008" sheetId="94" r:id="rId18"/>
    <sheet name="EN_02009" sheetId="95" r:id="rId19"/>
    <sheet name="EN_02010" sheetId="96" r:id="rId20"/>
    <sheet name="EN_A0300" sheetId="21" r:id="rId21"/>
    <sheet name="EN_03001" sheetId="22" r:id="rId22"/>
    <sheet name="EN_03002" sheetId="23" r:id="rId23"/>
    <sheet name="dEN_03002" sheetId="24" r:id="rId24"/>
    <sheet name="EN_03003" sheetId="25" r:id="rId25"/>
    <sheet name="EN_03004" sheetId="26" r:id="rId26"/>
    <sheet name="dEN_03004" sheetId="27" r:id="rId27"/>
    <sheet name="EN_03005" sheetId="28" r:id="rId28"/>
    <sheet name="dEN_03005" sheetId="29" r:id="rId29"/>
    <sheet name="EN_03006" sheetId="30" r:id="rId30"/>
    <sheet name="dEN_03006" sheetId="31" r:id="rId31"/>
    <sheet name="EN_03007" sheetId="32" r:id="rId32"/>
    <sheet name="dEN_03007" sheetId="33" r:id="rId33"/>
    <sheet name="EN_03008" sheetId="34" r:id="rId34"/>
    <sheet name="dEN_03008" sheetId="35" r:id="rId35"/>
    <sheet name="EN_A0400" sheetId="37" r:id="rId36"/>
    <sheet name="EN_04001" sheetId="38" r:id="rId37"/>
    <sheet name="EN_04002" sheetId="39" r:id="rId38"/>
    <sheet name="EN_04003" sheetId="40" r:id="rId39"/>
    <sheet name="EN_04004" sheetId="41" r:id="rId40"/>
    <sheet name="EN_04005" sheetId="42" r:id="rId41"/>
    <sheet name="EN_04006" sheetId="43" r:id="rId42"/>
    <sheet name="EN_04007" sheetId="44" r:id="rId43"/>
    <sheet name="EN_04008" sheetId="45" r:id="rId44"/>
    <sheet name="EN_04009" sheetId="46" r:id="rId45"/>
    <sheet name="EN A0005" sheetId="103" r:id="rId46"/>
    <sheet name="EN 05001" sheetId="104" r:id="rId47"/>
    <sheet name="EN 05001 Drawing" sheetId="105" r:id="rId48"/>
    <sheet name="EN 05002" sheetId="106" r:id="rId49"/>
    <sheet name="EN 05003" sheetId="107" r:id="rId50"/>
    <sheet name="EN 05004" sheetId="108" r:id="rId51"/>
    <sheet name="EN 05004 Drawing" sheetId="109" r:id="rId52"/>
    <sheet name="EN 05005" sheetId="110" r:id="rId53"/>
    <sheet name="EN 05005 Drawing" sheetId="111" r:id="rId54"/>
    <sheet name="EN A0600" sheetId="112" r:id="rId55"/>
    <sheet name="EN 06001" sheetId="113" r:id="rId56"/>
    <sheet name="EN 06002" sheetId="114" r:id="rId57"/>
    <sheet name="EN 06003" sheetId="115" r:id="rId58"/>
    <sheet name="dEN 06003" sheetId="116" r:id="rId59"/>
    <sheet name="EN 06004" sheetId="117" r:id="rId60"/>
    <sheet name="dEN 06004" sheetId="118" r:id="rId61"/>
    <sheet name="EN A0700" sheetId="119" r:id="rId62"/>
    <sheet name="EN A0800" sheetId="121" r:id="rId63"/>
    <sheet name="EN_08001" sheetId="122" r:id="rId64"/>
    <sheet name="dEN_08001" sheetId="123" r:id="rId65"/>
    <sheet name="EN_08002" sheetId="124" r:id="rId66"/>
    <sheet name="dEN_08002" sheetId="125" r:id="rId67"/>
    <sheet name="EN_08003" sheetId="126" r:id="rId68"/>
    <sheet name="dEN_08003" sheetId="127" r:id="rId69"/>
    <sheet name="EN_08004" sheetId="128" r:id="rId70"/>
    <sheet name="dEN_08004" sheetId="129" r:id="rId71"/>
    <sheet name="EN_08005" sheetId="130" r:id="rId72"/>
    <sheet name="EN_08006" sheetId="131" r:id="rId73"/>
    <sheet name="EN_08007" sheetId="132" r:id="rId74"/>
    <sheet name="pEN_08007" sheetId="133" r:id="rId75"/>
    <sheet name="EN_08008" sheetId="120" r:id="rId76"/>
    <sheet name="dEN_08008" sheetId="134" r:id="rId77"/>
    <sheet name="EN_08009" sheetId="135" r:id="rId78"/>
    <sheet name="dEN_08009" sheetId="136" r:id="rId79"/>
    <sheet name="EN_08010" sheetId="137" r:id="rId80"/>
    <sheet name="EN_A0900" sheetId="48" r:id="rId81"/>
    <sheet name="EN_09001" sheetId="49" r:id="rId82"/>
    <sheet name="EN_09002" sheetId="50" r:id="rId83"/>
    <sheet name="dEN_09002" sheetId="51" r:id="rId84"/>
    <sheet name="EN_09003" sheetId="52" r:id="rId85"/>
    <sheet name="dEN_09003" sheetId="53" r:id="rId86"/>
    <sheet name="EN_09004" sheetId="54" r:id="rId87"/>
    <sheet name="dEN_09004" sheetId="55" r:id="rId88"/>
    <sheet name="EN_09005" sheetId="56" r:id="rId89"/>
    <sheet name="dEN_09005" sheetId="57" r:id="rId90"/>
    <sheet name="EN_09006" sheetId="58" r:id="rId91"/>
    <sheet name="dEN_09006" sheetId="59" r:id="rId92"/>
    <sheet name="EN_09007" sheetId="60" r:id="rId93"/>
    <sheet name="dEN_09007" sheetId="61" r:id="rId94"/>
    <sheet name="EN_09008" sheetId="62" r:id="rId95"/>
    <sheet name="dEN_09008" sheetId="63" r:id="rId96"/>
    <sheet name="EN_09009" sheetId="64" r:id="rId97"/>
    <sheet name="dEN_09009" sheetId="65" r:id="rId98"/>
    <sheet name="EN_A1000" sheetId="66" r:id="rId99"/>
    <sheet name="EN_10001" sheetId="67" r:id="rId100"/>
    <sheet name="EN_10002" sheetId="68" r:id="rId101"/>
    <sheet name="EN_10003" sheetId="69" r:id="rId102"/>
    <sheet name="dEN_10003" sheetId="70" r:id="rId103"/>
    <sheet name="EN_10004" sheetId="71" r:id="rId104"/>
    <sheet name="dEN_10004" sheetId="72" r:id="rId105"/>
    <sheet name="EN_A1100" sheetId="73" r:id="rId106"/>
    <sheet name="EN_11001" sheetId="83" r:id="rId107"/>
    <sheet name="EN_11002" sheetId="74" r:id="rId108"/>
    <sheet name="EN_11003" sheetId="75" r:id="rId109"/>
    <sheet name="dEN_11003" sheetId="76" r:id="rId110"/>
    <sheet name="EN_11004" sheetId="77" r:id="rId111"/>
    <sheet name="dEN_11004" sheetId="78" r:id="rId112"/>
    <sheet name="EN_11005" sheetId="79" r:id="rId113"/>
    <sheet name="dEN_11005" sheetId="80" r:id="rId114"/>
    <sheet name="EN_11006" sheetId="81" r:id="rId115"/>
    <sheet name="dEN_11006" sheetId="82" r:id="rId116"/>
  </sheets>
  <externalReferences>
    <externalReference r:id="rId117"/>
  </externalReferences>
  <definedNames>
    <definedName name="dEN_0300_002">dEN_03002!$A$1</definedName>
    <definedName name="dEN_0300_009">dEN_03004!$A$1</definedName>
    <definedName name="dEN_0300_010">dEN_03005!$A$1</definedName>
    <definedName name="dEN_0300_011">dEN_03006!$A$1</definedName>
    <definedName name="dEN_0300_012">dEN_03007!$A$1</definedName>
    <definedName name="dEN_0300_013">dEN_03008!$A$1</definedName>
    <definedName name="EN_01001">'EN 01001'!$B$5</definedName>
    <definedName name="EN_01001_f">#REF!</definedName>
    <definedName name="EN_01001_m">'EN 01001'!$N$15</definedName>
    <definedName name="EN_01001_p">'EN 01001'!$I$30</definedName>
    <definedName name="EN_01001_q">'EN 01001'!$N$2</definedName>
    <definedName name="EN_01001_t">'EN 01001'!$I$34</definedName>
    <definedName name="EN_01002">'EN 01002'!$B$5</definedName>
    <definedName name="EN_01002_m">'EN 01002'!$N$11</definedName>
    <definedName name="EN_01002_p">'EN 01002'!$I$16</definedName>
    <definedName name="EN_01002_q">'EN 01002'!$N$2</definedName>
    <definedName name="EN_01003">'EN 01003'!$B$5</definedName>
    <definedName name="EN_01003_m">'EN 01003'!$N$11</definedName>
    <definedName name="EN_01003_p">'EN 01003'!$I$16</definedName>
    <definedName name="EN_01003_q">'EN 01003'!$N$2</definedName>
    <definedName name="EN_02001">EN_02001!$B$6</definedName>
    <definedName name="EN_02001_f" localSheetId="10">EN_02001!#REF!</definedName>
    <definedName name="EN_02001_f" localSheetId="12">EN_02001!#REF!</definedName>
    <definedName name="EN_02001_f" localSheetId="14">EN_02001!#REF!</definedName>
    <definedName name="EN_02001_f" localSheetId="15">EN_02001!#REF!</definedName>
    <definedName name="EN_02001_f" localSheetId="16">EN_02001!#REF!</definedName>
    <definedName name="EN_02001_f" localSheetId="17">EN_02001!#REF!</definedName>
    <definedName name="EN_02001_f" localSheetId="19">EN_02001!#REF!</definedName>
    <definedName name="EN_02001_f">EN_02001!#REF!</definedName>
    <definedName name="EN_02001_m">EN_02001!$N$12</definedName>
    <definedName name="EN_02001_p">EN_02001!$I$19</definedName>
    <definedName name="EN_02001_q">EN_02001!$N$3</definedName>
    <definedName name="EN_02001_t" localSheetId="10">EN_02001!#REF!</definedName>
    <definedName name="EN_02001_t" localSheetId="12">EN_02001!#REF!</definedName>
    <definedName name="EN_02001_t" localSheetId="14">EN_02001!#REF!</definedName>
    <definedName name="EN_02001_t" localSheetId="15">EN_02001!#REF!</definedName>
    <definedName name="EN_02001_t" localSheetId="16">EN_02001!#REF!</definedName>
    <definedName name="EN_02001_t" localSheetId="17">EN_02001!#REF!</definedName>
    <definedName name="EN_02001_t" localSheetId="19">EN_02001!#REF!</definedName>
    <definedName name="EN_02001_t">EN_02001!#REF!</definedName>
    <definedName name="EN_02002">EN_02002!$B$6</definedName>
    <definedName name="EN_02002_m">EN_02002!$N$12</definedName>
    <definedName name="EN_02002_p">EN_02002!$I$17</definedName>
    <definedName name="EN_02002_q">EN_02002!$N$3</definedName>
    <definedName name="EN_02003">EN_02003!$B$6</definedName>
    <definedName name="EN_02003_m">EN_02003!$N$12</definedName>
    <definedName name="EN_02003_p">EN_02003!$I$19</definedName>
    <definedName name="EN_02003_q">EN_02003!$N$3</definedName>
    <definedName name="EN_02003_t">EN_02003!$I$24</definedName>
    <definedName name="EN_02004">EN_02004!$B$6</definedName>
    <definedName name="EN_02004_m">EN_02004!$N$13</definedName>
    <definedName name="EN_02004_p">EN_02004!$I$19</definedName>
    <definedName name="EN_02004_q">EN_02004!$N$3</definedName>
    <definedName name="EN_02004_t">EN_02004!$I$23</definedName>
    <definedName name="EN_02005">EN_02005!$B$6</definedName>
    <definedName name="EN_02005_m">EN_02005!$N$12</definedName>
    <definedName name="EN_02005_p">EN_02005!$I$16</definedName>
    <definedName name="EN_02005_q">EN_02005!$N$3</definedName>
    <definedName name="EN_02005_t">EN_02005!#REF!</definedName>
    <definedName name="EN_02006">EN_02006!$B$6</definedName>
    <definedName name="EN_02006_m">EN_02006!$N$13</definedName>
    <definedName name="EN_02006_p">EN_02006!$I$19</definedName>
    <definedName name="EN_02006_q">EN_02006!$N$3</definedName>
    <definedName name="EN_02006_t">EN_02006!$I$23</definedName>
    <definedName name="EN_02007">EN_02007!$B$6</definedName>
    <definedName name="EN_02007_m">EN_02007!$N$12</definedName>
    <definedName name="EN_02007_p">EN_02007!$I$19</definedName>
    <definedName name="EN_02007_q">EN_02007!$N$3</definedName>
    <definedName name="EN_02007_t">EN_02007!$I$23</definedName>
    <definedName name="EN_02008">EN_02008!$B$6</definedName>
    <definedName name="EN_02008_m">EN_02008!$N$14</definedName>
    <definedName name="EN_02008_p">EN_02008!$I$22</definedName>
    <definedName name="EN_02008_q">EN_02008!$N$3</definedName>
    <definedName name="EN_02009">EN_02009!$B$6</definedName>
    <definedName name="EN_02009_m">EN_02009!$N$12</definedName>
    <definedName name="EN_02009_p">EN_02009!$I$17</definedName>
    <definedName name="EN_02009_q">EN_02009!$N$3</definedName>
    <definedName name="EN_02009_t">EN_02009!$I$21</definedName>
    <definedName name="EN_02010">EN_02010!$B$6</definedName>
    <definedName name="EN_02010_m">EN_02010!$N$12</definedName>
    <definedName name="EN_02010_p">EN_02010!$I$17</definedName>
    <definedName name="EN_02010_q">EN_02010!$N$3</definedName>
    <definedName name="EN_02010_t">EN_02010!#REF!</definedName>
    <definedName name="EN_0300_001">EN_03001!$B$5</definedName>
    <definedName name="EN_0300_001_f">EN_03001!$I$19</definedName>
    <definedName name="EN_0300_001_m">EN_03001!$N$12</definedName>
    <definedName name="EN_0300_001_p">EN_03001!$I$17</definedName>
    <definedName name="EN_0300_001_q">EN_03001!$N$3</definedName>
    <definedName name="EN_0300_001_t">EN_03001!$I$21</definedName>
    <definedName name="EN_0300_002">EN_03002!$B$5</definedName>
    <definedName name="EN_0300_002_f">EN_03002!$I$19</definedName>
    <definedName name="EN_0300_002_m">EN_03002!$N$12</definedName>
    <definedName name="EN_0300_002_p">EN_03002!$I$17</definedName>
    <definedName name="EN_0300_002_q">EN_03002!$N$3</definedName>
    <definedName name="EN_0300_002_t">EN_03002!$I$20</definedName>
    <definedName name="EN_0300_003">EN_03003!$B$5</definedName>
    <definedName name="EN_0300_003_f">EN_03003!$I$19</definedName>
    <definedName name="EN_0300_003_m">EN_03003!$N$12</definedName>
    <definedName name="EN_0300_003_p">EN_03003!$I$17</definedName>
    <definedName name="EN_0300_003_q">EN_03003!$N$3</definedName>
    <definedName name="EN_0300_003_t">EN_03003!$I$20</definedName>
    <definedName name="EN_0300_004">EN_03004!$B$5</definedName>
    <definedName name="EN_0300_004_f">EN_03004!$I$18</definedName>
    <definedName name="EN_0300_004_m">EN_03004!$N$12</definedName>
    <definedName name="EN_0300_004_p">EN_03004!$I$17</definedName>
    <definedName name="EN_0300_004_q">EN_03004!$N$3</definedName>
    <definedName name="EN_0300_004_t">EN_03004!$I$19</definedName>
    <definedName name="EN_0300_005">EN_03005!$B$5</definedName>
    <definedName name="EN_0300_005_f">EN_03005!$I$19</definedName>
    <definedName name="EN_0300_005_m">EN_03005!$N$12</definedName>
    <definedName name="EN_0300_005_p">EN_03005!$I$17</definedName>
    <definedName name="EN_0300_005_q">EN_03005!$N$3</definedName>
    <definedName name="EN_0300_005_t">EN_03005!$I$18</definedName>
    <definedName name="EN_0300_006">EN_03006!$B$5</definedName>
    <definedName name="EN_0300_006_f">EN_03006!$I$19</definedName>
    <definedName name="EN_0300_006_m">EN_03006!$N$12</definedName>
    <definedName name="EN_0300_006_p">EN_03006!$I$17</definedName>
    <definedName name="EN_0300_006_q">EN_03006!$N$3</definedName>
    <definedName name="EN_0300_006_t">EN_03006!$I$18</definedName>
    <definedName name="EN_0300_007">EN_03007!$B$5</definedName>
    <definedName name="EN_0300_007_f">EN_03007!$I$20</definedName>
    <definedName name="EN_0300_007_m">EN_03007!$N$12</definedName>
    <definedName name="EN_0300_007_p">EN_03007!$I$18</definedName>
    <definedName name="EN_0300_007_q">EN_03007!$N$3</definedName>
    <definedName name="EN_0300_007_t">EN_03007!$I$19</definedName>
    <definedName name="EN_0300_008">EN_03008!$B$5</definedName>
    <definedName name="EN_0300_008_f">EN_03008!$I$19</definedName>
    <definedName name="EN_0300_008_m">EN_03008!$N$12</definedName>
    <definedName name="EN_0300_008_p">EN_03008!$I$17</definedName>
    <definedName name="EN_0300_008_q">EN_03008!$N$3</definedName>
    <definedName name="EN_0300_008_t">EN_03008!$I$18</definedName>
    <definedName name="EN_0400_001">EN_04001!$B$5</definedName>
    <definedName name="EN_0400_001_f">EN_04001!$I$19</definedName>
    <definedName name="EN_0400_001_m">EN_04001!$N$12</definedName>
    <definedName name="EN_0400_001_p">EN_04001!$I$18</definedName>
    <definedName name="EN_0400_001_q">EN_04001!$N$3</definedName>
    <definedName name="EN_0400_001_t">EN_04001!$I$20</definedName>
    <definedName name="EN_0400_002">EN_04002!$B$5</definedName>
    <definedName name="EN_0400_002_f">EN_04002!$I$21</definedName>
    <definedName name="EN_0400_002_m">EN_04002!$N$12</definedName>
    <definedName name="EN_0400_002_p">EN_04002!$I$19</definedName>
    <definedName name="EN_0400_002_q">EN_04002!$N$3</definedName>
    <definedName name="EN_0400_002_t">EN_04002!$I$22</definedName>
    <definedName name="EN_0400_003">EN_04003!$B$5</definedName>
    <definedName name="EN_0400_003_f">EN_04003!$I$20</definedName>
    <definedName name="EN_0400_003_m">EN_04003!$N$12</definedName>
    <definedName name="EN_0400_003_p">EN_04003!$I$19</definedName>
    <definedName name="EN_0400_003_q">EN_04003!$N$3</definedName>
    <definedName name="EN_0400_003_t">EN_04003!$I$21</definedName>
    <definedName name="EN_0400_004">EN_04004!$B$5</definedName>
    <definedName name="EN_0400_004_f">EN_04004!$I$20</definedName>
    <definedName name="EN_0400_004_m">EN_04004!$N$12</definedName>
    <definedName name="EN_0400_004_p">EN_04004!$I$19</definedName>
    <definedName name="EN_0400_004_q">EN_04004!$N$3</definedName>
    <definedName name="EN_0400_004_t">EN_04004!$I$21</definedName>
    <definedName name="EN_0400_005">EN_04005!$B$5</definedName>
    <definedName name="EN_0400_005_f">EN_04005!$I$20</definedName>
    <definedName name="EN_0400_005_m">EN_04005!$N$12</definedName>
    <definedName name="EN_0400_005_p">EN_04005!$I$19</definedName>
    <definedName name="EN_0400_005_q">EN_04005!$N$3</definedName>
    <definedName name="EN_0400_005_t">EN_04005!$I$21</definedName>
    <definedName name="EN_0400_006">EN_04006!$B$5</definedName>
    <definedName name="EN_0400_006_f">EN_04006!$I$20</definedName>
    <definedName name="EN_0400_006_m">EN_04006!$N$12</definedName>
    <definedName name="EN_0400_006_p">EN_04006!$I$19</definedName>
    <definedName name="EN_0400_006_q">EN_04006!$N$3</definedName>
    <definedName name="EN_0400_006_t">EN_04006!$I$21</definedName>
    <definedName name="EN_0400_007">EN_04007!$B$5</definedName>
    <definedName name="EN_0400_007_f">EN_04007!$I$18</definedName>
    <definedName name="EN_0400_007_m">EN_04007!$N$12</definedName>
    <definedName name="EN_0400_007_p">EN_04007!$I$17</definedName>
    <definedName name="EN_0400_007_q">EN_04007!$N$3</definedName>
    <definedName name="EN_0400_007_t">EN_04007!$I$19</definedName>
    <definedName name="EN_0400_008">EN_04008!$B$5</definedName>
    <definedName name="EN_0400_008_f">EN_04008!$I$18</definedName>
    <definedName name="EN_0400_008_m">EN_04008!$N$12</definedName>
    <definedName name="EN_0400_008_p">EN_04008!$I$17</definedName>
    <definedName name="EN_0400_008_q">EN_04008!$N$3</definedName>
    <definedName name="EN_0400_008_t">EN_04008!$I$19</definedName>
    <definedName name="EN_0400_009">EN_04009!$B$5</definedName>
    <definedName name="EN_0400_009_f">EN_04009!$I$18</definedName>
    <definedName name="EN_0400_009_m">EN_04009!$N$12</definedName>
    <definedName name="EN_0400_009_p">EN_04009!$I$17</definedName>
    <definedName name="EN_0400_009_q">EN_04009!$N$3</definedName>
    <definedName name="EN_0400_009_t">EN_04009!$I$19</definedName>
    <definedName name="EN_05001">'EN 05001'!$B$5</definedName>
    <definedName name="EN_05001_m">'EN 05001'!$N$13</definedName>
    <definedName name="EN_05001_p">'EN 05001'!$I$26</definedName>
    <definedName name="EN_05001_q">'EN 05001'!$N$2</definedName>
    <definedName name="EN_05001_t">'EN 05001'!$I$30</definedName>
    <definedName name="EN_05002">'EN 05002'!$B$5</definedName>
    <definedName name="EN_05002_m">'EN 05002'!$N$14</definedName>
    <definedName name="EN_05002_p">'EN 05002'!$I$22</definedName>
    <definedName name="EN_05002_q">'EN 05002'!$N$2</definedName>
    <definedName name="EN_05003">'EN 05003'!$B$5</definedName>
    <definedName name="EN_05003_f">'EN 05003'!$J$36</definedName>
    <definedName name="EN_05003_m">'EN 05003'!$N$15</definedName>
    <definedName name="EN_05003_p">'EN 05003'!$I$30</definedName>
    <definedName name="EN_05003_q">'EN 05003'!$N$2</definedName>
    <definedName name="EN_05003_t">'EN 05003'!$I$40</definedName>
    <definedName name="EN_05004">'EN 05004'!$B$5</definedName>
    <definedName name="EN_05004_m">'EN 05004'!$N$11</definedName>
    <definedName name="EN_05004_p">'EN 05004'!$I$16</definedName>
    <definedName name="EN_05004_q">'EN 05004'!$N$2</definedName>
    <definedName name="EN_05005">'EN 05005'!$B$5</definedName>
    <definedName name="EN_05005_m">'EN 05005'!$N$11</definedName>
    <definedName name="EN_05005_p">'EN 05005'!$I$16</definedName>
    <definedName name="EN_05005_q">'EN 05005'!$N$2</definedName>
    <definedName name="EN_06001">'EN 06001'!$B$5</definedName>
    <definedName name="EN_06001_m">'EN 06001'!$N$12</definedName>
    <definedName name="EN_06001_p">'EN 06001'!$I$20</definedName>
    <definedName name="EN_06001_q">'EN 06001'!$N$2</definedName>
    <definedName name="EN_06001_t">'EN 06001'!$I$24</definedName>
    <definedName name="EN_06002">'EN 06002'!$B$5</definedName>
    <definedName name="EN_06002_m">'EN 06002'!$N$11</definedName>
    <definedName name="EN_06002_p">'EN 06002'!$I$17</definedName>
    <definedName name="EN_06002_q">'EN 06002'!$N$2</definedName>
    <definedName name="EN_06003">'EN 06003'!$B$5</definedName>
    <definedName name="EN_06003_m">'EN 06003'!$N$11</definedName>
    <definedName name="EN_06003_p">'EN 06003'!$I$16</definedName>
    <definedName name="EN_06003_q">'EN 06003'!$N$2</definedName>
    <definedName name="EN_06004">'EN 06004'!$B$5</definedName>
    <definedName name="EN_06004_m">'EN 06004'!$N$11</definedName>
    <definedName name="EN_06004_p">'EN 06004'!$I$16</definedName>
    <definedName name="EN_06004_q">'EN 06004'!$N$2</definedName>
    <definedName name="EN_08001">EN_08001!$B$5</definedName>
    <definedName name="EN_08001_m">EN_08001!$N$12</definedName>
    <definedName name="EN_08001_p">EN_08001!$I$17</definedName>
    <definedName name="EN_08001_q">EN_08001!$N$2</definedName>
    <definedName name="EN_08002">EN_08002!$B$5</definedName>
    <definedName name="EN_08002_m">EN_08002!$N$11</definedName>
    <definedName name="EN_08002_p">EN_08002!$I$16</definedName>
    <definedName name="EN_08002_q">EN_08002!$N$2</definedName>
    <definedName name="EN_08003">EN_08003!$B$5</definedName>
    <definedName name="EN_08003_m">EN_08003!$N$11</definedName>
    <definedName name="EN_08003_p">EN_08003!$I$17</definedName>
    <definedName name="EN_08003_q">EN_08003!$N$2</definedName>
    <definedName name="EN_08004">EN_08004!$B$5</definedName>
    <definedName name="EN_08004_m">EN_08004!$N$11</definedName>
    <definedName name="EN_08004_p">EN_08004!$I$16</definedName>
    <definedName name="EN_08004_q">EN_08004!$N$2</definedName>
    <definedName name="EN_08005">EN_08005!$B$5</definedName>
    <definedName name="EN_08005_f">EN_08005!$J$23</definedName>
    <definedName name="EN_08005_m">EN_08005!$N$12</definedName>
    <definedName name="EN_08005_p">EN_08005!$I$19</definedName>
    <definedName name="EN_08005_q">EN_08005!$N$2</definedName>
    <definedName name="EN_08006">EN_08006!$B$5</definedName>
    <definedName name="EN_08006_f">EN_08006!$J$20</definedName>
    <definedName name="EN_08006_m">EN_08006!$N$11</definedName>
    <definedName name="EN_08006_p">EN_08006!$I$16</definedName>
    <definedName name="EN_08006_q">EN_08006!$N$2</definedName>
    <definedName name="EN_08007">EN_08007!$B$5</definedName>
    <definedName name="EN_08007_m">EN_08007!$N$16</definedName>
    <definedName name="EN_08007_p">EN_08007!$I$33</definedName>
    <definedName name="EN_08007_q">EN_08007!$N$2</definedName>
    <definedName name="EN_08007_t">EN_08007!$I$37</definedName>
    <definedName name="EN_08008">EN_08008!$B$5</definedName>
    <definedName name="EN_08008_m">EN_08008!$N$11</definedName>
    <definedName name="EN_08008_p">EN_08008!$I$16</definedName>
    <definedName name="EN_08008_q">EN_08008!$N$2</definedName>
    <definedName name="EN_08009">EN_08009!$B$5</definedName>
    <definedName name="EN_08009_m">EN_08009!$N$11</definedName>
    <definedName name="EN_08009_p">EN_08009!$I$17</definedName>
    <definedName name="EN_08009_q">EN_08009!$N$2</definedName>
    <definedName name="EN_08010">EN_08010!$B$5</definedName>
    <definedName name="EN_08010_f">EN_08010!$J$23</definedName>
    <definedName name="EN_08010_m">EN_08010!$N$12</definedName>
    <definedName name="EN_08010_p">EN_08010!$I$19</definedName>
    <definedName name="EN_08010_q">EN_08010!$N$2</definedName>
    <definedName name="EN_0900_001">EN_09001!$B$6</definedName>
    <definedName name="EN_0900_001_f">EN_09001!$J$39</definedName>
    <definedName name="EN_0900_001_m">EN_09001!$N$15</definedName>
    <definedName name="EN_0900_001_p">EN_09001!$I$32</definedName>
    <definedName name="EN_0900_001_q">EN_09001!$N$3</definedName>
    <definedName name="EN_0900_002">EN_09002!$B$6</definedName>
    <definedName name="EN_0900_002_m">EN_09002!$N$13</definedName>
    <definedName name="EN_0900_002_p">EN_09002!$I$18</definedName>
    <definedName name="EN_0900_002_q">EN_09002!$N$3</definedName>
    <definedName name="EN_0900_003">EN_09003!$B$6</definedName>
    <definedName name="EN_0900_003_m">EN_09003!$N$13</definedName>
    <definedName name="EN_0900_003_p">EN_09003!$I$18</definedName>
    <definedName name="EN_0900_003_q">EN_09003!$N$3</definedName>
    <definedName name="EN_0900_004">EN_09004!$B$6</definedName>
    <definedName name="EN_0900_004_m">EN_09004!$N$13</definedName>
    <definedName name="EN_0900_004_p">EN_09004!$I$18</definedName>
    <definedName name="EN_0900_004_q">EN_09004!$N$3</definedName>
    <definedName name="EN_0900_005">EN_09005!$B$6</definedName>
    <definedName name="EN_0900_005_m">EN_09005!$N$13</definedName>
    <definedName name="EN_0900_005_p">EN_09005!$I$18</definedName>
    <definedName name="EN_0900_005_q">EN_09005!$N$3</definedName>
    <definedName name="EN_0900_006">EN_09006!$B$6</definedName>
    <definedName name="EN_0900_006_m">EN_09006!$N$12</definedName>
    <definedName name="EN_0900_006_p">EN_09006!$I$17</definedName>
    <definedName name="EN_0900_006_q">EN_09006!$N$3</definedName>
    <definedName name="EN_0900_007">EN_09007!$B$6</definedName>
    <definedName name="EN_0900_007_m">EN_09007!$N$12</definedName>
    <definedName name="EN_0900_007_p">EN_09007!$I$17</definedName>
    <definedName name="EN_0900_007_q">EN_09007!$N$3</definedName>
    <definedName name="EN_0900_008">EN_09008!$B$6</definedName>
    <definedName name="EN_0900_008_m">EN_09008!$N$13</definedName>
    <definedName name="EN_0900_008_p">EN_09008!$I$18</definedName>
    <definedName name="EN_0900_008_q">EN_09008!$N$3</definedName>
    <definedName name="EN_0900_009">EN_09009!$B$6</definedName>
    <definedName name="EN_0900_009_m">EN_09009!$N$13</definedName>
    <definedName name="EN_0900_009_p">EN_09009!$I$18</definedName>
    <definedName name="EN_0900_009_q">EN_09009!$N$3</definedName>
    <definedName name="EN_1000_001">EN_10001!$B$6</definedName>
    <definedName name="EN_1000_001_m">EN_10001!$N$13</definedName>
    <definedName name="EN_1000_001_p">EN_10001!$I$22</definedName>
    <definedName name="EN_1000_001_q">EN_10001!$N$3</definedName>
    <definedName name="EN_1000_002">EN_10002!$B$6</definedName>
    <definedName name="EN_1000_002_m">EN_10002!$N$12</definedName>
    <definedName name="EN_1000_002_p">EN_10002!$I$23</definedName>
    <definedName name="EN_1000_002_q">EN_10002!$N$3</definedName>
    <definedName name="EN_1000_003">EN_10003!$B$6</definedName>
    <definedName name="EN_1000_003_m">EN_10003!$N$12</definedName>
    <definedName name="EN_1000_003_p">EN_10003!$I$21</definedName>
    <definedName name="EN_1000_003_q">EN_10003!$N$3</definedName>
    <definedName name="EN_1000_004">EN_10004!$B$6</definedName>
    <definedName name="EN_1000_004_m">EN_10004!$N$12</definedName>
    <definedName name="EN_1000_004_p">EN_10004!$I$21</definedName>
    <definedName name="EN_1000_004_q">EN_10004!$N$3</definedName>
    <definedName name="EN_1100_001">EN_11001!$B$6</definedName>
    <definedName name="EN_1100_001_m">EN_11001!$N$12</definedName>
    <definedName name="EN_1100_001_p">EN_11001!$I$21</definedName>
    <definedName name="EN_1100_001_q">EN_11001!$N$3</definedName>
    <definedName name="EN_1100_002">EN_11002!$B$6</definedName>
    <definedName name="EN_1100_002_m">EN_11002!$N$12</definedName>
    <definedName name="EN_1100_002_p">EN_11002!$I$19</definedName>
    <definedName name="EN_1100_002_q">EN_11002!$N$3</definedName>
    <definedName name="EN_1100_003">EN_11003!$B$6</definedName>
    <definedName name="EN_1100_003_m">EN_11003!$N$12</definedName>
    <definedName name="EN_1100_003_p">EN_11003!$I$18</definedName>
    <definedName name="EN_1100_003_q">EN_11003!$N$3</definedName>
    <definedName name="EN_1100_004">EN_11004!$B$6</definedName>
    <definedName name="EN_1100_004_m">EN_11004!$N$12</definedName>
    <definedName name="EN_1100_004_p">EN_11004!$I$18</definedName>
    <definedName name="EN_1100_004_q">EN_11004!$N$3</definedName>
    <definedName name="EN_1100_005">EN_11005!$B$6</definedName>
    <definedName name="EN_1100_005_m">EN_11005!$N$12</definedName>
    <definedName name="EN_1100_005_p">EN_11005!$I$17</definedName>
    <definedName name="EN_1100_005_q">EN_11005!$N$3</definedName>
    <definedName name="EN_1100_006">EN_11006!$B$6</definedName>
    <definedName name="EN_1100_006_m">EN_11006!$N$12</definedName>
    <definedName name="EN_1100_006_p">EN_11006!$I$17</definedName>
    <definedName name="EN_1100_006_q">EN_11006!$N$3</definedName>
    <definedName name="EN_A0001">'[1]EN Assembly'!$B$5</definedName>
    <definedName name="EN_A0001_f" localSheetId="10">'[1]EN Assembly'!$J$43</definedName>
    <definedName name="EN_A0001_f" localSheetId="12">'[1]EN Assembly'!$J$43</definedName>
    <definedName name="EN_A0001_f" localSheetId="13">'[1]EN Assembly'!$J$43</definedName>
    <definedName name="EN_A0001_f" localSheetId="14">'[1]EN Assembly'!$J$43</definedName>
    <definedName name="EN_A0001_f" localSheetId="15">'[1]EN Assembly'!$J$43</definedName>
    <definedName name="EN_A0001_f" localSheetId="16">'[1]EN Assembly'!$J$43</definedName>
    <definedName name="EN_A0001_f" localSheetId="17">'[1]EN Assembly'!$J$43</definedName>
    <definedName name="EN_A0001_f" localSheetId="18">'[1]EN Assembly'!$J$43</definedName>
    <definedName name="EN_A0001_f" localSheetId="19">'[1]EN Assembly'!$J$43</definedName>
    <definedName name="EN_A0001_f">'EN A0200'!$J$53</definedName>
    <definedName name="EN_A0001_m" localSheetId="10">'[1]EN Assembly'!$N$24</definedName>
    <definedName name="EN_A0001_m" localSheetId="12">'[1]EN Assembly'!$N$24</definedName>
    <definedName name="EN_A0001_m" localSheetId="13">'[1]EN Assembly'!$N$24</definedName>
    <definedName name="EN_A0001_m" localSheetId="14">'[1]EN Assembly'!$N$24</definedName>
    <definedName name="EN_A0001_m" localSheetId="15">'[1]EN Assembly'!$N$24</definedName>
    <definedName name="EN_A0001_m" localSheetId="16">'[1]EN Assembly'!$N$24</definedName>
    <definedName name="EN_A0001_m" localSheetId="17">'[1]EN Assembly'!$N$24</definedName>
    <definedName name="EN_A0001_m" localSheetId="18">'[1]EN Assembly'!$N$24</definedName>
    <definedName name="EN_A0001_m" localSheetId="19">'[1]EN Assembly'!$N$24</definedName>
    <definedName name="EN_A0001_m">'EN A0200'!$N$24</definedName>
    <definedName name="EN_A0001_p" localSheetId="10">'[1]EN Assembly'!$I$33</definedName>
    <definedName name="EN_A0001_p" localSheetId="12">'[1]EN Assembly'!$I$33</definedName>
    <definedName name="EN_A0001_p" localSheetId="13">'[1]EN Assembly'!$I$33</definedName>
    <definedName name="EN_A0001_p" localSheetId="14">'[1]EN Assembly'!$I$33</definedName>
    <definedName name="EN_A0001_p" localSheetId="15">'[1]EN Assembly'!$I$33</definedName>
    <definedName name="EN_A0001_p" localSheetId="16">'[1]EN Assembly'!$I$33</definedName>
    <definedName name="EN_A0001_p" localSheetId="17">'[1]EN Assembly'!$I$33</definedName>
    <definedName name="EN_A0001_p" localSheetId="18">'[1]EN Assembly'!$I$33</definedName>
    <definedName name="EN_A0001_p" localSheetId="19">'[1]EN Assembly'!$I$33</definedName>
    <definedName name="EN_A0001_p">'EN A0200'!$I$43</definedName>
    <definedName name="EN_A0001_pa" localSheetId="10">'[1]EN Assembly'!$E$16</definedName>
    <definedName name="EN_A0001_pa" localSheetId="12">'[1]EN Assembly'!$E$16</definedName>
    <definedName name="EN_A0001_pa" localSheetId="13">'[1]EN Assembly'!$E$16</definedName>
    <definedName name="EN_A0001_pa" localSheetId="14">'[1]EN Assembly'!$E$16</definedName>
    <definedName name="EN_A0001_pa" localSheetId="15">'[1]EN Assembly'!$E$16</definedName>
    <definedName name="EN_A0001_pa" localSheetId="16">'[1]EN Assembly'!$E$16</definedName>
    <definedName name="EN_A0001_pa" localSheetId="17">'[1]EN Assembly'!$E$16</definedName>
    <definedName name="EN_A0001_pa" localSheetId="18">'[1]EN Assembly'!$E$16</definedName>
    <definedName name="EN_A0001_pa" localSheetId="19">'[1]EN Assembly'!$E$16</definedName>
    <definedName name="EN_A0001_pa">'EN A0200'!$E$20</definedName>
    <definedName name="EN_A0001_q" localSheetId="10">'[1]EN Assembly'!$N$3</definedName>
    <definedName name="EN_A0001_q" localSheetId="12">'[1]EN Assembly'!$N$3</definedName>
    <definedName name="EN_A0001_q" localSheetId="13">'[1]EN Assembly'!$N$3</definedName>
    <definedName name="EN_A0001_q" localSheetId="14">'[1]EN Assembly'!$N$3</definedName>
    <definedName name="EN_A0001_q" localSheetId="15">'[1]EN Assembly'!$N$3</definedName>
    <definedName name="EN_A0001_q" localSheetId="16">'[1]EN Assembly'!$N$3</definedName>
    <definedName name="EN_A0001_q" localSheetId="17">'[1]EN Assembly'!$N$3</definedName>
    <definedName name="EN_A0001_q" localSheetId="18">'[1]EN Assembly'!$N$3</definedName>
    <definedName name="EN_A0001_q" localSheetId="19">'[1]EN Assembly'!$N$3</definedName>
    <definedName name="EN_A0001_q">'EN A0200'!$N$3</definedName>
    <definedName name="EN_A0001_t" localSheetId="10">'[1]EN Assembly'!$I$48</definedName>
    <definedName name="EN_A0001_t" localSheetId="12">'[1]EN Assembly'!$I$48</definedName>
    <definedName name="EN_A0001_t" localSheetId="13">'[1]EN Assembly'!$I$48</definedName>
    <definedName name="EN_A0001_t" localSheetId="14">'[1]EN Assembly'!$I$48</definedName>
    <definedName name="EN_A0001_t" localSheetId="15">'[1]EN Assembly'!$I$48</definedName>
    <definedName name="EN_A0001_t" localSheetId="16">'[1]EN Assembly'!$I$48</definedName>
    <definedName name="EN_A0001_t" localSheetId="17">'[1]EN Assembly'!$I$48</definedName>
    <definedName name="EN_A0001_t" localSheetId="18">'[1]EN Assembly'!$I$48</definedName>
    <definedName name="EN_A0001_t" localSheetId="19">'[1]EN Assembly'!$I$48</definedName>
    <definedName name="EN_A0001_t">'EN A0200'!$I$57</definedName>
    <definedName name="EN_A0100">'EN A0100'!$B$4</definedName>
    <definedName name="EN_A0100_BOM">BOM!$C$7</definedName>
    <definedName name="EN_A0100_f">'EN A0100'!$J$43</definedName>
    <definedName name="EN_A0100_m">'EN A0100'!$N$19</definedName>
    <definedName name="EN_A0100_p">'EN A0100'!$I$33</definedName>
    <definedName name="EN_A0100_pa">'EN A0100'!$E$12</definedName>
    <definedName name="EN_A0100_q">'EN A0100'!$N$2</definedName>
    <definedName name="EN_A0100_t">'EN A0100'!$I$47</definedName>
    <definedName name="EN_A0200">'EN A0200'!$B$5</definedName>
    <definedName name="EN_A0200_BOM">BOM!$C$11</definedName>
    <definedName name="EN_A0200_f">'EN A0200'!$J$53</definedName>
    <definedName name="EN_A0200_m">'EN A0200'!$N$24</definedName>
    <definedName name="EN_A0200_p">'EN A0200'!$I$43</definedName>
    <definedName name="EN_A0200_pa">'EN A0200'!$E$20</definedName>
    <definedName name="EN_A0200_q">'EN A0200'!$N$3</definedName>
    <definedName name="EN_A0200_t">'EN A0200'!$I$57</definedName>
    <definedName name="EN_A0300">EN_A0300!$B$4</definedName>
    <definedName name="EN_A0300_BOM">BOM!$C$22</definedName>
    <definedName name="EN_A0300_f">EN_A0300!$J$71</definedName>
    <definedName name="EN_A0300_m">EN_A0300!$N$26</definedName>
    <definedName name="EN_A0300_p">EN_A0300!$I$61</definedName>
    <definedName name="EN_A0300_pa">EN_A0300!$E$18</definedName>
    <definedName name="EN_A0300_q">EN_A0300!$N$3</definedName>
    <definedName name="EN_A0300_t">EN_A0300!$I$75</definedName>
    <definedName name="EN_A0400">EN_A0400!$B$4</definedName>
    <definedName name="EN_A0400_BOM">BOM!$C$31</definedName>
    <definedName name="EN_A0400_f">EN_A0400!$J$64</definedName>
    <definedName name="EN_A0400_m">EN_A0400!$N$30</definedName>
    <definedName name="EN_A0400_p">EN_A0400!$I$54</definedName>
    <definedName name="EN_A0400_pa">EN_A0400!$E$19</definedName>
    <definedName name="EN_A0400_q">EN_A0400!$N$3</definedName>
    <definedName name="EN_A0400_t">EN_A0400!$J$65</definedName>
    <definedName name="EN_A0500">'EN A0005'!$B$4</definedName>
    <definedName name="EN_A0500_BOM">BOM!$C$41</definedName>
    <definedName name="EN_A0500_f">'EN A0005'!$J$46</definedName>
    <definedName name="EN_A0500_m">'EN A0005'!$N$21</definedName>
    <definedName name="EN_A0500_p">'EN A0005'!$I$36</definedName>
    <definedName name="EN_A0500_pa">'EN A0005'!$E$14</definedName>
    <definedName name="EN_A0500_q">'EN A0005'!$N$2</definedName>
    <definedName name="EN_A0500_t">'EN A0005'!$I$50</definedName>
    <definedName name="EN_A0600">'EN A0600'!$B$4</definedName>
    <definedName name="EN_A0600_BOM">BOM!$C$47</definedName>
    <definedName name="EN_A0600_f">'EN A0600'!$J$68</definedName>
    <definedName name="EN_A0600_m">'EN A0600'!$N$33</definedName>
    <definedName name="EN_A0600_p">'EN A0600'!$I$56</definedName>
    <definedName name="EN_A0600_pa">'EN A0600'!$E$13</definedName>
    <definedName name="EN_A0600_q">'EN A0600'!$N$2</definedName>
    <definedName name="EN_A0600_t">'EN A0600'!$I$72</definedName>
    <definedName name="EN_A0700">'EN A0700'!$B$4</definedName>
    <definedName name="EN_A0700_BOM">BOM!$C$52</definedName>
    <definedName name="EN_A0700_f">'EN A0700'!$J$39</definedName>
    <definedName name="EN_A0700_m">'EN A0700'!$N$14</definedName>
    <definedName name="EN_A0700_p">'EN A0700'!$I$30</definedName>
    <definedName name="EN_A0700_q">'EN A0700'!$N$2</definedName>
    <definedName name="EN_A0800">'EN A0800'!$B$4</definedName>
    <definedName name="EN_A0800_BOM">BOM!$C$53</definedName>
    <definedName name="EN_A0800_f">'EN A0800'!$J$62</definedName>
    <definedName name="EN_A0800_m">'EN A0800'!$N$26</definedName>
    <definedName name="EN_A0800_p">'EN A0800'!$I$51</definedName>
    <definedName name="EN_A0800_pa">'EN A0800'!$E$19</definedName>
    <definedName name="EN_A0800_q">'EN A0800'!$N$2</definedName>
    <definedName name="EN_A0800_t">'EN A0800'!$I$66</definedName>
    <definedName name="EN_A0900">EN_A0900!$B$5</definedName>
    <definedName name="EN_A0900_BOM">BOM!$C$64</definedName>
    <definedName name="EN_A0900_f">EN_A0900!$J$56</definedName>
    <definedName name="EN_A0900_m">EN_A0900!$N$27</definedName>
    <definedName name="EN_A0900_p">EN_A0900!$I$44</definedName>
    <definedName name="EN_A0900_pa">EN_A0900!$E$19</definedName>
    <definedName name="EN_A0900_q">EN_A0900!$N$3</definedName>
    <definedName name="EN_A0900_t">EN_A0900!$I$60</definedName>
    <definedName name="EN_A0900p">EN_A0900!$I$44</definedName>
    <definedName name="EN_A090f">EN_A0900!$J$56</definedName>
    <definedName name="EN_A1000">EN_A1000!$B$5</definedName>
    <definedName name="EN_A1000_BOM">BOM!$C$74</definedName>
    <definedName name="EN_A1000_f">EN_A1000!$J$42</definedName>
    <definedName name="EN_A1000_m">EN_A1000!$N$19</definedName>
    <definedName name="EN_A1000_p">EN_A1000!$I$34</definedName>
    <definedName name="EN_A1000_pa">EN_A1000!$E$14</definedName>
    <definedName name="EN_A1000_q">EN_A1000!$N$3</definedName>
    <definedName name="EN_A1100">EN_A1100!$B$5</definedName>
    <definedName name="EN_A1100_BOM">BOM!$C$79</definedName>
    <definedName name="EN_A1100_f">EN_A1100!$J$56</definedName>
    <definedName name="EN_A1100_m">EN_A1100!$N$21</definedName>
    <definedName name="EN_A1100_p">EN_A1100!$I$42</definedName>
    <definedName name="EN_A1100_pa">EN_A1100!$E$16</definedName>
    <definedName name="EN_A1100_q">EN_A1100!$N$3</definedName>
    <definedName name="EN_A1100_t">EN_A1100!$I$60</definedName>
  </definedNames>
  <calcPr calcId="179017"/>
</workbook>
</file>

<file path=xl/calcChain.xml><?xml version="1.0" encoding="utf-8"?>
<calcChain xmlns="http://schemas.openxmlformats.org/spreadsheetml/2006/main">
  <c r="M60" i="8" l="1"/>
  <c r="L63" i="8"/>
  <c r="L59" i="8"/>
  <c r="L58" i="8"/>
  <c r="K63" i="8"/>
  <c r="K62" i="8"/>
  <c r="K61" i="8"/>
  <c r="K60" i="8"/>
  <c r="K59" i="8"/>
  <c r="K58" i="8"/>
  <c r="K57" i="8"/>
  <c r="K56" i="8"/>
  <c r="K55" i="8"/>
  <c r="K54" i="8"/>
  <c r="J63" i="8"/>
  <c r="J62" i="8"/>
  <c r="J61" i="8"/>
  <c r="J60" i="8"/>
  <c r="J59" i="8"/>
  <c r="J58" i="8"/>
  <c r="J57" i="8"/>
  <c r="J56" i="8"/>
  <c r="J55" i="8"/>
  <c r="J54" i="8"/>
  <c r="M53" i="8"/>
  <c r="L53" i="8"/>
  <c r="L52" i="8"/>
  <c r="K53" i="8"/>
  <c r="K52" i="8"/>
  <c r="J52" i="8"/>
  <c r="M48" i="8"/>
  <c r="K51" i="8"/>
  <c r="K50" i="8"/>
  <c r="K49" i="8"/>
  <c r="K48" i="8"/>
  <c r="M47" i="8"/>
  <c r="L47" i="8"/>
  <c r="K47" i="8"/>
  <c r="J51" i="8"/>
  <c r="J50" i="8"/>
  <c r="J49" i="8"/>
  <c r="J48" i="8"/>
  <c r="J53" i="8"/>
  <c r="J47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F57" i="8"/>
  <c r="F63" i="8"/>
  <c r="F62" i="8"/>
  <c r="F61" i="8"/>
  <c r="F60" i="8"/>
  <c r="F59" i="8"/>
  <c r="F58" i="8"/>
  <c r="F56" i="8"/>
  <c r="F55" i="8"/>
  <c r="F54" i="8"/>
  <c r="F51" i="8"/>
  <c r="F50" i="8"/>
  <c r="F49" i="8"/>
  <c r="F48" i="8"/>
  <c r="E55" i="8"/>
  <c r="E56" i="8"/>
  <c r="E57" i="8"/>
  <c r="E58" i="8"/>
  <c r="E59" i="8"/>
  <c r="E60" i="8"/>
  <c r="E61" i="8"/>
  <c r="E62" i="8"/>
  <c r="E63" i="8"/>
  <c r="E54" i="8"/>
  <c r="F53" i="8"/>
  <c r="F52" i="8"/>
  <c r="E49" i="8"/>
  <c r="E50" i="8"/>
  <c r="E51" i="8"/>
  <c r="E48" i="8"/>
  <c r="F47" i="8"/>
  <c r="C63" i="8"/>
  <c r="C62" i="8"/>
  <c r="C61" i="8"/>
  <c r="C60" i="8"/>
  <c r="C59" i="8"/>
  <c r="C58" i="8"/>
  <c r="C57" i="8"/>
  <c r="C56" i="8"/>
  <c r="C55" i="8"/>
  <c r="C54" i="8"/>
  <c r="C51" i="8"/>
  <c r="C50" i="8"/>
  <c r="C49" i="8"/>
  <c r="C48" i="8"/>
  <c r="C53" i="8"/>
  <c r="C52" i="8"/>
  <c r="C47" i="8"/>
  <c r="B63" i="8"/>
  <c r="B62" i="8"/>
  <c r="B61" i="8"/>
  <c r="B60" i="8"/>
  <c r="B59" i="8"/>
  <c r="B58" i="8"/>
  <c r="B57" i="8"/>
  <c r="B56" i="8"/>
  <c r="B55" i="8"/>
  <c r="B54" i="8"/>
  <c r="B51" i="8"/>
  <c r="B50" i="8"/>
  <c r="B49" i="8"/>
  <c r="B48" i="8"/>
  <c r="M44" i="8"/>
  <c r="M42" i="8"/>
  <c r="M41" i="8"/>
  <c r="L44" i="8"/>
  <c r="L41" i="8"/>
  <c r="K46" i="8"/>
  <c r="K45" i="8"/>
  <c r="K44" i="8"/>
  <c r="K43" i="8"/>
  <c r="K42" i="8"/>
  <c r="K41" i="8"/>
  <c r="J46" i="8"/>
  <c r="J45" i="8"/>
  <c r="J44" i="8"/>
  <c r="J43" i="8"/>
  <c r="H43" i="8" s="1"/>
  <c r="J42" i="8"/>
  <c r="J41" i="8"/>
  <c r="I45" i="8"/>
  <c r="I46" i="8"/>
  <c r="I44" i="8"/>
  <c r="I43" i="8"/>
  <c r="I42" i="8"/>
  <c r="I41" i="8"/>
  <c r="F46" i="8"/>
  <c r="F45" i="8"/>
  <c r="F44" i="8"/>
  <c r="F43" i="8"/>
  <c r="F42" i="8"/>
  <c r="F41" i="8"/>
  <c r="E43" i="8" s="1"/>
  <c r="C46" i="8"/>
  <c r="C45" i="8"/>
  <c r="C44" i="8"/>
  <c r="C43" i="8"/>
  <c r="C42" i="8"/>
  <c r="C41" i="8"/>
  <c r="B46" i="8"/>
  <c r="B45" i="8"/>
  <c r="B44" i="8"/>
  <c r="B43" i="8"/>
  <c r="B42" i="8"/>
  <c r="B41" i="8" s="1"/>
  <c r="B47" i="8" s="1"/>
  <c r="B52" i="8" s="1"/>
  <c r="B53" i="8" s="1"/>
  <c r="D10" i="137"/>
  <c r="N10" i="137"/>
  <c r="J11" i="137"/>
  <c r="E11" i="137" s="1"/>
  <c r="N11" i="137" s="1"/>
  <c r="N12" i="137" s="1"/>
  <c r="I15" i="137"/>
  <c r="I16" i="137"/>
  <c r="I17" i="137"/>
  <c r="I18" i="137"/>
  <c r="I19" i="137" s="1"/>
  <c r="J22" i="137"/>
  <c r="J23" i="137" s="1"/>
  <c r="J10" i="135"/>
  <c r="N10" i="135"/>
  <c r="N11" i="135" s="1"/>
  <c r="I14" i="135"/>
  <c r="I15" i="135"/>
  <c r="I17" i="135" s="1"/>
  <c r="I16" i="135"/>
  <c r="J10" i="132"/>
  <c r="N10" i="132" s="1"/>
  <c r="E11" i="132"/>
  <c r="J11" i="132"/>
  <c r="D12" i="132"/>
  <c r="N12" i="132" s="1"/>
  <c r="E13" i="132"/>
  <c r="N13" i="132"/>
  <c r="E14" i="132"/>
  <c r="N14" i="132"/>
  <c r="E15" i="132"/>
  <c r="N15" i="132"/>
  <c r="I19" i="132"/>
  <c r="I20" i="132"/>
  <c r="I21" i="132"/>
  <c r="I22" i="132"/>
  <c r="F23" i="132"/>
  <c r="I23" i="132"/>
  <c r="I24" i="132"/>
  <c r="I25" i="132"/>
  <c r="I26" i="132"/>
  <c r="H27" i="132"/>
  <c r="I27" i="132" s="1"/>
  <c r="I28" i="132"/>
  <c r="F29" i="132"/>
  <c r="I29" i="132"/>
  <c r="I30" i="132"/>
  <c r="I31" i="132"/>
  <c r="I32" i="132"/>
  <c r="I36" i="132"/>
  <c r="I37" i="132"/>
  <c r="N10" i="131"/>
  <c r="N11" i="131"/>
  <c r="I14" i="131"/>
  <c r="I15" i="131"/>
  <c r="I16" i="131"/>
  <c r="J19" i="131"/>
  <c r="J20" i="131" s="1"/>
  <c r="D10" i="130"/>
  <c r="N10" i="130"/>
  <c r="N12" i="130" s="1"/>
  <c r="J11" i="130"/>
  <c r="E11" i="130" s="1"/>
  <c r="F15" i="130"/>
  <c r="I15" i="130" s="1"/>
  <c r="I17" i="130"/>
  <c r="I18" i="130"/>
  <c r="J22" i="130"/>
  <c r="J23" i="130"/>
  <c r="E10" i="128"/>
  <c r="N10" i="128"/>
  <c r="N11" i="128" s="1"/>
  <c r="N1" i="128" s="1"/>
  <c r="I14" i="128"/>
  <c r="I15" i="128"/>
  <c r="I16" i="128"/>
  <c r="N10" i="126"/>
  <c r="N11" i="126"/>
  <c r="F15" i="126"/>
  <c r="I15" i="126" s="1"/>
  <c r="I17" i="126" s="1"/>
  <c r="I16" i="126"/>
  <c r="N10" i="124"/>
  <c r="N11" i="124"/>
  <c r="I14" i="124"/>
  <c r="I15" i="124"/>
  <c r="I16" i="124" s="1"/>
  <c r="N10" i="122"/>
  <c r="E11" i="122"/>
  <c r="N11" i="122" s="1"/>
  <c r="N12" i="122" s="1"/>
  <c r="J11" i="122"/>
  <c r="K11" i="122"/>
  <c r="I14" i="122"/>
  <c r="F15" i="122"/>
  <c r="I15" i="122"/>
  <c r="F16" i="122"/>
  <c r="I16" i="122" s="1"/>
  <c r="C16" i="121"/>
  <c r="E16" i="121" s="1"/>
  <c r="D22" i="121"/>
  <c r="N22" i="121" s="1"/>
  <c r="N26" i="121" s="1"/>
  <c r="D23" i="121"/>
  <c r="N23" i="121"/>
  <c r="N24" i="121"/>
  <c r="N25" i="121"/>
  <c r="I29" i="121"/>
  <c r="I51" i="121" s="1"/>
  <c r="I30" i="121"/>
  <c r="I31" i="121"/>
  <c r="I32" i="121"/>
  <c r="I33" i="121"/>
  <c r="I34" i="121"/>
  <c r="I35" i="121"/>
  <c r="I36" i="121"/>
  <c r="I37" i="121"/>
  <c r="I38" i="121"/>
  <c r="I39" i="121"/>
  <c r="I40" i="121"/>
  <c r="I41" i="121"/>
  <c r="I42" i="121"/>
  <c r="I43" i="121"/>
  <c r="I44" i="121"/>
  <c r="I45" i="121"/>
  <c r="I46" i="121"/>
  <c r="I47" i="121"/>
  <c r="I48" i="121"/>
  <c r="I49" i="121"/>
  <c r="I50" i="121"/>
  <c r="J56" i="121"/>
  <c r="J57" i="121"/>
  <c r="D58" i="121"/>
  <c r="J58" i="121" s="1"/>
  <c r="D59" i="121"/>
  <c r="J59" i="121"/>
  <c r="D60" i="121"/>
  <c r="J60" i="121" s="1"/>
  <c r="J61" i="121"/>
  <c r="I65" i="121"/>
  <c r="I66" i="121" s="1"/>
  <c r="J10" i="120"/>
  <c r="N10" i="120" s="1"/>
  <c r="N11" i="120" s="1"/>
  <c r="N1" i="120" s="1"/>
  <c r="N4" i="120" s="1"/>
  <c r="I14" i="120"/>
  <c r="I16" i="120" s="1"/>
  <c r="I15" i="120"/>
  <c r="N10" i="119"/>
  <c r="D11" i="119"/>
  <c r="N11" i="119" s="1"/>
  <c r="N12" i="119"/>
  <c r="J13" i="119"/>
  <c r="F18" i="119" s="1"/>
  <c r="I18" i="119" s="1"/>
  <c r="K13" i="119"/>
  <c r="I17" i="119"/>
  <c r="I20" i="119"/>
  <c r="I21" i="119"/>
  <c r="I22" i="119"/>
  <c r="I23" i="119"/>
  <c r="I24" i="119"/>
  <c r="I25" i="119"/>
  <c r="I26" i="119"/>
  <c r="I27" i="119"/>
  <c r="I28" i="119"/>
  <c r="I29" i="119"/>
  <c r="D33" i="119"/>
  <c r="J33" i="119" s="1"/>
  <c r="D34" i="119"/>
  <c r="J34" i="119"/>
  <c r="D35" i="119"/>
  <c r="J35" i="119" s="1"/>
  <c r="D36" i="119"/>
  <c r="J36" i="119" s="1"/>
  <c r="J37" i="119"/>
  <c r="E38" i="119"/>
  <c r="J38" i="119" s="1"/>
  <c r="J10" i="117"/>
  <c r="N10" i="117" s="1"/>
  <c r="N11" i="117" s="1"/>
  <c r="K10" i="117"/>
  <c r="I14" i="117"/>
  <c r="I16" i="117" s="1"/>
  <c r="I15" i="117"/>
  <c r="J10" i="115"/>
  <c r="N10" i="115" s="1"/>
  <c r="N11" i="115" s="1"/>
  <c r="N1" i="115" s="1"/>
  <c r="K10" i="115"/>
  <c r="I14" i="115"/>
  <c r="I16" i="115" s="1"/>
  <c r="I15" i="115"/>
  <c r="J10" i="114"/>
  <c r="N10" i="114" s="1"/>
  <c r="N11" i="114" s="1"/>
  <c r="N1" i="114" s="1"/>
  <c r="K10" i="114"/>
  <c r="I14" i="114"/>
  <c r="I17" i="114" s="1"/>
  <c r="I15" i="114"/>
  <c r="I16" i="114"/>
  <c r="J10" i="113"/>
  <c r="N10" i="113" s="1"/>
  <c r="N12" i="113" s="1"/>
  <c r="J11" i="113"/>
  <c r="E11" i="113" s="1"/>
  <c r="N11" i="113"/>
  <c r="I15" i="113"/>
  <c r="I16" i="113"/>
  <c r="I20" i="113" s="1"/>
  <c r="I17" i="113"/>
  <c r="I18" i="113"/>
  <c r="I19" i="113"/>
  <c r="I23" i="113"/>
  <c r="I24" i="113" s="1"/>
  <c r="N16" i="112"/>
  <c r="N17" i="112"/>
  <c r="N18" i="112"/>
  <c r="N19" i="112"/>
  <c r="N20" i="112"/>
  <c r="D21" i="112"/>
  <c r="N21" i="112"/>
  <c r="D22" i="112"/>
  <c r="N22" i="112"/>
  <c r="D23" i="112"/>
  <c r="N23" i="112"/>
  <c r="D24" i="112"/>
  <c r="N24" i="112"/>
  <c r="D25" i="112"/>
  <c r="N25" i="112"/>
  <c r="N26" i="112"/>
  <c r="N27" i="112"/>
  <c r="D28" i="112"/>
  <c r="N28" i="112"/>
  <c r="N29" i="112"/>
  <c r="N30" i="112"/>
  <c r="D31" i="112"/>
  <c r="N31" i="112"/>
  <c r="N32" i="112"/>
  <c r="N33" i="112"/>
  <c r="I36" i="112"/>
  <c r="F37" i="112"/>
  <c r="I37" i="112" s="1"/>
  <c r="I56" i="112" s="1"/>
  <c r="I38" i="112"/>
  <c r="I39" i="112"/>
  <c r="I40" i="112"/>
  <c r="I41" i="112"/>
  <c r="I42" i="112"/>
  <c r="I43" i="112"/>
  <c r="I44" i="112"/>
  <c r="I45" i="112"/>
  <c r="I46" i="112"/>
  <c r="I47" i="112"/>
  <c r="I48" i="112"/>
  <c r="I49" i="112"/>
  <c r="I50" i="112"/>
  <c r="I51" i="112"/>
  <c r="I52" i="112"/>
  <c r="I53" i="112"/>
  <c r="I54" i="112"/>
  <c r="I55" i="112"/>
  <c r="J59" i="112"/>
  <c r="J60" i="112"/>
  <c r="J61" i="112"/>
  <c r="J62" i="112"/>
  <c r="J63" i="112"/>
  <c r="J64" i="112"/>
  <c r="J65" i="112"/>
  <c r="J66" i="112"/>
  <c r="J68" i="112" s="1"/>
  <c r="J67" i="112"/>
  <c r="I71" i="112"/>
  <c r="I72" i="112"/>
  <c r="J10" i="110"/>
  <c r="N10" i="110" s="1"/>
  <c r="N11" i="110" s="1"/>
  <c r="N1" i="110" s="1"/>
  <c r="K10" i="110"/>
  <c r="I14" i="110"/>
  <c r="I16" i="110" s="1"/>
  <c r="I15" i="110"/>
  <c r="J10" i="108"/>
  <c r="N10" i="108" s="1"/>
  <c r="N11" i="108" s="1"/>
  <c r="N1" i="108" s="1"/>
  <c r="K10" i="108"/>
  <c r="I14" i="108"/>
  <c r="I16" i="108" s="1"/>
  <c r="I15" i="108"/>
  <c r="D10" i="107"/>
  <c r="E10" i="107"/>
  <c r="J10" i="107"/>
  <c r="N10" i="107" s="1"/>
  <c r="N15" i="107" s="1"/>
  <c r="D11" i="107"/>
  <c r="E11" i="107"/>
  <c r="J11" i="107"/>
  <c r="N11" i="107" s="1"/>
  <c r="D12" i="107"/>
  <c r="N12" i="107"/>
  <c r="D13" i="107"/>
  <c r="N13" i="107"/>
  <c r="D14" i="107"/>
  <c r="N14" i="107"/>
  <c r="I18" i="107"/>
  <c r="I19" i="107"/>
  <c r="I20" i="107"/>
  <c r="I21" i="107"/>
  <c r="I22" i="107"/>
  <c r="I23" i="107"/>
  <c r="D24" i="107"/>
  <c r="I24" i="107" s="1"/>
  <c r="I25" i="107"/>
  <c r="I26" i="107"/>
  <c r="I27" i="107"/>
  <c r="I28" i="107"/>
  <c r="D33" i="107"/>
  <c r="J33" i="107"/>
  <c r="J36" i="107" s="1"/>
  <c r="D34" i="107"/>
  <c r="J34" i="107"/>
  <c r="D35" i="107"/>
  <c r="J35" i="107"/>
  <c r="I39" i="107"/>
  <c r="I40" i="107"/>
  <c r="J10" i="106"/>
  <c r="N10" i="106" s="1"/>
  <c r="N14" i="106" s="1"/>
  <c r="N1" i="106" s="1"/>
  <c r="N11" i="106"/>
  <c r="D12" i="106"/>
  <c r="N12" i="106"/>
  <c r="D13" i="106"/>
  <c r="N13" i="106"/>
  <c r="I17" i="106"/>
  <c r="I22" i="106" s="1"/>
  <c r="I18" i="106"/>
  <c r="I19" i="106"/>
  <c r="I20" i="106"/>
  <c r="I21" i="106"/>
  <c r="J10" i="104"/>
  <c r="N10" i="104" s="1"/>
  <c r="N13" i="104" s="1"/>
  <c r="K10" i="104"/>
  <c r="J11" i="104"/>
  <c r="N11" i="104" s="1"/>
  <c r="N12" i="104"/>
  <c r="I16" i="104"/>
  <c r="I26" i="104" s="1"/>
  <c r="I17" i="104"/>
  <c r="I18" i="104"/>
  <c r="I19" i="104"/>
  <c r="I20" i="104"/>
  <c r="I21" i="104"/>
  <c r="I22" i="104"/>
  <c r="I23" i="104"/>
  <c r="I24" i="104"/>
  <c r="F25" i="104"/>
  <c r="I25" i="104"/>
  <c r="I29" i="104"/>
  <c r="I30" i="104" s="1"/>
  <c r="D17" i="103"/>
  <c r="N17" i="103" s="1"/>
  <c r="N21" i="103" s="1"/>
  <c r="D18" i="103"/>
  <c r="N18" i="103"/>
  <c r="N19" i="103"/>
  <c r="E20" i="103"/>
  <c r="M20" i="103"/>
  <c r="N20" i="103"/>
  <c r="I24" i="103"/>
  <c r="F25" i="103"/>
  <c r="I25" i="103"/>
  <c r="I36" i="103" s="1"/>
  <c r="I26" i="103"/>
  <c r="I27" i="103"/>
  <c r="I28" i="103"/>
  <c r="I29" i="103"/>
  <c r="I30" i="103"/>
  <c r="I31" i="103"/>
  <c r="I32" i="103"/>
  <c r="I33" i="103"/>
  <c r="I34" i="103"/>
  <c r="I35" i="103"/>
  <c r="J39" i="103"/>
  <c r="J46" i="103" s="1"/>
  <c r="J40" i="103"/>
  <c r="J41" i="103"/>
  <c r="J42" i="103"/>
  <c r="J43" i="103"/>
  <c r="D44" i="103"/>
  <c r="J44" i="103" s="1"/>
  <c r="D45" i="103"/>
  <c r="J45" i="103"/>
  <c r="I49" i="103"/>
  <c r="I50" i="103" s="1"/>
  <c r="H56" i="8" l="1"/>
  <c r="N56" i="8" s="1"/>
  <c r="H61" i="8"/>
  <c r="N61" i="8" s="1"/>
  <c r="H63" i="8"/>
  <c r="N63" i="8" s="1"/>
  <c r="H60" i="8"/>
  <c r="N60" i="8" s="1"/>
  <c r="H59" i="8"/>
  <c r="N59" i="8" s="1"/>
  <c r="H55" i="8"/>
  <c r="N55" i="8" s="1"/>
  <c r="H57" i="8"/>
  <c r="N57" i="8" s="1"/>
  <c r="H62" i="8"/>
  <c r="N62" i="8" s="1"/>
  <c r="H58" i="8"/>
  <c r="N58" i="8" s="1"/>
  <c r="H54" i="8"/>
  <c r="N54" i="8" s="1"/>
  <c r="H52" i="8"/>
  <c r="N52" i="8" s="1"/>
  <c r="H53" i="8"/>
  <c r="N53" i="8" s="1"/>
  <c r="H51" i="8"/>
  <c r="N51" i="8" s="1"/>
  <c r="H50" i="8"/>
  <c r="N50" i="8" s="1"/>
  <c r="H49" i="8"/>
  <c r="N49" i="8" s="1"/>
  <c r="H48" i="8"/>
  <c r="N48" i="8" s="1"/>
  <c r="H47" i="8"/>
  <c r="M86" i="8"/>
  <c r="J86" i="8"/>
  <c r="N47" i="8"/>
  <c r="E46" i="8"/>
  <c r="H42" i="8"/>
  <c r="N42" i="8" s="1"/>
  <c r="E45" i="8"/>
  <c r="E44" i="8"/>
  <c r="E42" i="8"/>
  <c r="H41" i="8"/>
  <c r="N41" i="8" s="1"/>
  <c r="H45" i="8"/>
  <c r="N45" i="8" s="1"/>
  <c r="H46" i="8"/>
  <c r="N46" i="8" s="1"/>
  <c r="H44" i="8"/>
  <c r="N44" i="8" s="1"/>
  <c r="N43" i="8"/>
  <c r="N1" i="137"/>
  <c r="N1" i="135"/>
  <c r="I33" i="132"/>
  <c r="N16" i="132"/>
  <c r="E10" i="132"/>
  <c r="N1" i="131"/>
  <c r="F16" i="130"/>
  <c r="I16" i="130" s="1"/>
  <c r="I19" i="130" s="1"/>
  <c r="N1" i="130" s="1"/>
  <c r="C12" i="121"/>
  <c r="E12" i="121" s="1"/>
  <c r="N4" i="128"/>
  <c r="N1" i="126"/>
  <c r="N1" i="124"/>
  <c r="I17" i="122"/>
  <c r="N1" i="122" s="1"/>
  <c r="J62" i="121"/>
  <c r="E10" i="120"/>
  <c r="J39" i="119"/>
  <c r="F19" i="119"/>
  <c r="I19" i="119" s="1"/>
  <c r="I30" i="119" s="1"/>
  <c r="E13" i="119"/>
  <c r="N13" i="119"/>
  <c r="N14" i="119" s="1"/>
  <c r="N1" i="119" s="1"/>
  <c r="N4" i="119" s="1"/>
  <c r="N1" i="117"/>
  <c r="E10" i="117"/>
  <c r="C11" i="112"/>
  <c r="E11" i="112" s="1"/>
  <c r="N4" i="115"/>
  <c r="E10" i="115"/>
  <c r="C10" i="112"/>
  <c r="E10" i="112" s="1"/>
  <c r="N4" i="114"/>
  <c r="E10" i="114"/>
  <c r="N1" i="113"/>
  <c r="E10" i="113"/>
  <c r="C13" i="103"/>
  <c r="E13" i="103" s="1"/>
  <c r="N4" i="110"/>
  <c r="E10" i="110"/>
  <c r="C12" i="103"/>
  <c r="E12" i="103" s="1"/>
  <c r="N4" i="108"/>
  <c r="E10" i="108"/>
  <c r="I30" i="107"/>
  <c r="N1" i="107" s="1"/>
  <c r="C10" i="103"/>
  <c r="E10" i="103" s="1"/>
  <c r="N4" i="106"/>
  <c r="E10" i="106"/>
  <c r="N1" i="104"/>
  <c r="E11" i="104"/>
  <c r="E10" i="104"/>
  <c r="C18" i="121" l="1"/>
  <c r="E18" i="121" s="1"/>
  <c r="N4" i="137"/>
  <c r="N4" i="135"/>
  <c r="C17" i="121"/>
  <c r="E17" i="121" s="1"/>
  <c r="N1" i="132"/>
  <c r="C14" i="121"/>
  <c r="E14" i="121" s="1"/>
  <c r="N4" i="131"/>
  <c r="N4" i="130"/>
  <c r="C13" i="121"/>
  <c r="E13" i="121" s="1"/>
  <c r="C11" i="121"/>
  <c r="E11" i="121" s="1"/>
  <c r="N4" i="126"/>
  <c r="N4" i="124"/>
  <c r="C10" i="121"/>
  <c r="E10" i="121" s="1"/>
  <c r="N4" i="122"/>
  <c r="C9" i="121"/>
  <c r="E9" i="121" s="1"/>
  <c r="C12" i="112"/>
  <c r="E12" i="112" s="1"/>
  <c r="N4" i="117"/>
  <c r="N4" i="113"/>
  <c r="C9" i="112"/>
  <c r="E9" i="112" s="1"/>
  <c r="C11" i="103"/>
  <c r="E11" i="103" s="1"/>
  <c r="N4" i="107"/>
  <c r="N4" i="104"/>
  <c r="C9" i="103"/>
  <c r="E9" i="103" s="1"/>
  <c r="E14" i="103" s="1"/>
  <c r="N1" i="103" s="1"/>
  <c r="N4" i="103" s="1"/>
  <c r="C15" i="121" l="1"/>
  <c r="E15" i="121" s="1"/>
  <c r="E19" i="121" s="1"/>
  <c r="N1" i="121" s="1"/>
  <c r="N4" i="121" s="1"/>
  <c r="N4" i="132"/>
  <c r="E13" i="112"/>
  <c r="N1" i="112" s="1"/>
  <c r="N4" i="112" s="1"/>
  <c r="M11" i="8" l="1"/>
  <c r="M8" i="8"/>
  <c r="L11" i="8"/>
  <c r="K10" i="8"/>
  <c r="K9" i="8"/>
  <c r="K8" i="8"/>
  <c r="M7" i="8"/>
  <c r="L7" i="8"/>
  <c r="K7" i="8"/>
  <c r="J7" i="8"/>
  <c r="J10" i="8"/>
  <c r="J9" i="8"/>
  <c r="J8" i="8"/>
  <c r="I10" i="8"/>
  <c r="I9" i="8"/>
  <c r="I8" i="8"/>
  <c r="I7" i="8"/>
  <c r="F10" i="8"/>
  <c r="F9" i="8"/>
  <c r="F8" i="8"/>
  <c r="F7" i="8"/>
  <c r="E8" i="8" s="1"/>
  <c r="B9" i="8"/>
  <c r="B10" i="8"/>
  <c r="B8" i="8"/>
  <c r="B7" i="8"/>
  <c r="J10" i="101"/>
  <c r="N10" i="101" s="1"/>
  <c r="N11" i="101" s="1"/>
  <c r="N1" i="101" s="1"/>
  <c r="K10" i="101"/>
  <c r="I14" i="101"/>
  <c r="I16" i="101" s="1"/>
  <c r="I15" i="101"/>
  <c r="J10" i="99"/>
  <c r="N10" i="99" s="1"/>
  <c r="N11" i="99" s="1"/>
  <c r="K10" i="99"/>
  <c r="H14" i="99"/>
  <c r="I14" i="99" s="1"/>
  <c r="I16" i="99" s="1"/>
  <c r="I15" i="99"/>
  <c r="J10" i="98"/>
  <c r="N10" i="98"/>
  <c r="J11" i="98"/>
  <c r="N11" i="98"/>
  <c r="J12" i="98"/>
  <c r="N12" i="98"/>
  <c r="J13" i="98"/>
  <c r="N13" i="98"/>
  <c r="N14" i="98"/>
  <c r="N15" i="98"/>
  <c r="I18" i="98"/>
  <c r="I19" i="98"/>
  <c r="I30" i="98" s="1"/>
  <c r="I20" i="98"/>
  <c r="I21" i="98"/>
  <c r="I22" i="98"/>
  <c r="I23" i="98"/>
  <c r="I24" i="98"/>
  <c r="I25" i="98"/>
  <c r="I26" i="98"/>
  <c r="I27" i="98"/>
  <c r="I28" i="98"/>
  <c r="I29" i="98"/>
  <c r="I33" i="98"/>
  <c r="I34" i="98"/>
  <c r="N15" i="97"/>
  <c r="N16" i="97"/>
  <c r="E17" i="97"/>
  <c r="M17" i="97"/>
  <c r="N17" i="97" s="1"/>
  <c r="E18" i="97"/>
  <c r="N18" i="97"/>
  <c r="I22" i="97"/>
  <c r="F23" i="97"/>
  <c r="I23" i="97" s="1"/>
  <c r="I33" i="97" s="1"/>
  <c r="I24" i="97"/>
  <c r="I25" i="97"/>
  <c r="I26" i="97"/>
  <c r="I27" i="97"/>
  <c r="I28" i="97"/>
  <c r="I29" i="97"/>
  <c r="I30" i="97"/>
  <c r="I31" i="97"/>
  <c r="I32" i="97"/>
  <c r="J36" i="97"/>
  <c r="J37" i="97"/>
  <c r="J38" i="97"/>
  <c r="J39" i="97"/>
  <c r="J40" i="97"/>
  <c r="D41" i="97"/>
  <c r="J41" i="97" s="1"/>
  <c r="J42" i="97"/>
  <c r="I46" i="97"/>
  <c r="I47" i="97" s="1"/>
  <c r="E9" i="8" l="1"/>
  <c r="H8" i="8"/>
  <c r="N8" i="8" s="1"/>
  <c r="H10" i="8"/>
  <c r="N10" i="8" s="1"/>
  <c r="E10" i="8"/>
  <c r="H9" i="8"/>
  <c r="N9" i="8" s="1"/>
  <c r="H7" i="8"/>
  <c r="N7" i="8" s="1"/>
  <c r="J43" i="97"/>
  <c r="N19" i="97"/>
  <c r="C11" i="97"/>
  <c r="E11" i="97" s="1"/>
  <c r="N4" i="101"/>
  <c r="E10" i="101"/>
  <c r="N1" i="99"/>
  <c r="E10" i="99"/>
  <c r="N1" i="98"/>
  <c r="N23" i="21"/>
  <c r="I35" i="21"/>
  <c r="N22" i="21"/>
  <c r="I30" i="21"/>
  <c r="B1" i="35"/>
  <c r="B1" i="33"/>
  <c r="B1" i="31"/>
  <c r="B1" i="29"/>
  <c r="B1" i="27"/>
  <c r="N4" i="99" l="1"/>
  <c r="C10" i="97"/>
  <c r="E10" i="97" s="1"/>
  <c r="C9" i="97"/>
  <c r="E9" i="97" s="1"/>
  <c r="E12" i="97" s="1"/>
  <c r="N1" i="97" s="1"/>
  <c r="N4" i="97" s="1"/>
  <c r="N4" i="98"/>
  <c r="M30" i="8"/>
  <c r="M29" i="8"/>
  <c r="M28" i="8"/>
  <c r="M27" i="8"/>
  <c r="M26" i="8"/>
  <c r="L30" i="8"/>
  <c r="L29" i="8"/>
  <c r="L28" i="8"/>
  <c r="L27" i="8"/>
  <c r="L26" i="8"/>
  <c r="I30" i="8"/>
  <c r="I29" i="8"/>
  <c r="I28" i="8"/>
  <c r="I27" i="8"/>
  <c r="I26" i="8"/>
  <c r="B17" i="21"/>
  <c r="B16" i="21"/>
  <c r="B15" i="21"/>
  <c r="B14" i="21"/>
  <c r="B13" i="21"/>
  <c r="I85" i="8" l="1"/>
  <c r="I84" i="8"/>
  <c r="I83" i="8"/>
  <c r="I82" i="8"/>
  <c r="I81" i="8"/>
  <c r="I80" i="8"/>
  <c r="I79" i="8"/>
  <c r="F85" i="8"/>
  <c r="F84" i="8"/>
  <c r="F83" i="8"/>
  <c r="F82" i="8"/>
  <c r="F81" i="8"/>
  <c r="F80" i="8"/>
  <c r="F79" i="8"/>
  <c r="E81" i="8" s="1"/>
  <c r="C85" i="8"/>
  <c r="C84" i="8"/>
  <c r="C83" i="8"/>
  <c r="C82" i="8"/>
  <c r="C81" i="8"/>
  <c r="C80" i="8"/>
  <c r="C79" i="8"/>
  <c r="B81" i="8"/>
  <c r="B82" i="8"/>
  <c r="B83" i="8"/>
  <c r="B84" i="8"/>
  <c r="B85" i="8"/>
  <c r="B80" i="8"/>
  <c r="B79" i="8"/>
  <c r="I78" i="8"/>
  <c r="I77" i="8"/>
  <c r="I76" i="8"/>
  <c r="I75" i="8"/>
  <c r="I74" i="8"/>
  <c r="F78" i="8"/>
  <c r="F77" i="8"/>
  <c r="F76" i="8"/>
  <c r="F75" i="8"/>
  <c r="F74" i="8"/>
  <c r="E77" i="8" s="1"/>
  <c r="C78" i="8"/>
  <c r="C77" i="8"/>
  <c r="C76" i="8"/>
  <c r="C75" i="8"/>
  <c r="C74" i="8"/>
  <c r="B76" i="8"/>
  <c r="B77" i="8"/>
  <c r="B78" i="8"/>
  <c r="B75" i="8"/>
  <c r="B74" i="8"/>
  <c r="A1" i="82"/>
  <c r="A1" i="80"/>
  <c r="A1" i="78"/>
  <c r="A1" i="76"/>
  <c r="A1" i="70"/>
  <c r="A1" i="63"/>
  <c r="A1" i="61"/>
  <c r="A1" i="59"/>
  <c r="A1" i="57"/>
  <c r="A1" i="55"/>
  <c r="A1" i="53"/>
  <c r="E84" i="8" l="1"/>
  <c r="E80" i="8"/>
  <c r="E82" i="8"/>
  <c r="E83" i="8"/>
  <c r="E85" i="8"/>
  <c r="E75" i="8"/>
  <c r="E76" i="8"/>
  <c r="E78" i="8"/>
  <c r="I67" i="8"/>
  <c r="I73" i="8"/>
  <c r="I72" i="8"/>
  <c r="I71" i="8"/>
  <c r="I70" i="8"/>
  <c r="I69" i="8"/>
  <c r="I68" i="8"/>
  <c r="I66" i="8"/>
  <c r="I65" i="8"/>
  <c r="I64" i="8"/>
  <c r="F73" i="8"/>
  <c r="F72" i="8"/>
  <c r="F71" i="8"/>
  <c r="F70" i="8"/>
  <c r="F69" i="8"/>
  <c r="F68" i="8"/>
  <c r="F67" i="8"/>
  <c r="F66" i="8"/>
  <c r="F65" i="8"/>
  <c r="F64" i="8"/>
  <c r="E68" i="8" s="1"/>
  <c r="C73" i="8"/>
  <c r="C72" i="8"/>
  <c r="C71" i="8"/>
  <c r="C70" i="8"/>
  <c r="C69" i="8"/>
  <c r="C68" i="8"/>
  <c r="C67" i="8"/>
  <c r="C66" i="8"/>
  <c r="C65" i="8"/>
  <c r="C64" i="8"/>
  <c r="B73" i="8"/>
  <c r="B66" i="8"/>
  <c r="B67" i="8"/>
  <c r="B68" i="8"/>
  <c r="B69" i="8"/>
  <c r="B70" i="8"/>
  <c r="B71" i="8"/>
  <c r="B72" i="8"/>
  <c r="B65" i="8"/>
  <c r="B64" i="8"/>
  <c r="B31" i="8"/>
  <c r="M40" i="8"/>
  <c r="L40" i="8"/>
  <c r="I40" i="8"/>
  <c r="F40" i="8"/>
  <c r="B40" i="8"/>
  <c r="M39" i="8"/>
  <c r="L39" i="8"/>
  <c r="I39" i="8"/>
  <c r="F39" i="8"/>
  <c r="B39" i="8"/>
  <c r="M38" i="8"/>
  <c r="L38" i="8"/>
  <c r="I38" i="8"/>
  <c r="F38" i="8"/>
  <c r="B38" i="8"/>
  <c r="M37" i="8"/>
  <c r="L37" i="8"/>
  <c r="I37" i="8"/>
  <c r="F37" i="8"/>
  <c r="B37" i="8"/>
  <c r="M36" i="8"/>
  <c r="L36" i="8"/>
  <c r="I36" i="8"/>
  <c r="F36" i="8"/>
  <c r="B36" i="8"/>
  <c r="M35" i="8"/>
  <c r="L35" i="8"/>
  <c r="I35" i="8"/>
  <c r="F35" i="8"/>
  <c r="B35" i="8"/>
  <c r="M34" i="8"/>
  <c r="L34" i="8"/>
  <c r="I34" i="8"/>
  <c r="F34" i="8"/>
  <c r="B34" i="8"/>
  <c r="M33" i="8"/>
  <c r="L33" i="8"/>
  <c r="I33" i="8"/>
  <c r="F33" i="8"/>
  <c r="B33" i="8"/>
  <c r="M32" i="8"/>
  <c r="L32" i="8"/>
  <c r="I32" i="8"/>
  <c r="F32" i="8"/>
  <c r="B32" i="8"/>
  <c r="M31" i="8"/>
  <c r="I31" i="8"/>
  <c r="F31" i="8"/>
  <c r="E34" i="8" s="1"/>
  <c r="B86" i="8"/>
  <c r="B22" i="8"/>
  <c r="F29" i="8"/>
  <c r="F30" i="8"/>
  <c r="B30" i="8"/>
  <c r="B29" i="8"/>
  <c r="F28" i="8"/>
  <c r="B28" i="8"/>
  <c r="F27" i="8"/>
  <c r="B27" i="8"/>
  <c r="F26" i="8"/>
  <c r="B26" i="8"/>
  <c r="M25" i="8"/>
  <c r="L25" i="8"/>
  <c r="I25" i="8"/>
  <c r="F25" i="8"/>
  <c r="B25" i="8"/>
  <c r="M24" i="8"/>
  <c r="L24" i="8"/>
  <c r="I24" i="8"/>
  <c r="F24" i="8"/>
  <c r="B24" i="8"/>
  <c r="M23" i="8"/>
  <c r="L23" i="8"/>
  <c r="I23" i="8"/>
  <c r="F23" i="8"/>
  <c r="B23" i="8"/>
  <c r="I22" i="8"/>
  <c r="F22" i="8"/>
  <c r="E27" i="8" s="1"/>
  <c r="M18" i="8"/>
  <c r="K21" i="8"/>
  <c r="I21" i="8"/>
  <c r="I20" i="8"/>
  <c r="I19" i="8"/>
  <c r="I18" i="8"/>
  <c r="I17" i="8"/>
  <c r="I16" i="8"/>
  <c r="I15" i="8"/>
  <c r="I14" i="8"/>
  <c r="I13" i="8"/>
  <c r="I12" i="8"/>
  <c r="F21" i="8"/>
  <c r="F20" i="8"/>
  <c r="F19" i="8"/>
  <c r="F18" i="8"/>
  <c r="F17" i="8"/>
  <c r="F16" i="8"/>
  <c r="F15" i="8"/>
  <c r="F14" i="8"/>
  <c r="F13" i="8"/>
  <c r="F12" i="8"/>
  <c r="F11" i="8"/>
  <c r="E13" i="8" s="1"/>
  <c r="C21" i="8"/>
  <c r="C20" i="8"/>
  <c r="C19" i="8"/>
  <c r="C18" i="8"/>
  <c r="C17" i="8"/>
  <c r="C16" i="8"/>
  <c r="C15" i="8"/>
  <c r="C14" i="8"/>
  <c r="C13" i="8"/>
  <c r="C12" i="8"/>
  <c r="C11" i="8"/>
  <c r="B13" i="8"/>
  <c r="B17" i="8"/>
  <c r="B21" i="8"/>
  <c r="B11" i="8"/>
  <c r="B3" i="96"/>
  <c r="B4" i="96"/>
  <c r="J11" i="96"/>
  <c r="E11" i="96" s="1"/>
  <c r="N11" i="96" s="1"/>
  <c r="N12" i="96" s="1"/>
  <c r="N2" i="96" s="1"/>
  <c r="I15" i="96"/>
  <c r="F16" i="96"/>
  <c r="I16" i="96" s="1"/>
  <c r="I17" i="96" s="1"/>
  <c r="B3" i="95"/>
  <c r="B4" i="95"/>
  <c r="N11" i="95"/>
  <c r="N12" i="95"/>
  <c r="I15" i="95"/>
  <c r="I16" i="95"/>
  <c r="I20" i="95"/>
  <c r="I21" i="95" s="1"/>
  <c r="M20" i="8" s="1"/>
  <c r="B3" i="94"/>
  <c r="B4" i="94"/>
  <c r="N11" i="94"/>
  <c r="J12" i="94"/>
  <c r="N12" i="94"/>
  <c r="N13" i="94"/>
  <c r="I17" i="94"/>
  <c r="I18" i="94"/>
  <c r="I19" i="94"/>
  <c r="I20" i="94"/>
  <c r="I21" i="94"/>
  <c r="B3" i="93"/>
  <c r="B4" i="93"/>
  <c r="J11" i="93"/>
  <c r="N11" i="93"/>
  <c r="N12" i="93" s="1"/>
  <c r="J18" i="8" s="1"/>
  <c r="F15" i="93"/>
  <c r="I15" i="93" s="1"/>
  <c r="I16" i="93"/>
  <c r="I17" i="93"/>
  <c r="F18" i="93"/>
  <c r="I18" i="93" s="1"/>
  <c r="I22" i="93"/>
  <c r="I23" i="93"/>
  <c r="B3" i="92"/>
  <c r="B4" i="92"/>
  <c r="J11" i="92"/>
  <c r="K11" i="92"/>
  <c r="N11" i="92" s="1"/>
  <c r="J12" i="92"/>
  <c r="N12" i="92" s="1"/>
  <c r="F16" i="92"/>
  <c r="I16" i="92" s="1"/>
  <c r="I17" i="92"/>
  <c r="F18" i="92"/>
  <c r="I18" i="92" s="1"/>
  <c r="I22" i="92"/>
  <c r="I23" i="92" s="1"/>
  <c r="M17" i="8" s="1"/>
  <c r="B3" i="91"/>
  <c r="B4" i="91"/>
  <c r="J11" i="91"/>
  <c r="N11" i="91" s="1"/>
  <c r="N12" i="91" s="1"/>
  <c r="J16" i="8" s="1"/>
  <c r="K11" i="91"/>
  <c r="F15" i="91"/>
  <c r="I15" i="91" s="1"/>
  <c r="I16" i="91" s="1"/>
  <c r="K16" i="8" s="1"/>
  <c r="B3" i="90"/>
  <c r="B4" i="90"/>
  <c r="J11" i="90"/>
  <c r="N11" i="90" s="1"/>
  <c r="K11" i="90"/>
  <c r="J12" i="90"/>
  <c r="N12" i="90" s="1"/>
  <c r="F16" i="90"/>
  <c r="I16" i="90" s="1"/>
  <c r="I19" i="90" s="1"/>
  <c r="K15" i="8" s="1"/>
  <c r="I17" i="90"/>
  <c r="F18" i="90"/>
  <c r="I18" i="90"/>
  <c r="I22" i="90"/>
  <c r="I23" i="90"/>
  <c r="M15" i="8" s="1"/>
  <c r="B3" i="89"/>
  <c r="B4" i="89"/>
  <c r="J11" i="89"/>
  <c r="N11" i="89"/>
  <c r="N12" i="89" s="1"/>
  <c r="J14" i="8" s="1"/>
  <c r="F15" i="89"/>
  <c r="I15" i="89" s="1"/>
  <c r="I16" i="89"/>
  <c r="I17" i="89"/>
  <c r="F18" i="89"/>
  <c r="I18" i="89" s="1"/>
  <c r="I23" i="89"/>
  <c r="I24" i="89" s="1"/>
  <c r="M14" i="8" s="1"/>
  <c r="B1" i="88"/>
  <c r="B3" i="87"/>
  <c r="B4" i="87"/>
  <c r="J11" i="87"/>
  <c r="E11" i="87" s="1"/>
  <c r="N11" i="87" s="1"/>
  <c r="N12" i="87" s="1"/>
  <c r="N2" i="87" s="1"/>
  <c r="I15" i="87"/>
  <c r="I16" i="87"/>
  <c r="I17" i="87"/>
  <c r="K13" i="8" s="1"/>
  <c r="B1" i="86"/>
  <c r="B3" i="85"/>
  <c r="B14" i="8" s="1"/>
  <c r="B4" i="85"/>
  <c r="E11" i="85"/>
  <c r="N11" i="85" s="1"/>
  <c r="N12" i="85" s="1"/>
  <c r="J11" i="85"/>
  <c r="I15" i="85"/>
  <c r="I16" i="85"/>
  <c r="I19" i="85" s="1"/>
  <c r="K12" i="8" s="1"/>
  <c r="I17" i="85"/>
  <c r="I18" i="85"/>
  <c r="B10" i="84"/>
  <c r="D10" i="84"/>
  <c r="B11" i="84"/>
  <c r="D11" i="84"/>
  <c r="B12" i="84"/>
  <c r="D12" i="84"/>
  <c r="B13" i="84"/>
  <c r="D13" i="84"/>
  <c r="B14" i="84"/>
  <c r="D14" i="84"/>
  <c r="B15" i="84"/>
  <c r="D15" i="84"/>
  <c r="B16" i="84"/>
  <c r="D16" i="84"/>
  <c r="B17" i="84"/>
  <c r="D17" i="84"/>
  <c r="B18" i="84"/>
  <c r="D18" i="84"/>
  <c r="B19" i="84"/>
  <c r="D19" i="84"/>
  <c r="N23" i="84"/>
  <c r="N24" i="84" s="1"/>
  <c r="I27" i="84"/>
  <c r="F28" i="84"/>
  <c r="I28" i="84" s="1"/>
  <c r="I29" i="84"/>
  <c r="I30" i="84"/>
  <c r="I31" i="84"/>
  <c r="F32" i="84"/>
  <c r="I32" i="84" s="1"/>
  <c r="I33" i="84"/>
  <c r="I34" i="84"/>
  <c r="F35" i="84"/>
  <c r="I35" i="84" s="1"/>
  <c r="I36" i="84"/>
  <c r="I37" i="84"/>
  <c r="I38" i="84"/>
  <c r="I39" i="84"/>
  <c r="I40" i="84"/>
  <c r="I41" i="84"/>
  <c r="I42" i="84"/>
  <c r="J46" i="84"/>
  <c r="J47" i="84"/>
  <c r="D48" i="84"/>
  <c r="J48" i="84" s="1"/>
  <c r="J49" i="84"/>
  <c r="J50" i="84"/>
  <c r="J51" i="84"/>
  <c r="J52" i="84"/>
  <c r="I56" i="84"/>
  <c r="I57" i="84"/>
  <c r="I22" i="94" l="1"/>
  <c r="K19" i="8" s="1"/>
  <c r="N2" i="85"/>
  <c r="N5" i="85" s="1"/>
  <c r="I17" i="95"/>
  <c r="K20" i="8" s="1"/>
  <c r="J53" i="84"/>
  <c r="N13" i="92"/>
  <c r="J17" i="8" s="1"/>
  <c r="N14" i="94"/>
  <c r="N2" i="95"/>
  <c r="N5" i="95" s="1"/>
  <c r="B20" i="8"/>
  <c r="B16" i="8"/>
  <c r="J12" i="8"/>
  <c r="J20" i="8"/>
  <c r="B19" i="8"/>
  <c r="B15" i="8"/>
  <c r="J13" i="8"/>
  <c r="J21" i="8"/>
  <c r="B12" i="8"/>
  <c r="B18" i="8"/>
  <c r="E67" i="8"/>
  <c r="E65" i="8"/>
  <c r="E66" i="8"/>
  <c r="E73" i="8"/>
  <c r="E69" i="8"/>
  <c r="E71" i="8"/>
  <c r="E70" i="8"/>
  <c r="E72" i="8"/>
  <c r="E40" i="8"/>
  <c r="E37" i="8"/>
  <c r="E36" i="8"/>
  <c r="E32" i="8"/>
  <c r="E33" i="8"/>
  <c r="E30" i="8"/>
  <c r="E26" i="8"/>
  <c r="E29" i="8"/>
  <c r="E25" i="8"/>
  <c r="E39" i="8"/>
  <c r="E35" i="8"/>
  <c r="E28" i="8"/>
  <c r="E24" i="8"/>
  <c r="E38" i="8"/>
  <c r="E23" i="8"/>
  <c r="E19" i="8"/>
  <c r="E14" i="8"/>
  <c r="E12" i="8"/>
  <c r="E16" i="8"/>
  <c r="E18" i="8"/>
  <c r="E20" i="8"/>
  <c r="E15" i="8"/>
  <c r="E21" i="8"/>
  <c r="E17" i="8"/>
  <c r="C19" i="84"/>
  <c r="E19" i="84" s="1"/>
  <c r="N5" i="96"/>
  <c r="C18" i="84"/>
  <c r="E18" i="84" s="1"/>
  <c r="I19" i="93"/>
  <c r="I19" i="92"/>
  <c r="N2" i="91"/>
  <c r="N13" i="90"/>
  <c r="I19" i="89"/>
  <c r="C11" i="84"/>
  <c r="E11" i="84" s="1"/>
  <c r="N5" i="87"/>
  <c r="C10" i="84"/>
  <c r="E10" i="84" s="1"/>
  <c r="I43" i="84"/>
  <c r="J11" i="83"/>
  <c r="N11" i="83" s="1"/>
  <c r="N12" i="83" s="1"/>
  <c r="I15" i="83"/>
  <c r="F16" i="83"/>
  <c r="I16" i="83" s="1"/>
  <c r="I17" i="83"/>
  <c r="F18" i="83"/>
  <c r="I18" i="83"/>
  <c r="I19" i="83"/>
  <c r="I20" i="83"/>
  <c r="J11" i="81"/>
  <c r="K11" i="81"/>
  <c r="I15" i="81"/>
  <c r="F16" i="81"/>
  <c r="I16" i="81" s="1"/>
  <c r="J11" i="79"/>
  <c r="K11" i="79"/>
  <c r="I15" i="79"/>
  <c r="I17" i="79" s="1"/>
  <c r="K84" i="8" s="1"/>
  <c r="F16" i="79"/>
  <c r="I16" i="79"/>
  <c r="J11" i="77"/>
  <c r="K11" i="77"/>
  <c r="I15" i="77"/>
  <c r="F16" i="77"/>
  <c r="I16" i="77"/>
  <c r="I18" i="77" s="1"/>
  <c r="K83" i="8" s="1"/>
  <c r="I17" i="77"/>
  <c r="J11" i="75"/>
  <c r="N11" i="75" s="1"/>
  <c r="N12" i="75" s="1"/>
  <c r="J82" i="8" s="1"/>
  <c r="I15" i="75"/>
  <c r="I16" i="75"/>
  <c r="I17" i="75"/>
  <c r="J11" i="74"/>
  <c r="N11" i="74" s="1"/>
  <c r="N12" i="74" s="1"/>
  <c r="J81" i="8" s="1"/>
  <c r="I15" i="74"/>
  <c r="F16" i="74"/>
  <c r="I16" i="74" s="1"/>
  <c r="I19" i="74" s="1"/>
  <c r="K81" i="8" s="1"/>
  <c r="I17" i="74"/>
  <c r="I18" i="74"/>
  <c r="D10" i="73"/>
  <c r="D11" i="73"/>
  <c r="D12" i="73"/>
  <c r="D13" i="73"/>
  <c r="D14" i="73"/>
  <c r="D15" i="73"/>
  <c r="N19" i="73"/>
  <c r="E20" i="73"/>
  <c r="N20" i="73"/>
  <c r="N21" i="73" s="1"/>
  <c r="J79" i="8" s="1"/>
  <c r="I24" i="73"/>
  <c r="F25" i="73"/>
  <c r="I25" i="73"/>
  <c r="I26" i="73"/>
  <c r="I27" i="73"/>
  <c r="I28" i="73"/>
  <c r="I29" i="73"/>
  <c r="I30" i="73"/>
  <c r="I31" i="73"/>
  <c r="I32" i="73"/>
  <c r="I33" i="73"/>
  <c r="I34" i="73"/>
  <c r="I35" i="73"/>
  <c r="I36" i="73"/>
  <c r="I37" i="73"/>
  <c r="I38" i="73"/>
  <c r="I39" i="73"/>
  <c r="I40" i="73"/>
  <c r="I41" i="73"/>
  <c r="D45" i="73"/>
  <c r="J45" i="73" s="1"/>
  <c r="D46" i="73"/>
  <c r="J46" i="73" s="1"/>
  <c r="J47" i="73"/>
  <c r="D48" i="73"/>
  <c r="J48" i="73"/>
  <c r="D49" i="73"/>
  <c r="J49" i="73" s="1"/>
  <c r="J50" i="73"/>
  <c r="D51" i="73"/>
  <c r="J51" i="73" s="1"/>
  <c r="D52" i="73"/>
  <c r="J52" i="73" s="1"/>
  <c r="J53" i="73"/>
  <c r="D54" i="73"/>
  <c r="J54" i="73" s="1"/>
  <c r="J55" i="73"/>
  <c r="I59" i="73"/>
  <c r="I60" i="73" s="1"/>
  <c r="M79" i="8" s="1"/>
  <c r="J11" i="71"/>
  <c r="N11" i="71" s="1"/>
  <c r="N12" i="71" s="1"/>
  <c r="J78" i="8" s="1"/>
  <c r="I15" i="71"/>
  <c r="I17" i="71"/>
  <c r="F18" i="71"/>
  <c r="I18" i="71"/>
  <c r="I19" i="71"/>
  <c r="F20" i="71"/>
  <c r="I20" i="71"/>
  <c r="J11" i="69"/>
  <c r="N11" i="69" s="1"/>
  <c r="N12" i="69" s="1"/>
  <c r="J77" i="8" s="1"/>
  <c r="I15" i="69"/>
  <c r="I17" i="69"/>
  <c r="F18" i="69"/>
  <c r="I18" i="69"/>
  <c r="I19" i="69"/>
  <c r="F20" i="69"/>
  <c r="I20" i="69"/>
  <c r="J11" i="68"/>
  <c r="N11" i="68" s="1"/>
  <c r="N12" i="68" s="1"/>
  <c r="I15" i="68"/>
  <c r="I16" i="68"/>
  <c r="I17" i="68"/>
  <c r="I18" i="68"/>
  <c r="I19" i="68"/>
  <c r="I20" i="68"/>
  <c r="I21" i="68"/>
  <c r="I22" i="68"/>
  <c r="J11" i="67"/>
  <c r="N11" i="67" s="1"/>
  <c r="N13" i="67" s="1"/>
  <c r="I16" i="67"/>
  <c r="I17" i="67"/>
  <c r="I18" i="67"/>
  <c r="I19" i="67"/>
  <c r="I20" i="67"/>
  <c r="I21" i="67"/>
  <c r="D10" i="66"/>
  <c r="D11" i="66"/>
  <c r="D12" i="66"/>
  <c r="D13" i="66"/>
  <c r="N17" i="66"/>
  <c r="N19" i="66" s="1"/>
  <c r="J74" i="8" s="1"/>
  <c r="N18" i="66"/>
  <c r="I22" i="66"/>
  <c r="I23" i="66"/>
  <c r="I24" i="66"/>
  <c r="I25" i="66"/>
  <c r="I26" i="66"/>
  <c r="I27" i="66"/>
  <c r="I28" i="66"/>
  <c r="I29" i="66"/>
  <c r="I30" i="66"/>
  <c r="I31" i="66"/>
  <c r="I32" i="66"/>
  <c r="I33" i="66"/>
  <c r="D37" i="66"/>
  <c r="J37" i="66" s="1"/>
  <c r="E38" i="66"/>
  <c r="D38" i="66" s="1"/>
  <c r="J38" i="66" s="1"/>
  <c r="E39" i="66"/>
  <c r="D39" i="66" s="1"/>
  <c r="J39" i="66" s="1"/>
  <c r="D40" i="66"/>
  <c r="J40" i="66" s="1"/>
  <c r="J41" i="66"/>
  <c r="J11" i="64"/>
  <c r="K11" i="64"/>
  <c r="N11" i="64"/>
  <c r="N13" i="64"/>
  <c r="J73" i="8" s="1"/>
  <c r="I16" i="64"/>
  <c r="I17" i="64"/>
  <c r="J11" i="62"/>
  <c r="K11" i="62"/>
  <c r="I16" i="62"/>
  <c r="I17" i="62"/>
  <c r="J11" i="60"/>
  <c r="K11" i="60"/>
  <c r="H15" i="60"/>
  <c r="I15" i="60" s="1"/>
  <c r="I16" i="60"/>
  <c r="J11" i="58"/>
  <c r="K11" i="58"/>
  <c r="H15" i="58"/>
  <c r="I15" i="58" s="1"/>
  <c r="I16" i="58"/>
  <c r="J11" i="56"/>
  <c r="K11" i="56"/>
  <c r="I16" i="56"/>
  <c r="I17" i="56"/>
  <c r="P7" i="54"/>
  <c r="E11" i="54"/>
  <c r="J11" i="54"/>
  <c r="K11" i="54"/>
  <c r="I16" i="54"/>
  <c r="I17" i="54"/>
  <c r="J11" i="52"/>
  <c r="E11" i="52" s="1"/>
  <c r="N11" i="52" s="1"/>
  <c r="N13" i="52" s="1"/>
  <c r="I16" i="52"/>
  <c r="I17" i="52"/>
  <c r="J11" i="50"/>
  <c r="E11" i="50" s="1"/>
  <c r="N11" i="50" s="1"/>
  <c r="N13" i="50" s="1"/>
  <c r="I16" i="50"/>
  <c r="I17" i="50"/>
  <c r="J11" i="49"/>
  <c r="N11" i="49" s="1"/>
  <c r="J12" i="49"/>
  <c r="E12" i="49" s="1"/>
  <c r="J13" i="49"/>
  <c r="E13" i="49" s="1"/>
  <c r="N13" i="49"/>
  <c r="N14" i="49"/>
  <c r="I18" i="49"/>
  <c r="I19" i="49"/>
  <c r="I20" i="49"/>
  <c r="I21" i="49"/>
  <c r="I32" i="49" s="1"/>
  <c r="K65" i="8" s="1"/>
  <c r="I22" i="49"/>
  <c r="I23" i="49"/>
  <c r="I24" i="49"/>
  <c r="I25" i="49"/>
  <c r="I26" i="49"/>
  <c r="I27" i="49"/>
  <c r="I28" i="49"/>
  <c r="I29" i="49"/>
  <c r="I30" i="49"/>
  <c r="I31" i="49"/>
  <c r="D35" i="49"/>
  <c r="J35" i="49" s="1"/>
  <c r="J36" i="49"/>
  <c r="D37" i="49"/>
  <c r="J37" i="49" s="1"/>
  <c r="J38" i="49"/>
  <c r="D10" i="48"/>
  <c r="D11" i="48"/>
  <c r="D12" i="48"/>
  <c r="D13" i="48"/>
  <c r="D14" i="48"/>
  <c r="D15" i="48"/>
  <c r="D16" i="48"/>
  <c r="D17" i="48"/>
  <c r="D18" i="48"/>
  <c r="D22" i="48"/>
  <c r="N22" i="48"/>
  <c r="D23" i="48"/>
  <c r="N23" i="48"/>
  <c r="E24" i="48"/>
  <c r="N24" i="48"/>
  <c r="N25" i="48"/>
  <c r="N26" i="48"/>
  <c r="I30" i="48"/>
  <c r="F31" i="48"/>
  <c r="I31" i="48"/>
  <c r="I32" i="48"/>
  <c r="I33" i="48"/>
  <c r="I34" i="48"/>
  <c r="I35" i="48"/>
  <c r="I36" i="48"/>
  <c r="I37" i="48"/>
  <c r="I38" i="48"/>
  <c r="I39" i="48"/>
  <c r="I40" i="48"/>
  <c r="I41" i="48"/>
  <c r="I42" i="48"/>
  <c r="I43" i="48"/>
  <c r="D47" i="48"/>
  <c r="J47" i="48" s="1"/>
  <c r="J56" i="48" s="1"/>
  <c r="L64" i="8" s="1"/>
  <c r="D48" i="48"/>
  <c r="J48" i="48" s="1"/>
  <c r="D49" i="48"/>
  <c r="J49" i="48" s="1"/>
  <c r="D50" i="48"/>
  <c r="J50" i="48" s="1"/>
  <c r="J51" i="48"/>
  <c r="D52" i="48"/>
  <c r="J52" i="48"/>
  <c r="D53" i="48"/>
  <c r="J53" i="48"/>
  <c r="D54" i="48"/>
  <c r="J54" i="48"/>
  <c r="D55" i="48"/>
  <c r="J55" i="48"/>
  <c r="I59" i="48"/>
  <c r="I60" i="48" s="1"/>
  <c r="M64" i="8" s="1"/>
  <c r="N2" i="93" l="1"/>
  <c r="N5" i="93" s="1"/>
  <c r="K18" i="8"/>
  <c r="I18" i="54"/>
  <c r="K68" i="8" s="1"/>
  <c r="N11" i="58"/>
  <c r="N12" i="58" s="1"/>
  <c r="N11" i="62"/>
  <c r="N13" i="62" s="1"/>
  <c r="I34" i="66"/>
  <c r="K74" i="8" s="1"/>
  <c r="I22" i="67"/>
  <c r="K75" i="8" s="1"/>
  <c r="N11" i="77"/>
  <c r="N12" i="77" s="1"/>
  <c r="I17" i="81"/>
  <c r="K85" i="8" s="1"/>
  <c r="N27" i="48"/>
  <c r="J64" i="8" s="1"/>
  <c r="I18" i="52"/>
  <c r="K67" i="8" s="1"/>
  <c r="I42" i="73"/>
  <c r="K79" i="8" s="1"/>
  <c r="H81" i="8"/>
  <c r="N81" i="8" s="1"/>
  <c r="N11" i="79"/>
  <c r="N12" i="79" s="1"/>
  <c r="N2" i="94"/>
  <c r="J19" i="8"/>
  <c r="J66" i="8"/>
  <c r="N2" i="89"/>
  <c r="C12" i="84" s="1"/>
  <c r="E12" i="84" s="1"/>
  <c r="K14" i="8"/>
  <c r="N11" i="56"/>
  <c r="N13" i="56" s="1"/>
  <c r="N11" i="60"/>
  <c r="N12" i="60" s="1"/>
  <c r="J71" i="8" s="1"/>
  <c r="I18" i="75"/>
  <c r="K82" i="8" s="1"/>
  <c r="H82" i="8" s="1"/>
  <c r="N82" i="8" s="1"/>
  <c r="I21" i="83"/>
  <c r="K80" i="8" s="1"/>
  <c r="N2" i="90"/>
  <c r="C13" i="84" s="1"/>
  <c r="E13" i="84" s="1"/>
  <c r="J15" i="8"/>
  <c r="I44" i="48"/>
  <c r="K64" i="8" s="1"/>
  <c r="N12" i="49"/>
  <c r="N15" i="49" s="1"/>
  <c r="I18" i="50"/>
  <c r="K66" i="8" s="1"/>
  <c r="J67" i="8"/>
  <c r="N11" i="54"/>
  <c r="N13" i="54" s="1"/>
  <c r="I18" i="56"/>
  <c r="K69" i="8" s="1"/>
  <c r="I17" i="58"/>
  <c r="K70" i="8" s="1"/>
  <c r="I17" i="60"/>
  <c r="K71" i="8" s="1"/>
  <c r="I18" i="62"/>
  <c r="K72" i="8" s="1"/>
  <c r="I18" i="64"/>
  <c r="K73" i="8" s="1"/>
  <c r="H73" i="8" s="1"/>
  <c r="N73" i="8" s="1"/>
  <c r="E11" i="64"/>
  <c r="N2" i="67"/>
  <c r="N5" i="67" s="1"/>
  <c r="J75" i="8"/>
  <c r="N11" i="81"/>
  <c r="N12" i="81" s="1"/>
  <c r="J80" i="8"/>
  <c r="N2" i="92"/>
  <c r="C15" i="84" s="1"/>
  <c r="E15" i="84" s="1"/>
  <c r="K17" i="8"/>
  <c r="J76" i="8"/>
  <c r="I23" i="68"/>
  <c r="K76" i="8" s="1"/>
  <c r="C14" i="84"/>
  <c r="E14" i="84" s="1"/>
  <c r="N5" i="91"/>
  <c r="E11" i="83"/>
  <c r="E11" i="81"/>
  <c r="E11" i="79"/>
  <c r="E11" i="77"/>
  <c r="N2" i="75"/>
  <c r="E11" i="75"/>
  <c r="N2" i="74"/>
  <c r="E11" i="74"/>
  <c r="J56" i="73"/>
  <c r="L79" i="8" s="1"/>
  <c r="E11" i="71"/>
  <c r="F16" i="71"/>
  <c r="I16" i="71" s="1"/>
  <c r="I21" i="71" s="1"/>
  <c r="E11" i="69"/>
  <c r="F16" i="69"/>
  <c r="I16" i="69" s="1"/>
  <c r="I21" i="69" s="1"/>
  <c r="E11" i="68"/>
  <c r="E11" i="67"/>
  <c r="J42" i="66"/>
  <c r="L74" i="8" s="1"/>
  <c r="H74" i="8" s="1"/>
  <c r="N74" i="8" s="1"/>
  <c r="E11" i="62"/>
  <c r="N2" i="60"/>
  <c r="E11" i="60"/>
  <c r="E11" i="58"/>
  <c r="E11" i="56"/>
  <c r="J39" i="49"/>
  <c r="L65" i="8" s="1"/>
  <c r="E11" i="49"/>
  <c r="C16" i="84" l="1"/>
  <c r="E16" i="84" s="1"/>
  <c r="C10" i="66"/>
  <c r="E10" i="66" s="1"/>
  <c r="H75" i="8"/>
  <c r="N75" i="8" s="1"/>
  <c r="N5" i="89"/>
  <c r="H79" i="8"/>
  <c r="N79" i="8" s="1"/>
  <c r="J65" i="8"/>
  <c r="H65" i="8" s="1"/>
  <c r="N65" i="8" s="1"/>
  <c r="N2" i="49"/>
  <c r="C10" i="48" s="1"/>
  <c r="E10" i="48" s="1"/>
  <c r="N5" i="94"/>
  <c r="C17" i="84"/>
  <c r="E17" i="84" s="1"/>
  <c r="N2" i="77"/>
  <c r="J83" i="8"/>
  <c r="H83" i="8" s="1"/>
  <c r="N83" i="8" s="1"/>
  <c r="N2" i="64"/>
  <c r="N5" i="64" s="1"/>
  <c r="N2" i="79"/>
  <c r="J84" i="8"/>
  <c r="H84" i="8" s="1"/>
  <c r="N84" i="8" s="1"/>
  <c r="N5" i="90"/>
  <c r="N5" i="92"/>
  <c r="H80" i="8"/>
  <c r="N80" i="8" s="1"/>
  <c r="H67" i="8"/>
  <c r="N67" i="8" s="1"/>
  <c r="N2" i="50"/>
  <c r="H64" i="8"/>
  <c r="N64" i="8" s="1"/>
  <c r="N2" i="81"/>
  <c r="J85" i="8"/>
  <c r="H85" i="8" s="1"/>
  <c r="N85" i="8" s="1"/>
  <c r="N2" i="56"/>
  <c r="J69" i="8"/>
  <c r="H69" i="8" s="1"/>
  <c r="N69" i="8" s="1"/>
  <c r="N2" i="62"/>
  <c r="J72" i="8"/>
  <c r="H72" i="8" s="1"/>
  <c r="N72" i="8" s="1"/>
  <c r="N2" i="71"/>
  <c r="N5" i="71" s="1"/>
  <c r="K78" i="8"/>
  <c r="H78" i="8" s="1"/>
  <c r="N78" i="8" s="1"/>
  <c r="N2" i="54"/>
  <c r="J68" i="8"/>
  <c r="H68" i="8" s="1"/>
  <c r="N68" i="8" s="1"/>
  <c r="H66" i="8"/>
  <c r="N66" i="8" s="1"/>
  <c r="N2" i="58"/>
  <c r="J70" i="8"/>
  <c r="H70" i="8" s="1"/>
  <c r="N70" i="8" s="1"/>
  <c r="N2" i="69"/>
  <c r="N5" i="69" s="1"/>
  <c r="K77" i="8"/>
  <c r="H77" i="8" s="1"/>
  <c r="N77" i="8" s="1"/>
  <c r="N2" i="83"/>
  <c r="N2" i="52"/>
  <c r="H71" i="8"/>
  <c r="N71" i="8" s="1"/>
  <c r="H76" i="8"/>
  <c r="N76" i="8" s="1"/>
  <c r="N2" i="68"/>
  <c r="E20" i="84"/>
  <c r="N2" i="84" s="1"/>
  <c r="N5" i="84" s="1"/>
  <c r="N5" i="75"/>
  <c r="C12" i="73"/>
  <c r="E12" i="73" s="1"/>
  <c r="N5" i="74"/>
  <c r="C11" i="73"/>
  <c r="E11" i="73" s="1"/>
  <c r="N5" i="60"/>
  <c r="C16" i="48"/>
  <c r="E16" i="48" s="1"/>
  <c r="N5" i="49"/>
  <c r="C13" i="66" l="1"/>
  <c r="E13" i="66" s="1"/>
  <c r="C12" i="66"/>
  <c r="E12" i="66" s="1"/>
  <c r="C17" i="48"/>
  <c r="E17" i="48" s="1"/>
  <c r="N5" i="62"/>
  <c r="N5" i="83"/>
  <c r="C10" i="73"/>
  <c r="E10" i="73" s="1"/>
  <c r="C18" i="48"/>
  <c r="E18" i="48" s="1"/>
  <c r="C14" i="48"/>
  <c r="E14" i="48" s="1"/>
  <c r="N5" i="56"/>
  <c r="C11" i="48"/>
  <c r="E11" i="48" s="1"/>
  <c r="N5" i="50"/>
  <c r="C12" i="48"/>
  <c r="E12" i="48" s="1"/>
  <c r="N5" i="52"/>
  <c r="N5" i="54"/>
  <c r="C13" i="48"/>
  <c r="E13" i="48" s="1"/>
  <c r="C15" i="73"/>
  <c r="E15" i="73" s="1"/>
  <c r="N5" i="81"/>
  <c r="C14" i="73"/>
  <c r="E14" i="73" s="1"/>
  <c r="N5" i="79"/>
  <c r="C15" i="48"/>
  <c r="E15" i="48" s="1"/>
  <c r="N5" i="58"/>
  <c r="C13" i="73"/>
  <c r="E13" i="73" s="1"/>
  <c r="N5" i="77"/>
  <c r="C11" i="66"/>
  <c r="E11" i="66" s="1"/>
  <c r="E14" i="66" s="1"/>
  <c r="N2" i="66" s="1"/>
  <c r="N5" i="66" s="1"/>
  <c r="N5" i="68"/>
  <c r="E16" i="73" l="1"/>
  <c r="N2" i="73" s="1"/>
  <c r="N5" i="73" s="1"/>
  <c r="E19" i="48"/>
  <c r="N2" i="48" s="1"/>
  <c r="N5" i="48" s="1"/>
  <c r="B3" i="46"/>
  <c r="B4" i="46"/>
  <c r="N11" i="46"/>
  <c r="N12" i="46"/>
  <c r="I15" i="46"/>
  <c r="I16" i="46"/>
  <c r="B3" i="45"/>
  <c r="B4" i="45"/>
  <c r="N11" i="45"/>
  <c r="N12" i="45"/>
  <c r="I15" i="45"/>
  <c r="I16" i="45"/>
  <c r="B3" i="44"/>
  <c r="B4" i="44"/>
  <c r="N11" i="44"/>
  <c r="N12" i="44"/>
  <c r="I15" i="44"/>
  <c r="I16" i="44"/>
  <c r="B3" i="43"/>
  <c r="B4" i="43"/>
  <c r="N11" i="43"/>
  <c r="N12" i="43"/>
  <c r="I15" i="43"/>
  <c r="I16" i="43"/>
  <c r="I19" i="43" s="1"/>
  <c r="K37" i="8" s="1"/>
  <c r="I17" i="43"/>
  <c r="I18" i="43"/>
  <c r="B3" i="42"/>
  <c r="B4" i="42"/>
  <c r="N11" i="42"/>
  <c r="N12" i="42"/>
  <c r="I15" i="42"/>
  <c r="I16" i="42"/>
  <c r="I19" i="42" s="1"/>
  <c r="K36" i="8" s="1"/>
  <c r="I17" i="42"/>
  <c r="I18" i="42"/>
  <c r="B3" i="41"/>
  <c r="B4" i="41"/>
  <c r="N11" i="41"/>
  <c r="N12" i="41"/>
  <c r="I15" i="41"/>
  <c r="I16" i="41"/>
  <c r="I19" i="41" s="1"/>
  <c r="K35" i="8" s="1"/>
  <c r="I17" i="41"/>
  <c r="I18" i="41"/>
  <c r="B3" i="40"/>
  <c r="B4" i="40"/>
  <c r="J11" i="40"/>
  <c r="N11" i="40"/>
  <c r="N12" i="40" s="1"/>
  <c r="J34" i="8" s="1"/>
  <c r="I15" i="40"/>
  <c r="I16" i="40"/>
  <c r="I17" i="40"/>
  <c r="I18" i="40"/>
  <c r="B3" i="39"/>
  <c r="B4" i="39"/>
  <c r="N11" i="39"/>
  <c r="N12" i="39"/>
  <c r="I15" i="39"/>
  <c r="I16" i="39"/>
  <c r="I17" i="39"/>
  <c r="I18" i="39"/>
  <c r="B3" i="38"/>
  <c r="B4" i="38"/>
  <c r="J11" i="38"/>
  <c r="N11" i="38"/>
  <c r="N12" i="38" s="1"/>
  <c r="J32" i="8" s="1"/>
  <c r="I15" i="38"/>
  <c r="I16" i="38"/>
  <c r="I17" i="38"/>
  <c r="B10" i="37"/>
  <c r="D10" i="37"/>
  <c r="B11" i="37"/>
  <c r="D11" i="37"/>
  <c r="D12" i="37"/>
  <c r="D13" i="37"/>
  <c r="D14" i="37"/>
  <c r="D15" i="37"/>
  <c r="D16" i="37"/>
  <c r="D17" i="37"/>
  <c r="D18" i="37"/>
  <c r="N22" i="37"/>
  <c r="N23" i="37"/>
  <c r="N24" i="37"/>
  <c r="N25" i="37"/>
  <c r="N26" i="37"/>
  <c r="N27" i="37"/>
  <c r="N28" i="37"/>
  <c r="N29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J57" i="37"/>
  <c r="J58" i="37"/>
  <c r="J59" i="37"/>
  <c r="J60" i="37"/>
  <c r="J61" i="37"/>
  <c r="J62" i="37"/>
  <c r="J63" i="37"/>
  <c r="J38" i="8" l="1"/>
  <c r="N2" i="46"/>
  <c r="C18" i="37" s="1"/>
  <c r="E18" i="37" s="1"/>
  <c r="J40" i="8"/>
  <c r="I54" i="37"/>
  <c r="K31" i="8" s="1"/>
  <c r="N30" i="37"/>
  <c r="J31" i="8" s="1"/>
  <c r="I18" i="38"/>
  <c r="K32" i="8" s="1"/>
  <c r="H32" i="8" s="1"/>
  <c r="N32" i="8" s="1"/>
  <c r="I19" i="39"/>
  <c r="K33" i="8" s="1"/>
  <c r="I19" i="40"/>
  <c r="K34" i="8" s="1"/>
  <c r="H34" i="8" s="1"/>
  <c r="N34" i="8" s="1"/>
  <c r="I17" i="45"/>
  <c r="K39" i="8" s="1"/>
  <c r="J64" i="37"/>
  <c r="L31" i="8" s="1"/>
  <c r="J33" i="8"/>
  <c r="N2" i="41"/>
  <c r="C13" i="37" s="1"/>
  <c r="E13" i="37" s="1"/>
  <c r="J35" i="8"/>
  <c r="H35" i="8" s="1"/>
  <c r="N35" i="8" s="1"/>
  <c r="N2" i="42"/>
  <c r="C14" i="37" s="1"/>
  <c r="E14" i="37" s="1"/>
  <c r="J36" i="8"/>
  <c r="H36" i="8" s="1"/>
  <c r="N36" i="8" s="1"/>
  <c r="N2" i="43"/>
  <c r="N5" i="43" s="1"/>
  <c r="J37" i="8"/>
  <c r="H37" i="8" s="1"/>
  <c r="N37" i="8" s="1"/>
  <c r="N2" i="45"/>
  <c r="C17" i="37" s="1"/>
  <c r="E17" i="37" s="1"/>
  <c r="J39" i="8"/>
  <c r="I17" i="44"/>
  <c r="K38" i="8" s="1"/>
  <c r="I17" i="46"/>
  <c r="K40" i="8" s="1"/>
  <c r="N5" i="46"/>
  <c r="N2" i="40"/>
  <c r="N5" i="41" l="1"/>
  <c r="C15" i="37"/>
  <c r="E15" i="37" s="1"/>
  <c r="H39" i="8"/>
  <c r="N39" i="8" s="1"/>
  <c r="N5" i="42"/>
  <c r="H40" i="8"/>
  <c r="N40" i="8" s="1"/>
  <c r="N5" i="45"/>
  <c r="H33" i="8"/>
  <c r="N33" i="8" s="1"/>
  <c r="H31" i="8"/>
  <c r="N31" i="8" s="1"/>
  <c r="H38" i="8"/>
  <c r="N38" i="8" s="1"/>
  <c r="N2" i="38"/>
  <c r="C10" i="37" s="1"/>
  <c r="E10" i="37" s="1"/>
  <c r="N2" i="39"/>
  <c r="N2" i="44"/>
  <c r="N5" i="40"/>
  <c r="C12" i="37"/>
  <c r="E12" i="37" s="1"/>
  <c r="N5" i="38" l="1"/>
  <c r="C16" i="37"/>
  <c r="E16" i="37" s="1"/>
  <c r="N5" i="44"/>
  <c r="C11" i="37"/>
  <c r="E11" i="37" s="1"/>
  <c r="E19" i="37" s="1"/>
  <c r="N2" i="37" s="1"/>
  <c r="N5" i="37" s="1"/>
  <c r="N5" i="39"/>
  <c r="B3" i="34"/>
  <c r="B4" i="34"/>
  <c r="N11" i="34"/>
  <c r="N12" i="34"/>
  <c r="I15" i="34"/>
  <c r="I16" i="34"/>
  <c r="I17" i="34" s="1"/>
  <c r="K30" i="8" s="1"/>
  <c r="B3" i="32"/>
  <c r="B4" i="32"/>
  <c r="J11" i="32"/>
  <c r="N11" i="32"/>
  <c r="N12" i="32" s="1"/>
  <c r="I15" i="32"/>
  <c r="I16" i="32"/>
  <c r="I17" i="32"/>
  <c r="B3" i="30"/>
  <c r="B4" i="30"/>
  <c r="J11" i="30"/>
  <c r="N11" i="30"/>
  <c r="N12" i="30"/>
  <c r="I15" i="30"/>
  <c r="I16" i="30"/>
  <c r="B3" i="28"/>
  <c r="B4" i="28"/>
  <c r="J11" i="28"/>
  <c r="N11" i="28"/>
  <c r="N12" i="28" s="1"/>
  <c r="I15" i="28"/>
  <c r="I16" i="28"/>
  <c r="B3" i="26"/>
  <c r="B4" i="26"/>
  <c r="J11" i="26"/>
  <c r="N11" i="26"/>
  <c r="N12" i="26" s="1"/>
  <c r="I15" i="26"/>
  <c r="I16" i="26"/>
  <c r="B3" i="25"/>
  <c r="B4" i="25"/>
  <c r="N11" i="25"/>
  <c r="N12" i="25"/>
  <c r="I15" i="25"/>
  <c r="I17" i="25" s="1"/>
  <c r="K25" i="8" s="1"/>
  <c r="I16" i="25"/>
  <c r="B3" i="23"/>
  <c r="B4" i="23"/>
  <c r="J11" i="23"/>
  <c r="N11" i="23"/>
  <c r="N12" i="23"/>
  <c r="J24" i="8" s="1"/>
  <c r="I15" i="23"/>
  <c r="I16" i="23"/>
  <c r="B3" i="22"/>
  <c r="B4" i="22"/>
  <c r="N11" i="22"/>
  <c r="N12" i="22"/>
  <c r="I15" i="22"/>
  <c r="I16" i="22"/>
  <c r="B10" i="21"/>
  <c r="D10" i="21"/>
  <c r="B11" i="21"/>
  <c r="D11" i="21"/>
  <c r="B12" i="21"/>
  <c r="D12" i="21"/>
  <c r="D13" i="21"/>
  <c r="D14" i="21"/>
  <c r="D15" i="21"/>
  <c r="D16" i="21"/>
  <c r="D17" i="21"/>
  <c r="N21" i="21"/>
  <c r="N24" i="21"/>
  <c r="N25" i="21"/>
  <c r="I29" i="21"/>
  <c r="I31" i="21"/>
  <c r="I32" i="21"/>
  <c r="I33" i="21"/>
  <c r="I34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D64" i="21"/>
  <c r="J64" i="21" s="1"/>
  <c r="D65" i="21"/>
  <c r="J65" i="21" s="1"/>
  <c r="D66" i="21"/>
  <c r="J66" i="21" s="1"/>
  <c r="J67" i="21"/>
  <c r="J68" i="21"/>
  <c r="D69" i="21"/>
  <c r="J69" i="21" s="1"/>
  <c r="D70" i="21"/>
  <c r="J70" i="21" s="1"/>
  <c r="I74" i="21"/>
  <c r="I75" i="21" s="1"/>
  <c r="M22" i="8" s="1"/>
  <c r="J28" i="8" l="1"/>
  <c r="J29" i="8"/>
  <c r="N2" i="32"/>
  <c r="N2" i="25"/>
  <c r="C12" i="21" s="1"/>
  <c r="E12" i="21" s="1"/>
  <c r="J25" i="8"/>
  <c r="H25" i="8" s="1"/>
  <c r="N25" i="8" s="1"/>
  <c r="J23" i="8"/>
  <c r="I17" i="28"/>
  <c r="K27" i="8" s="1"/>
  <c r="I17" i="26"/>
  <c r="K26" i="8" s="1"/>
  <c r="N2" i="28"/>
  <c r="J27" i="8"/>
  <c r="J30" i="8"/>
  <c r="H30" i="8" s="1"/>
  <c r="N30" i="8" s="1"/>
  <c r="N2" i="34"/>
  <c r="C17" i="21" s="1"/>
  <c r="E17" i="21" s="1"/>
  <c r="I17" i="22"/>
  <c r="K23" i="8" s="1"/>
  <c r="I17" i="30"/>
  <c r="K28" i="8" s="1"/>
  <c r="I18" i="32"/>
  <c r="K29" i="8" s="1"/>
  <c r="N2" i="26"/>
  <c r="N5" i="26" s="1"/>
  <c r="J26" i="8"/>
  <c r="I17" i="23"/>
  <c r="K24" i="8" s="1"/>
  <c r="H24" i="8" s="1"/>
  <c r="N24" i="8" s="1"/>
  <c r="I61" i="21"/>
  <c r="K22" i="8" s="1"/>
  <c r="N26" i="21"/>
  <c r="J22" i="8" s="1"/>
  <c r="N2" i="23"/>
  <c r="J71" i="21"/>
  <c r="L22" i="8" s="1"/>
  <c r="N5" i="25" l="1"/>
  <c r="C13" i="21"/>
  <c r="E13" i="21" s="1"/>
  <c r="H27" i="8"/>
  <c r="N27" i="8" s="1"/>
  <c r="H29" i="8"/>
  <c r="N29" i="8" s="1"/>
  <c r="N5" i="34"/>
  <c r="H26" i="8"/>
  <c r="N26" i="8" s="1"/>
  <c r="N2" i="30"/>
  <c r="C15" i="21" s="1"/>
  <c r="E15" i="21" s="1"/>
  <c r="H23" i="8"/>
  <c r="N23" i="8" s="1"/>
  <c r="N2" i="22"/>
  <c r="H28" i="8"/>
  <c r="N28" i="8" s="1"/>
  <c r="H22" i="8"/>
  <c r="N22" i="8" s="1"/>
  <c r="N5" i="32"/>
  <c r="C16" i="21"/>
  <c r="E16" i="21" s="1"/>
  <c r="N5" i="28"/>
  <c r="C14" i="21"/>
  <c r="E14" i="21" s="1"/>
  <c r="N5" i="23"/>
  <c r="C11" i="21"/>
  <c r="E11" i="21" s="1"/>
  <c r="N5" i="30" l="1"/>
  <c r="C10" i="21"/>
  <c r="E10" i="21" s="1"/>
  <c r="E18" i="21" s="1"/>
  <c r="N2" i="21" s="1"/>
  <c r="N5" i="21" s="1"/>
  <c r="N5" i="22"/>
  <c r="I11" i="8" l="1"/>
  <c r="L86" i="8" l="1"/>
  <c r="H13" i="8"/>
  <c r="N13" i="8" s="1"/>
  <c r="H14" i="8"/>
  <c r="N14" i="8" s="1"/>
  <c r="H15" i="8"/>
  <c r="N15" i="8" s="1"/>
  <c r="H16" i="8"/>
  <c r="N16" i="8" s="1"/>
  <c r="H17" i="8"/>
  <c r="N17" i="8" s="1"/>
  <c r="H18" i="8"/>
  <c r="N18" i="8" s="1"/>
  <c r="H19" i="8"/>
  <c r="N19" i="8" s="1"/>
  <c r="H20" i="8"/>
  <c r="N20" i="8" s="1"/>
  <c r="H21" i="8"/>
  <c r="N21" i="8" s="1"/>
  <c r="K11" i="8" l="1"/>
  <c r="K86" i="8" s="1"/>
  <c r="J11" i="8"/>
  <c r="H11" i="8" l="1"/>
  <c r="N11" i="8" s="1"/>
  <c r="H12" i="8"/>
  <c r="N12" i="8" s="1"/>
  <c r="O1" i="8"/>
  <c r="N86" i="8" l="1"/>
</calcChain>
</file>

<file path=xl/sharedStrings.xml><?xml version="1.0" encoding="utf-8"?>
<sst xmlns="http://schemas.openxmlformats.org/spreadsheetml/2006/main" count="6643" uniqueCount="975">
  <si>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</si>
  <si>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</si>
  <si>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</si>
  <si>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</si>
  <si>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</si>
  <si>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</si>
  <si>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</si>
  <si>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</si>
  <si>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</si>
  <si>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</si>
  <si>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</si>
  <si>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</si>
  <si>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</si>
  <si>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</si>
  <si>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</si>
  <si>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</si>
  <si>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</si>
  <si>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</si>
  <si>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</si>
  <si>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</si>
  <si>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</si>
  <si>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</si>
  <si>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</si>
  <si>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</si>
  <si>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</si>
  <si>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</si>
  <si>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</si>
  <si>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</si>
  <si>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</si>
  <si>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</si>
  <si>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</si>
  <si>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</si>
  <si>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</si>
  <si>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</si>
  <si>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</si>
  <si>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</si>
  <si>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</si>
  <si>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</si>
  <si>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</si>
  <si>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</si>
  <si>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</si>
  <si>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</si>
  <si>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</si>
  <si>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</si>
  <si>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</si>
  <si>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</si>
  <si>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</si>
  <si>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</si>
  <si>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</si>
  <si>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</si>
  <si>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</si>
  <si>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</si>
  <si>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</si>
  <si>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</si>
  <si>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</si>
  <si>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</si>
  <si>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</si>
  <si>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</si>
  <si>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</si>
  <si>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</si>
  <si>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</si>
  <si>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</si>
  <si>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</si>
  <si>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</si>
  <si>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</si>
  <si>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</si>
  <si>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Drawing part :</t>
  </si>
  <si>
    <t>Drawing</t>
  </si>
  <si>
    <t>FSAEI</t>
  </si>
  <si>
    <t>Back to BOM</t>
  </si>
  <si>
    <t>Engine and Drivetrain</t>
  </si>
  <si>
    <t>m</t>
  </si>
  <si>
    <t>Weld</t>
  </si>
  <si>
    <t>Assemble, 1 kg, Loose</t>
  </si>
  <si>
    <t>Ratchet &lt;=25,4mm</t>
  </si>
  <si>
    <t>Assemble, 1kg, Interference</t>
  </si>
  <si>
    <t>Ratchet &lt;= 6.35 mm</t>
  </si>
  <si>
    <t>Assemble, 3kg, Line-on-Line</t>
  </si>
  <si>
    <t>kg</t>
  </si>
  <si>
    <t>Machining</t>
  </si>
  <si>
    <t>Machining Setup, Change</t>
  </si>
  <si>
    <t>cm^3</t>
  </si>
  <si>
    <t>Material - Steel</t>
  </si>
  <si>
    <t>Laser Cut</t>
  </si>
  <si>
    <t>bend</t>
  </si>
  <si>
    <t>cut</t>
  </si>
  <si>
    <t>Sheet metal bends</t>
  </si>
  <si>
    <t>cm^2</t>
  </si>
  <si>
    <t>Assemble, 1 kg, Line-on-Line</t>
  </si>
  <si>
    <t>m^2</t>
  </si>
  <si>
    <t>Bolt, Grade 8.8 (SAE 5)</t>
  </si>
  <si>
    <t>Intake brackets welding</t>
  </si>
  <si>
    <t>Fastening plenum, plenum plate and intake manifold</t>
  </si>
  <si>
    <t>Washer, Grade 8,8 (SAE 5)</t>
  </si>
  <si>
    <t>Tightening the intake pipes with the intake manifold</t>
  </si>
  <si>
    <t>Hose Clamp, Worm Drive</t>
  </si>
  <si>
    <t>Fixing the frame brackets on the frame</t>
  </si>
  <si>
    <t>Reaction Tool &lt;= 25,4 mm</t>
  </si>
  <si>
    <t>Wrench &lt;= 25,4 mm</t>
  </si>
  <si>
    <t>Positionning Mount, Vibration-Damping, Sandwich</t>
  </si>
  <si>
    <t>Drilling holes inside the frame brackets</t>
  </si>
  <si>
    <t>Drilled holes &lt; 25,4 mm dia.</t>
  </si>
  <si>
    <t>Bending the frame brackets to align with the intake brackets</t>
  </si>
  <si>
    <t>Positionning the frame brackets on the frame</t>
  </si>
  <si>
    <t>Tightening the hose clamps on the intake manifold and the motor</t>
  </si>
  <si>
    <t>Screwdriver &gt; 1 Turn</t>
  </si>
  <si>
    <t>Fixing the PAIR plates to the motor</t>
  </si>
  <si>
    <t>Positionning the intake assembly on the motor</t>
  </si>
  <si>
    <t>Fixing the PAIR plates to the motor bracket</t>
  </si>
  <si>
    <t>Positionning the PAIR plates on the motor bracket</t>
  </si>
  <si>
    <t>Drilling holes inside the PAIR plates</t>
  </si>
  <si>
    <t>Positionning the PAIR plates on the motor</t>
  </si>
  <si>
    <t>Fixing the motor bracket to the plenum plate</t>
  </si>
  <si>
    <t>Positionning the motor bracket on the plenum plate</t>
  </si>
  <si>
    <t>Fixing the left and right frame bracket on the plenum</t>
  </si>
  <si>
    <t>Positionning the left and right frame bracket</t>
  </si>
  <si>
    <t>Fixing the plenum to the plenum plate</t>
  </si>
  <si>
    <t>Reaction Tool &lt;= 6,35 mm</t>
  </si>
  <si>
    <t>Wrench &lt;= 6,35 mm</t>
  </si>
  <si>
    <t>Positionning the plenum on the plenum seal</t>
  </si>
  <si>
    <t>Positionning the plenum seal on the plenum plate</t>
  </si>
  <si>
    <t>Fixing the plenum plate to the intake manifold</t>
  </si>
  <si>
    <t>Positionning the plenum plate on the manifold seal</t>
  </si>
  <si>
    <t>Positionning the manifold seal on the manifold</t>
  </si>
  <si>
    <t>Welding the intake brackets on the frame</t>
  </si>
  <si>
    <t>Sealing between intake manifold and plenum plate</t>
  </si>
  <si>
    <t>Seal, O-ring, Elastomer</t>
  </si>
  <si>
    <t>Sealing between upper plenum and plenum plate</t>
  </si>
  <si>
    <t>Isolation between throttle and chassis</t>
  </si>
  <si>
    <t>Mount, Vibration-Damping, Sandwich</t>
  </si>
  <si>
    <t>Air Intake Assembly</t>
  </si>
  <si>
    <t>Air Intake System</t>
  </si>
  <si>
    <t>Applying varnish inside the upper plenum</t>
  </si>
  <si>
    <t>Aerosol Aplly</t>
  </si>
  <si>
    <t>Printing the upper plenum</t>
  </si>
  <si>
    <t>Rapid Prototype - Plastic</t>
  </si>
  <si>
    <t>Material for part</t>
  </si>
  <si>
    <t>Plasti, Nylon</t>
  </si>
  <si>
    <t>Made by 3D printing</t>
  </si>
  <si>
    <t>Upper plenum</t>
  </si>
  <si>
    <t>Producing the plenum plate</t>
  </si>
  <si>
    <t>Setup for laser cutting</t>
  </si>
  <si>
    <t>Machinnig Setup, Install and remove</t>
  </si>
  <si>
    <t>Rectangular area 200x215 mm</t>
  </si>
  <si>
    <t>Aluminium, Normal</t>
  </si>
  <si>
    <t>Made by laser cutting</t>
  </si>
  <si>
    <t>Plenum plate</t>
  </si>
  <si>
    <t>Applying varnish inside the intake manifold</t>
  </si>
  <si>
    <t>Intake manifold</t>
  </si>
  <si>
    <t>Producing the left frame bracket</t>
  </si>
  <si>
    <t>Rectangular area 225x16 mm</t>
  </si>
  <si>
    <t>Left frame bracket</t>
  </si>
  <si>
    <t>Producing the right frame bracket</t>
  </si>
  <si>
    <t>Rectangular area 256x16 mm</t>
  </si>
  <si>
    <t>Right frame bracket</t>
  </si>
  <si>
    <t>Producing the PAIR plate</t>
  </si>
  <si>
    <t>Rectangular area 80x55 mm</t>
  </si>
  <si>
    <t>PAIR plate</t>
  </si>
  <si>
    <t>Bending the motor bracket</t>
  </si>
  <si>
    <t>Rectangular area 215x75 mm</t>
  </si>
  <si>
    <t>AB</t>
  </si>
  <si>
    <t>Motor bracket</t>
  </si>
  <si>
    <t>Stock material for part</t>
  </si>
  <si>
    <t>Steel, Mild</t>
  </si>
  <si>
    <t>Intake bracket</t>
  </si>
  <si>
    <t>EN_A0400</t>
  </si>
  <si>
    <t>Process 170</t>
  </si>
  <si>
    <t>Hose Clamp, Miniature Bolt</t>
  </si>
  <si>
    <t>Process 140</t>
  </si>
  <si>
    <t>Process 110</t>
  </si>
  <si>
    <t>Process 70</t>
  </si>
  <si>
    <t>Assemble cable</t>
  </si>
  <si>
    <t>Assemble, 1kg, Loose</t>
  </si>
  <si>
    <t>Tighten cable adjuster</t>
  </si>
  <si>
    <t>Hand, Loose &lt;=6,35mm</t>
  </si>
  <si>
    <t>Assemble cable adjuster</t>
  </si>
  <si>
    <t>Tighten clamp</t>
  </si>
  <si>
    <t>Screwdriver &lt; 1 Turn</t>
  </si>
  <si>
    <t>Assemble air filter and clamp</t>
  </si>
  <si>
    <t>Reaction tool for M6 nut</t>
  </si>
  <si>
    <t>Reaction Tool &lt;=6,35mm</t>
  </si>
  <si>
    <t>Tighten M6 bolt</t>
  </si>
  <si>
    <t>Wrench &lt;= 6,35mm</t>
  </si>
  <si>
    <t>Assemble throttle body on plenum</t>
  </si>
  <si>
    <t>Assemble seal on throttle body</t>
  </si>
  <si>
    <t>Tighten M5 bolt</t>
  </si>
  <si>
    <t>Assemble axle stop</t>
  </si>
  <si>
    <t>Assemble torsion spring</t>
  </si>
  <si>
    <t>Assemble, 1kg, Line-on-line</t>
  </si>
  <si>
    <t>Reaction tool for M5 nut</t>
  </si>
  <si>
    <t>Assemble negative stop</t>
  </si>
  <si>
    <t>Assemble cable housing axle</t>
  </si>
  <si>
    <t>Assemble TPS axle</t>
  </si>
  <si>
    <t>Assemble throttle plate in restrictor</t>
  </si>
  <si>
    <t>Assemble ram pipe on throttle housing</t>
  </si>
  <si>
    <t>Assemble flange on restrictor</t>
  </si>
  <si>
    <t>Assemble throttle housing on restrictor</t>
  </si>
  <si>
    <t>Cable, Adjuster</t>
  </si>
  <si>
    <t>Throttle cable</t>
  </si>
  <si>
    <t>Cable, Pull</t>
  </si>
  <si>
    <t>Sealing with plenum</t>
  </si>
  <si>
    <t>Seal, O-ring Elastomer</t>
  </si>
  <si>
    <t>Sealing with airfilter</t>
  </si>
  <si>
    <t>Hellicoidal spring</t>
  </si>
  <si>
    <t>Spring, Tension (General)</t>
  </si>
  <si>
    <t>Torsion spring</t>
  </si>
  <si>
    <t>Air filter</t>
  </si>
  <si>
    <t>Throttle Plate</t>
  </si>
  <si>
    <t>Ram Pipe</t>
  </si>
  <si>
    <t>Axle Stop</t>
  </si>
  <si>
    <t>Cable Housing</t>
  </si>
  <si>
    <t>TPS Axle</t>
  </si>
  <si>
    <t>Throttle Axle</t>
  </si>
  <si>
    <t>Throttle Housing</t>
  </si>
  <si>
    <t>Throttle Body of the air intake assembly</t>
  </si>
  <si>
    <t>Throttle Body</t>
  </si>
  <si>
    <t>Aluminium</t>
  </si>
  <si>
    <t>hole</t>
  </si>
  <si>
    <t>Drillet holes &lt; 25,4mm dia,</t>
  </si>
  <si>
    <t>Rectangular area, 40x20mm</t>
  </si>
  <si>
    <t>Bought, cost as made</t>
  </si>
  <si>
    <t>Throttle Frange</t>
  </si>
  <si>
    <t>Machining setup, change</t>
  </si>
  <si>
    <t>Cutout shape</t>
  </si>
  <si>
    <t>Round diam 42mm</t>
  </si>
  <si>
    <t>Restrictor</t>
  </si>
  <si>
    <t>Rectangular area, 45x30mm</t>
  </si>
  <si>
    <t>Steel</t>
  </si>
  <si>
    <t>Machining of the back face</t>
  </si>
  <si>
    <t>Setup part for machining the back face</t>
  </si>
  <si>
    <t>Round 10 mm</t>
  </si>
  <si>
    <t>Laser cut</t>
  </si>
  <si>
    <t>Rectangular area 60x2mm</t>
  </si>
  <si>
    <t>Round 25mm diam</t>
  </si>
  <si>
    <t>Round 80mm diam</t>
  </si>
  <si>
    <t>Round 32mm diam</t>
  </si>
  <si>
    <t>Weld tabs to frame</t>
  </si>
  <si>
    <t>Blocking right bearing carrier and right eccentric</t>
  </si>
  <si>
    <t>Nut, Grade 8,8 (SAE 5)</t>
  </si>
  <si>
    <t>Bolt, Grade 8,8 (SAE 5)</t>
  </si>
  <si>
    <t>Assemble right bearing carrier and tabs</t>
  </si>
  <si>
    <t>Blocking eccentric</t>
  </si>
  <si>
    <t>Blocking left bearing carrier and left eccentric</t>
  </si>
  <si>
    <t>Assemble left bearing carrier and tabs</t>
  </si>
  <si>
    <t>Bolt the right bearing carrier to tabs</t>
  </si>
  <si>
    <t>Reaction Tool &lt;=25,4mm</t>
  </si>
  <si>
    <t>Bolt the left bearing carrier to tabs</t>
  </si>
  <si>
    <t>Put two washers on bolt</t>
  </si>
  <si>
    <t>Put the bearing carriers and tabs in place</t>
  </si>
  <si>
    <t>Bolt the bearing carriers to eccentric</t>
  </si>
  <si>
    <t>Ratchet &lt;= 6,35mm</t>
  </si>
  <si>
    <t>Assemble the bearing carriers and the bearings</t>
  </si>
  <si>
    <t>Assemble, 1 kg, Interference</t>
  </si>
  <si>
    <t>Assemble the left bearing and eccentric</t>
  </si>
  <si>
    <t>Assemble the right bearing and eccentric</t>
  </si>
  <si>
    <t>Assemble the housing</t>
  </si>
  <si>
    <t>Assemble, 3 kg, Interference</t>
  </si>
  <si>
    <t>Paint the tabs</t>
  </si>
  <si>
    <t>Aerosol apply</t>
  </si>
  <si>
    <t>Differential Internals, Limited Slip, Salisbury or Powerflow or Clutch Style</t>
  </si>
  <si>
    <t>litre</t>
  </si>
  <si>
    <t>Differential oil</t>
  </si>
  <si>
    <t>Fluid, Oil</t>
  </si>
  <si>
    <t>Paint the brackets</t>
  </si>
  <si>
    <t>Paint</t>
  </si>
  <si>
    <t>Right differential bearing</t>
  </si>
  <si>
    <t>Bearing, Ball, Deep groove</t>
  </si>
  <si>
    <t>Left differential bearing</t>
  </si>
  <si>
    <t>Right Jacking Bar bracket</t>
  </si>
  <si>
    <t>Left Jacking Bar bracket</t>
  </si>
  <si>
    <t>Lower Eccentric Carrier bracket</t>
  </si>
  <si>
    <t>Upper Eccentric Carrier bracket</t>
  </si>
  <si>
    <t>Right Eccentric Carrier</t>
  </si>
  <si>
    <t>Left Eccentric Carrier</t>
  </si>
  <si>
    <t>Right Eccentric</t>
  </si>
  <si>
    <t>Left Eccentric</t>
  </si>
  <si>
    <t>Housing</t>
  </si>
  <si>
    <t>Differential housing and mounting assembly</t>
  </si>
  <si>
    <t>Differential Assembly</t>
  </si>
  <si>
    <t>Engine &amp; Drivetrain</t>
  </si>
  <si>
    <t>Washer, Crush</t>
  </si>
  <si>
    <t>Bolt, Grade 10.9 (SAE 8)</t>
  </si>
  <si>
    <t>Washer, Grade 12.9</t>
  </si>
  <si>
    <t>Assembly of the three parts</t>
  </si>
  <si>
    <t>Bolt, Grade 12.9</t>
  </si>
  <si>
    <t>Bolt the drain</t>
  </si>
  <si>
    <t>Ratchet &lt;= 25.4 mm</t>
  </si>
  <si>
    <t>Assemble the three parts</t>
  </si>
  <si>
    <t>Hole for the diff. Cover</t>
  </si>
  <si>
    <t>Drilled holes &lt; 25.4 mm dia.</t>
  </si>
  <si>
    <t>Material-Aluminium</t>
  </si>
  <si>
    <t>Setup and removal</t>
  </si>
  <si>
    <t>Broach the housing cover</t>
  </si>
  <si>
    <t>Broach, External</t>
  </si>
  <si>
    <t>Hole for the diff. Housing</t>
  </si>
  <si>
    <t>Tapping central holes</t>
  </si>
  <si>
    <t>Tapping holes</t>
  </si>
  <si>
    <t>Tapping lateral holes</t>
  </si>
  <si>
    <t>Seal, O-Ring, Elastomer</t>
  </si>
  <si>
    <t>Round 102mm diam.</t>
  </si>
  <si>
    <t>Aluminium, Premium</t>
  </si>
  <si>
    <t>Differential</t>
  </si>
  <si>
    <t>Material - Plastic</t>
  </si>
  <si>
    <t>Holes</t>
  </si>
  <si>
    <t>Setup for machining</t>
  </si>
  <si>
    <t>175mm diam</t>
  </si>
  <si>
    <t>Plastic, Polyoxymethylene (POM)</t>
  </si>
  <si>
    <t>165mm diam</t>
  </si>
  <si>
    <t>Material - Aluminium</t>
  </si>
  <si>
    <t>Shaping of the differential bearing carrier</t>
  </si>
  <si>
    <t>Setup and removal of the machining of the right bearing carrier</t>
  </si>
  <si>
    <t>Rectangular area 374x130 mm</t>
  </si>
  <si>
    <t>Material for the left bearing carrier</t>
  </si>
  <si>
    <t>Left Eccentric carrier</t>
  </si>
  <si>
    <t>Rectangular area 374x120 mm</t>
  </si>
  <si>
    <t>Right Eccentric carrier</t>
  </si>
  <si>
    <t>Material, Steel</t>
  </si>
  <si>
    <t>Shaping of the brackets and holes</t>
  </si>
  <si>
    <t>4 parts cut from a single machine setup</t>
  </si>
  <si>
    <t>Rectangular area 46x34 mm</t>
  </si>
  <si>
    <t>Material for the bracket</t>
  </si>
  <si>
    <t>Rectangular area 46x29 mm</t>
  </si>
  <si>
    <t>Rectangular area 60x47 mm</t>
  </si>
  <si>
    <t>Rectangular area 61x47 mm</t>
  </si>
  <si>
    <t>Fasten the tripod housing and the hub</t>
  </si>
  <si>
    <t>Assemble the tripod housing to the differential</t>
  </si>
  <si>
    <t>Fasten the boot</t>
  </si>
  <si>
    <t>Snap ring for retaining the tripods</t>
  </si>
  <si>
    <t>Retaining Ring, External</t>
  </si>
  <si>
    <t>Bolt tripod housing to hub</t>
  </si>
  <si>
    <t>Ratchet &lt;= 25,4 mm</t>
  </si>
  <si>
    <t>Assemble a hose clamp and a tripod housing</t>
  </si>
  <si>
    <t>Assemble a hose clamp and an axle</t>
  </si>
  <si>
    <t>Assemble a tripod housing and a hub</t>
  </si>
  <si>
    <t>Assemble a boot and a tripod housing</t>
  </si>
  <si>
    <t>Assemble an axle and a tripod housing</t>
  </si>
  <si>
    <t>Assemble, 3 kg, Loose</t>
  </si>
  <si>
    <t>Assemble an axle and a snap ring</t>
  </si>
  <si>
    <t>Assemble a tripod and an axle</t>
  </si>
  <si>
    <t>Assemble a boot and an axle</t>
  </si>
  <si>
    <t>Fasten the differential and the tripod housing</t>
  </si>
  <si>
    <t>Assemble a tripod housing and the differential</t>
  </si>
  <si>
    <t>Boots for driveshatfts</t>
  </si>
  <si>
    <t>Constant Velocity Joint, Boot</t>
  </si>
  <si>
    <t>Tripods</t>
  </si>
  <si>
    <t>Constant Velocity Joint, Tripod</t>
  </si>
  <si>
    <t>Right axle</t>
  </si>
  <si>
    <t>Left axle</t>
  </si>
  <si>
    <t>Outboard tripod housing</t>
  </si>
  <si>
    <t>Inboard tripod housing</t>
  </si>
  <si>
    <t>Driveshaft</t>
  </si>
  <si>
    <t>Broach of the tripod housing</t>
  </si>
  <si>
    <t>Changing of the broach of the tripod housing</t>
  </si>
  <si>
    <t>Machining the int shape of the tripod housing (milling)</t>
  </si>
  <si>
    <t>Changing of the machining of the tripod housing</t>
  </si>
  <si>
    <t>Machining the ext shape of the tripod housing (turning)</t>
  </si>
  <si>
    <t>Setup and removal of the machining of the tripod housing</t>
  </si>
  <si>
    <t>Round 65.5 mm diam.</t>
  </si>
  <si>
    <t>Material for the housing</t>
  </si>
  <si>
    <t>Steel, Alloy</t>
  </si>
  <si>
    <t>Threading of the tripod housing</t>
  </si>
  <si>
    <t>Threading, External (machining)</t>
  </si>
  <si>
    <t>Setup and removal of the threading of the tripod housing</t>
  </si>
  <si>
    <t>Broach of the axle</t>
  </si>
  <si>
    <t>Setup and removal of the broach of the axle</t>
  </si>
  <si>
    <t>Material-Steel</t>
  </si>
  <si>
    <t>Shaping of the int of the axle</t>
  </si>
  <si>
    <t>Cut of the edge of the axle</t>
  </si>
  <si>
    <t>Setup and removal of the machining of the axle</t>
  </si>
  <si>
    <t>Round 22,1 mm diam.</t>
  </si>
  <si>
    <t>Material for driveshaft</t>
  </si>
  <si>
    <t>Left Axle</t>
  </si>
  <si>
    <t>Drawing of the cut</t>
  </si>
  <si>
    <t>Right Axle</t>
  </si>
  <si>
    <t>Hold the rear sprocket in place on the differential</t>
  </si>
  <si>
    <t>Retaining ring, External</t>
  </si>
  <si>
    <t>Assemble the front sprocket with the engine</t>
  </si>
  <si>
    <t>Assemble the chain shield with the tab</t>
  </si>
  <si>
    <t>Assemble the rear sprocket with the adapter</t>
  </si>
  <si>
    <t>Bolt lower chain shield to tab</t>
  </si>
  <si>
    <t>Reaction Tool &lt;= 25.4 mm</t>
  </si>
  <si>
    <t>Place bolts and washers</t>
  </si>
  <si>
    <t>Bolt upper chain shield to tab</t>
  </si>
  <si>
    <t>Chain tension</t>
  </si>
  <si>
    <t>Adjustment - Misc.</t>
  </si>
  <si>
    <t>Put chain in place</t>
  </si>
  <si>
    <t>Bolt front sprocket to engine</t>
  </si>
  <si>
    <t>Put the front sprocket in place</t>
  </si>
  <si>
    <t>Bolt rear sprocket to adapter</t>
  </si>
  <si>
    <t>Put the retaining ring in the groove</t>
  </si>
  <si>
    <t>Put the centering pin in the rear sprocket adaptor holes</t>
  </si>
  <si>
    <t>Put the rear sprocket adapter on the differential</t>
  </si>
  <si>
    <t>Tabs and shield painting</t>
  </si>
  <si>
    <t>Weld tab to frame</t>
  </si>
  <si>
    <t>Chain shield and Bracket painting</t>
  </si>
  <si>
    <t>Chain</t>
  </si>
  <si>
    <t>Lower chainshield bracket</t>
  </si>
  <si>
    <t>Upper chainshield bracket</t>
  </si>
  <si>
    <t>Chain shield</t>
  </si>
  <si>
    <t>Rear sprocket adaptor</t>
  </si>
  <si>
    <t>rear sprocket</t>
  </si>
  <si>
    <t>Front sprocket</t>
  </si>
  <si>
    <t>Chain Set</t>
  </si>
  <si>
    <t>Shaping of the sprocket</t>
  </si>
  <si>
    <t>Setup and removal for laser cut of the sprocket</t>
  </si>
  <si>
    <t>Material-steel</t>
  </si>
  <si>
    <t>Gear Shaping (hobbing)</t>
  </si>
  <si>
    <t>Setup and removal of the machining of the sprocket</t>
  </si>
  <si>
    <t>Round 210mm diam.</t>
  </si>
  <si>
    <t>Material for the rear sprocket</t>
  </si>
  <si>
    <t>Rear sprocket</t>
  </si>
  <si>
    <t>Broach of the adapter</t>
  </si>
  <si>
    <t>Broach, Internal</t>
  </si>
  <si>
    <t>Shaping of the adapter</t>
  </si>
  <si>
    <t>Setup and removal of the machining of the adapter</t>
  </si>
  <si>
    <t>Round 190mm diam.</t>
  </si>
  <si>
    <t>Material for the adapter</t>
  </si>
  <si>
    <t>Bend to shape</t>
  </si>
  <si>
    <t>Shaping of the chain shield</t>
  </si>
  <si>
    <t>Setup and removal of the machining of the shield</t>
  </si>
  <si>
    <t>Rectangular area 101 x 930 mm</t>
  </si>
  <si>
    <t>Material for the upper chain shield</t>
  </si>
  <si>
    <t>Rectangular area 30,6x25 mm</t>
  </si>
  <si>
    <t>Rectangular area 32,3x23 mm</t>
  </si>
  <si>
    <t>Broach of the sprocket</t>
  </si>
  <si>
    <t>Setup and removal of the broach of the sprocket</t>
  </si>
  <si>
    <t>Hobbing of the sprocket</t>
  </si>
  <si>
    <t>Setup and removal of the hobbing of the sprocket</t>
  </si>
  <si>
    <t>Shaping of the sprocket (turning)</t>
  </si>
  <si>
    <t>Round 81mm diam.</t>
  </si>
  <si>
    <t>Material for front sprocket</t>
  </si>
  <si>
    <t>Muffler mount bolt</t>
  </si>
  <si>
    <t>Muffler mount nut</t>
  </si>
  <si>
    <t>Muffler collar bolt</t>
  </si>
  <si>
    <t>Muffler collar washers</t>
  </si>
  <si>
    <t>Muffler mount on the frame tube</t>
  </si>
  <si>
    <t>Steel Loop Straps, Rubber-Cushioned</t>
  </si>
  <si>
    <t>Engine washers</t>
  </si>
  <si>
    <t>Headers nuts</t>
  </si>
  <si>
    <t>Exhaust System Ceramic Coating</t>
  </si>
  <si>
    <t>Tighten muffler collar bolt</t>
  </si>
  <si>
    <t>Assemble muffler collar, washers and spacer</t>
  </si>
  <si>
    <t>Tighten muffler mount nut</t>
  </si>
  <si>
    <t>Reaction Tool &lt;= 6.35 mm</t>
  </si>
  <si>
    <t>Assemble muffler mount</t>
  </si>
  <si>
    <t>Assemble muffler to tubing</t>
  </si>
  <si>
    <t>Assemble secondary collector to primary tubing</t>
  </si>
  <si>
    <t>Secondary collector tubing welding on collector</t>
  </si>
  <si>
    <t>Weld - Round Tubing</t>
  </si>
  <si>
    <t>end</t>
  </si>
  <si>
    <t>Preperation for secondary collector welding</t>
  </si>
  <si>
    <t>Tube end preperation for welding</t>
  </si>
  <si>
    <t>Assemble primary collector to headers</t>
  </si>
  <si>
    <t>Assemble,1kg, Interference</t>
  </si>
  <si>
    <t>Primary collector tubing welding on primary collector</t>
  </si>
  <si>
    <t>Preperation for primary collector welding</t>
  </si>
  <si>
    <t>Tighten header's nut</t>
  </si>
  <si>
    <t>Assemble headers to engine</t>
  </si>
  <si>
    <t>Tips welding on headers</t>
  </si>
  <si>
    <t>Assemble flanges to primary collector</t>
  </si>
  <si>
    <t>Spring, Compression (General)</t>
  </si>
  <si>
    <t>EN A0200</t>
  </si>
  <si>
    <t>Exhaust System</t>
  </si>
  <si>
    <t>Outside machining</t>
  </si>
  <si>
    <t>4 parts made from a single machining change</t>
  </si>
  <si>
    <t>Inner machining</t>
  </si>
  <si>
    <t>4 parts made from a single machining setup</t>
  </si>
  <si>
    <t>Round 43mm diam.</t>
  </si>
  <si>
    <t>Raw material</t>
  </si>
  <si>
    <t>Steel, Mild (per kg)</t>
  </si>
  <si>
    <t>EN 02001</t>
  </si>
  <si>
    <t>Exhaust Tip</t>
  </si>
  <si>
    <t>Flange cut</t>
  </si>
  <si>
    <t>Rectangular area 80 x 50mm</t>
  </si>
  <si>
    <t>EN 02002</t>
  </si>
  <si>
    <t>Exhaust Flange</t>
  </si>
  <si>
    <t>FracIncld</t>
  </si>
  <si>
    <t>Tube bends</t>
  </si>
  <si>
    <t>Tube cut</t>
  </si>
  <si>
    <t>Round 34mm*1,2mm</t>
  </si>
  <si>
    <t>Header material</t>
  </si>
  <si>
    <t>Steel, Stainless</t>
  </si>
  <si>
    <t>4 headers in one part</t>
  </si>
  <si>
    <t>EN 02003</t>
  </si>
  <si>
    <t>Exhaust headers</t>
  </si>
  <si>
    <t>Round 42,1mm*1,5mm</t>
  </si>
  <si>
    <t>Collector material</t>
  </si>
  <si>
    <t>1 connector for each pair of headers</t>
  </si>
  <si>
    <t>EN 02004</t>
  </si>
  <si>
    <t>Primary collector</t>
  </si>
  <si>
    <t>Tubing material</t>
  </si>
  <si>
    <t>2 primary collectors in 1 part</t>
  </si>
  <si>
    <t>EN 02005</t>
  </si>
  <si>
    <t>Primary collector tubing</t>
  </si>
  <si>
    <t>Round 49,8mm*1,2mm</t>
  </si>
  <si>
    <t>EN 02006</t>
  </si>
  <si>
    <t>Secondary collector</t>
  </si>
  <si>
    <t>EN 02007</t>
  </si>
  <si>
    <t>Secondary collector tubing</t>
  </si>
  <si>
    <t>Riveting</t>
  </si>
  <si>
    <t>Sheet metal stamping</t>
  </si>
  <si>
    <t>Sheet metal punching</t>
  </si>
  <si>
    <t>Muffler Batting</t>
  </si>
  <si>
    <t>Rectangular area 0.5 x 0.15m</t>
  </si>
  <si>
    <t>Rectangular area 0.5 x 0.4m</t>
  </si>
  <si>
    <t>Material for muffler body</t>
  </si>
  <si>
    <t>Titanium (per kg)</t>
  </si>
  <si>
    <t>Cost as made</t>
  </si>
  <si>
    <t>EN 02008</t>
  </si>
  <si>
    <t>Muffler</t>
  </si>
  <si>
    <t>Lamination - Composite Tool</t>
  </si>
  <si>
    <t>Cure, Oven</t>
  </si>
  <si>
    <t>Lamination, Manual</t>
  </si>
  <si>
    <t>Collar material</t>
  </si>
  <si>
    <t>Carbon Fiber, 1 Ply</t>
  </si>
  <si>
    <t>EN 02009</t>
  </si>
  <si>
    <t>Muffler Collar</t>
  </si>
  <si>
    <t>Round 16mm diameter</t>
  </si>
  <si>
    <t>Spacer material</t>
  </si>
  <si>
    <t>Spacer between the muffler collar and the mount</t>
  </si>
  <si>
    <t>EN 02010</t>
  </si>
  <si>
    <t>Spacer</t>
  </si>
  <si>
    <t>EN A0300</t>
  </si>
  <si>
    <t>EN 03001</t>
  </si>
  <si>
    <t>EN 03002</t>
  </si>
  <si>
    <t>EN 03003</t>
  </si>
  <si>
    <t>EN_04001</t>
  </si>
  <si>
    <t>EN_04002</t>
  </si>
  <si>
    <t>EN_04003</t>
  </si>
  <si>
    <t>EN_04004</t>
  </si>
  <si>
    <t>EN_04005</t>
  </si>
  <si>
    <t>EN_04006</t>
  </si>
  <si>
    <t>EN_04007</t>
  </si>
  <si>
    <t>EN_04008</t>
  </si>
  <si>
    <t>EN_04009</t>
  </si>
  <si>
    <t>EN 09001</t>
  </si>
  <si>
    <t>EN A0900</t>
  </si>
  <si>
    <t>EN 09002</t>
  </si>
  <si>
    <t>EN 09003</t>
  </si>
  <si>
    <t>EN 09004</t>
  </si>
  <si>
    <t>EN 09005</t>
  </si>
  <si>
    <t>EN 09006</t>
  </si>
  <si>
    <t>EN 09007</t>
  </si>
  <si>
    <t>EN 09008</t>
  </si>
  <si>
    <t>EN 09009</t>
  </si>
  <si>
    <t>EN A1000</t>
  </si>
  <si>
    <t>EN 10001</t>
  </si>
  <si>
    <t>EN 10002</t>
  </si>
  <si>
    <t>EN 10003</t>
  </si>
  <si>
    <t>EN 10004</t>
  </si>
  <si>
    <t>EN A1100</t>
  </si>
  <si>
    <t>EN 11001</t>
  </si>
  <si>
    <t>EN 11002</t>
  </si>
  <si>
    <t>EN 11003</t>
  </si>
  <si>
    <t>EN 11004</t>
  </si>
  <si>
    <t>EN 11005</t>
  </si>
  <si>
    <t>EN 11006</t>
  </si>
  <si>
    <t>EN A0400</t>
  </si>
  <si>
    <t>EN 04001</t>
  </si>
  <si>
    <t>EN 04002</t>
  </si>
  <si>
    <t>EN 04003</t>
  </si>
  <si>
    <t>EN 04004</t>
  </si>
  <si>
    <t>EN 04005</t>
  </si>
  <si>
    <t>EN 04006</t>
  </si>
  <si>
    <t>EN 04007</t>
  </si>
  <si>
    <t>EN 04008</t>
  </si>
  <si>
    <t>EN 04009</t>
  </si>
  <si>
    <t>EN_0300_006</t>
  </si>
  <si>
    <t>EN 03004</t>
  </si>
  <si>
    <t>EN 03005</t>
  </si>
  <si>
    <t>EN 03006</t>
  </si>
  <si>
    <t>EN 03007</t>
  </si>
  <si>
    <t>EN 03008</t>
  </si>
  <si>
    <t>Sensor, Fluid Pressure &amp; Temperature</t>
  </si>
  <si>
    <t>Measure pressure and temperature inside of the plenum</t>
  </si>
  <si>
    <t>Assemble, 1 kg, Line-onLine</t>
  </si>
  <si>
    <t>Inserting the pressure and temperature sensor</t>
  </si>
  <si>
    <t>Fastening brackets and sensor</t>
  </si>
  <si>
    <t>Material for painting</t>
  </si>
  <si>
    <t>Paint the intake and frame brackets</t>
  </si>
  <si>
    <t>EN_03005</t>
  </si>
  <si>
    <t>EN_03004</t>
  </si>
  <si>
    <t>EN_03007</t>
  </si>
  <si>
    <t>EN_03008</t>
  </si>
  <si>
    <t>Rear tabs welding</t>
  </si>
  <si>
    <t>Washer for the flat sump</t>
  </si>
  <si>
    <t>Bolt the flat sump</t>
  </si>
  <si>
    <t>Bolt engine to the frame</t>
  </si>
  <si>
    <t>Bolt engine to the front tubes</t>
  </si>
  <si>
    <t>Bolt engine to the rear tab</t>
  </si>
  <si>
    <t>Engine first start, includes fuel</t>
  </si>
  <si>
    <t>Tighten flat sump blots</t>
  </si>
  <si>
    <t>Assemble Flat sump + rubber sealing</t>
  </si>
  <si>
    <t>Tighten M12 front bolts</t>
  </si>
  <si>
    <t>Reaction tool, &lt;=25,4mm</t>
  </si>
  <si>
    <t>Ratchet &lt;= 25,4mm</t>
  </si>
  <si>
    <t>Tighten M12 rear bolts</t>
  </si>
  <si>
    <t>Positioning of the rear tube</t>
  </si>
  <si>
    <t>Assemble, 1kg, Line-on-Line</t>
  </si>
  <si>
    <t>Assemble engine in frame</t>
  </si>
  <si>
    <t>Assemble, &gt;20 kg, Interference</t>
  </si>
  <si>
    <t>Sump seal rubber</t>
  </si>
  <si>
    <t>Cut (scissors, knife)</t>
  </si>
  <si>
    <t>Paint of the rear tabs</t>
  </si>
  <si>
    <t>Weld rear tabs to the frame</t>
  </si>
  <si>
    <t>Sealing between oil sump and engine</t>
  </si>
  <si>
    <t>Rubber</t>
  </si>
  <si>
    <t>L</t>
  </si>
  <si>
    <t>Engine Oil</t>
  </si>
  <si>
    <t>Fluid, oil</t>
  </si>
  <si>
    <t>cc</t>
  </si>
  <si>
    <t>Honda CBR 600 RR - type PC40</t>
  </si>
  <si>
    <t>Engine and Transmission, Ultra High Performance (&gt;10 HP/100 cc)</t>
  </si>
  <si>
    <t>Rear tube</t>
  </si>
  <si>
    <t>Rear tab</t>
  </si>
  <si>
    <t>Flat sump</t>
  </si>
  <si>
    <t>Honda CBR 600 RR type PC40</t>
  </si>
  <si>
    <t>Engine</t>
  </si>
  <si>
    <t xml:space="preserve">Mounts Welding </t>
  </si>
  <si>
    <t>Welds- Welding Fixture</t>
  </si>
  <si>
    <t>Weld the 4 plates together + Dash 6 connection</t>
  </si>
  <si>
    <t xml:space="preserve">Drain valve hole - upper rectangular plate </t>
  </si>
  <si>
    <t>Install upper rectangular plate in drill</t>
  </si>
  <si>
    <t>Machining Setup, installation and remove</t>
  </si>
  <si>
    <t>Fold base</t>
  </si>
  <si>
    <t>Laser cut upper rectangular plate</t>
  </si>
  <si>
    <t>Laser cut transversal wall</t>
  </si>
  <si>
    <t>Laser cut folded base-wall</t>
  </si>
  <si>
    <t>Upper plate</t>
  </si>
  <si>
    <t>Laser cut, upper plate</t>
  </si>
  <si>
    <t>For Dash6 connection</t>
  </si>
  <si>
    <t>Fitting, Weld-in, Male, Aluminum</t>
  </si>
  <si>
    <t>Rectangular area, 60x30 mm</t>
  </si>
  <si>
    <t>Upper rectangular plate - 5754</t>
  </si>
  <si>
    <t>Aluminum, Normal</t>
  </si>
  <si>
    <t>Rectangular area, 168x42 mm</t>
  </si>
  <si>
    <t>Transversal wall - 5754</t>
  </si>
  <si>
    <t>Rectangular area, 250x200 mm</t>
  </si>
  <si>
    <t>Upper plate - 5754</t>
  </si>
  <si>
    <t>Rectangular area, 233x276 mm</t>
  </si>
  <si>
    <t>Folded base - 5754</t>
  </si>
  <si>
    <t>Flat Sump, custom made</t>
  </si>
  <si>
    <t>EN 01001</t>
  </si>
  <si>
    <t>Flat Sump</t>
  </si>
  <si>
    <t>2 parts made from a single machine setup</t>
  </si>
  <si>
    <t>Setup for laser cut</t>
  </si>
  <si>
    <t>Rectangular area, 60x32 mm</t>
  </si>
  <si>
    <t>To attach the engine to the frame</t>
  </si>
  <si>
    <t>EN 01002</t>
  </si>
  <si>
    <t>To 13mm diam.</t>
  </si>
  <si>
    <t xml:space="preserve"> </t>
  </si>
  <si>
    <t>Round area, 20mm diam.</t>
  </si>
  <si>
    <t>EN 01003</t>
  </si>
  <si>
    <t>EN A0100</t>
  </si>
  <si>
    <t>Drawing Part :</t>
  </si>
  <si>
    <t>Point</t>
  </si>
  <si>
    <t>Tabs welding</t>
  </si>
  <si>
    <t>Clamp on tube of frame to attach the filler tube</t>
  </si>
  <si>
    <t>Clamp for filler neck and filler tube</t>
  </si>
  <si>
    <t>M6 washer for collar on collar mount +  for vibration damping sandwich</t>
  </si>
  <si>
    <t>M6 nut for collar on collar mount +  for vibration damping sandwich</t>
  </si>
  <si>
    <t>M6 bolt for collar on collar mount</t>
  </si>
  <si>
    <t>M6 washer for vibration damping sandwich</t>
  </si>
  <si>
    <t>M6 nut for vibration damping sandwich</t>
  </si>
  <si>
    <t>Seal O-ring + Filler tube cap</t>
  </si>
  <si>
    <t>Hand, Loose &gt; 25.4 mm</t>
  </si>
  <si>
    <t>Tighten Filler tube collar on collar tab</t>
  </si>
  <si>
    <t>Filler tube collar on collar tab</t>
  </si>
  <si>
    <t>Hose clamps</t>
  </si>
  <si>
    <t>Clamp on the Filler hose</t>
  </si>
  <si>
    <t>Tighten Fuel tank on the tabs</t>
  </si>
  <si>
    <t>Reaction tool, &lt;= 25.4mm</t>
  </si>
  <si>
    <t>Ratchet, &lt;= 25.4mm</t>
  </si>
  <si>
    <t>Fuel tank on the tabs</t>
  </si>
  <si>
    <t>Assemble, 3 kg, Line-on-Line</t>
  </si>
  <si>
    <t>Tighten vibration damping sandwich on Fuel Tank</t>
  </si>
  <si>
    <t>Vibration dampings sandwich on Fuel tank</t>
  </si>
  <si>
    <t>Tabs painting</t>
  </si>
  <si>
    <t>Between the plug and the filler tube</t>
  </si>
  <si>
    <t>Filler hose raccording Filler tube and Filler neck</t>
  </si>
  <si>
    <t>Hose, Silicone</t>
  </si>
  <si>
    <t>Vibration-Damping, Sandwich for fuel tank</t>
  </si>
  <si>
    <t>Front tab</t>
  </si>
  <si>
    <t>Lateral tab</t>
  </si>
  <si>
    <t>Filler Tube</t>
  </si>
  <si>
    <t>Filler Cap</t>
  </si>
  <si>
    <t>Fuel Tank (with filler neck)</t>
  </si>
  <si>
    <t>Fuel tank with filler neck</t>
  </si>
  <si>
    <t>EN A0500</t>
  </si>
  <si>
    <t>Fuel Tank Assembly</t>
  </si>
  <si>
    <t>Fuel tank welding + neck tube</t>
  </si>
  <si>
    <t>Neck tube cut</t>
  </si>
  <si>
    <t>Bend</t>
  </si>
  <si>
    <t>Cavity</t>
  </si>
  <si>
    <t>Side plate bend</t>
  </si>
  <si>
    <t>Upper plate bend</t>
  </si>
  <si>
    <t>Material - Aluminum</t>
  </si>
  <si>
    <t>Side plate</t>
  </si>
  <si>
    <t>Lower plate</t>
  </si>
  <si>
    <t>Plate material cut</t>
  </si>
  <si>
    <t>Machining Setup, Install and Remove</t>
  </si>
  <si>
    <t>Circular area (tube) 45mm x 2mm</t>
  </si>
  <si>
    <t>Nek tube</t>
  </si>
  <si>
    <t>Aluminum, Normal (per kg)</t>
  </si>
  <si>
    <t>Rectangular plate 460mm x 1200mm</t>
  </si>
  <si>
    <t>Fuel tank plate material</t>
  </si>
  <si>
    <t>EN 05001</t>
  </si>
  <si>
    <t xml:space="preserve">Drawing : </t>
  </si>
  <si>
    <t>Fuel Check Valve assembling</t>
  </si>
  <si>
    <t>Fuel Check Valve hole (20mm)</t>
  </si>
  <si>
    <t>Threading, Internal (machining)</t>
  </si>
  <si>
    <t>Machning Setup, Install and Remove</t>
  </si>
  <si>
    <t>Connect hose rubbber to  fuel check valve</t>
  </si>
  <si>
    <t>Fitting/L.P./Male Flare to Pipe//Aluminum/Anodized</t>
  </si>
  <si>
    <t>Hose rubber</t>
  </si>
  <si>
    <t>Fuel Check Valve, In-line, Aluminum Rollover</t>
  </si>
  <si>
    <t>Round area diameter 50mm</t>
  </si>
  <si>
    <t>Cap material</t>
  </si>
  <si>
    <t>Aluminum - Normal (per kg)</t>
  </si>
  <si>
    <t>EN 05002</t>
  </si>
  <si>
    <t>Attach filler tube to hose</t>
  </si>
  <si>
    <t>Attach the filler tube to frame</t>
  </si>
  <si>
    <t>Attach sight tube to filler tube</t>
  </si>
  <si>
    <t>Hose,  frame attach and sight tube clamp</t>
  </si>
  <si>
    <t>Hose, frame attach and sight tube mounting</t>
  </si>
  <si>
    <t>Hose and sight tube cut</t>
  </si>
  <si>
    <t>Barb fittings welding on tube</t>
  </si>
  <si>
    <t>Hole</t>
  </si>
  <si>
    <t>Sight tube fitting</t>
  </si>
  <si>
    <t>Thread for plug</t>
  </si>
  <si>
    <t>Adapter plug - filler neck body</t>
  </si>
  <si>
    <t>Filler neck body</t>
  </si>
  <si>
    <t>Filler neck body,  and sight tube fitting</t>
  </si>
  <si>
    <t>Attach to fuel tank</t>
  </si>
  <si>
    <t>Sight tube</t>
  </si>
  <si>
    <t>circle area (tube) 10mm x 1mm</t>
  </si>
  <si>
    <t>circle area (tube) 45mm x 2mm</t>
  </si>
  <si>
    <t>EN 05003</t>
  </si>
  <si>
    <t>Rectangular area, 30x42 mm</t>
  </si>
  <si>
    <t>EN 05004</t>
  </si>
  <si>
    <t>Drawing :</t>
  </si>
  <si>
    <t>Rectangular area, 30x48 mm</t>
  </si>
  <si>
    <t>EN 05005</t>
  </si>
  <si>
    <t>Welding fixture from tabs (Fuel pump + Pressure regulator) on frame</t>
  </si>
  <si>
    <t>M6 washer for rail on admission pipe</t>
  </si>
  <si>
    <t>M6 nut for rail on admission pipe</t>
  </si>
  <si>
    <t>M6 bolt for rail on admission pipe</t>
  </si>
  <si>
    <t>M6 washer for regulator on tab</t>
  </si>
  <si>
    <t>M6 nut for regulator on tab</t>
  </si>
  <si>
    <t>M6 bolt for regulator on tab</t>
  </si>
  <si>
    <t>M6 washer for collar on collar mount</t>
  </si>
  <si>
    <t>M6 nut for collar on collar mount</t>
  </si>
  <si>
    <t>M6 bolt for Pump collar on Tab</t>
  </si>
  <si>
    <t>Tighten fittings + adapters</t>
  </si>
  <si>
    <t>Wrench &lt;= 25.4 mm</t>
  </si>
  <si>
    <t>Tighten Tube nut</t>
  </si>
  <si>
    <t>Assemble banjo on fuel rail</t>
  </si>
  <si>
    <t>Safety wire installation between fuel rail and intake pipe</t>
  </si>
  <si>
    <t>Safety Wire, Install</t>
  </si>
  <si>
    <t>Reaction tool for M6 nut between Rail and adm. pipe</t>
  </si>
  <si>
    <t>Tighten M6 bolts between Rail and admission pipe</t>
  </si>
  <si>
    <t>Assemble Rail on Admission pipe</t>
  </si>
  <si>
    <t>Assemble Injectors on Fuel rail</t>
  </si>
  <si>
    <t>Assemble Injectors seal O Ring</t>
  </si>
  <si>
    <t>Tighten M6 bolt between Fuel pressure regulator and Tab</t>
  </si>
  <si>
    <t>Assemble Fuel pressure regulator on Tab</t>
  </si>
  <si>
    <t>Tighten M6 bolt between Pump Collar and Tab</t>
  </si>
  <si>
    <t>Assemble Pump + Collar on Pump tab</t>
  </si>
  <si>
    <t>Assemble Pump on Collar</t>
  </si>
  <si>
    <t>Tighten fittings male part on female part</t>
  </si>
  <si>
    <t>Assemble fittings on hose</t>
  </si>
  <si>
    <t>Pump collar tab on frame  (regulator tab only pointed)</t>
  </si>
  <si>
    <t>Copper, to ensure the sealing between ramp and banjo</t>
  </si>
  <si>
    <t>Crush Washer</t>
  </si>
  <si>
    <t>Injector seals</t>
  </si>
  <si>
    <t>Adaptater for Pump inlet/outlet and regulator conical threading</t>
  </si>
  <si>
    <t>Adapter/L.P./Union Reducer//Aluminum/Anodized</t>
  </si>
  <si>
    <t>Tee out, pump inlet</t>
  </si>
  <si>
    <t>Adapter/L.P./Union/FeMale Flare//Aluminum/Anodized</t>
  </si>
  <si>
    <t>Regulator in</t>
  </si>
  <si>
    <t>Adapter/L.P./Union Tee//Aluminum/Anodized</t>
  </si>
  <si>
    <t>Banjo fitting on rail</t>
  </si>
  <si>
    <t>Fitting/L.P./Tube Nut//Steel/</t>
  </si>
  <si>
    <t>Fuel rail alimentation</t>
  </si>
  <si>
    <t>Banjo Fitting, Aluminum</t>
  </si>
  <si>
    <t>Return fuel tank, inlet pump, outlet pump, outlet tee</t>
  </si>
  <si>
    <t>Fitting/L.P./Straight/Aluminum/Anodized</t>
  </si>
  <si>
    <t>Tee inlet, return fuel pressure regulator</t>
  </si>
  <si>
    <t>Fitting/L.P./Elbow/90 deg./Aluminum/Anodized</t>
  </si>
  <si>
    <t>Outlet fuel tank</t>
  </si>
  <si>
    <t>Fitting/L.P./Elbow/45 deg./Aluminum/Anodized</t>
  </si>
  <si>
    <t>Hose, Low Pressure, Stainless Steel Braided Outer</t>
  </si>
  <si>
    <t>On the Fuel pressure regulator</t>
  </si>
  <si>
    <t>Fitting, Fuel Pressure Gauge</t>
  </si>
  <si>
    <t>Fuel Injector, Gasoline</t>
  </si>
  <si>
    <t>Fuel Pressure Regulator, Gasoline</t>
  </si>
  <si>
    <t>Fuel Pump, Fuel Injected, Gasoline</t>
  </si>
  <si>
    <t>Fuel filter</t>
  </si>
  <si>
    <t>Fuel Pump Tab</t>
  </si>
  <si>
    <t>Pressure Regulator Tab</t>
  </si>
  <si>
    <t>Fuel Pump Collar</t>
  </si>
  <si>
    <t>Fuel Rail</t>
  </si>
  <si>
    <t>EN A0600</t>
  </si>
  <si>
    <t>Fuel System</t>
  </si>
  <si>
    <t>Weld main tube + tabs</t>
  </si>
  <si>
    <t>Material- Steel</t>
  </si>
  <si>
    <t>Tube end threading for Banjo nut</t>
  </si>
  <si>
    <t>Setup and remove for tube machining</t>
  </si>
  <si>
    <t>Main + injectors  tube cut</t>
  </si>
  <si>
    <t>Rectangular area 100mm x 30mm</t>
  </si>
  <si>
    <t>Fitting tabs material</t>
  </si>
  <si>
    <t>Round tube 16mm x 3mm</t>
  </si>
  <si>
    <t>Main + injectors tube material</t>
  </si>
  <si>
    <t>EN 06001</t>
  </si>
  <si>
    <t xml:space="preserve">Rolling at 90° </t>
  </si>
  <si>
    <t>Rectangular area 230x20 mm</t>
  </si>
  <si>
    <t>Aluminum - Normal</t>
  </si>
  <si>
    <t>EN 06002</t>
  </si>
  <si>
    <t>Tab cut</t>
  </si>
  <si>
    <t>Rectangular area 20x42 mm</t>
  </si>
  <si>
    <t>Tab material</t>
  </si>
  <si>
    <t>Steel - Mild</t>
  </si>
  <si>
    <t>EN 06003</t>
  </si>
  <si>
    <t>Rectangular area 13x20 mm</t>
  </si>
  <si>
    <t>EN 06004</t>
  </si>
  <si>
    <t>To attach one can to the fuel tank</t>
  </si>
  <si>
    <t>Hook and Loop, Hook Side (Velcro)</t>
  </si>
  <si>
    <t>M4 washers to tighten the collar around the frame</t>
  </si>
  <si>
    <t>M6 Bolt</t>
  </si>
  <si>
    <t>100 mm M6 Bolt</t>
  </si>
  <si>
    <t>Bolt, Aluminum</t>
  </si>
  <si>
    <t>Attach on the bottom frame pipe</t>
  </si>
  <si>
    <t>Engine and Expansion tank clamp</t>
  </si>
  <si>
    <t>Hose Clamp, Single Wire</t>
  </si>
  <si>
    <t>Hose mounting on Bottles, Engine and Expansion tank</t>
  </si>
  <si>
    <t>Clamps installation on the frame</t>
  </si>
  <si>
    <t>Hoses cut</t>
  </si>
  <si>
    <t>Fixing the Velcro to the fuel tank side</t>
  </si>
  <si>
    <t xml:space="preserve">Fixing the Velcro to the other can </t>
  </si>
  <si>
    <t>Bottles drilling for hoses</t>
  </si>
  <si>
    <t>Tighten the carbon fiber strips around one can</t>
  </si>
  <si>
    <t>Bend carbon fiber strips around one can</t>
  </si>
  <si>
    <t>Drill the carbon fiber strips, diam 8</t>
  </si>
  <si>
    <t>For carbon clamp</t>
  </si>
  <si>
    <t>Carbon fiber strips cut</t>
  </si>
  <si>
    <t>Carbon Fiber, 1 Ply (kg)</t>
  </si>
  <si>
    <t>Black bottle paint</t>
  </si>
  <si>
    <t>Lines from Engine's top and Expansion tank to overflow bottles</t>
  </si>
  <si>
    <t>Painting cans</t>
  </si>
  <si>
    <t>Overflow Bottle, Steel Oil Can</t>
  </si>
  <si>
    <t>Oil and Water catch cans, mounted on the frame</t>
  </si>
  <si>
    <t>EN A0700</t>
  </si>
  <si>
    <t>Overflow Bottles</t>
  </si>
  <si>
    <t>Rectangular area</t>
  </si>
  <si>
    <t>Expansion Tank Tab</t>
  </si>
  <si>
    <t>EN 08008</t>
  </si>
  <si>
    <t>Expansion Tank tab</t>
  </si>
  <si>
    <t>Cooling System</t>
  </si>
  <si>
    <t>Welds - Welding Fixture Tabs</t>
  </si>
  <si>
    <t>Set Fan to Radiator</t>
  </si>
  <si>
    <t>Pin, Plastic Push</t>
  </si>
  <si>
    <t>Main line hose clamp</t>
  </si>
  <si>
    <t>Secondary Cooling Line Hose Clamp</t>
  </si>
  <si>
    <t>Main Cooling Line Hose Clamp</t>
  </si>
  <si>
    <t>M6 nuts for lateral bar, tabs and radiator</t>
  </si>
  <si>
    <t>M6 Bolt for fittings and radiator</t>
  </si>
  <si>
    <t>Bolt Hose Clamp</t>
  </si>
  <si>
    <t>Assemble secondary Cooling Lines with Expansion Tank and Fluid recuperator</t>
  </si>
  <si>
    <t>Assemble main Cooling Lines with radiator</t>
  </si>
  <si>
    <t>Nut for Expansion Tank</t>
  </si>
  <si>
    <t>Reaction tool &lt;= 25.4 mm</t>
  </si>
  <si>
    <t>Bolt for Expansion Tank</t>
  </si>
  <si>
    <t>Set Expansion Tank to tabs</t>
  </si>
  <si>
    <t>Nut for lateral bar</t>
  </si>
  <si>
    <t>Assemble lateral bar with lateral tabs and radiator</t>
  </si>
  <si>
    <t>Nuts for vibration damping sandwiches</t>
  </si>
  <si>
    <t>Set Radiator to Vibration-Damping Sandwiches</t>
  </si>
  <si>
    <t>Assemble, 3kg, Line-on-line</t>
  </si>
  <si>
    <t>Nut for vibration damping sandwiches</t>
  </si>
  <si>
    <t>Assemble Vibration-Damping Sandwich with tabs</t>
  </si>
  <si>
    <t>Tab and lateral tube painting</t>
  </si>
  <si>
    <t>Back tab to Radiator Frame</t>
  </si>
  <si>
    <t>Lower Lateral tab to Radiator Frame</t>
  </si>
  <si>
    <t>Upper Lateral tab to Radiator Frame</t>
  </si>
  <si>
    <t>Cooling water</t>
  </si>
  <si>
    <t>Coolant</t>
  </si>
  <si>
    <t>Tabs and lateral tube painting</t>
  </si>
  <si>
    <t>Hose output</t>
  </si>
  <si>
    <t>Male flare to pipe, aluminium anodized</t>
  </si>
  <si>
    <t>Mount, Vibration-Damping Sandwich</t>
  </si>
  <si>
    <t>Secondary Coolant Line</t>
  </si>
  <si>
    <t>Lateral Tube</t>
  </si>
  <si>
    <t>Expansion Tank tabs</t>
  </si>
  <si>
    <t>Expansion Tank</t>
  </si>
  <si>
    <t>Fan</t>
  </si>
  <si>
    <t xml:space="preserve">Main Coolant Line </t>
  </si>
  <si>
    <t>Radiator back tab</t>
  </si>
  <si>
    <t>Radiator lateral lower tab</t>
  </si>
  <si>
    <t>Radiator lateral upper tab</t>
  </si>
  <si>
    <t>Radiator</t>
  </si>
  <si>
    <t>Engine cooling system</t>
  </si>
  <si>
    <t>EN A0800</t>
  </si>
  <si>
    <t>Radiator Filler Necks</t>
  </si>
  <si>
    <t>Setup machining and removal</t>
  </si>
  <si>
    <t>Round 25mm diam.</t>
  </si>
  <si>
    <t>Radiator filler necks</t>
  </si>
  <si>
    <t>Aluminium, normal (per kg)</t>
  </si>
  <si>
    <t xml:space="preserve">Heat Exchanger, Air to Liquid </t>
  </si>
  <si>
    <t>EN 08001</t>
  </si>
  <si>
    <t>EN_08001</t>
  </si>
  <si>
    <t>Radiator Lateral Upper Tab</t>
  </si>
  <si>
    <t>EN 08002</t>
  </si>
  <si>
    <t>Bend Tab</t>
  </si>
  <si>
    <t>Sheet Metal Bends</t>
  </si>
  <si>
    <t>Radiator Lateral Lower Tab</t>
  </si>
  <si>
    <t>EN 08003</t>
  </si>
  <si>
    <t>Radiator Back Tab</t>
  </si>
  <si>
    <t>EN 08004</t>
  </si>
  <si>
    <t>Radiator Back tab</t>
  </si>
  <si>
    <t>labor</t>
  </si>
  <si>
    <t>Hose and sleeve assembly</t>
  </si>
  <si>
    <t>Steel hose cutting</t>
  </si>
  <si>
    <t>Saw or tubing cuts</t>
  </si>
  <si>
    <t>Silicone hose cutting</t>
  </si>
  <si>
    <t>Tube 25 x 0.5mm</t>
  </si>
  <si>
    <t>Main lines</t>
  </si>
  <si>
    <t>Tube 25.4 x 0.5mm</t>
  </si>
  <si>
    <t>Sleeve</t>
  </si>
  <si>
    <t>EN 08005</t>
  </si>
  <si>
    <t>Labor</t>
  </si>
  <si>
    <t>Push pin</t>
  </si>
  <si>
    <t xml:space="preserve">Assemble, 1kg, Line-On-Line </t>
  </si>
  <si>
    <t>Heat Exchanger Fan</t>
  </si>
  <si>
    <t>EN 08006</t>
  </si>
  <si>
    <t>Expansion tank welding fixture</t>
  </si>
  <si>
    <t>Expansion tank filler neck and cap assembly</t>
  </si>
  <si>
    <t>Material : Aluminum</t>
  </si>
  <si>
    <t>Expansion tank cap</t>
  </si>
  <si>
    <t>Setup for machining and removal</t>
  </si>
  <si>
    <t>Tabs to expansion tank welding</t>
  </si>
  <si>
    <t>Material : Aluminum - Repeat 2</t>
  </si>
  <si>
    <t>Tabs profile</t>
  </si>
  <si>
    <t>2 tabs cut from a single machine setup</t>
  </si>
  <si>
    <t>Laser cut of tabs</t>
  </si>
  <si>
    <t>Welding of cap and bottom to tube</t>
  </si>
  <si>
    <t>Preparation to weld cap and bottom to tube</t>
  </si>
  <si>
    <t>Repeated for each end of tube</t>
  </si>
  <si>
    <t>Cut the main part of the expansion tank</t>
  </si>
  <si>
    <t>Tabs, bottom cutting</t>
  </si>
  <si>
    <t>for laser cut</t>
  </si>
  <si>
    <t>hole for hose output in filler neck</t>
  </si>
  <si>
    <t>Drilled holes</t>
  </si>
  <si>
    <t>Material : Aluminium</t>
  </si>
  <si>
    <t>Filler neck</t>
  </si>
  <si>
    <t>Tab profile</t>
  </si>
  <si>
    <t>Expansion tank tab</t>
  </si>
  <si>
    <t>Round 30mm diameter</t>
  </si>
  <si>
    <t>Round 24mm diameter</t>
  </si>
  <si>
    <t>dash4 connection, bottom</t>
  </si>
  <si>
    <t>Round, 40mm diameter</t>
  </si>
  <si>
    <t>Bottom</t>
  </si>
  <si>
    <t>Round 40mm diameter</t>
  </si>
  <si>
    <t>Main tube</t>
  </si>
  <si>
    <t>EN 08007</t>
  </si>
  <si>
    <t>Bar twist</t>
  </si>
  <si>
    <t>Holes for the lateral bar</t>
  </si>
  <si>
    <t>Cut of the lateral bar</t>
  </si>
  <si>
    <t>Sheet Metal Saw Cut</t>
  </si>
  <si>
    <t>Circular area</t>
  </si>
  <si>
    <t>Lateral bar</t>
  </si>
  <si>
    <t>EN 08009</t>
  </si>
  <si>
    <t>Tube 12 x 0.5mm</t>
  </si>
  <si>
    <t>Secondary lines</t>
  </si>
  <si>
    <t>Tube 12.4 x 0.5mm</t>
  </si>
  <si>
    <t>EN 08010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</si>
</sst>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"/>
    <numFmt numFmtId="173" formatCode="&quot;$&quot;#,##0.00"/>
    <numFmt numFmtId="174" formatCode="0.0"/>
    <numFmt numFmtId="175" formatCode="_(* #,##0.000_);_(* \(#,##0.000\);_(* &quot;-&quot;??_);_(@_)"/>
    <numFmt numFmtId="176" formatCode="\$#,##0.00,;&quot;($&quot;#,##0.00\)"/>
    <numFmt numFmtId="177" formatCode="_-* #,##0.000\ _€_-;\-* #,##0.000\ _€_-;_-* &quot;-&quot;??\ _€_-;_-@_-"/>
    <numFmt numFmtId="178" formatCode="_(* #,##0_);_(* \(#,##0\);_(* &quot;-&quot;??_);_(@_)"/>
    <numFmt numFmtId="179" formatCode="_-[$$-409]* #,##0.00_ ;_-[$$-409]* \-#,##0.00,;_-[$$-409]* \-??_ ;_-@_ "/>
    <numFmt numFmtId="180" formatCode="_(* #,##0.000_);_(* \(#,##0.000\);_(* \-??_);_(@_)"/>
    <numFmt numFmtId="181" formatCode="#,##0.000"/>
    <numFmt numFmtId="182" formatCode="0.0000"/>
    <numFmt numFmtId="183" formatCode="0.00000"/>
    <numFmt numFmtId="184" formatCode="0.0000E+00"/>
    <numFmt numFmtId="185" formatCode="_-* #,##0.000\ _€_-;\-* #,##0.000\ _€_-;_-* &quot;-&quot;???\ _€_-;_-@_-"/>
    <numFmt numFmtId="186" formatCode="_-* #,##0.000_-;\-* #,##0.000_-;_-* &quot;-&quot;??_-;_-@_-"/>
    <numFmt numFmtId="187" formatCode="_(&quot;$&quot;* #,##0_);_(&quot;$&quot;* \(#,##0\);_(&quot;$&quot;* &quot;-&quot;??_);_(@_)"/>
    <numFmt numFmtId="188" formatCode="_-* #,##0\ _€_-;\-* #,##0\ _€_-;_-* &quot;-&quot;??\ _€_-;_-@_-"/>
    <numFmt numFmtId="189" formatCode="_(&quot;$&quot;* #,##0.000_);_(&quot;$&quot;* \(#,##0.00\);_(&quot;$&quot;* &quot;-&quot;??_);_(@_)"/>
    <numFmt numFmtId="190" formatCode="_-* #,##0.00_-;\-* #,##0.00_-;_-* &quot;-&quot;??_-;_-@_-"/>
    <numFmt numFmtId="191" formatCode="_(&quot;$&quot;* #,##0.00_);_(&quot;$&quot;* \(#,##0.000\);_(&quot;$&quot;* &quot;-&quot;??_);_(@_)"/>
    <numFmt numFmtId="192" formatCode="_(&quot;$&quot;* #,##0.000_);_(&quot;$&quot;* \(#,##0.000\);_(&quot;$&quot;* &quot;-&quot;??_);_(@_)"/>
    <numFmt numFmtId="193" formatCode="#,##0.000_ ;\-#,##0.000\ "/>
    <numFmt numFmtId="194" formatCode="_(&quot;$&quot;* #,##0.0000_);_(&quot;$&quot;* \(#,##0.0000\);_(&quot;$&quot;* &quot;-&quot;??_);_(@_)"/>
    <numFmt numFmtId="195" formatCode="[$-409]d\-mmm\-yy;@"/>
  </numFmts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  <font>
      <b/>
      <sz val="11"/>
      <name val="Calibri"/>
      <family val="2"/>
    </font>
    <font>
      <sz val="11"/>
      <color rgb="FF9C5700"/>
      <name val="Calibri"/>
      <family val="2"/>
      <scheme val="minor"/>
    </font>
    <font>
      <sz val="10"/>
      <name val="MS Sans Serif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</font>
    <font>
      <sz val="11"/>
      <color rgb="FFFF0000"/>
      <name val="Calibri"/>
      <family val="2"/>
    </font>
    <font>
      <b/>
      <sz val="18"/>
      <name val="Calibri"/>
      <family val="2"/>
    </font>
    <font>
      <sz val="18"/>
      <color rgb="FFFF0000"/>
      <name val="Calibri"/>
      <family val="2"/>
    </font>
    <font>
      <b/>
      <sz val="18"/>
      <color rgb="FFFF0000"/>
      <name val="Calibri"/>
      <family val="2"/>
    </font>
    <font>
      <sz val="18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</font>
    <font>
      <b/>
      <sz val="16"/>
      <color rgb="FFFF0000"/>
      <name val="Calibri"/>
      <family val="2"/>
    </font>
    <font>
      <sz val="11"/>
      <color rgb="FF9C65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CD5B5"/>
      </patternFill>
    </fill>
    <fill>
      <patternFill patternType="solid">
        <fgColor theme="6" tint="0.59999389629810485"/>
        <bgColor rgb="FFFAC090"/>
      </patternFill>
    </fill>
    <fill>
      <patternFill patternType="solid">
        <fgColor rgb="FFFFEB9C"/>
      </patternFill>
    </fill>
    <fill>
      <patternFill patternType="solid">
        <fgColor theme="6" tint="-0.249977111117893"/>
        <bgColor rgb="FFFCD5B5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76933C"/>
        <bgColor indexed="64"/>
      </patternFill>
    </fill>
  </fills>
  <borders count="100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/>
      <right/>
      <top style="medium">
        <color indexed="64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 style="thin">
        <color indexed="9"/>
      </bottom>
      <diagonal/>
    </border>
    <border>
      <left style="medium">
        <color indexed="64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 style="medium">
        <color indexed="64"/>
      </top>
      <bottom style="thin">
        <color rgb="FFFFFFFF"/>
      </bottom>
      <diagonal/>
    </border>
    <border>
      <left style="medium">
        <color indexed="64"/>
      </left>
      <right/>
      <top style="medium">
        <color indexed="64"/>
      </top>
      <bottom style="thin">
        <color rgb="FFFFFFFF"/>
      </bottom>
      <diagonal/>
    </border>
    <border>
      <left/>
      <right style="thin">
        <color theme="1"/>
      </right>
      <top/>
      <bottom/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111">
    <xf numFmtId="0" fontId="0" fillId="0" borderId="0"/>
    <xf numFmtId="0" fontId="15" fillId="0" borderId="0"/>
    <xf numFmtId="169" fontId="15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14" fillId="2" borderId="6">
      <alignment vertical="center" wrapText="1"/>
    </xf>
    <xf numFmtId="170" fontId="15" fillId="0" borderId="0" applyFont="0" applyFill="0" applyBorder="0" applyAlignment="0" applyProtection="0"/>
    <xf numFmtId="0" fontId="10" fillId="0" borderId="0"/>
    <xf numFmtId="166" fontId="13" fillId="0" borderId="1">
      <alignment vertical="center" wrapText="1"/>
    </xf>
    <xf numFmtId="0" fontId="26" fillId="0" borderId="0" applyNumberFormat="0" applyFill="0" applyBorder="0" applyAlignment="0" applyProtection="0"/>
    <xf numFmtId="0" fontId="28" fillId="0" borderId="0"/>
    <xf numFmtId="0" fontId="13" fillId="0" borderId="0"/>
    <xf numFmtId="0" fontId="8" fillId="0" borderId="0"/>
    <xf numFmtId="43" fontId="1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73" fontId="13" fillId="0" borderId="1">
      <alignment vertical="center" wrapText="1"/>
    </xf>
    <xf numFmtId="44" fontId="1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23" fillId="0" borderId="0" applyFont="0" applyFill="0" applyBorder="0" applyAlignment="0" applyProtection="0"/>
    <xf numFmtId="0" fontId="31" fillId="11" borderId="0" applyNumberFormat="0" applyBorder="0" applyAlignment="0" applyProtection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8" fillId="0" borderId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32" fillId="0" borderId="0"/>
    <xf numFmtId="169" fontId="32" fillId="0" borderId="0" applyFont="0" applyFill="0" applyBorder="0" applyAlignment="0" applyProtection="0"/>
    <xf numFmtId="0" fontId="8" fillId="0" borderId="0"/>
    <xf numFmtId="165" fontId="23" fillId="0" borderId="0" applyFill="0" applyBorder="0" applyAlignment="0" applyProtection="0"/>
    <xf numFmtId="169" fontId="15" fillId="0" borderId="0" applyFont="0" applyFill="0" applyBorder="0" applyAlignment="0" applyProtection="0"/>
    <xf numFmtId="0" fontId="15" fillId="0" borderId="0"/>
    <xf numFmtId="0" fontId="23" fillId="0" borderId="0"/>
    <xf numFmtId="164" fontId="23" fillId="0" borderId="0" applyFill="0" applyBorder="0" applyAlignment="0" applyProtection="0"/>
    <xf numFmtId="0" fontId="33" fillId="2" borderId="0" applyNumberFormat="0" applyBorder="0" applyAlignment="0" applyProtection="0"/>
    <xf numFmtId="0" fontId="23" fillId="0" borderId="0"/>
    <xf numFmtId="176" fontId="23" fillId="0" borderId="30">
      <alignment vertical="center" wrapText="1"/>
    </xf>
    <xf numFmtId="174" fontId="13" fillId="0" borderId="1">
      <alignment vertical="center" wrapText="1"/>
    </xf>
    <xf numFmtId="43" fontId="23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7" fillId="0" borderId="0"/>
    <xf numFmtId="44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7" fillId="0" borderId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7" fillId="0" borderId="0"/>
    <xf numFmtId="176" fontId="23" fillId="0" borderId="31">
      <alignment vertical="center" wrapText="1"/>
    </xf>
    <xf numFmtId="43" fontId="23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6" fontId="23" fillId="0" borderId="32">
      <alignment vertical="center" wrapText="1"/>
    </xf>
    <xf numFmtId="0" fontId="6" fillId="0" borderId="0"/>
    <xf numFmtId="44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" fillId="0" borderId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6" fillId="0" borderId="0"/>
    <xf numFmtId="176" fontId="23" fillId="0" borderId="34">
      <alignment vertical="center" wrapText="1"/>
    </xf>
    <xf numFmtId="43" fontId="23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44" fontId="1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" fillId="0" borderId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5" fillId="0" borderId="0"/>
    <xf numFmtId="176" fontId="23" fillId="0" borderId="35">
      <alignment vertical="center" wrapText="1"/>
    </xf>
    <xf numFmtId="43" fontId="23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170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4" fillId="2" borderId="0" applyNumberFormat="0" applyBorder="0" applyAlignment="0" applyProtection="0"/>
    <xf numFmtId="0" fontId="35" fillId="11" borderId="0" applyNumberFormat="0" applyBorder="0" applyAlignment="0" applyProtection="0"/>
    <xf numFmtId="0" fontId="3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" fillId="0" borderId="0"/>
    <xf numFmtId="0" fontId="13" fillId="0" borderId="0"/>
    <xf numFmtId="0" fontId="1" fillId="0" borderId="0"/>
    <xf numFmtId="0" fontId="1" fillId="0" borderId="0"/>
    <xf numFmtId="0" fontId="29" fillId="0" borderId="0" applyNumberFormat="0" applyFill="0" applyBorder="0" applyAlignment="0" applyProtection="0"/>
    <xf numFmtId="169" fontId="49" fillId="11" borderId="77">
      <alignment vertical="center" wrapText="1"/>
    </xf>
    <xf numFmtId="169" fontId="14" fillId="2" borderId="77">
      <alignment vertical="center" wrapText="1"/>
    </xf>
  </cellStyleXfs>
  <cellXfs count="1193">
    <xf numFmtId="0" fontId="0" fillId="0" borderId="0" xfId="0"/>
    <xf numFmtId="170" fontId="16" fillId="0" borderId="0" xfId="5" applyFont="1"/>
    <xf numFmtId="0" fontId="16" fillId="0" borderId="0" xfId="1" applyFont="1" applyProtection="1">
      <protection locked="0"/>
    </xf>
    <xf numFmtId="170" fontId="15" fillId="0" borderId="0" xfId="5" applyFont="1"/>
    <xf numFmtId="0" fontId="16" fillId="0" borderId="0" xfId="1" applyFont="1"/>
    <xf numFmtId="0" fontId="18" fillId="0" borderId="0" xfId="1" applyFont="1"/>
    <xf numFmtId="0" fontId="15" fillId="0" borderId="0" xfId="1" applyFont="1" applyProtection="1">
      <protection locked="0"/>
    </xf>
    <xf numFmtId="0" fontId="15" fillId="0" borderId="0" xfId="1" applyFont="1" applyFill="1"/>
    <xf numFmtId="0" fontId="15" fillId="0" borderId="0" xfId="1" applyFont="1"/>
    <xf numFmtId="0" fontId="10" fillId="0" borderId="0" xfId="6" applyBorder="1"/>
    <xf numFmtId="0" fontId="10" fillId="0" borderId="0" xfId="6"/>
    <xf numFmtId="0" fontId="12" fillId="0" borderId="0" xfId="0" applyFont="1" applyBorder="1"/>
    <xf numFmtId="0" fontId="0" fillId="0" borderId="0" xfId="0" applyFont="1"/>
    <xf numFmtId="0" fontId="12" fillId="0" borderId="0" xfId="0" applyFont="1" applyBorder="1" applyAlignment="1">
      <alignment horizontal="left"/>
    </xf>
    <xf numFmtId="0" fontId="0" fillId="0" borderId="0" xfId="0" applyAlignment="1"/>
    <xf numFmtId="0" fontId="11" fillId="0" borderId="0" xfId="0" applyFont="1" applyBorder="1"/>
    <xf numFmtId="0" fontId="0" fillId="0" borderId="0" xfId="0" applyAlignment="1">
      <alignment wrapText="1"/>
    </xf>
    <xf numFmtId="49" fontId="12" fillId="0" borderId="0" xfId="0" applyNumberFormat="1" applyFont="1" applyBorder="1" applyAlignment="1">
      <alignment horizontal="left"/>
    </xf>
    <xf numFmtId="0" fontId="11" fillId="0" borderId="4" xfId="0" applyFont="1" applyBorder="1"/>
    <xf numFmtId="0" fontId="20" fillId="0" borderId="0" xfId="1" applyFont="1" applyAlignment="1">
      <alignment horizontal="center"/>
    </xf>
    <xf numFmtId="0" fontId="21" fillId="0" borderId="0" xfId="1" applyFont="1"/>
    <xf numFmtId="0" fontId="24" fillId="0" borderId="0" xfId="6" applyFont="1" applyFill="1" applyBorder="1"/>
    <xf numFmtId="0" fontId="10" fillId="0" borderId="0" xfId="6" applyFill="1"/>
    <xf numFmtId="0" fontId="10" fillId="0" borderId="0" xfId="6" applyFill="1" applyBorder="1"/>
    <xf numFmtId="0" fontId="10" fillId="0" borderId="0" xfId="6" applyFont="1"/>
    <xf numFmtId="0" fontId="10" fillId="0" borderId="0" xfId="6" applyFont="1" applyFill="1" applyBorder="1"/>
    <xf numFmtId="0" fontId="10" fillId="0" borderId="0" xfId="6" applyFont="1" applyFill="1"/>
    <xf numFmtId="0" fontId="17" fillId="0" borderId="0" xfId="1" applyFont="1"/>
    <xf numFmtId="0" fontId="22" fillId="0" borderId="0" xfId="1" applyFont="1"/>
    <xf numFmtId="0" fontId="24" fillId="3" borderId="0" xfId="6" applyFont="1" applyFill="1" applyBorder="1" applyAlignment="1"/>
    <xf numFmtId="170" fontId="15" fillId="0" borderId="0" xfId="1" applyNumberFormat="1" applyFont="1"/>
    <xf numFmtId="0" fontId="20" fillId="0" borderId="7" xfId="1" applyFont="1" applyBorder="1" applyAlignment="1">
      <alignment horizontal="center" wrapText="1"/>
    </xf>
    <xf numFmtId="2" fontId="20" fillId="0" borderId="7" xfId="1" applyNumberFormat="1" applyFont="1" applyBorder="1" applyAlignment="1">
      <alignment horizontal="center" wrapText="1"/>
    </xf>
    <xf numFmtId="170" fontId="20" fillId="0" borderId="7" xfId="5" applyFont="1" applyBorder="1" applyAlignment="1">
      <alignment horizontal="center" wrapText="1"/>
    </xf>
    <xf numFmtId="0" fontId="25" fillId="4" borderId="8" xfId="6" applyFont="1" applyFill="1" applyBorder="1"/>
    <xf numFmtId="0" fontId="25" fillId="4" borderId="10" xfId="6" applyFont="1" applyFill="1" applyBorder="1"/>
    <xf numFmtId="0" fontId="25" fillId="4" borderId="9" xfId="6" applyFont="1" applyFill="1" applyBorder="1"/>
    <xf numFmtId="0" fontId="25" fillId="4" borderId="11" xfId="6" applyFont="1" applyFill="1" applyBorder="1"/>
    <xf numFmtId="0" fontId="10" fillId="5" borderId="13" xfId="6" quotePrefix="1" applyFill="1" applyBorder="1" applyAlignment="1">
      <alignment horizontal="left"/>
    </xf>
    <xf numFmtId="2" fontId="10" fillId="6" borderId="14" xfId="6" quotePrefix="1" applyNumberFormat="1" applyFill="1" applyBorder="1" applyAlignment="1">
      <alignment horizontal="right"/>
    </xf>
    <xf numFmtId="0" fontId="25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2" fillId="0" borderId="19" xfId="7" applyNumberFormat="1" applyFont="1" applyBorder="1" applyAlignment="1"/>
    <xf numFmtId="0" fontId="0" fillId="0" borderId="19" xfId="0" applyFont="1" applyBorder="1"/>
    <xf numFmtId="0" fontId="0" fillId="0" borderId="19" xfId="0" applyBorder="1" applyAlignment="1"/>
    <xf numFmtId="0" fontId="11" fillId="0" borderId="20" xfId="0" applyFont="1" applyBorder="1"/>
    <xf numFmtId="0" fontId="0" fillId="0" borderId="19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2" fillId="0" borderId="15" xfId="0" applyFont="1" applyBorder="1"/>
    <xf numFmtId="165" fontId="12" fillId="0" borderId="15" xfId="7" applyNumberFormat="1" applyFont="1" applyBorder="1" applyAlignment="1" applyProtection="1"/>
    <xf numFmtId="164" fontId="12" fillId="0" borderId="15" xfId="7" applyNumberFormat="1" applyFont="1" applyBorder="1" applyAlignment="1" applyProtection="1"/>
    <xf numFmtId="11" fontId="12" fillId="0" borderId="15" xfId="0" applyNumberFormat="1" applyFont="1" applyBorder="1"/>
    <xf numFmtId="167" fontId="12" fillId="0" borderId="15" xfId="7" applyNumberFormat="1" applyFont="1" applyBorder="1" applyAlignment="1" applyProtection="1"/>
    <xf numFmtId="168" fontId="12" fillId="0" borderId="15" xfId="7" applyNumberFormat="1" applyFont="1" applyBorder="1" applyAlignment="1" applyProtection="1"/>
    <xf numFmtId="0" fontId="0" fillId="0" borderId="15" xfId="0" applyBorder="1"/>
    <xf numFmtId="37" fontId="12" fillId="0" borderId="15" xfId="7" applyNumberFormat="1" applyFont="1" applyBorder="1" applyAlignment="1" applyProtection="1"/>
    <xf numFmtId="0" fontId="12" fillId="0" borderId="15" xfId="0" applyFont="1" applyBorder="1" applyAlignment="1">
      <alignment horizontal="right"/>
    </xf>
    <xf numFmtId="0" fontId="11" fillId="0" borderId="25" xfId="0" applyFont="1" applyBorder="1"/>
    <xf numFmtId="0" fontId="26" fillId="0" borderId="15" xfId="8" applyNumberFormat="1" applyBorder="1" applyAlignment="1" applyProtection="1"/>
    <xf numFmtId="0" fontId="26" fillId="0" borderId="0" xfId="8" applyBorder="1"/>
    <xf numFmtId="0" fontId="26" fillId="0" borderId="0" xfId="8"/>
    <xf numFmtId="0" fontId="10" fillId="5" borderId="13" xfId="6" quotePrefix="1" applyFont="1" applyFill="1" applyBorder="1" applyAlignment="1">
      <alignment horizontal="left"/>
    </xf>
    <xf numFmtId="0" fontId="9" fillId="5" borderId="13" xfId="6" applyFont="1" applyFill="1" applyBorder="1"/>
    <xf numFmtId="0" fontId="9" fillId="5" borderId="12" xfId="6" applyFont="1" applyFill="1" applyBorder="1"/>
    <xf numFmtId="171" fontId="12" fillId="0" borderId="15" xfId="7" applyNumberFormat="1" applyFont="1" applyBorder="1" applyAlignment="1" applyProtection="1"/>
    <xf numFmtId="0" fontId="19" fillId="7" borderId="3" xfId="1" applyFont="1" applyFill="1" applyBorder="1" applyProtection="1">
      <protection locked="0"/>
    </xf>
    <xf numFmtId="0" fontId="19" fillId="7" borderId="3" xfId="1" applyFont="1" applyFill="1" applyBorder="1" applyAlignment="1">
      <alignment horizontal="left"/>
    </xf>
    <xf numFmtId="18" fontId="19" fillId="7" borderId="3" xfId="1" applyNumberFormat="1" applyFont="1" applyFill="1" applyBorder="1" applyAlignment="1" applyProtection="1">
      <protection locked="0"/>
    </xf>
    <xf numFmtId="0" fontId="26" fillId="7" borderId="3" xfId="8" applyFill="1" applyBorder="1" applyAlignment="1">
      <alignment horizontal="left"/>
    </xf>
    <xf numFmtId="171" fontId="19" fillId="7" borderId="3" xfId="5" applyNumberFormat="1" applyFont="1" applyFill="1" applyBorder="1" applyProtection="1">
      <protection locked="0"/>
    </xf>
    <xf numFmtId="37" fontId="19" fillId="7" borderId="3" xfId="1" applyNumberFormat="1" applyFont="1" applyFill="1" applyBorder="1" applyAlignment="1" applyProtection="1">
      <alignment horizontal="center"/>
      <protection locked="0"/>
    </xf>
    <xf numFmtId="171" fontId="19" fillId="7" borderId="3" xfId="1" applyNumberFormat="1" applyFont="1" applyFill="1" applyBorder="1" applyAlignment="1" applyProtection="1">
      <alignment horizontal="center"/>
      <protection locked="0"/>
    </xf>
    <xf numFmtId="171" fontId="19" fillId="7" borderId="3" xfId="1" applyNumberFormat="1" applyFont="1" applyFill="1" applyBorder="1" applyAlignment="1">
      <alignment horizontal="right"/>
    </xf>
    <xf numFmtId="0" fontId="19" fillId="7" borderId="3" xfId="1" applyFont="1" applyFill="1" applyBorder="1" applyAlignment="1">
      <alignment horizontal="center"/>
    </xf>
    <xf numFmtId="0" fontId="19" fillId="8" borderId="3" xfId="1" applyFont="1" applyFill="1" applyBorder="1" applyProtection="1">
      <protection locked="0"/>
    </xf>
    <xf numFmtId="0" fontId="19" fillId="8" borderId="3" xfId="1" applyFont="1" applyFill="1" applyBorder="1" applyAlignment="1">
      <alignment horizontal="left"/>
    </xf>
    <xf numFmtId="18" fontId="19" fillId="8" borderId="3" xfId="1" applyNumberFormat="1" applyFont="1" applyFill="1" applyBorder="1" applyAlignment="1" applyProtection="1">
      <alignment horizontal="right"/>
      <protection locked="0"/>
    </xf>
    <xf numFmtId="18" fontId="19" fillId="8" borderId="3" xfId="1" applyNumberFormat="1" applyFont="1" applyFill="1" applyBorder="1" applyAlignment="1" applyProtection="1">
      <protection locked="0"/>
    </xf>
    <xf numFmtId="0" fontId="26" fillId="8" borderId="3" xfId="8" applyFill="1" applyBorder="1" applyAlignment="1">
      <alignment horizontal="left"/>
    </xf>
    <xf numFmtId="171" fontId="19" fillId="8" borderId="3" xfId="5" applyNumberFormat="1" applyFont="1" applyFill="1" applyBorder="1" applyProtection="1">
      <protection locked="0"/>
    </xf>
    <xf numFmtId="37" fontId="19" fillId="8" borderId="3" xfId="1" applyNumberFormat="1" applyFont="1" applyFill="1" applyBorder="1" applyAlignment="1" applyProtection="1">
      <alignment horizontal="center"/>
      <protection locked="0"/>
    </xf>
    <xf numFmtId="171" fontId="19" fillId="8" borderId="3" xfId="1" applyNumberFormat="1" applyFont="1" applyFill="1" applyBorder="1" applyAlignment="1" applyProtection="1">
      <alignment horizontal="center"/>
      <protection locked="0"/>
    </xf>
    <xf numFmtId="171" fontId="19" fillId="8" borderId="3" xfId="1" applyNumberFormat="1" applyFont="1" applyFill="1" applyBorder="1" applyAlignment="1">
      <alignment horizontal="right"/>
    </xf>
    <xf numFmtId="0" fontId="19" fillId="8" borderId="3" xfId="1" applyFont="1" applyFill="1" applyBorder="1" applyAlignment="1">
      <alignment horizontal="center"/>
    </xf>
    <xf numFmtId="11" fontId="19" fillId="8" borderId="3" xfId="1" applyNumberFormat="1" applyFont="1" applyFill="1" applyBorder="1" applyAlignment="1" applyProtection="1">
      <protection locked="0"/>
    </xf>
    <xf numFmtId="0" fontId="11" fillId="9" borderId="15" xfId="0" applyFont="1" applyFill="1" applyBorder="1"/>
    <xf numFmtId="0" fontId="11" fillId="9" borderId="15" xfId="0" applyFont="1" applyFill="1" applyBorder="1" applyAlignment="1">
      <alignment horizontal="right"/>
    </xf>
    <xf numFmtId="165" fontId="11" fillId="9" borderId="15" xfId="0" applyNumberFormat="1" applyFont="1" applyFill="1" applyBorder="1"/>
    <xf numFmtId="0" fontId="11" fillId="9" borderId="0" xfId="0" applyFont="1" applyFill="1" applyBorder="1"/>
    <xf numFmtId="0" fontId="11" fillId="9" borderId="24" xfId="0" applyFont="1" applyFill="1" applyBorder="1" applyAlignment="1">
      <alignment horizontal="right"/>
    </xf>
    <xf numFmtId="165" fontId="11" fillId="9" borderId="24" xfId="0" applyNumberFormat="1" applyFont="1" applyFill="1" applyBorder="1"/>
    <xf numFmtId="0" fontId="11" fillId="10" borderId="15" xfId="0" applyFont="1" applyFill="1" applyBorder="1"/>
    <xf numFmtId="0" fontId="11" fillId="10" borderId="15" xfId="0" applyFont="1" applyFill="1" applyBorder="1" applyAlignment="1">
      <alignment horizontal="left"/>
    </xf>
    <xf numFmtId="0" fontId="11" fillId="10" borderId="2" xfId="0" applyFont="1" applyFill="1" applyBorder="1"/>
    <xf numFmtId="165" fontId="11" fillId="10" borderId="5" xfId="0" applyNumberFormat="1" applyFont="1" applyFill="1" applyBorder="1"/>
    <xf numFmtId="0" fontId="11" fillId="10" borderId="26" xfId="0" applyFont="1" applyFill="1" applyBorder="1"/>
    <xf numFmtId="0" fontId="11" fillId="10" borderId="5" xfId="0" applyFont="1" applyFill="1" applyBorder="1"/>
    <xf numFmtId="0" fontId="11" fillId="10" borderId="5" xfId="0" applyFont="1" applyFill="1" applyBorder="1" applyAlignment="1">
      <alignment horizontal="right"/>
    </xf>
    <xf numFmtId="0" fontId="26" fillId="0" borderId="15" xfId="8" applyBorder="1"/>
    <xf numFmtId="11" fontId="0" fillId="0" borderId="0" xfId="0" applyNumberFormat="1"/>
    <xf numFmtId="0" fontId="12" fillId="0" borderId="27" xfId="0" applyFont="1" applyBorder="1"/>
    <xf numFmtId="0" fontId="12" fillId="0" borderId="15" xfId="7" applyNumberFormat="1" applyFont="1" applyBorder="1" applyAlignment="1" applyProtection="1">
      <alignment vertical="center" wrapText="1"/>
    </xf>
    <xf numFmtId="179" fontId="12" fillId="0" borderId="15" xfId="0" applyNumberFormat="1" applyFont="1" applyBorder="1"/>
    <xf numFmtId="2" fontId="12" fillId="0" borderId="15" xfId="7" applyNumberFormat="1" applyFont="1" applyBorder="1" applyAlignment="1" applyProtection="1"/>
    <xf numFmtId="11" fontId="12" fillId="0" borderId="15" xfId="7" applyNumberFormat="1" applyFont="1" applyBorder="1" applyAlignment="1" applyProtection="1"/>
    <xf numFmtId="37" fontId="12" fillId="0" borderId="15" xfId="0" applyNumberFormat="1" applyFont="1" applyBorder="1"/>
    <xf numFmtId="165" fontId="11" fillId="0" borderId="0" xfId="0" applyNumberFormat="1" applyFont="1" applyFill="1" applyBorder="1" applyAlignment="1"/>
    <xf numFmtId="0" fontId="11" fillId="0" borderId="0" xfId="0" applyFont="1" applyFill="1" applyBorder="1" applyAlignment="1"/>
    <xf numFmtId="0" fontId="11" fillId="10" borderId="36" xfId="0" applyFont="1" applyFill="1" applyBorder="1"/>
    <xf numFmtId="0" fontId="11" fillId="10" borderId="37" xfId="0" applyFont="1" applyFill="1" applyBorder="1"/>
    <xf numFmtId="0" fontId="11" fillId="10" borderId="36" xfId="0" applyFont="1" applyFill="1" applyBorder="1" applyAlignment="1">
      <alignment horizontal="right"/>
    </xf>
    <xf numFmtId="165" fontId="12" fillId="0" borderId="36" xfId="7" applyNumberFormat="1" applyFont="1" applyBorder="1" applyAlignment="1" applyProtection="1"/>
    <xf numFmtId="2" fontId="12" fillId="0" borderId="36" xfId="7" applyNumberFormat="1" applyFont="1" applyBorder="1" applyAlignment="1" applyProtection="1"/>
    <xf numFmtId="3" fontId="0" fillId="0" borderId="36" xfId="0" applyNumberFormat="1" applyBorder="1" applyAlignment="1"/>
    <xf numFmtId="180" fontId="12" fillId="0" borderId="36" xfId="7" applyNumberFormat="1" applyFont="1" applyBorder="1" applyAlignment="1" applyProtection="1"/>
    <xf numFmtId="172" fontId="12" fillId="0" borderId="36" xfId="7" applyNumberFormat="1" applyFont="1" applyBorder="1" applyAlignment="1" applyProtection="1"/>
    <xf numFmtId="11" fontId="12" fillId="0" borderId="36" xfId="0" applyNumberFormat="1" applyFont="1" applyBorder="1" applyAlignment="1"/>
    <xf numFmtId="164" fontId="12" fillId="0" borderId="36" xfId="7" applyNumberFormat="1" applyFont="1" applyBorder="1" applyAlignment="1" applyProtection="1"/>
    <xf numFmtId="0" fontId="12" fillId="0" borderId="36" xfId="0" applyFont="1" applyBorder="1" applyAlignment="1"/>
    <xf numFmtId="0" fontId="12" fillId="0" borderId="36" xfId="0" applyFont="1" applyBorder="1" applyAlignment="1" applyProtection="1"/>
    <xf numFmtId="0" fontId="12" fillId="0" borderId="37" xfId="0" applyFont="1" applyBorder="1" applyAlignment="1"/>
    <xf numFmtId="0" fontId="26" fillId="0" borderId="16" xfId="8" applyBorder="1"/>
    <xf numFmtId="165" fontId="11" fillId="0" borderId="0" xfId="0" applyNumberFormat="1" applyFont="1" applyFill="1" applyBorder="1"/>
    <xf numFmtId="0" fontId="11" fillId="0" borderId="0" xfId="0" applyFont="1" applyFill="1" applyBorder="1" applyAlignment="1">
      <alignment horizontal="right"/>
    </xf>
    <xf numFmtId="181" fontId="0" fillId="0" borderId="36" xfId="0" applyNumberFormat="1" applyBorder="1" applyAlignment="1"/>
    <xf numFmtId="0" fontId="19" fillId="8" borderId="36" xfId="1" applyFont="1" applyFill="1" applyBorder="1" applyAlignment="1">
      <alignment horizontal="center"/>
    </xf>
    <xf numFmtId="171" fontId="19" fillId="8" borderId="36" xfId="1" applyNumberFormat="1" applyFont="1" applyFill="1" applyBorder="1" applyAlignment="1">
      <alignment horizontal="right"/>
    </xf>
    <xf numFmtId="171" fontId="19" fillId="8" borderId="36" xfId="1" applyNumberFormat="1" applyFont="1" applyFill="1" applyBorder="1" applyAlignment="1" applyProtection="1">
      <alignment horizontal="center"/>
      <protection locked="0"/>
    </xf>
    <xf numFmtId="37" fontId="19" fillId="8" borderId="36" xfId="1" applyNumberFormat="1" applyFont="1" applyFill="1" applyBorder="1" applyAlignment="1" applyProtection="1">
      <alignment horizontal="center"/>
      <protection locked="0"/>
    </xf>
    <xf numFmtId="171" fontId="19" fillId="8" borderId="36" xfId="5" applyNumberFormat="1" applyFont="1" applyFill="1" applyBorder="1" applyProtection="1">
      <protection locked="0"/>
    </xf>
    <xf numFmtId="18" fontId="19" fillId="8" borderId="36" xfId="1" applyNumberFormat="1" applyFont="1" applyFill="1" applyBorder="1" applyAlignment="1" applyProtection="1">
      <protection locked="0"/>
    </xf>
    <xf numFmtId="0" fontId="26" fillId="8" borderId="36" xfId="8" applyFill="1" applyBorder="1" applyAlignment="1">
      <alignment horizontal="left"/>
    </xf>
    <xf numFmtId="18" fontId="19" fillId="8" borderId="36" xfId="1" applyNumberFormat="1" applyFont="1" applyFill="1" applyBorder="1" applyAlignment="1" applyProtection="1">
      <alignment horizontal="right"/>
      <protection locked="0"/>
    </xf>
    <xf numFmtId="0" fontId="19" fillId="8" borderId="36" xfId="1" applyFont="1" applyFill="1" applyBorder="1" applyAlignment="1">
      <alignment horizontal="left"/>
    </xf>
    <xf numFmtId="0" fontId="19" fillId="8" borderId="36" xfId="1" applyFont="1" applyFill="1" applyBorder="1" applyProtection="1">
      <protection locked="0"/>
    </xf>
    <xf numFmtId="11" fontId="19" fillId="8" borderId="36" xfId="1" applyNumberFormat="1" applyFont="1" applyFill="1" applyBorder="1" applyAlignment="1" applyProtection="1">
      <protection locked="0"/>
    </xf>
    <xf numFmtId="0" fontId="19" fillId="7" borderId="36" xfId="1" applyFont="1" applyFill="1" applyBorder="1" applyAlignment="1">
      <alignment horizontal="center"/>
    </xf>
    <xf numFmtId="171" fontId="19" fillId="7" borderId="36" xfId="1" applyNumberFormat="1" applyFont="1" applyFill="1" applyBorder="1" applyAlignment="1">
      <alignment horizontal="right"/>
    </xf>
    <xf numFmtId="171" fontId="19" fillId="7" borderId="36" xfId="1" applyNumberFormat="1" applyFont="1" applyFill="1" applyBorder="1" applyAlignment="1" applyProtection="1">
      <alignment horizontal="center"/>
      <protection locked="0"/>
    </xf>
    <xf numFmtId="37" fontId="19" fillId="7" borderId="36" xfId="1" applyNumberFormat="1" applyFont="1" applyFill="1" applyBorder="1" applyAlignment="1" applyProtection="1">
      <alignment horizontal="center"/>
      <protection locked="0"/>
    </xf>
    <xf numFmtId="171" fontId="19" fillId="7" borderId="36" xfId="5" applyNumberFormat="1" applyFont="1" applyFill="1" applyBorder="1" applyProtection="1">
      <protection locked="0"/>
    </xf>
    <xf numFmtId="18" fontId="19" fillId="7" borderId="36" xfId="1" applyNumberFormat="1" applyFont="1" applyFill="1" applyBorder="1" applyAlignment="1" applyProtection="1">
      <protection locked="0"/>
    </xf>
    <xf numFmtId="0" fontId="26" fillId="7" borderId="36" xfId="8" applyFill="1" applyBorder="1" applyAlignment="1">
      <alignment horizontal="left"/>
    </xf>
    <xf numFmtId="0" fontId="19" fillId="7" borderId="36" xfId="1" applyFont="1" applyFill="1" applyBorder="1" applyProtection="1">
      <protection locked="0"/>
    </xf>
    <xf numFmtId="0" fontId="0" fillId="0" borderId="15" xfId="0" applyBorder="1" applyAlignment="1"/>
    <xf numFmtId="180" fontId="12" fillId="0" borderId="15" xfId="7" applyNumberFormat="1" applyFont="1" applyBorder="1" applyAlignment="1" applyProtection="1"/>
    <xf numFmtId="182" fontId="12" fillId="0" borderId="15" xfId="7" applyNumberFormat="1" applyFont="1" applyBorder="1" applyAlignment="1" applyProtection="1"/>
    <xf numFmtId="11" fontId="12" fillId="0" borderId="15" xfId="0" applyNumberFormat="1" applyFont="1" applyBorder="1" applyAlignment="1"/>
    <xf numFmtId="0" fontId="12" fillId="0" borderId="15" xfId="0" applyFont="1" applyBorder="1" applyAlignment="1"/>
    <xf numFmtId="0" fontId="12" fillId="0" borderId="15" xfId="0" applyFont="1" applyBorder="1" applyAlignment="1">
      <alignment horizontal="left" wrapText="1"/>
    </xf>
    <xf numFmtId="182" fontId="12" fillId="0" borderId="36" xfId="7" applyNumberFormat="1" applyFont="1" applyBorder="1" applyAlignment="1" applyProtection="1"/>
    <xf numFmtId="183" fontId="12" fillId="0" borderId="36" xfId="7" applyNumberFormat="1" applyFont="1" applyBorder="1" applyAlignment="1" applyProtection="1"/>
    <xf numFmtId="11" fontId="12" fillId="0" borderId="36" xfId="7" applyNumberFormat="1" applyFont="1" applyBorder="1" applyAlignment="1" applyProtection="1"/>
    <xf numFmtId="0" fontId="12" fillId="0" borderId="36" xfId="0" applyNumberFormat="1" applyFont="1" applyBorder="1" applyAlignment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165" fontId="11" fillId="12" borderId="24" xfId="0" applyNumberFormat="1" applyFont="1" applyFill="1" applyBorder="1"/>
    <xf numFmtId="0" fontId="11" fillId="12" borderId="24" xfId="0" applyFont="1" applyFill="1" applyBorder="1" applyAlignment="1">
      <alignment horizontal="right"/>
    </xf>
    <xf numFmtId="0" fontId="11" fillId="0" borderId="42" xfId="0" applyFont="1" applyBorder="1"/>
    <xf numFmtId="0" fontId="12" fillId="0" borderId="43" xfId="0" applyFont="1" applyBorder="1"/>
    <xf numFmtId="0" fontId="11" fillId="12" borderId="15" xfId="0" applyFont="1" applyFill="1" applyBorder="1"/>
    <xf numFmtId="0" fontId="11" fillId="12" borderId="43" xfId="0" applyFont="1" applyFill="1" applyBorder="1"/>
    <xf numFmtId="0" fontId="0" fillId="0" borderId="42" xfId="0" applyBorder="1"/>
    <xf numFmtId="165" fontId="11" fillId="12" borderId="15" xfId="0" applyNumberFormat="1" applyFont="1" applyFill="1" applyBorder="1"/>
    <xf numFmtId="0" fontId="11" fillId="12" borderId="15" xfId="0" applyFont="1" applyFill="1" applyBorder="1" applyAlignment="1">
      <alignment horizontal="right"/>
    </xf>
    <xf numFmtId="0" fontId="27" fillId="0" borderId="0" xfId="0" applyFont="1" applyFill="1" applyBorder="1"/>
    <xf numFmtId="0" fontId="34" fillId="0" borderId="0" xfId="0" applyFont="1" applyFill="1" applyBorder="1"/>
    <xf numFmtId="169" fontId="27" fillId="0" borderId="44" xfId="3" applyFont="1" applyFill="1" applyBorder="1"/>
    <xf numFmtId="37" fontId="27" fillId="0" borderId="44" xfId="3" applyNumberFormat="1" applyFont="1" applyFill="1" applyBorder="1"/>
    <xf numFmtId="0" fontId="27" fillId="0" borderId="44" xfId="0" applyNumberFormat="1" applyFont="1" applyFill="1" applyBorder="1"/>
    <xf numFmtId="0" fontId="27" fillId="0" borderId="44" xfId="0" applyFont="1" applyFill="1" applyBorder="1"/>
    <xf numFmtId="39" fontId="27" fillId="0" borderId="44" xfId="3" applyNumberFormat="1" applyFont="1" applyFill="1" applyBorder="1"/>
    <xf numFmtId="171" fontId="27" fillId="0" borderId="44" xfId="0" applyNumberFormat="1" applyFont="1" applyFill="1" applyBorder="1"/>
    <xf numFmtId="0" fontId="27" fillId="0" borderId="45" xfId="0" applyFont="1" applyFill="1" applyBorder="1"/>
    <xf numFmtId="0" fontId="0" fillId="0" borderId="41" xfId="0" applyFont="1" applyBorder="1"/>
    <xf numFmtId="0" fontId="23" fillId="0" borderId="44" xfId="9" applyFont="1" applyFill="1" applyBorder="1" applyAlignment="1">
      <alignment wrapText="1"/>
    </xf>
    <xf numFmtId="0" fontId="0" fillId="0" borderId="41" xfId="0" applyBorder="1" applyAlignment="1">
      <alignment wrapText="1"/>
    </xf>
    <xf numFmtId="169" fontId="27" fillId="0" borderId="44" xfId="3" applyNumberFormat="1" applyFont="1" applyFill="1" applyBorder="1"/>
    <xf numFmtId="0" fontId="27" fillId="0" borderId="44" xfId="90" applyNumberFormat="1" applyFont="1" applyFill="1" applyBorder="1"/>
    <xf numFmtId="11" fontId="27" fillId="0" borderId="44" xfId="90" applyNumberFormat="1" applyFont="1" applyFill="1" applyBorder="1"/>
    <xf numFmtId="170" fontId="27" fillId="0" borderId="44" xfId="90" applyFont="1" applyFill="1" applyBorder="1"/>
    <xf numFmtId="178" fontId="27" fillId="0" borderId="44" xfId="90" applyNumberFormat="1" applyFont="1" applyFill="1" applyBorder="1"/>
    <xf numFmtId="2" fontId="27" fillId="0" borderId="44" xfId="3" applyNumberFormat="1" applyFont="1" applyFill="1" applyBorder="1"/>
    <xf numFmtId="0" fontId="27" fillId="0" borderId="44" xfId="0" applyFont="1" applyFill="1" applyBorder="1" applyAlignment="1" applyProtection="1">
      <alignment vertical="center" wrapText="1"/>
    </xf>
    <xf numFmtId="0" fontId="0" fillId="0" borderId="41" xfId="0" applyBorder="1" applyAlignment="1"/>
    <xf numFmtId="11" fontId="27" fillId="0" borderId="44" xfId="0" applyNumberFormat="1" applyFont="1" applyFill="1" applyBorder="1"/>
    <xf numFmtId="0" fontId="12" fillId="0" borderId="41" xfId="7" applyNumberFormat="1" applyFont="1" applyBorder="1" applyAlignment="1"/>
    <xf numFmtId="171" fontId="27" fillId="0" borderId="44" xfId="3" applyNumberFormat="1" applyFont="1" applyFill="1" applyBorder="1"/>
    <xf numFmtId="37" fontId="27" fillId="0" borderId="44" xfId="0" applyNumberFormat="1" applyFont="1" applyFill="1" applyBorder="1"/>
    <xf numFmtId="0" fontId="26" fillId="0" borderId="44" xfId="8" applyBorder="1"/>
    <xf numFmtId="0" fontId="11" fillId="12" borderId="33" xfId="0" applyFont="1" applyFill="1" applyBorder="1"/>
    <xf numFmtId="0" fontId="11" fillId="12" borderId="0" xfId="0" applyFont="1" applyFill="1" applyBorder="1"/>
    <xf numFmtId="0" fontId="27" fillId="0" borderId="0" xfId="0" applyFont="1" applyFill="1" applyBorder="1" applyAlignment="1">
      <alignment horizontal="left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171" fontId="30" fillId="0" borderId="44" xfId="0" applyNumberFormat="1" applyFont="1" applyBorder="1"/>
    <xf numFmtId="37" fontId="30" fillId="0" borderId="44" xfId="0" applyNumberFormat="1" applyFont="1" applyBorder="1"/>
    <xf numFmtId="0" fontId="30" fillId="0" borderId="44" xfId="0" applyFont="1" applyBorder="1"/>
    <xf numFmtId="39" fontId="30" fillId="0" borderId="44" xfId="0" applyNumberFormat="1" applyFont="1" applyBorder="1"/>
    <xf numFmtId="171" fontId="30" fillId="0" borderId="44" xfId="3" applyNumberFormat="1" applyFont="1" applyBorder="1"/>
    <xf numFmtId="0" fontId="11" fillId="10" borderId="44" xfId="0" applyFont="1" applyFill="1" applyBorder="1"/>
    <xf numFmtId="0" fontId="11" fillId="10" borderId="49" xfId="0" applyFont="1" applyFill="1" applyBorder="1"/>
    <xf numFmtId="171" fontId="30" fillId="0" borderId="29" xfId="0" applyNumberFormat="1" applyFont="1" applyBorder="1"/>
    <xf numFmtId="0" fontId="30" fillId="0" borderId="29" xfId="0" applyFont="1" applyBorder="1"/>
    <xf numFmtId="169" fontId="30" fillId="0" borderId="29" xfId="0" applyNumberFormat="1" applyFont="1" applyBorder="1"/>
    <xf numFmtId="0" fontId="30" fillId="0" borderId="5" xfId="0" applyFont="1" applyBorder="1"/>
    <xf numFmtId="0" fontId="11" fillId="10" borderId="44" xfId="0" applyFont="1" applyFill="1" applyBorder="1" applyAlignment="1">
      <alignment horizontal="right"/>
    </xf>
    <xf numFmtId="0" fontId="30" fillId="0" borderId="29" xfId="0" applyNumberFormat="1" applyFont="1" applyBorder="1"/>
    <xf numFmtId="175" fontId="30" fillId="0" borderId="29" xfId="0" applyNumberFormat="1" applyFont="1" applyBorder="1"/>
    <xf numFmtId="178" fontId="30" fillId="0" borderId="29" xfId="0" applyNumberFormat="1" applyFont="1" applyBorder="1"/>
    <xf numFmtId="2" fontId="30" fillId="0" borderId="29" xfId="0" applyNumberFormat="1" applyFont="1" applyBorder="1"/>
    <xf numFmtId="170" fontId="30" fillId="0" borderId="29" xfId="0" applyNumberFormat="1" applyFont="1" applyBorder="1"/>
    <xf numFmtId="11" fontId="30" fillId="0" borderId="29" xfId="0" applyNumberFormat="1" applyFont="1" applyBorder="1"/>
    <xf numFmtId="172" fontId="30" fillId="0" borderId="29" xfId="0" applyNumberFormat="1" applyFont="1" applyBorder="1"/>
    <xf numFmtId="0" fontId="30" fillId="0" borderId="0" xfId="0" applyFont="1"/>
    <xf numFmtId="0" fontId="30" fillId="0" borderId="0" xfId="0" applyFont="1" applyAlignment="1">
      <alignment horizontal="left"/>
    </xf>
    <xf numFmtId="11" fontId="0" fillId="0" borderId="0" xfId="0" applyNumberFormat="1" applyBorder="1"/>
    <xf numFmtId="184" fontId="0" fillId="0" borderId="0" xfId="0" applyNumberFormat="1" applyBorder="1"/>
    <xf numFmtId="171" fontId="27" fillId="0" borderId="44" xfId="7" applyNumberFormat="1" applyFont="1" applyBorder="1" applyAlignment="1" applyProtection="1"/>
    <xf numFmtId="0" fontId="13" fillId="0" borderId="44" xfId="10" applyBorder="1"/>
    <xf numFmtId="2" fontId="27" fillId="0" borderId="44" xfId="10" applyNumberFormat="1" applyFont="1" applyFill="1" applyBorder="1"/>
    <xf numFmtId="0" fontId="27" fillId="0" borderId="44" xfId="10" applyFont="1" applyFill="1" applyBorder="1" applyAlignment="1">
      <alignment horizontal="left" wrapText="1" indent="1"/>
    </xf>
    <xf numFmtId="171" fontId="27" fillId="0" borderId="44" xfId="15" applyNumberFormat="1" applyFont="1" applyFill="1" applyBorder="1" applyAlignment="1">
      <alignment horizontal="left" wrapText="1"/>
    </xf>
    <xf numFmtId="0" fontId="30" fillId="0" borderId="45" xfId="0" applyFont="1" applyBorder="1"/>
    <xf numFmtId="0" fontId="27" fillId="0" borderId="44" xfId="10" applyFont="1" applyFill="1" applyBorder="1"/>
    <xf numFmtId="0" fontId="27" fillId="0" borderId="44" xfId="10" applyFont="1" applyFill="1" applyBorder="1" applyAlignment="1">
      <alignment horizontal="center" wrapText="1"/>
    </xf>
    <xf numFmtId="171" fontId="27" fillId="0" borderId="44" xfId="18" applyNumberFormat="1" applyFont="1" applyFill="1" applyBorder="1" applyAlignment="1">
      <alignment horizontal="left"/>
    </xf>
    <xf numFmtId="0" fontId="27" fillId="0" borderId="44" xfId="10" applyNumberFormat="1" applyFont="1" applyFill="1" applyBorder="1"/>
    <xf numFmtId="0" fontId="27" fillId="0" borderId="44" xfId="9" applyFont="1" applyFill="1" applyBorder="1" applyAlignment="1">
      <alignment wrapText="1"/>
    </xf>
    <xf numFmtId="0" fontId="11" fillId="10" borderId="45" xfId="0" applyFont="1" applyFill="1" applyBorder="1"/>
    <xf numFmtId="165" fontId="12" fillId="0" borderId="5" xfId="7" applyNumberFormat="1" applyFont="1" applyBorder="1" applyAlignment="1" applyProtection="1"/>
    <xf numFmtId="2" fontId="12" fillId="0" borderId="44" xfId="7" applyNumberFormat="1" applyFont="1" applyBorder="1" applyAlignment="1" applyProtection="1"/>
    <xf numFmtId="3" fontId="0" fillId="0" borderId="0" xfId="0" applyNumberFormat="1" applyBorder="1" applyAlignment="1"/>
    <xf numFmtId="180" fontId="12" fillId="0" borderId="0" xfId="7" applyNumberFormat="1" applyFont="1" applyBorder="1" applyAlignment="1" applyProtection="1"/>
    <xf numFmtId="172" fontId="12" fillId="0" borderId="0" xfId="7" applyNumberFormat="1" applyFont="1" applyBorder="1" applyAlignment="1" applyProtection="1"/>
    <xf numFmtId="11" fontId="12" fillId="0" borderId="0" xfId="0" applyNumberFormat="1" applyFont="1" applyBorder="1" applyAlignment="1"/>
    <xf numFmtId="164" fontId="12" fillId="0" borderId="0" xfId="7" applyNumberFormat="1" applyFont="1" applyBorder="1" applyAlignment="1" applyProtection="1"/>
    <xf numFmtId="0" fontId="12" fillId="0" borderId="0" xfId="0" applyFont="1" applyBorder="1" applyAlignment="1"/>
    <xf numFmtId="165" fontId="12" fillId="0" borderId="0" xfId="7" applyNumberFormat="1" applyFont="1" applyBorder="1" applyAlignment="1" applyProtection="1"/>
    <xf numFmtId="0" fontId="12" fillId="0" borderId="0" xfId="0" applyFont="1" applyBorder="1" applyAlignment="1" applyProtection="1"/>
    <xf numFmtId="0" fontId="12" fillId="0" borderId="42" xfId="0" applyFont="1" applyBorder="1" applyAlignment="1"/>
    <xf numFmtId="0" fontId="27" fillId="0" borderId="44" xfId="0" applyFont="1" applyFill="1" applyBorder="1" applyAlignment="1" applyProtection="1">
      <alignment wrapText="1"/>
    </xf>
    <xf numFmtId="0" fontId="30" fillId="0" borderId="50" xfId="0" applyFont="1" applyBorder="1"/>
    <xf numFmtId="0" fontId="11" fillId="10" borderId="50" xfId="0" applyFont="1" applyFill="1" applyBorder="1"/>
    <xf numFmtId="0" fontId="11" fillId="0" borderId="51" xfId="0" applyFont="1" applyBorder="1"/>
    <xf numFmtId="0" fontId="11" fillId="10" borderId="43" xfId="0" applyFont="1" applyFill="1" applyBorder="1"/>
    <xf numFmtId="0" fontId="30" fillId="0" borderId="0" xfId="0" applyFont="1" applyBorder="1"/>
    <xf numFmtId="0" fontId="11" fillId="10" borderId="52" xfId="0" applyFont="1" applyFill="1" applyBorder="1"/>
    <xf numFmtId="0" fontId="30" fillId="0" borderId="0" xfId="0" applyFont="1" applyBorder="1" applyAlignment="1">
      <alignment horizontal="left"/>
    </xf>
    <xf numFmtId="0" fontId="26" fillId="10" borderId="15" xfId="8" applyFill="1" applyBorder="1"/>
    <xf numFmtId="0" fontId="11" fillId="10" borderId="53" xfId="0" applyFont="1" applyFill="1" applyBorder="1"/>
    <xf numFmtId="165" fontId="27" fillId="0" borderId="44" xfId="7" applyNumberFormat="1" applyFont="1" applyBorder="1" applyAlignment="1" applyProtection="1"/>
    <xf numFmtId="0" fontId="27" fillId="0" borderId="44" xfId="10" applyNumberFormat="1" applyFont="1" applyFill="1" applyBorder="1" applyAlignment="1">
      <alignment horizontal="left" wrapText="1"/>
    </xf>
    <xf numFmtId="0" fontId="27" fillId="0" borderId="44" xfId="10" applyFont="1" applyBorder="1"/>
    <xf numFmtId="175" fontId="27" fillId="0" borderId="44" xfId="90" applyNumberFormat="1" applyFont="1" applyFill="1" applyBorder="1"/>
    <xf numFmtId="11" fontId="27" fillId="0" borderId="44" xfId="22" applyNumberFormat="1" applyFont="1" applyFill="1" applyBorder="1"/>
    <xf numFmtId="11" fontId="27" fillId="0" borderId="44" xfId="10" applyNumberFormat="1" applyFont="1" applyFill="1" applyBorder="1" applyAlignment="1">
      <alignment horizontal="left" wrapText="1"/>
    </xf>
    <xf numFmtId="172" fontId="27" fillId="0" borderId="44" xfId="10" applyNumberFormat="1" applyFont="1" applyFill="1" applyBorder="1"/>
    <xf numFmtId="0" fontId="27" fillId="0" borderId="44" xfId="10" applyFont="1" applyFill="1" applyBorder="1" applyAlignment="1">
      <alignment horizontal="left" wrapText="1"/>
    </xf>
    <xf numFmtId="0" fontId="27" fillId="0" borderId="44" xfId="10" applyFont="1" applyFill="1" applyBorder="1" applyAlignment="1" applyProtection="1">
      <alignment wrapText="1"/>
    </xf>
    <xf numFmtId="0" fontId="27" fillId="0" borderId="45" xfId="10" applyFont="1" applyFill="1" applyBorder="1"/>
    <xf numFmtId="0" fontId="26" fillId="0" borderId="0" xfId="8" quotePrefix="1" applyFill="1"/>
    <xf numFmtId="185" fontId="0" fillId="0" borderId="0" xfId="0" applyNumberFormat="1" applyBorder="1"/>
    <xf numFmtId="169" fontId="27" fillId="0" borderId="44" xfId="18" applyFont="1" applyFill="1" applyBorder="1"/>
    <xf numFmtId="0" fontId="27" fillId="0" borderId="54" xfId="9" applyFont="1" applyFill="1" applyBorder="1" applyAlignment="1">
      <alignment wrapText="1"/>
    </xf>
    <xf numFmtId="37" fontId="27" fillId="0" borderId="44" xfId="18" applyNumberFormat="1" applyFont="1" applyFill="1" applyBorder="1"/>
    <xf numFmtId="39" fontId="27" fillId="0" borderId="44" xfId="18" applyNumberFormat="1" applyFont="1" applyFill="1" applyBorder="1"/>
    <xf numFmtId="173" fontId="13" fillId="0" borderId="44" xfId="14" applyBorder="1">
      <alignment vertical="center" wrapText="1"/>
    </xf>
    <xf numFmtId="169" fontId="27" fillId="0" borderId="44" xfId="18" applyNumberFormat="1" applyFont="1" applyFill="1" applyBorder="1"/>
    <xf numFmtId="171" fontId="27" fillId="0" borderId="44" xfId="18" applyNumberFormat="1" applyFont="1" applyFill="1" applyBorder="1"/>
    <xf numFmtId="169" fontId="27" fillId="0" borderId="55" xfId="18" applyFont="1" applyFill="1" applyBorder="1"/>
    <xf numFmtId="0" fontId="26" fillId="0" borderId="44" xfId="8" applyFill="1" applyBorder="1"/>
    <xf numFmtId="0" fontId="27" fillId="0" borderId="56" xfId="0" applyFont="1" applyFill="1" applyBorder="1"/>
    <xf numFmtId="0" fontId="26" fillId="0" borderId="0" xfId="8" applyFill="1"/>
    <xf numFmtId="0" fontId="11" fillId="12" borderId="28" xfId="0" applyFont="1" applyFill="1" applyBorder="1"/>
    <xf numFmtId="0" fontId="11" fillId="12" borderId="44" xfId="0" applyFont="1" applyFill="1" applyBorder="1"/>
    <xf numFmtId="0" fontId="11" fillId="12" borderId="57" xfId="0" applyFont="1" applyFill="1" applyBorder="1"/>
    <xf numFmtId="184" fontId="0" fillId="0" borderId="0" xfId="0" applyNumberFormat="1"/>
    <xf numFmtId="185" fontId="0" fillId="0" borderId="0" xfId="0" applyNumberFormat="1"/>
    <xf numFmtId="165" fontId="11" fillId="10" borderId="44" xfId="0" applyNumberFormat="1" applyFont="1" applyFill="1" applyBorder="1"/>
    <xf numFmtId="165" fontId="27" fillId="0" borderId="58" xfId="7" applyNumberFormat="1" applyFont="1" applyBorder="1" applyAlignment="1" applyProtection="1"/>
    <xf numFmtId="0" fontId="0" fillId="0" borderId="44" xfId="0" applyBorder="1"/>
    <xf numFmtId="169" fontId="27" fillId="0" borderId="44" xfId="3" applyFont="1" applyFill="1" applyBorder="1" applyAlignment="1">
      <alignment wrapText="1"/>
    </xf>
    <xf numFmtId="0" fontId="27" fillId="0" borderId="44" xfId="10" applyFont="1" applyBorder="1" applyAlignment="1">
      <alignment wrapText="1"/>
    </xf>
    <xf numFmtId="0" fontId="0" fillId="0" borderId="59" xfId="0" applyBorder="1"/>
    <xf numFmtId="0" fontId="23" fillId="0" borderId="0" xfId="9" applyFont="1" applyFill="1" applyBorder="1" applyAlignment="1">
      <alignment wrapText="1"/>
    </xf>
    <xf numFmtId="2" fontId="27" fillId="0" borderId="58" xfId="10" applyNumberFormat="1" applyFont="1" applyFill="1" applyBorder="1"/>
    <xf numFmtId="0" fontId="23" fillId="0" borderId="59" xfId="9" applyFont="1" applyFill="1" applyBorder="1" applyAlignment="1">
      <alignment wrapText="1"/>
    </xf>
    <xf numFmtId="0" fontId="27" fillId="0" borderId="58" xfId="10" applyNumberFormat="1" applyFont="1" applyFill="1" applyBorder="1" applyAlignment="1">
      <alignment horizontal="left" wrapText="1"/>
    </xf>
    <xf numFmtId="0" fontId="27" fillId="0" borderId="60" xfId="10" applyFont="1" applyFill="1" applyBorder="1"/>
    <xf numFmtId="0" fontId="27" fillId="0" borderId="45" xfId="10" applyFont="1" applyBorder="1" applyAlignment="1">
      <alignment wrapText="1"/>
    </xf>
    <xf numFmtId="0" fontId="0" fillId="0" borderId="54" xfId="0" applyBorder="1"/>
    <xf numFmtId="0" fontId="23" fillId="0" borderId="54" xfId="9" applyFont="1" applyFill="1" applyBorder="1" applyAlignment="1">
      <alignment wrapText="1"/>
    </xf>
    <xf numFmtId="0" fontId="0" fillId="0" borderId="0" xfId="0" applyFill="1"/>
    <xf numFmtId="0" fontId="26" fillId="0" borderId="0" xfId="8" applyFill="1" applyBorder="1"/>
    <xf numFmtId="0" fontId="0" fillId="0" borderId="0" xfId="0" applyFill="1" applyBorder="1"/>
    <xf numFmtId="0" fontId="27" fillId="0" borderId="44" xfId="10" applyFont="1" applyFill="1" applyBorder="1" applyAlignment="1">
      <alignment wrapText="1"/>
    </xf>
    <xf numFmtId="0" fontId="27" fillId="0" borderId="44" xfId="10" applyFont="1" applyFill="1" applyBorder="1" applyAlignment="1">
      <alignment horizontal="right" wrapText="1" indent="1"/>
    </xf>
    <xf numFmtId="171" fontId="27" fillId="0" borderId="44" xfId="15" applyNumberFormat="1" applyFont="1" applyFill="1" applyBorder="1" applyAlignment="1">
      <alignment horizontal="center" wrapText="1"/>
    </xf>
    <xf numFmtId="0" fontId="27" fillId="0" borderId="45" xfId="10" applyFont="1" applyFill="1" applyBorder="1" applyAlignment="1">
      <alignment wrapText="1"/>
    </xf>
    <xf numFmtId="174" fontId="27" fillId="0" borderId="44" xfId="10" applyNumberFormat="1" applyFont="1" applyFill="1" applyBorder="1" applyAlignment="1">
      <alignment wrapText="1"/>
    </xf>
    <xf numFmtId="174" fontId="27" fillId="0" borderId="44" xfId="10" applyNumberFormat="1" applyFont="1" applyFill="1" applyBorder="1" applyAlignment="1">
      <alignment horizontal="right" wrapText="1" indent="1"/>
    </xf>
    <xf numFmtId="165" fontId="12" fillId="0" borderId="44" xfId="7" applyNumberFormat="1" applyFont="1" applyBorder="1" applyAlignment="1" applyProtection="1"/>
    <xf numFmtId="0" fontId="11" fillId="12" borderId="27" xfId="0" applyFont="1" applyFill="1" applyBorder="1"/>
    <xf numFmtId="165" fontId="27" fillId="0" borderId="15" xfId="7" applyNumberFormat="1" applyFont="1" applyBorder="1" applyAlignment="1" applyProtection="1"/>
    <xf numFmtId="37" fontId="27" fillId="0" borderId="44" xfId="15" applyNumberFormat="1" applyFont="1" applyFill="1" applyBorder="1" applyAlignment="1">
      <alignment horizontal="right" wrapText="1" indent="1"/>
    </xf>
    <xf numFmtId="0" fontId="27" fillId="0" borderId="44" xfId="10" applyNumberFormat="1" applyFont="1" applyFill="1" applyBorder="1" applyAlignment="1">
      <alignment horizontal="left" wrapText="1" indent="1"/>
    </xf>
    <xf numFmtId="39" fontId="27" fillId="0" borderId="44" xfId="15" applyNumberFormat="1" applyFont="1" applyFill="1" applyBorder="1" applyAlignment="1">
      <alignment horizontal="left" wrapText="1" indent="1"/>
    </xf>
    <xf numFmtId="171" fontId="27" fillId="0" borderId="44" xfId="10" applyNumberFormat="1" applyFont="1" applyFill="1" applyBorder="1" applyAlignment="1">
      <alignment horizontal="center" wrapText="1"/>
    </xf>
    <xf numFmtId="165" fontId="27" fillId="0" borderId="24" xfId="7" applyNumberFormat="1" applyFont="1" applyBorder="1" applyAlignment="1" applyProtection="1"/>
    <xf numFmtId="165" fontId="27" fillId="0" borderId="33" xfId="7" applyNumberFormat="1" applyFont="1" applyBorder="1" applyAlignment="1" applyProtection="1"/>
    <xf numFmtId="0" fontId="27" fillId="0" borderId="44" xfId="10" applyNumberFormat="1" applyFont="1" applyFill="1" applyBorder="1" applyAlignment="1">
      <alignment horizontal="right" wrapText="1" indent="1"/>
    </xf>
    <xf numFmtId="0" fontId="27" fillId="0" borderId="44" xfId="10" applyFont="1" applyFill="1" applyBorder="1" applyAlignment="1">
      <alignment horizontal="right" wrapText="1"/>
    </xf>
    <xf numFmtId="171" fontId="27" fillId="0" borderId="55" xfId="15" applyNumberFormat="1" applyFont="1" applyFill="1" applyBorder="1" applyAlignment="1">
      <alignment horizontal="center" wrapText="1"/>
    </xf>
    <xf numFmtId="0" fontId="27" fillId="0" borderId="45" xfId="10" applyFont="1" applyBorder="1"/>
    <xf numFmtId="0" fontId="13" fillId="0" borderId="44" xfId="10" applyBorder="1" applyAlignment="1">
      <alignment horizontal="right"/>
    </xf>
    <xf numFmtId="0" fontId="27" fillId="0" borderId="44" xfId="22" applyNumberFormat="1" applyFont="1" applyFill="1" applyBorder="1" applyAlignment="1">
      <alignment horizontal="right" wrapText="1"/>
    </xf>
    <xf numFmtId="177" fontId="27" fillId="0" borderId="44" xfId="22" applyNumberFormat="1" applyFont="1" applyFill="1" applyBorder="1" applyAlignment="1">
      <alignment horizontal="right" wrapText="1"/>
    </xf>
    <xf numFmtId="11" fontId="27" fillId="0" borderId="44" xfId="22" applyNumberFormat="1" applyFont="1" applyFill="1" applyBorder="1" applyAlignment="1">
      <alignment horizontal="right" wrapText="1"/>
    </xf>
    <xf numFmtId="170" fontId="27" fillId="0" borderId="44" xfId="90" applyFont="1" applyFill="1" applyBorder="1" applyAlignment="1"/>
    <xf numFmtId="0" fontId="27" fillId="0" borderId="44" xfId="10" applyFont="1" applyFill="1" applyBorder="1" applyAlignment="1"/>
    <xf numFmtId="186" fontId="27" fillId="0" borderId="44" xfId="10" applyNumberFormat="1" applyFont="1" applyFill="1" applyBorder="1" applyAlignment="1"/>
    <xf numFmtId="0" fontId="27" fillId="0" borderId="44" xfId="10" applyFont="1" applyFill="1" applyBorder="1" applyAlignment="1" applyProtection="1">
      <alignment horizontal="left" wrapText="1"/>
    </xf>
    <xf numFmtId="0" fontId="27" fillId="0" borderId="44" xfId="10" applyNumberFormat="1" applyFont="1" applyFill="1" applyBorder="1" applyAlignment="1">
      <alignment wrapText="1"/>
    </xf>
    <xf numFmtId="0" fontId="27" fillId="0" borderId="44" xfId="90" applyNumberFormat="1" applyFont="1" applyFill="1" applyBorder="1" applyAlignment="1">
      <alignment horizontal="right"/>
    </xf>
    <xf numFmtId="175" fontId="27" fillId="0" borderId="44" xfId="90" applyNumberFormat="1" applyFont="1" applyFill="1" applyBorder="1" applyAlignment="1">
      <alignment horizontal="right"/>
    </xf>
    <xf numFmtId="11" fontId="27" fillId="0" borderId="44" xfId="22" applyNumberFormat="1" applyFont="1" applyFill="1" applyBorder="1" applyAlignment="1">
      <alignment horizontal="right"/>
    </xf>
    <xf numFmtId="11" fontId="27" fillId="0" borderId="44" xfId="10" applyNumberFormat="1" applyFont="1" applyFill="1" applyBorder="1"/>
    <xf numFmtId="1" fontId="27" fillId="0" borderId="44" xfId="90" applyNumberFormat="1" applyFont="1" applyFill="1" applyBorder="1"/>
    <xf numFmtId="11" fontId="27" fillId="0" borderId="44" xfId="10" applyNumberFormat="1" applyFont="1" applyFill="1" applyBorder="1" applyAlignment="1">
      <alignment wrapText="1"/>
    </xf>
    <xf numFmtId="186" fontId="27" fillId="0" borderId="44" xfId="10" applyNumberFormat="1" applyFont="1" applyFill="1" applyBorder="1"/>
    <xf numFmtId="0" fontId="11" fillId="10" borderId="61" xfId="0" applyFont="1" applyFill="1" applyBorder="1"/>
    <xf numFmtId="0" fontId="27" fillId="0" borderId="61" xfId="10" applyFont="1" applyFill="1" applyBorder="1"/>
    <xf numFmtId="0" fontId="27" fillId="0" borderId="62" xfId="9" applyFont="1" applyFill="1" applyBorder="1" applyAlignment="1">
      <alignment wrapText="1"/>
    </xf>
    <xf numFmtId="0" fontId="11" fillId="10" borderId="63" xfId="0" applyFont="1" applyFill="1" applyBorder="1"/>
    <xf numFmtId="0" fontId="30" fillId="0" borderId="36" xfId="0" applyFont="1" applyBorder="1"/>
    <xf numFmtId="0" fontId="27" fillId="0" borderId="36" xfId="0" applyFont="1" applyFill="1" applyBorder="1" applyAlignment="1" applyProtection="1">
      <alignment vertical="center" wrapText="1"/>
    </xf>
    <xf numFmtId="0" fontId="30" fillId="0" borderId="63" xfId="0" applyFont="1" applyBorder="1"/>
    <xf numFmtId="165" fontId="11" fillId="10" borderId="36" xfId="0" applyNumberFormat="1" applyFont="1" applyFill="1" applyBorder="1"/>
    <xf numFmtId="165" fontId="27" fillId="0" borderId="36" xfId="7" applyNumberFormat="1" applyFont="1" applyBorder="1" applyAlignment="1" applyProtection="1"/>
    <xf numFmtId="0" fontId="27" fillId="0" borderId="36" xfId="10" applyFont="1" applyBorder="1"/>
    <xf numFmtId="0" fontId="27" fillId="0" borderId="36" xfId="9" applyFont="1" applyFill="1" applyBorder="1" applyAlignment="1">
      <alignment wrapText="1"/>
    </xf>
    <xf numFmtId="2" fontId="27" fillId="0" borderId="36" xfId="10" applyNumberFormat="1" applyFont="1" applyFill="1" applyBorder="1"/>
    <xf numFmtId="0" fontId="27" fillId="0" borderId="36" xfId="10" applyFont="1" applyFill="1" applyBorder="1" applyAlignment="1">
      <alignment horizontal="left" wrapText="1" indent="1"/>
    </xf>
    <xf numFmtId="171" fontId="27" fillId="0" borderId="36" xfId="15" applyNumberFormat="1" applyFont="1" applyFill="1" applyBorder="1" applyAlignment="1">
      <alignment horizontal="center" wrapText="1"/>
    </xf>
    <xf numFmtId="0" fontId="27" fillId="0" borderId="36" xfId="10" applyNumberFormat="1" applyFont="1" applyFill="1" applyBorder="1" applyAlignment="1">
      <alignment horizontal="left" wrapText="1"/>
    </xf>
    <xf numFmtId="0" fontId="27" fillId="0" borderId="36" xfId="10" applyFont="1" applyFill="1" applyBorder="1" applyAlignment="1">
      <alignment wrapText="1"/>
    </xf>
    <xf numFmtId="0" fontId="27" fillId="0" borderId="64" xfId="10" applyFont="1" applyFill="1" applyBorder="1" applyAlignment="1">
      <alignment wrapText="1"/>
    </xf>
    <xf numFmtId="165" fontId="27" fillId="0" borderId="64" xfId="7" applyNumberFormat="1" applyFont="1" applyBorder="1" applyAlignment="1" applyProtection="1"/>
    <xf numFmtId="0" fontId="27" fillId="0" borderId="64" xfId="10" applyFont="1" applyBorder="1" applyAlignment="1">
      <alignment wrapText="1"/>
    </xf>
    <xf numFmtId="0" fontId="27" fillId="0" borderId="64" xfId="10" applyFont="1" applyFill="1" applyBorder="1" applyAlignment="1">
      <alignment horizontal="left" wrapText="1" indent="1"/>
    </xf>
    <xf numFmtId="171" fontId="27" fillId="0" borderId="64" xfId="15" applyNumberFormat="1" applyFont="1" applyFill="1" applyBorder="1" applyAlignment="1">
      <alignment horizontal="center" wrapText="1"/>
    </xf>
    <xf numFmtId="0" fontId="27" fillId="0" borderId="64" xfId="10" applyNumberFormat="1" applyFont="1" applyFill="1" applyBorder="1" applyAlignment="1">
      <alignment horizontal="left" wrapText="1"/>
    </xf>
    <xf numFmtId="0" fontId="27" fillId="0" borderId="64" xfId="10" applyFont="1" applyBorder="1"/>
    <xf numFmtId="0" fontId="27" fillId="0" borderId="64" xfId="9" applyFont="1" applyFill="1" applyBorder="1" applyAlignment="1">
      <alignment wrapText="1"/>
    </xf>
    <xf numFmtId="2" fontId="27" fillId="0" borderId="64" xfId="10" applyNumberFormat="1" applyFont="1" applyFill="1" applyBorder="1"/>
    <xf numFmtId="0" fontId="11" fillId="10" borderId="64" xfId="0" applyFont="1" applyFill="1" applyBorder="1"/>
    <xf numFmtId="0" fontId="27" fillId="0" borderId="36" xfId="90" applyNumberFormat="1" applyFont="1" applyFill="1" applyBorder="1" applyAlignment="1">
      <alignment horizontal="right"/>
    </xf>
    <xf numFmtId="0" fontId="13" fillId="0" borderId="36" xfId="10" applyNumberFormat="1" applyBorder="1" applyAlignment="1">
      <alignment horizontal="right"/>
    </xf>
    <xf numFmtId="175" fontId="27" fillId="0" borderId="36" xfId="90" applyNumberFormat="1" applyFont="1" applyFill="1" applyBorder="1" applyAlignment="1">
      <alignment horizontal="right"/>
    </xf>
    <xf numFmtId="11" fontId="27" fillId="0" borderId="36" xfId="22" applyNumberFormat="1" applyFont="1" applyFill="1" applyBorder="1" applyAlignment="1">
      <alignment horizontal="right"/>
    </xf>
    <xf numFmtId="11" fontId="27" fillId="0" borderId="36" xfId="10" applyNumberFormat="1" applyFont="1" applyFill="1" applyBorder="1" applyAlignment="1">
      <alignment horizontal="left" wrapText="1"/>
    </xf>
    <xf numFmtId="170" fontId="27" fillId="0" borderId="36" xfId="90" applyFont="1" applyFill="1" applyBorder="1" applyAlignment="1"/>
    <xf numFmtId="0" fontId="27" fillId="0" borderId="36" xfId="10" applyFont="1" applyFill="1" applyBorder="1" applyAlignment="1"/>
    <xf numFmtId="186" fontId="27" fillId="0" borderId="36" xfId="10" applyNumberFormat="1" applyFont="1" applyFill="1" applyBorder="1" applyAlignment="1"/>
    <xf numFmtId="0" fontId="27" fillId="0" borderId="36" xfId="10" applyFont="1" applyFill="1" applyBorder="1" applyAlignment="1">
      <alignment horizontal="left" wrapText="1"/>
    </xf>
    <xf numFmtId="0" fontId="27" fillId="0" borderId="36" xfId="10" applyFont="1" applyFill="1" applyBorder="1" applyAlignment="1" applyProtection="1">
      <alignment horizontal="left" wrapText="1"/>
    </xf>
    <xf numFmtId="165" fontId="12" fillId="0" borderId="64" xfId="7" applyNumberFormat="1" applyFont="1" applyBorder="1" applyAlignment="1" applyProtection="1"/>
    <xf numFmtId="37" fontId="27" fillId="0" borderId="64" xfId="3" applyNumberFormat="1" applyFont="1" applyFill="1" applyBorder="1"/>
    <xf numFmtId="0" fontId="27" fillId="0" borderId="64" xfId="94" applyNumberFormat="1" applyFont="1" applyFill="1" applyBorder="1"/>
    <xf numFmtId="0" fontId="27" fillId="0" borderId="64" xfId="94" applyFont="1" applyFill="1" applyBorder="1"/>
    <xf numFmtId="39" fontId="27" fillId="0" borderId="64" xfId="3" applyNumberFormat="1" applyFont="1" applyFill="1" applyBorder="1"/>
    <xf numFmtId="169" fontId="27" fillId="0" borderId="64" xfId="18" applyFont="1" applyFill="1" applyBorder="1"/>
    <xf numFmtId="0" fontId="27" fillId="0" borderId="64" xfId="94" applyFont="1" applyFill="1" applyBorder="1" applyAlignment="1" applyProtection="1">
      <alignment vertical="center" wrapText="1"/>
    </xf>
    <xf numFmtId="165" fontId="12" fillId="0" borderId="33" xfId="7" applyNumberFormat="1" applyFont="1" applyBorder="1" applyAlignment="1" applyProtection="1"/>
    <xf numFmtId="37" fontId="27" fillId="0" borderId="58" xfId="3" applyNumberFormat="1" applyFont="1" applyFill="1" applyBorder="1"/>
    <xf numFmtId="0" fontId="27" fillId="0" borderId="58" xfId="94" applyNumberFormat="1" applyFont="1" applyFill="1" applyBorder="1"/>
    <xf numFmtId="0" fontId="27" fillId="0" borderId="58" xfId="94" applyFont="1" applyFill="1" applyBorder="1"/>
    <xf numFmtId="39" fontId="27" fillId="0" borderId="58" xfId="3" applyNumberFormat="1" applyFont="1" applyFill="1" applyBorder="1"/>
    <xf numFmtId="169" fontId="27" fillId="0" borderId="58" xfId="18" applyFont="1" applyFill="1" applyBorder="1"/>
    <xf numFmtId="173" fontId="13" fillId="0" borderId="58" xfId="14" applyBorder="1">
      <alignment vertical="center" wrapText="1"/>
    </xf>
    <xf numFmtId="0" fontId="27" fillId="0" borderId="64" xfId="18" applyNumberFormat="1" applyFont="1" applyFill="1" applyBorder="1"/>
    <xf numFmtId="169" fontId="30" fillId="0" borderId="65" xfId="92" applyNumberFormat="1" applyFont="1" applyFill="1" applyBorder="1"/>
    <xf numFmtId="0" fontId="27" fillId="0" borderId="66" xfId="94" applyFont="1" applyFill="1" applyBorder="1"/>
    <xf numFmtId="0" fontId="27" fillId="0" borderId="66" xfId="94" applyFont="1" applyFill="1" applyBorder="1" applyAlignment="1" applyProtection="1">
      <alignment vertical="center" wrapText="1"/>
    </xf>
    <xf numFmtId="43" fontId="27" fillId="0" borderId="66" xfId="85" applyFont="1" applyFill="1" applyBorder="1"/>
    <xf numFmtId="169" fontId="27" fillId="0" borderId="66" xfId="18" applyFont="1" applyFill="1" applyBorder="1"/>
    <xf numFmtId="165" fontId="12" fillId="0" borderId="66" xfId="7" applyNumberFormat="1" applyFont="1" applyBorder="1" applyAlignment="1" applyProtection="1">
      <alignment wrapText="1"/>
    </xf>
    <xf numFmtId="37" fontId="27" fillId="0" borderId="66" xfId="3" applyNumberFormat="1" applyFont="1" applyFill="1" applyBorder="1" applyAlignment="1">
      <alignment wrapText="1"/>
    </xf>
    <xf numFmtId="0" fontId="27" fillId="0" borderId="66" xfId="94" applyNumberFormat="1" applyFont="1" applyFill="1" applyBorder="1" applyAlignment="1">
      <alignment wrapText="1"/>
    </xf>
    <xf numFmtId="0" fontId="27" fillId="0" borderId="66" xfId="94" applyFont="1" applyFill="1" applyBorder="1" applyAlignment="1">
      <alignment wrapText="1"/>
    </xf>
    <xf numFmtId="39" fontId="27" fillId="0" borderId="66" xfId="3" applyNumberFormat="1" applyFont="1" applyFill="1" applyBorder="1" applyAlignment="1">
      <alignment wrapText="1"/>
    </xf>
    <xf numFmtId="169" fontId="27" fillId="0" borderId="66" xfId="18" applyFont="1" applyFill="1" applyBorder="1" applyAlignment="1">
      <alignment wrapText="1"/>
    </xf>
    <xf numFmtId="0" fontId="27" fillId="0" borderId="66" xfId="95" applyFont="1" applyFill="1" applyBorder="1" applyAlignment="1" applyProtection="1">
      <alignment vertical="center" wrapText="1"/>
    </xf>
    <xf numFmtId="173" fontId="13" fillId="0" borderId="1" xfId="14">
      <alignment vertical="center" wrapText="1"/>
    </xf>
    <xf numFmtId="0" fontId="0" fillId="0" borderId="24" xfId="0" applyBorder="1"/>
    <xf numFmtId="0" fontId="0" fillId="0" borderId="67" xfId="0" applyBorder="1"/>
    <xf numFmtId="0" fontId="27" fillId="0" borderId="66" xfId="9" applyFont="1" applyFill="1" applyBorder="1" applyAlignment="1">
      <alignment wrapText="1"/>
    </xf>
    <xf numFmtId="171" fontId="3" fillId="0" borderId="68" xfId="91" applyNumberFormat="1" applyFont="1" applyBorder="1"/>
    <xf numFmtId="0" fontId="12" fillId="0" borderId="66" xfId="0" applyFont="1" applyBorder="1"/>
    <xf numFmtId="165" fontId="12" fillId="0" borderId="69" xfId="7" applyNumberFormat="1" applyFont="1" applyBorder="1" applyAlignment="1" applyProtection="1"/>
    <xf numFmtId="0" fontId="34" fillId="0" borderId="66" xfId="96" applyFont="1" applyFill="1" applyBorder="1"/>
    <xf numFmtId="0" fontId="27" fillId="0" borderId="66" xfId="96" applyFont="1" applyFill="1" applyBorder="1"/>
    <xf numFmtId="0" fontId="27" fillId="0" borderId="66" xfId="96" applyNumberFormat="1" applyFont="1" applyFill="1" applyBorder="1"/>
    <xf numFmtId="0" fontId="37" fillId="0" borderId="66" xfId="9" applyFont="1" applyFill="1" applyBorder="1" applyAlignment="1">
      <alignment wrapText="1"/>
    </xf>
    <xf numFmtId="0" fontId="27" fillId="0" borderId="66" xfId="96" applyFont="1" applyFill="1" applyBorder="1" applyAlignment="1">
      <alignment wrapText="1"/>
    </xf>
    <xf numFmtId="0" fontId="37" fillId="0" borderId="66" xfId="96" applyNumberFormat="1" applyFont="1" applyFill="1" applyBorder="1"/>
    <xf numFmtId="0" fontId="27" fillId="0" borderId="66" xfId="10" applyFont="1" applyFill="1" applyBorder="1"/>
    <xf numFmtId="0" fontId="27" fillId="0" borderId="66" xfId="10" applyFont="1" applyBorder="1"/>
    <xf numFmtId="169" fontId="27" fillId="0" borderId="55" xfId="3" applyFont="1" applyFill="1" applyBorder="1"/>
    <xf numFmtId="165" fontId="12" fillId="0" borderId="28" xfId="7" applyNumberFormat="1" applyFont="1" applyBorder="1" applyAlignment="1" applyProtection="1"/>
    <xf numFmtId="169" fontId="27" fillId="0" borderId="66" xfId="3" applyFont="1" applyFill="1" applyBorder="1"/>
    <xf numFmtId="0" fontId="27" fillId="0" borderId="58" xfId="10" applyFont="1" applyFill="1" applyBorder="1" applyAlignment="1">
      <alignment wrapText="1" shrinkToFit="1"/>
    </xf>
    <xf numFmtId="0" fontId="27" fillId="0" borderId="58" xfId="9" applyFont="1" applyFill="1" applyBorder="1" applyAlignment="1">
      <alignment wrapText="1"/>
    </xf>
    <xf numFmtId="174" fontId="27" fillId="0" borderId="66" xfId="10" applyNumberFormat="1" applyFont="1" applyBorder="1"/>
    <xf numFmtId="174" fontId="0" fillId="0" borderId="15" xfId="0" applyNumberFormat="1" applyBorder="1"/>
    <xf numFmtId="0" fontId="0" fillId="0" borderId="15" xfId="7" applyNumberFormat="1" applyFont="1" applyBorder="1" applyAlignment="1">
      <alignment wrapText="1"/>
    </xf>
    <xf numFmtId="0" fontId="12" fillId="0" borderId="28" xfId="0" applyFont="1" applyBorder="1"/>
    <xf numFmtId="0" fontId="27" fillId="0" borderId="66" xfId="0" applyFont="1" applyFill="1" applyBorder="1" applyAlignment="1" applyProtection="1">
      <alignment vertical="center" wrapText="1"/>
    </xf>
    <xf numFmtId="0" fontId="11" fillId="9" borderId="33" xfId="0" applyFont="1" applyFill="1" applyBorder="1"/>
    <xf numFmtId="165" fontId="12" fillId="0" borderId="66" xfId="7" applyNumberFormat="1" applyFont="1" applyBorder="1" applyAlignment="1" applyProtection="1"/>
    <xf numFmtId="171" fontId="12" fillId="0" borderId="66" xfId="0" applyNumberFormat="1" applyFont="1" applyBorder="1"/>
    <xf numFmtId="0" fontId="26" fillId="0" borderId="66" xfId="8" applyBorder="1"/>
    <xf numFmtId="0" fontId="12" fillId="0" borderId="33" xfId="0" applyFont="1" applyBorder="1"/>
    <xf numFmtId="171" fontId="12" fillId="0" borderId="33" xfId="0" applyNumberFormat="1" applyFont="1" applyBorder="1"/>
    <xf numFmtId="0" fontId="26" fillId="0" borderId="33" xfId="8" applyBorder="1"/>
    <xf numFmtId="171" fontId="12" fillId="0" borderId="15" xfId="0" applyNumberFormat="1" applyFont="1" applyBorder="1"/>
    <xf numFmtId="171" fontId="12" fillId="0" borderId="15" xfId="91" applyNumberFormat="1" applyFont="1" applyBorder="1"/>
    <xf numFmtId="165" fontId="12" fillId="0" borderId="24" xfId="7" applyNumberFormat="1" applyFont="1" applyBorder="1" applyAlignment="1" applyProtection="1"/>
    <xf numFmtId="0" fontId="12" fillId="0" borderId="24" xfId="0" applyFont="1" applyBorder="1"/>
    <xf numFmtId="171" fontId="12" fillId="0" borderId="24" xfId="7" applyNumberFormat="1" applyFont="1" applyBorder="1" applyAlignment="1" applyProtection="1"/>
    <xf numFmtId="0" fontId="26" fillId="0" borderId="24" xfId="8" applyNumberFormat="1" applyBorder="1" applyAlignment="1" applyProtection="1"/>
    <xf numFmtId="37" fontId="12" fillId="0" borderId="66" xfId="0" applyNumberFormat="1" applyFont="1" applyBorder="1" applyAlignment="1"/>
    <xf numFmtId="171" fontId="0" fillId="0" borderId="66" xfId="0" applyNumberFormat="1" applyBorder="1"/>
    <xf numFmtId="37" fontId="12" fillId="0" borderId="33" xfId="0" applyNumberFormat="1" applyFont="1" applyBorder="1" applyAlignment="1"/>
    <xf numFmtId="171" fontId="12" fillId="0" borderId="33" xfId="7" applyNumberFormat="1" applyFont="1" applyBorder="1" applyAlignment="1" applyProtection="1"/>
    <xf numFmtId="0" fontId="26" fillId="0" borderId="33" xfId="8" applyNumberFormat="1" applyBorder="1" applyAlignment="1" applyProtection="1"/>
    <xf numFmtId="174" fontId="0" fillId="0" borderId="0" xfId="0" applyNumberFormat="1" applyBorder="1"/>
    <xf numFmtId="0" fontId="0" fillId="0" borderId="66" xfId="0" applyBorder="1"/>
    <xf numFmtId="0" fontId="0" fillId="0" borderId="66" xfId="7" applyNumberFormat="1" applyFont="1" applyBorder="1" applyAlignment="1">
      <alignment wrapText="1"/>
    </xf>
    <xf numFmtId="2" fontId="12" fillId="0" borderId="66" xfId="0" applyNumberFormat="1" applyFont="1" applyBorder="1"/>
    <xf numFmtId="0" fontId="30" fillId="0" borderId="66" xfId="94" applyFont="1" applyBorder="1"/>
    <xf numFmtId="169" fontId="30" fillId="0" borderId="66" xfId="94" applyNumberFormat="1" applyFont="1" applyBorder="1"/>
    <xf numFmtId="0" fontId="30" fillId="0" borderId="29" xfId="94" applyFont="1" applyBorder="1"/>
    <xf numFmtId="0" fontId="12" fillId="0" borderId="70" xfId="0" applyFont="1" applyBorder="1"/>
    <xf numFmtId="0" fontId="27" fillId="0" borderId="66" xfId="97" applyFont="1" applyFill="1" applyBorder="1" applyAlignment="1">
      <alignment wrapText="1"/>
    </xf>
    <xf numFmtId="0" fontId="0" fillId="0" borderId="70" xfId="0" applyBorder="1"/>
    <xf numFmtId="0" fontId="0" fillId="0" borderId="66" xfId="0" applyBorder="1" applyAlignment="1">
      <alignment wrapText="1"/>
    </xf>
    <xf numFmtId="174" fontId="12" fillId="0" borderId="66" xfId="0" applyNumberFormat="1" applyFont="1" applyBorder="1" applyAlignment="1">
      <alignment wrapText="1"/>
    </xf>
    <xf numFmtId="169" fontId="30" fillId="0" borderId="29" xfId="94" applyNumberFormat="1" applyFont="1" applyBorder="1"/>
    <xf numFmtId="0" fontId="12" fillId="0" borderId="66" xfId="0" applyFont="1" applyBorder="1" applyAlignment="1">
      <alignment wrapText="1"/>
    </xf>
    <xf numFmtId="0" fontId="30" fillId="0" borderId="29" xfId="94" applyFont="1" applyBorder="1" applyAlignment="1">
      <alignment wrapText="1"/>
    </xf>
    <xf numFmtId="0" fontId="12" fillId="0" borderId="70" xfId="0" applyFont="1" applyBorder="1" applyAlignment="1">
      <alignment wrapText="1"/>
    </xf>
    <xf numFmtId="0" fontId="0" fillId="0" borderId="0" xfId="0" applyBorder="1" applyAlignment="1"/>
    <xf numFmtId="0" fontId="0" fillId="0" borderId="66" xfId="0" applyBorder="1" applyAlignment="1"/>
    <xf numFmtId="0" fontId="0" fillId="0" borderId="66" xfId="7" applyNumberFormat="1" applyFont="1" applyBorder="1" applyAlignment="1"/>
    <xf numFmtId="0" fontId="0" fillId="0" borderId="70" xfId="0" applyBorder="1" applyAlignment="1"/>
    <xf numFmtId="0" fontId="11" fillId="10" borderId="66" xfId="0" applyFont="1" applyFill="1" applyBorder="1"/>
    <xf numFmtId="0" fontId="11" fillId="10" borderId="70" xfId="0" applyFont="1" applyFill="1" applyBorder="1"/>
    <xf numFmtId="0" fontId="11" fillId="10" borderId="66" xfId="0" applyFont="1" applyFill="1" applyBorder="1" applyAlignment="1">
      <alignment horizontal="right"/>
    </xf>
    <xf numFmtId="169" fontId="30" fillId="0" borderId="29" xfId="98" applyNumberFormat="1" applyFont="1" applyBorder="1"/>
    <xf numFmtId="0" fontId="30" fillId="0" borderId="29" xfId="98" applyNumberFormat="1" applyFont="1" applyBorder="1"/>
    <xf numFmtId="175" fontId="30" fillId="0" borderId="29" xfId="98" applyNumberFormat="1" applyFont="1" applyBorder="1"/>
    <xf numFmtId="11" fontId="30" fillId="0" borderId="29" xfId="94" applyNumberFormat="1" applyFont="1" applyBorder="1"/>
    <xf numFmtId="11" fontId="30" fillId="0" borderId="29" xfId="98" applyNumberFormat="1" applyFont="1" applyBorder="1"/>
    <xf numFmtId="43" fontId="30" fillId="0" borderId="29" xfId="98" applyNumberFormat="1" applyFont="1" applyBorder="1"/>
    <xf numFmtId="0" fontId="30" fillId="0" borderId="29" xfId="98" applyFont="1" applyBorder="1"/>
    <xf numFmtId="172" fontId="30" fillId="0" borderId="29" xfId="98" applyNumberFormat="1" applyFont="1" applyBorder="1"/>
    <xf numFmtId="0" fontId="30" fillId="0" borderId="29" xfId="98" applyFont="1" applyFill="1" applyBorder="1"/>
    <xf numFmtId="0" fontId="27" fillId="0" borderId="66" xfId="10" applyFont="1" applyFill="1" applyBorder="1" applyAlignment="1" applyProtection="1">
      <alignment wrapText="1"/>
    </xf>
    <xf numFmtId="0" fontId="30" fillId="0" borderId="5" xfId="98" applyFont="1" applyBorder="1"/>
    <xf numFmtId="0" fontId="0" fillId="0" borderId="0" xfId="0" applyBorder="1" applyAlignment="1">
      <alignment horizontal="right"/>
    </xf>
    <xf numFmtId="174" fontId="12" fillId="0" borderId="66" xfId="0" applyNumberFormat="1" applyFont="1" applyBorder="1"/>
    <xf numFmtId="11" fontId="30" fillId="0" borderId="29" xfId="97" applyNumberFormat="1" applyFont="1" applyBorder="1"/>
    <xf numFmtId="0" fontId="30" fillId="0" borderId="29" xfId="99" applyNumberFormat="1" applyFont="1" applyBorder="1"/>
    <xf numFmtId="0" fontId="12" fillId="0" borderId="70" xfId="0" applyFont="1" applyBorder="1" applyAlignment="1"/>
    <xf numFmtId="187" fontId="27" fillId="0" borderId="66" xfId="100" applyNumberFormat="1" applyFont="1" applyFill="1" applyBorder="1" applyAlignment="1">
      <alignment horizontal="right" wrapText="1"/>
    </xf>
    <xf numFmtId="0" fontId="13" fillId="0" borderId="66" xfId="10" applyBorder="1"/>
    <xf numFmtId="165" fontId="12" fillId="0" borderId="0" xfId="0" applyNumberFormat="1" applyFont="1" applyBorder="1"/>
    <xf numFmtId="0" fontId="12" fillId="0" borderId="0" xfId="0" applyFont="1" applyBorder="1" applyAlignment="1">
      <alignment horizontal="right"/>
    </xf>
    <xf numFmtId="0" fontId="0" fillId="0" borderId="20" xfId="0" applyFont="1" applyBorder="1"/>
    <xf numFmtId="0" fontId="12" fillId="0" borderId="70" xfId="10" applyFont="1" applyBorder="1"/>
    <xf numFmtId="0" fontId="13" fillId="0" borderId="70" xfId="10" applyBorder="1" applyAlignment="1">
      <alignment wrapText="1"/>
    </xf>
    <xf numFmtId="1" fontId="27" fillId="0" borderId="66" xfId="10" applyNumberFormat="1" applyFont="1" applyFill="1" applyBorder="1"/>
    <xf numFmtId="0" fontId="27" fillId="0" borderId="66" xfId="16" applyNumberFormat="1" applyFont="1" applyFill="1" applyBorder="1" applyAlignment="1"/>
    <xf numFmtId="188" fontId="27" fillId="0" borderId="66" xfId="16" applyNumberFormat="1" applyFont="1" applyFill="1" applyBorder="1" applyAlignment="1">
      <alignment horizontal="right"/>
    </xf>
    <xf numFmtId="177" fontId="27" fillId="0" borderId="66" xfId="16" applyNumberFormat="1" applyFont="1" applyFill="1" applyBorder="1" applyAlignment="1"/>
    <xf numFmtId="11" fontId="12" fillId="0" borderId="66" xfId="22" applyNumberFormat="1" applyFont="1" applyBorder="1" applyAlignment="1" applyProtection="1"/>
    <xf numFmtId="11" fontId="27" fillId="0" borderId="66" xfId="10" applyNumberFormat="1" applyFont="1" applyFill="1" applyBorder="1" applyAlignment="1"/>
    <xf numFmtId="43" fontId="27" fillId="0" borderId="66" xfId="16" applyFont="1" applyFill="1" applyBorder="1" applyAlignment="1"/>
    <xf numFmtId="0" fontId="27" fillId="0" borderId="66" xfId="10" applyFont="1" applyFill="1" applyBorder="1" applyAlignment="1"/>
    <xf numFmtId="43" fontId="27" fillId="0" borderId="66" xfId="10" applyNumberFormat="1" applyFont="1" applyFill="1" applyBorder="1" applyAlignment="1"/>
    <xf numFmtId="169" fontId="30" fillId="0" borderId="66" xfId="93" applyNumberFormat="1" applyFont="1" applyFill="1" applyBorder="1" applyAlignment="1"/>
    <xf numFmtId="0" fontId="27" fillId="0" borderId="66" xfId="10" applyFont="1" applyFill="1" applyBorder="1" applyAlignment="1">
      <alignment horizontal="left"/>
    </xf>
    <xf numFmtId="0" fontId="27" fillId="0" borderId="66" xfId="10" applyFont="1" applyFill="1" applyBorder="1" applyAlignment="1" applyProtection="1"/>
    <xf numFmtId="1" fontId="27" fillId="0" borderId="66" xfId="10" applyNumberFormat="1" applyFont="1" applyBorder="1"/>
    <xf numFmtId="0" fontId="0" fillId="0" borderId="70" xfId="0" applyBorder="1" applyAlignment="1">
      <alignment wrapText="1"/>
    </xf>
    <xf numFmtId="0" fontId="27" fillId="0" borderId="66" xfId="16" applyNumberFormat="1" applyFont="1" applyFill="1" applyBorder="1" applyAlignment="1">
      <alignment wrapText="1"/>
    </xf>
    <xf numFmtId="188" fontId="27" fillId="0" borderId="66" xfId="16" applyNumberFormat="1" applyFont="1" applyFill="1" applyBorder="1" applyAlignment="1">
      <alignment wrapText="1"/>
    </xf>
    <xf numFmtId="177" fontId="27" fillId="0" borderId="66" xfId="22" applyNumberFormat="1" applyFont="1" applyFill="1" applyBorder="1" applyAlignment="1">
      <alignment horizontal="right" wrapText="1"/>
    </xf>
    <xf numFmtId="11" fontId="27" fillId="0" borderId="66" xfId="10" applyNumberFormat="1" applyFont="1" applyFill="1" applyBorder="1" applyAlignment="1">
      <alignment wrapText="1"/>
    </xf>
    <xf numFmtId="43" fontId="27" fillId="0" borderId="66" xfId="16" applyFont="1" applyFill="1" applyBorder="1" applyAlignment="1">
      <alignment wrapText="1"/>
    </xf>
    <xf numFmtId="0" fontId="27" fillId="0" borderId="66" xfId="10" applyFont="1" applyFill="1" applyBorder="1" applyAlignment="1">
      <alignment wrapText="1"/>
    </xf>
    <xf numFmtId="169" fontId="30" fillId="0" borderId="66" xfId="93" applyNumberFormat="1" applyFont="1" applyFill="1" applyBorder="1" applyAlignment="1">
      <alignment wrapText="1"/>
    </xf>
    <xf numFmtId="0" fontId="27" fillId="0" borderId="66" xfId="10" applyFont="1" applyFill="1" applyBorder="1" applyAlignment="1">
      <alignment horizontal="left" wrapText="1"/>
    </xf>
    <xf numFmtId="177" fontId="27" fillId="0" borderId="66" xfId="16" applyNumberFormat="1" applyFont="1" applyFill="1" applyBorder="1" applyAlignment="1">
      <alignment horizontal="right" wrapText="1"/>
    </xf>
    <xf numFmtId="174" fontId="12" fillId="0" borderId="66" xfId="10" applyNumberFormat="1" applyFont="1" applyFill="1" applyBorder="1"/>
    <xf numFmtId="0" fontId="12" fillId="0" borderId="66" xfId="10" applyFont="1" applyFill="1" applyBorder="1"/>
    <xf numFmtId="169" fontId="12" fillId="0" borderId="66" xfId="3" applyFont="1" applyFill="1" applyBorder="1"/>
    <xf numFmtId="0" fontId="12" fillId="0" borderId="66" xfId="9" applyFont="1" applyFill="1" applyBorder="1" applyAlignment="1">
      <alignment wrapText="1"/>
    </xf>
    <xf numFmtId="1" fontId="12" fillId="0" borderId="66" xfId="7" applyNumberFormat="1" applyFont="1" applyBorder="1" applyAlignment="1" applyProtection="1"/>
    <xf numFmtId="188" fontId="27" fillId="0" borderId="66" xfId="16" applyNumberFormat="1" applyFont="1" applyFill="1" applyBorder="1" applyAlignment="1"/>
    <xf numFmtId="0" fontId="27" fillId="0" borderId="66" xfId="10" applyFont="1" applyFill="1" applyBorder="1" applyAlignment="1" applyProtection="1">
      <alignment horizontal="left"/>
    </xf>
    <xf numFmtId="0" fontId="12" fillId="0" borderId="0" xfId="10" applyFont="1" applyBorder="1"/>
    <xf numFmtId="0" fontId="11" fillId="0" borderId="0" xfId="0" applyFont="1" applyBorder="1" applyAlignment="1"/>
    <xf numFmtId="1" fontId="12" fillId="0" borderId="66" xfId="7" applyNumberFormat="1" applyFont="1" applyBorder="1" applyAlignment="1" applyProtection="1">
      <alignment wrapText="1"/>
    </xf>
    <xf numFmtId="0" fontId="12" fillId="0" borderId="66" xfId="10" applyFont="1" applyBorder="1"/>
    <xf numFmtId="1" fontId="12" fillId="0" borderId="66" xfId="10" applyNumberFormat="1" applyFont="1" applyFill="1" applyBorder="1"/>
    <xf numFmtId="177" fontId="27" fillId="0" borderId="66" xfId="16" applyNumberFormat="1" applyFont="1" applyFill="1" applyBorder="1" applyAlignment="1">
      <alignment horizontal="right"/>
    </xf>
    <xf numFmtId="11" fontId="27" fillId="0" borderId="66" xfId="10" applyNumberFormat="1" applyFont="1" applyFill="1" applyBorder="1" applyAlignment="1">
      <alignment horizontal="right"/>
    </xf>
    <xf numFmtId="43" fontId="27" fillId="0" borderId="66" xfId="16" applyFont="1" applyFill="1" applyBorder="1" applyAlignment="1">
      <alignment horizontal="right"/>
    </xf>
    <xf numFmtId="0" fontId="27" fillId="0" borderId="66" xfId="10" applyFont="1" applyFill="1" applyBorder="1" applyAlignment="1">
      <alignment horizontal="right"/>
    </xf>
    <xf numFmtId="169" fontId="30" fillId="0" borderId="66" xfId="93" applyNumberFormat="1" applyFont="1" applyFill="1" applyBorder="1" applyAlignment="1">
      <alignment horizontal="right"/>
    </xf>
    <xf numFmtId="0" fontId="27" fillId="0" borderId="66" xfId="101" applyFont="1" applyFill="1" applyBorder="1"/>
    <xf numFmtId="0" fontId="27" fillId="0" borderId="66" xfId="101" applyNumberFormat="1" applyFont="1" applyFill="1" applyBorder="1"/>
    <xf numFmtId="0" fontId="27" fillId="0" borderId="66" xfId="101" applyFont="1" applyFill="1" applyBorder="1" applyAlignment="1"/>
    <xf numFmtId="169" fontId="27" fillId="0" borderId="66" xfId="18" applyFont="1" applyFill="1" applyBorder="1" applyAlignment="1"/>
    <xf numFmtId="0" fontId="27" fillId="0" borderId="66" xfId="101" applyNumberFormat="1" applyFont="1" applyFill="1" applyBorder="1" applyAlignment="1"/>
    <xf numFmtId="0" fontId="27" fillId="0" borderId="66" xfId="9" applyFont="1" applyFill="1" applyBorder="1" applyAlignment="1"/>
    <xf numFmtId="0" fontId="0" fillId="0" borderId="0" xfId="0" applyFont="1" applyAlignment="1">
      <alignment wrapText="1"/>
    </xf>
    <xf numFmtId="0" fontId="0" fillId="0" borderId="19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27" fillId="0" borderId="66" xfId="70" applyNumberFormat="1" applyFont="1" applyFill="1" applyBorder="1"/>
    <xf numFmtId="178" fontId="27" fillId="0" borderId="66" xfId="70" applyNumberFormat="1" applyFont="1" applyFill="1" applyBorder="1"/>
    <xf numFmtId="11" fontId="27" fillId="0" borderId="66" xfId="102" applyNumberFormat="1" applyFont="1" applyFill="1" applyBorder="1"/>
    <xf numFmtId="43" fontId="27" fillId="0" borderId="66" xfId="70" applyFont="1" applyFill="1" applyBorder="1"/>
    <xf numFmtId="0" fontId="27" fillId="0" borderId="66" xfId="102" applyFont="1" applyFill="1" applyBorder="1"/>
    <xf numFmtId="189" fontId="27" fillId="0" borderId="66" xfId="18" applyNumberFormat="1" applyFont="1" applyFill="1" applyBorder="1"/>
    <xf numFmtId="177" fontId="27" fillId="0" borderId="66" xfId="70" applyNumberFormat="1" applyFont="1" applyFill="1" applyBorder="1" applyAlignment="1">
      <alignment horizontal="right" vertical="center"/>
    </xf>
    <xf numFmtId="11" fontId="27" fillId="0" borderId="66" xfId="102" applyNumberFormat="1" applyFont="1" applyFill="1" applyBorder="1" applyAlignment="1">
      <alignment wrapText="1"/>
    </xf>
    <xf numFmtId="172" fontId="27" fillId="0" borderId="66" xfId="102" applyNumberFormat="1" applyFont="1" applyFill="1" applyBorder="1"/>
    <xf numFmtId="0" fontId="27" fillId="0" borderId="58" xfId="10" applyFont="1" applyFill="1" applyBorder="1" applyAlignment="1">
      <alignment wrapText="1"/>
    </xf>
    <xf numFmtId="175" fontId="27" fillId="0" borderId="66" xfId="70" applyNumberFormat="1" applyFont="1" applyFill="1" applyBorder="1" applyAlignment="1">
      <alignment vertical="center"/>
    </xf>
    <xf numFmtId="0" fontId="27" fillId="0" borderId="0" xfId="10" applyFont="1" applyFill="1" applyBorder="1"/>
    <xf numFmtId="187" fontId="37" fillId="0" borderId="66" xfId="3" applyNumberFormat="1" applyFont="1" applyFill="1" applyBorder="1" applyAlignment="1">
      <alignment horizontal="right" wrapText="1"/>
    </xf>
    <xf numFmtId="0" fontId="3" fillId="0" borderId="66" xfId="94" applyBorder="1" applyAlignment="1">
      <alignment wrapText="1"/>
    </xf>
    <xf numFmtId="1" fontId="27" fillId="0" borderId="66" xfId="85" applyNumberFormat="1" applyFont="1" applyFill="1" applyBorder="1" applyAlignment="1">
      <alignment wrapText="1"/>
    </xf>
    <xf numFmtId="188" fontId="27" fillId="0" borderId="66" xfId="85" applyNumberFormat="1" applyFont="1" applyFill="1" applyBorder="1" applyAlignment="1">
      <alignment wrapText="1"/>
    </xf>
    <xf numFmtId="43" fontId="27" fillId="0" borderId="66" xfId="85" applyFont="1" applyFill="1" applyBorder="1" applyAlignment="1">
      <alignment wrapText="1"/>
    </xf>
    <xf numFmtId="178" fontId="27" fillId="0" borderId="66" xfId="85" applyNumberFormat="1" applyFont="1" applyFill="1" applyBorder="1" applyAlignment="1">
      <alignment wrapText="1"/>
    </xf>
    <xf numFmtId="11" fontId="27" fillId="0" borderId="66" xfId="103" applyNumberFormat="1" applyFont="1" applyFill="1" applyBorder="1" applyAlignment="1">
      <alignment wrapText="1"/>
    </xf>
    <xf numFmtId="0" fontId="27" fillId="0" borderId="66" xfId="103" applyFont="1" applyFill="1" applyBorder="1" applyAlignment="1">
      <alignment wrapText="1"/>
    </xf>
    <xf numFmtId="172" fontId="0" fillId="0" borderId="66" xfId="0" applyNumberFormat="1" applyBorder="1"/>
    <xf numFmtId="171" fontId="27" fillId="0" borderId="66" xfId="91" applyNumberFormat="1" applyFont="1" applyFill="1" applyBorder="1" applyAlignment="1">
      <alignment wrapText="1"/>
    </xf>
    <xf numFmtId="0" fontId="27" fillId="0" borderId="66" xfId="103" applyFont="1" applyFill="1" applyBorder="1" applyAlignment="1" applyProtection="1">
      <alignment vertical="center" wrapText="1"/>
    </xf>
    <xf numFmtId="2" fontId="27" fillId="0" borderId="66" xfId="94" applyNumberFormat="1" applyFont="1" applyFill="1" applyBorder="1" applyAlignment="1">
      <alignment wrapText="1"/>
    </xf>
    <xf numFmtId="0" fontId="11" fillId="0" borderId="0" xfId="0" applyFont="1" applyBorder="1" applyAlignment="1">
      <alignment wrapText="1"/>
    </xf>
    <xf numFmtId="1" fontId="27" fillId="0" borderId="66" xfId="85" applyNumberFormat="1" applyFont="1" applyFill="1" applyBorder="1" applyAlignment="1"/>
    <xf numFmtId="188" fontId="27" fillId="0" borderId="66" xfId="85" applyNumberFormat="1" applyFont="1" applyFill="1" applyBorder="1" applyAlignment="1"/>
    <xf numFmtId="177" fontId="27" fillId="0" borderId="66" xfId="85" applyNumberFormat="1" applyFont="1" applyFill="1" applyBorder="1" applyAlignment="1"/>
    <xf numFmtId="11" fontId="27" fillId="0" borderId="66" xfId="85" applyNumberFormat="1" applyFont="1" applyFill="1" applyBorder="1" applyAlignment="1"/>
    <xf numFmtId="11" fontId="27" fillId="0" borderId="66" xfId="103" applyNumberFormat="1" applyFont="1" applyFill="1" applyBorder="1" applyAlignment="1"/>
    <xf numFmtId="43" fontId="27" fillId="0" borderId="66" xfId="85" applyFont="1" applyFill="1" applyBorder="1" applyAlignment="1"/>
    <xf numFmtId="0" fontId="27" fillId="0" borderId="66" xfId="103" applyFont="1" applyFill="1" applyBorder="1" applyAlignment="1"/>
    <xf numFmtId="172" fontId="0" fillId="0" borderId="66" xfId="0" applyNumberFormat="1" applyBorder="1" applyAlignment="1"/>
    <xf numFmtId="171" fontId="27" fillId="0" borderId="66" xfId="91" applyNumberFormat="1" applyFont="1" applyFill="1" applyBorder="1" applyAlignment="1"/>
    <xf numFmtId="0" fontId="27" fillId="0" borderId="66" xfId="103" applyFont="1" applyFill="1" applyBorder="1" applyAlignment="1" applyProtection="1">
      <alignment vertical="center"/>
    </xf>
    <xf numFmtId="18" fontId="19" fillId="8" borderId="71" xfId="1" applyNumberFormat="1" applyFont="1" applyFill="1" applyBorder="1" applyAlignment="1" applyProtection="1">
      <alignment horizontal="right"/>
      <protection locked="0"/>
    </xf>
    <xf numFmtId="18" fontId="19" fillId="8" borderId="71" xfId="1" applyNumberFormat="1" applyFont="1" applyFill="1" applyBorder="1" applyAlignment="1" applyProtection="1">
      <protection locked="0"/>
    </xf>
    <xf numFmtId="0" fontId="26" fillId="8" borderId="71" xfId="8" applyFill="1" applyBorder="1" applyAlignment="1">
      <alignment horizontal="left"/>
    </xf>
    <xf numFmtId="0" fontId="19" fillId="8" borderId="66" xfId="1" applyFont="1" applyFill="1" applyBorder="1" applyProtection="1">
      <protection locked="0"/>
    </xf>
    <xf numFmtId="0" fontId="19" fillId="8" borderId="66" xfId="1" applyFont="1" applyFill="1" applyBorder="1" applyAlignment="1">
      <alignment horizontal="left"/>
    </xf>
    <xf numFmtId="18" fontId="19" fillId="8" borderId="66" xfId="1" applyNumberFormat="1" applyFont="1" applyFill="1" applyBorder="1" applyAlignment="1" applyProtection="1">
      <alignment horizontal="right"/>
      <protection locked="0"/>
    </xf>
    <xf numFmtId="18" fontId="19" fillId="8" borderId="66" xfId="1" applyNumberFormat="1" applyFont="1" applyFill="1" applyBorder="1" applyAlignment="1" applyProtection="1">
      <protection locked="0"/>
    </xf>
    <xf numFmtId="0" fontId="26" fillId="8" borderId="66" xfId="8" applyFill="1" applyBorder="1" applyAlignment="1">
      <alignment horizontal="left"/>
    </xf>
    <xf numFmtId="171" fontId="19" fillId="8" borderId="66" xfId="5" applyNumberFormat="1" applyFont="1" applyFill="1" applyBorder="1" applyProtection="1">
      <protection locked="0"/>
    </xf>
    <xf numFmtId="37" fontId="19" fillId="8" borderId="66" xfId="1" applyNumberFormat="1" applyFont="1" applyFill="1" applyBorder="1" applyAlignment="1" applyProtection="1">
      <alignment horizontal="center"/>
      <protection locked="0"/>
    </xf>
    <xf numFmtId="171" fontId="19" fillId="8" borderId="66" xfId="1" applyNumberFormat="1" applyFont="1" applyFill="1" applyBorder="1" applyAlignment="1" applyProtection="1">
      <alignment horizontal="center"/>
      <protection locked="0"/>
    </xf>
    <xf numFmtId="171" fontId="19" fillId="8" borderId="66" xfId="1" applyNumberFormat="1" applyFont="1" applyFill="1" applyBorder="1" applyAlignment="1">
      <alignment horizontal="right"/>
    </xf>
    <xf numFmtId="0" fontId="19" fillId="8" borderId="66" xfId="1" applyFont="1" applyFill="1" applyBorder="1" applyAlignment="1">
      <alignment horizontal="center"/>
    </xf>
    <xf numFmtId="0" fontId="19" fillId="8" borderId="58" xfId="1" applyFont="1" applyFill="1" applyBorder="1" applyProtection="1">
      <protection locked="0"/>
    </xf>
    <xf numFmtId="0" fontId="19" fillId="8" borderId="58" xfId="1" applyFont="1" applyFill="1" applyBorder="1" applyAlignment="1">
      <alignment horizontal="left"/>
    </xf>
    <xf numFmtId="18" fontId="19" fillId="8" borderId="58" xfId="1" applyNumberFormat="1" applyFont="1" applyFill="1" applyBorder="1" applyAlignment="1" applyProtection="1">
      <alignment horizontal="right"/>
      <protection locked="0"/>
    </xf>
    <xf numFmtId="18" fontId="19" fillId="8" borderId="58" xfId="1" applyNumberFormat="1" applyFont="1" applyFill="1" applyBorder="1" applyAlignment="1" applyProtection="1">
      <protection locked="0"/>
    </xf>
    <xf numFmtId="0" fontId="26" fillId="8" borderId="58" xfId="8" applyFill="1" applyBorder="1" applyAlignment="1">
      <alignment horizontal="left"/>
    </xf>
    <xf numFmtId="171" fontId="19" fillId="8" borderId="58" xfId="5" applyNumberFormat="1" applyFont="1" applyFill="1" applyBorder="1" applyProtection="1">
      <protection locked="0"/>
    </xf>
    <xf numFmtId="37" fontId="19" fillId="8" borderId="58" xfId="1" applyNumberFormat="1" applyFont="1" applyFill="1" applyBorder="1" applyAlignment="1" applyProtection="1">
      <alignment horizontal="center"/>
      <protection locked="0"/>
    </xf>
    <xf numFmtId="171" fontId="19" fillId="8" borderId="58" xfId="1" applyNumberFormat="1" applyFont="1" applyFill="1" applyBorder="1" applyAlignment="1" applyProtection="1">
      <alignment horizontal="center"/>
      <protection locked="0"/>
    </xf>
    <xf numFmtId="171" fontId="19" fillId="8" borderId="58" xfId="1" applyNumberFormat="1" applyFont="1" applyFill="1" applyBorder="1" applyAlignment="1">
      <alignment horizontal="right"/>
    </xf>
    <xf numFmtId="0" fontId="19" fillId="8" borderId="58" xfId="1" applyFont="1" applyFill="1" applyBorder="1" applyAlignment="1">
      <alignment horizontal="center"/>
    </xf>
    <xf numFmtId="0" fontId="19" fillId="0" borderId="72" xfId="1" applyFont="1" applyFill="1" applyBorder="1" applyProtection="1">
      <protection locked="0"/>
    </xf>
    <xf numFmtId="0" fontId="19" fillId="0" borderId="73" xfId="1" applyFont="1" applyFill="1" applyBorder="1" applyAlignment="1">
      <alignment horizontal="left"/>
    </xf>
    <xf numFmtId="18" fontId="19" fillId="0" borderId="73" xfId="1" applyNumberFormat="1" applyFont="1" applyFill="1" applyBorder="1" applyAlignment="1" applyProtection="1">
      <protection locked="0"/>
    </xf>
    <xf numFmtId="170" fontId="19" fillId="0" borderId="73" xfId="5" applyFont="1" applyFill="1" applyBorder="1" applyProtection="1">
      <protection locked="0"/>
    </xf>
    <xf numFmtId="0" fontId="19" fillId="0" borderId="73" xfId="1" applyFont="1" applyFill="1" applyBorder="1" applyAlignment="1" applyProtection="1">
      <alignment horizontal="center"/>
      <protection locked="0"/>
    </xf>
    <xf numFmtId="171" fontId="19" fillId="0" borderId="73" xfId="1" applyNumberFormat="1" applyFont="1" applyFill="1" applyBorder="1" applyAlignment="1">
      <alignment horizontal="right"/>
    </xf>
    <xf numFmtId="0" fontId="19" fillId="0" borderId="74" xfId="1" applyFont="1" applyFill="1" applyBorder="1" applyAlignment="1">
      <alignment horizontal="center"/>
    </xf>
    <xf numFmtId="0" fontId="19" fillId="7" borderId="66" xfId="1" applyFont="1" applyFill="1" applyBorder="1" applyProtection="1">
      <protection locked="0"/>
    </xf>
    <xf numFmtId="0" fontId="19" fillId="7" borderId="66" xfId="1" applyFont="1" applyFill="1" applyBorder="1" applyAlignment="1">
      <alignment horizontal="left"/>
    </xf>
    <xf numFmtId="18" fontId="19" fillId="7" borderId="66" xfId="1" applyNumberFormat="1" applyFont="1" applyFill="1" applyBorder="1" applyAlignment="1" applyProtection="1">
      <protection locked="0"/>
    </xf>
    <xf numFmtId="0" fontId="26" fillId="7" borderId="66" xfId="8" applyFill="1" applyBorder="1" applyAlignment="1">
      <alignment horizontal="left"/>
    </xf>
    <xf numFmtId="171" fontId="19" fillId="7" borderId="66" xfId="5" applyNumberFormat="1" applyFont="1" applyFill="1" applyBorder="1" applyProtection="1">
      <protection locked="0"/>
    </xf>
    <xf numFmtId="37" fontId="19" fillId="7" borderId="66" xfId="1" applyNumberFormat="1" applyFont="1" applyFill="1" applyBorder="1" applyAlignment="1" applyProtection="1">
      <alignment horizontal="center"/>
      <protection locked="0"/>
    </xf>
    <xf numFmtId="171" fontId="19" fillId="7" borderId="66" xfId="1" applyNumberFormat="1" applyFont="1" applyFill="1" applyBorder="1" applyAlignment="1" applyProtection="1">
      <alignment horizontal="center"/>
      <protection locked="0"/>
    </xf>
    <xf numFmtId="171" fontId="19" fillId="7" borderId="66" xfId="1" applyNumberFormat="1" applyFont="1" applyFill="1" applyBorder="1" applyAlignment="1">
      <alignment horizontal="right"/>
    </xf>
    <xf numFmtId="0" fontId="19" fillId="7" borderId="66" xfId="1" applyFont="1" applyFill="1" applyBorder="1" applyAlignment="1">
      <alignment horizontal="center"/>
    </xf>
    <xf numFmtId="18" fontId="19" fillId="7" borderId="66" xfId="1" applyNumberFormat="1" applyFont="1" applyFill="1" applyBorder="1" applyAlignment="1" applyProtection="1">
      <alignment horizontal="left"/>
      <protection locked="0"/>
    </xf>
    <xf numFmtId="0" fontId="19" fillId="8" borderId="75" xfId="1" applyFont="1" applyFill="1" applyBorder="1" applyProtection="1">
      <protection locked="0"/>
    </xf>
    <xf numFmtId="0" fontId="19" fillId="8" borderId="76" xfId="1" applyFont="1" applyFill="1" applyBorder="1" applyAlignment="1">
      <alignment horizontal="center"/>
    </xf>
    <xf numFmtId="0" fontId="26" fillId="0" borderId="66" xfId="8" applyFill="1" applyBorder="1"/>
    <xf numFmtId="0" fontId="27" fillId="0" borderId="63" xfId="10" applyFont="1" applyBorder="1" applyAlignment="1">
      <alignment wrapText="1"/>
    </xf>
    <xf numFmtId="0" fontId="27" fillId="0" borderId="66" xfId="10" applyNumberFormat="1" applyFont="1" applyFill="1" applyBorder="1" applyAlignment="1">
      <alignment horizontal="left" wrapText="1"/>
    </xf>
    <xf numFmtId="169" fontId="27" fillId="0" borderId="66" xfId="3" applyFont="1" applyFill="1" applyBorder="1" applyAlignment="1">
      <alignment wrapText="1"/>
    </xf>
    <xf numFmtId="0" fontId="27" fillId="0" borderId="66" xfId="10" applyFont="1" applyBorder="1" applyAlignment="1">
      <alignment wrapText="1"/>
    </xf>
    <xf numFmtId="165" fontId="27" fillId="0" borderId="66" xfId="7" applyNumberFormat="1" applyFont="1" applyBorder="1" applyAlignment="1" applyProtection="1"/>
    <xf numFmtId="0" fontId="27" fillId="0" borderId="63" xfId="10" applyFont="1" applyFill="1" applyBorder="1"/>
    <xf numFmtId="0" fontId="23" fillId="0" borderId="77" xfId="9" applyFont="1" applyFill="1" applyBorder="1" applyAlignment="1">
      <alignment wrapText="1"/>
    </xf>
    <xf numFmtId="2" fontId="27" fillId="0" borderId="66" xfId="10" applyNumberFormat="1" applyFont="1" applyFill="1" applyBorder="1"/>
    <xf numFmtId="0" fontId="0" fillId="0" borderId="77" xfId="0" applyBorder="1"/>
    <xf numFmtId="0" fontId="23" fillId="0" borderId="78" xfId="9" applyFont="1" applyFill="1" applyBorder="1" applyAlignment="1">
      <alignment wrapText="1"/>
    </xf>
    <xf numFmtId="0" fontId="0" fillId="0" borderId="78" xfId="0" applyBorder="1"/>
    <xf numFmtId="0" fontId="23" fillId="0" borderId="66" xfId="9" applyFont="1" applyFill="1" applyBorder="1" applyAlignment="1">
      <alignment wrapText="1"/>
    </xf>
    <xf numFmtId="0" fontId="27" fillId="0" borderId="63" xfId="10" applyFont="1" applyFill="1" applyBorder="1" applyAlignment="1">
      <alignment wrapText="1"/>
    </xf>
    <xf numFmtId="171" fontId="27" fillId="0" borderId="66" xfId="15" applyNumberFormat="1" applyFont="1" applyFill="1" applyBorder="1" applyAlignment="1">
      <alignment horizontal="center" wrapText="1"/>
    </xf>
    <xf numFmtId="0" fontId="27" fillId="0" borderId="66" xfId="10" applyFont="1" applyFill="1" applyBorder="1" applyAlignment="1">
      <alignment horizontal="left" wrapText="1" indent="1"/>
    </xf>
    <xf numFmtId="0" fontId="27" fillId="0" borderId="66" xfId="10" applyFont="1" applyFill="1" applyBorder="1" applyAlignment="1">
      <alignment horizontal="right" wrapText="1" indent="1"/>
    </xf>
    <xf numFmtId="0" fontId="27" fillId="0" borderId="66" xfId="10" applyFont="1" applyFill="1" applyBorder="1" applyAlignment="1">
      <alignment horizontal="center" wrapText="1"/>
    </xf>
    <xf numFmtId="165" fontId="11" fillId="10" borderId="66" xfId="0" applyNumberFormat="1" applyFont="1" applyFill="1" applyBorder="1"/>
    <xf numFmtId="0" fontId="27" fillId="0" borderId="79" xfId="10" applyFont="1" applyFill="1" applyBorder="1" applyAlignment="1">
      <alignment wrapText="1"/>
    </xf>
    <xf numFmtId="171" fontId="19" fillId="7" borderId="58" xfId="5" applyNumberFormat="1" applyFont="1" applyFill="1" applyBorder="1" applyProtection="1">
      <protection locked="0"/>
    </xf>
    <xf numFmtId="171" fontId="19" fillId="7" borderId="58" xfId="1" applyNumberFormat="1" applyFont="1" applyFill="1" applyBorder="1" applyAlignment="1">
      <alignment horizontal="right"/>
    </xf>
    <xf numFmtId="0" fontId="27" fillId="0" borderId="0" xfId="0" applyFont="1" applyFill="1" applyBorder="1" applyAlignment="1" applyProtection="1">
      <alignment vertical="center" wrapText="1"/>
    </xf>
    <xf numFmtId="0" fontId="27" fillId="0" borderId="80" xfId="0" applyFont="1" applyFill="1" applyBorder="1" applyAlignment="1" applyProtection="1">
      <alignment vertical="center" wrapText="1"/>
    </xf>
    <xf numFmtId="0" fontId="27" fillId="0" borderId="0" xfId="104" applyFont="1" applyFill="1" applyBorder="1"/>
    <xf numFmtId="0" fontId="34" fillId="0" borderId="0" xfId="104" applyFont="1" applyFill="1" applyBorder="1"/>
    <xf numFmtId="171" fontId="34" fillId="13" borderId="80" xfId="104" applyNumberFormat="1" applyFont="1" applyFill="1" applyBorder="1"/>
    <xf numFmtId="0" fontId="34" fillId="13" borderId="80" xfId="104" applyFont="1" applyFill="1" applyBorder="1" applyAlignment="1">
      <alignment horizontal="right"/>
    </xf>
    <xf numFmtId="169" fontId="27" fillId="0" borderId="80" xfId="3" applyNumberFormat="1" applyFont="1" applyFill="1" applyBorder="1"/>
    <xf numFmtId="0" fontId="27" fillId="0" borderId="80" xfId="104" applyFont="1" applyFill="1" applyBorder="1"/>
    <xf numFmtId="169" fontId="27" fillId="0" borderId="80" xfId="3" applyFont="1" applyFill="1" applyBorder="1"/>
    <xf numFmtId="0" fontId="27" fillId="0" borderId="80" xfId="105" applyFont="1" applyFill="1" applyBorder="1"/>
    <xf numFmtId="0" fontId="27" fillId="0" borderId="15" xfId="105" applyFont="1" applyBorder="1"/>
    <xf numFmtId="0" fontId="34" fillId="13" borderId="80" xfId="104" applyFont="1" applyFill="1" applyBorder="1"/>
    <xf numFmtId="169" fontId="27" fillId="0" borderId="0" xfId="104" applyNumberFormat="1" applyFont="1" applyFill="1" applyBorder="1"/>
    <xf numFmtId="0" fontId="27" fillId="0" borderId="0" xfId="104" applyFont="1" applyFill="1" applyBorder="1" applyAlignment="1">
      <alignment horizontal="right"/>
    </xf>
    <xf numFmtId="169" fontId="34" fillId="13" borderId="80" xfId="104" applyNumberFormat="1" applyFont="1" applyFill="1" applyBorder="1"/>
    <xf numFmtId="0" fontId="27" fillId="0" borderId="80" xfId="3" applyNumberFormat="1" applyFont="1" applyFill="1" applyBorder="1"/>
    <xf numFmtId="0" fontId="27" fillId="0" borderId="80" xfId="104" applyNumberFormat="1" applyFont="1" applyFill="1" applyBorder="1"/>
    <xf numFmtId="39" fontId="27" fillId="0" borderId="80" xfId="3" applyNumberFormat="1" applyFont="1" applyFill="1" applyBorder="1"/>
    <xf numFmtId="171" fontId="27" fillId="0" borderId="80" xfId="104" applyNumberFormat="1" applyFont="1" applyFill="1" applyBorder="1"/>
    <xf numFmtId="173" fontId="13" fillId="0" borderId="80" xfId="14" applyBorder="1">
      <alignment vertical="center" wrapText="1"/>
    </xf>
    <xf numFmtId="0" fontId="27" fillId="0" borderId="80" xfId="104" applyFont="1" applyFill="1" applyBorder="1" applyAlignment="1" applyProtection="1">
      <alignment vertical="center" wrapText="1"/>
    </xf>
    <xf numFmtId="171" fontId="27" fillId="0" borderId="80" xfId="3" applyNumberFormat="1" applyFont="1" applyFill="1" applyBorder="1"/>
    <xf numFmtId="0" fontId="37" fillId="0" borderId="80" xfId="9" applyFont="1" applyFill="1" applyBorder="1" applyAlignment="1">
      <alignment wrapText="1"/>
    </xf>
    <xf numFmtId="0" fontId="27" fillId="0" borderId="5" xfId="104" applyFont="1" applyFill="1" applyBorder="1"/>
    <xf numFmtId="171" fontId="2" fillId="0" borderId="80" xfId="3" applyNumberFormat="1" applyFont="1" applyBorder="1"/>
    <xf numFmtId="0" fontId="27" fillId="0" borderId="5" xfId="105" applyFont="1" applyFill="1" applyBorder="1"/>
    <xf numFmtId="0" fontId="27" fillId="0" borderId="5" xfId="9" applyFont="1" applyFill="1" applyBorder="1" applyAlignment="1">
      <alignment wrapText="1"/>
    </xf>
    <xf numFmtId="0" fontId="27" fillId="0" borderId="80" xfId="105" applyNumberFormat="1" applyFont="1" applyFill="1" applyBorder="1"/>
    <xf numFmtId="0" fontId="27" fillId="0" borderId="80" xfId="9" applyFont="1" applyFill="1" applyBorder="1" applyAlignment="1">
      <alignment wrapText="1"/>
    </xf>
    <xf numFmtId="1" fontId="27" fillId="0" borderId="80" xfId="104" applyNumberFormat="1" applyFont="1" applyFill="1" applyBorder="1"/>
    <xf numFmtId="172" fontId="27" fillId="0" borderId="80" xfId="104" applyNumberFormat="1" applyFont="1" applyFill="1" applyBorder="1"/>
    <xf numFmtId="0" fontId="27" fillId="0" borderId="80" xfId="90" applyNumberFormat="1" applyFont="1" applyFill="1" applyBorder="1"/>
    <xf numFmtId="178" fontId="27" fillId="0" borderId="80" xfId="90" applyNumberFormat="1" applyFont="1" applyFill="1" applyBorder="1"/>
    <xf numFmtId="175" fontId="27" fillId="0" borderId="80" xfId="90" applyNumberFormat="1" applyFont="1" applyFill="1" applyBorder="1"/>
    <xf numFmtId="11" fontId="27" fillId="0" borderId="80" xfId="104" applyNumberFormat="1" applyFont="1" applyFill="1" applyBorder="1"/>
    <xf numFmtId="170" fontId="27" fillId="0" borderId="80" xfId="90" applyFont="1" applyFill="1" applyBorder="1"/>
    <xf numFmtId="185" fontId="27" fillId="0" borderId="80" xfId="104" applyNumberFormat="1" applyFont="1" applyFill="1" applyBorder="1"/>
    <xf numFmtId="0" fontId="27" fillId="0" borderId="80" xfId="104" applyFont="1" applyFill="1" applyBorder="1" applyAlignment="1">
      <alignment wrapText="1"/>
    </xf>
    <xf numFmtId="190" fontId="27" fillId="0" borderId="80" xfId="104" applyNumberFormat="1" applyFont="1" applyFill="1" applyBorder="1"/>
    <xf numFmtId="0" fontId="27" fillId="0" borderId="80" xfId="104" applyFont="1" applyFill="1" applyBorder="1" applyAlignment="1" applyProtection="1">
      <alignment wrapText="1"/>
    </xf>
    <xf numFmtId="0" fontId="29" fillId="0" borderId="80" xfId="13" applyFill="1" applyBorder="1"/>
    <xf numFmtId="0" fontId="27" fillId="0" borderId="0" xfId="104" applyFont="1" applyFill="1" applyBorder="1" applyAlignment="1">
      <alignment horizontal="left"/>
    </xf>
    <xf numFmtId="171" fontId="34" fillId="14" borderId="80" xfId="104" applyNumberFormat="1" applyFont="1" applyFill="1" applyBorder="1"/>
    <xf numFmtId="0" fontId="34" fillId="14" borderId="80" xfId="104" applyFont="1" applyFill="1" applyBorder="1" applyAlignment="1">
      <alignment horizontal="right"/>
    </xf>
    <xf numFmtId="0" fontId="34" fillId="14" borderId="80" xfId="104" applyFont="1" applyFill="1" applyBorder="1"/>
    <xf numFmtId="169" fontId="34" fillId="14" borderId="80" xfId="104" applyNumberFormat="1" applyFont="1" applyFill="1" applyBorder="1"/>
    <xf numFmtId="0" fontId="27" fillId="0" borderId="80" xfId="105" applyNumberFormat="1" applyFont="1" applyFill="1" applyBorder="1" applyAlignment="1">
      <alignment wrapText="1"/>
    </xf>
    <xf numFmtId="191" fontId="34" fillId="14" borderId="80" xfId="104" applyNumberFormat="1" applyFont="1" applyFill="1" applyBorder="1"/>
    <xf numFmtId="165" fontId="27" fillId="0" borderId="80" xfId="7" applyNumberFormat="1" applyFont="1" applyBorder="1" applyAlignment="1" applyProtection="1"/>
    <xf numFmtId="1" fontId="27" fillId="0" borderId="80" xfId="90" applyNumberFormat="1" applyFont="1" applyFill="1" applyBorder="1" applyAlignment="1"/>
    <xf numFmtId="3" fontId="13" fillId="0" borderId="80" xfId="105" applyNumberFormat="1" applyBorder="1" applyAlignment="1"/>
    <xf numFmtId="175" fontId="27" fillId="0" borderId="80" xfId="90" applyNumberFormat="1" applyFont="1" applyFill="1" applyBorder="1" applyAlignment="1"/>
    <xf numFmtId="11" fontId="27" fillId="0" borderId="80" xfId="90" applyNumberFormat="1" applyFont="1" applyFill="1" applyBorder="1" applyAlignment="1"/>
    <xf numFmtId="11" fontId="27" fillId="0" borderId="80" xfId="105" applyNumberFormat="1" applyFont="1" applyFill="1" applyBorder="1" applyAlignment="1">
      <alignment wrapText="1"/>
    </xf>
    <xf numFmtId="170" fontId="27" fillId="0" borderId="80" xfId="90" applyFont="1" applyFill="1" applyBorder="1" applyAlignment="1"/>
    <xf numFmtId="0" fontId="27" fillId="0" borderId="80" xfId="105" applyFont="1" applyFill="1" applyBorder="1" applyAlignment="1"/>
    <xf numFmtId="169" fontId="27" fillId="0" borderId="80" xfId="3" applyFont="1" applyFill="1" applyBorder="1" applyAlignment="1"/>
    <xf numFmtId="0" fontId="27" fillId="0" borderId="80" xfId="105" applyFont="1" applyFill="1" applyBorder="1" applyAlignment="1" applyProtection="1">
      <alignment wrapText="1"/>
    </xf>
    <xf numFmtId="182" fontId="27" fillId="0" borderId="80" xfId="90" applyNumberFormat="1" applyFont="1" applyFill="1" applyBorder="1"/>
    <xf numFmtId="11" fontId="27" fillId="0" borderId="80" xfId="90" applyNumberFormat="1" applyFont="1" applyFill="1" applyBorder="1"/>
    <xf numFmtId="172" fontId="27" fillId="0" borderId="80" xfId="90" applyNumberFormat="1" applyFont="1" applyFill="1" applyBorder="1"/>
    <xf numFmtId="0" fontId="19" fillId="0" borderId="0" xfId="1" applyFont="1" applyFill="1" applyBorder="1" applyAlignment="1" applyProtection="1">
      <alignment horizontal="center"/>
      <protection locked="0"/>
    </xf>
    <xf numFmtId="0" fontId="2" fillId="0" borderId="0" xfId="104"/>
    <xf numFmtId="0" fontId="29" fillId="0" borderId="0" xfId="13"/>
    <xf numFmtId="0" fontId="2" fillId="0" borderId="0" xfId="104" applyFont="1"/>
    <xf numFmtId="0" fontId="27" fillId="0" borderId="47" xfId="104" applyFont="1" applyFill="1" applyBorder="1"/>
    <xf numFmtId="0" fontId="29" fillId="0" borderId="47" xfId="13" applyFill="1" applyBorder="1"/>
    <xf numFmtId="0" fontId="27" fillId="0" borderId="46" xfId="104" applyFont="1" applyFill="1" applyBorder="1"/>
    <xf numFmtId="0" fontId="27" fillId="0" borderId="41" xfId="104" applyFont="1" applyFill="1" applyBorder="1"/>
    <xf numFmtId="0" fontId="27" fillId="0" borderId="42" xfId="104" applyFont="1" applyFill="1" applyBorder="1"/>
    <xf numFmtId="0" fontId="34" fillId="13" borderId="81" xfId="104" applyFont="1" applyFill="1" applyBorder="1"/>
    <xf numFmtId="0" fontId="27" fillId="0" borderId="81" xfId="104" applyFont="1" applyFill="1" applyBorder="1"/>
    <xf numFmtId="0" fontId="34" fillId="0" borderId="42" xfId="104" applyFont="1" applyFill="1" applyBorder="1"/>
    <xf numFmtId="0" fontId="34" fillId="0" borderId="41" xfId="104" applyFont="1" applyFill="1" applyBorder="1"/>
    <xf numFmtId="0" fontId="27" fillId="0" borderId="40" xfId="104" applyFont="1" applyFill="1" applyBorder="1"/>
    <xf numFmtId="0" fontId="27" fillId="0" borderId="39" xfId="104" applyFont="1" applyFill="1" applyBorder="1"/>
    <xf numFmtId="0" fontId="27" fillId="0" borderId="38" xfId="104" applyFont="1" applyFill="1" applyBorder="1"/>
    <xf numFmtId="0" fontId="34" fillId="14" borderId="81" xfId="104" applyFont="1" applyFill="1" applyBorder="1"/>
    <xf numFmtId="0" fontId="27" fillId="0" borderId="39" xfId="104" applyFont="1" applyFill="1" applyBorder="1" applyAlignment="1">
      <alignment horizontal="right"/>
    </xf>
    <xf numFmtId="169" fontId="27" fillId="0" borderId="39" xfId="104" applyNumberFormat="1" applyFont="1" applyFill="1" applyBorder="1"/>
    <xf numFmtId="0" fontId="19" fillId="7" borderId="80" xfId="1" applyFont="1" applyFill="1" applyBorder="1" applyProtection="1">
      <protection locked="0"/>
    </xf>
    <xf numFmtId="0" fontId="19" fillId="7" borderId="80" xfId="1" applyFont="1" applyFill="1" applyBorder="1" applyAlignment="1">
      <alignment horizontal="left"/>
    </xf>
    <xf numFmtId="18" fontId="19" fillId="7" borderId="80" xfId="1" applyNumberFormat="1" applyFont="1" applyFill="1" applyBorder="1" applyAlignment="1" applyProtection="1">
      <alignment horizontal="left"/>
      <protection locked="0"/>
    </xf>
    <xf numFmtId="18" fontId="19" fillId="7" borderId="80" xfId="1" applyNumberFormat="1" applyFont="1" applyFill="1" applyBorder="1" applyAlignment="1" applyProtection="1">
      <protection locked="0"/>
    </xf>
    <xf numFmtId="0" fontId="26" fillId="7" borderId="80" xfId="8" applyFill="1" applyBorder="1" applyAlignment="1">
      <alignment horizontal="left"/>
    </xf>
    <xf numFmtId="37" fontId="19" fillId="7" borderId="80" xfId="1" applyNumberFormat="1" applyFont="1" applyFill="1" applyBorder="1" applyAlignment="1" applyProtection="1">
      <alignment horizontal="center"/>
      <protection locked="0"/>
    </xf>
    <xf numFmtId="0" fontId="19" fillId="7" borderId="80" xfId="1" applyFont="1" applyFill="1" applyBorder="1" applyAlignment="1">
      <alignment horizontal="center"/>
    </xf>
    <xf numFmtId="0" fontId="19" fillId="13" borderId="3" xfId="1" applyFont="1" applyFill="1" applyBorder="1" applyAlignment="1">
      <alignment horizontal="left"/>
    </xf>
    <xf numFmtId="0" fontId="19" fillId="13" borderId="80" xfId="1" applyFont="1" applyFill="1" applyBorder="1" applyProtection="1">
      <protection locked="0"/>
    </xf>
    <xf numFmtId="0" fontId="19" fillId="13" borderId="80" xfId="1" applyFont="1" applyFill="1" applyBorder="1" applyAlignment="1">
      <alignment horizontal="left"/>
    </xf>
    <xf numFmtId="18" fontId="19" fillId="13" borderId="80" xfId="1" applyNumberFormat="1" applyFont="1" applyFill="1" applyBorder="1" applyAlignment="1" applyProtection="1">
      <protection locked="0"/>
    </xf>
    <xf numFmtId="0" fontId="26" fillId="13" borderId="80" xfId="8" applyFill="1" applyBorder="1" applyAlignment="1">
      <alignment horizontal="left"/>
    </xf>
    <xf numFmtId="0" fontId="19" fillId="13" borderId="80" xfId="1" applyFont="1" applyFill="1" applyBorder="1" applyAlignment="1">
      <alignment horizontal="center"/>
    </xf>
    <xf numFmtId="18" fontId="19" fillId="13" borderId="80" xfId="1" applyNumberFormat="1" applyFont="1" applyFill="1" applyBorder="1" applyAlignment="1" applyProtection="1">
      <alignment horizontal="right"/>
      <protection locked="0"/>
    </xf>
    <xf numFmtId="0" fontId="19" fillId="13" borderId="0" xfId="1" applyFont="1" applyFill="1" applyAlignment="1">
      <alignment horizontal="center"/>
    </xf>
    <xf numFmtId="0" fontId="19" fillId="13" borderId="58" xfId="1" applyFont="1" applyFill="1" applyBorder="1" applyAlignment="1">
      <alignment horizontal="center" wrapText="1"/>
    </xf>
    <xf numFmtId="171" fontId="19" fillId="13" borderId="3" xfId="5" applyNumberFormat="1" applyFont="1" applyFill="1" applyBorder="1" applyProtection="1">
      <protection locked="0"/>
    </xf>
    <xf numFmtId="37" fontId="27" fillId="0" borderId="80" xfId="90" applyNumberFormat="1" applyFont="1" applyFill="1" applyBorder="1"/>
    <xf numFmtId="0" fontId="27" fillId="0" borderId="80" xfId="104" quotePrefix="1" applyFont="1" applyFill="1" applyBorder="1" applyAlignment="1">
      <alignment horizontal="right"/>
    </xf>
    <xf numFmtId="0" fontId="34" fillId="14" borderId="80" xfId="104" applyFont="1" applyFill="1" applyBorder="1" applyAlignment="1">
      <alignment horizontal="left"/>
    </xf>
    <xf numFmtId="0" fontId="38" fillId="14" borderId="80" xfId="0" applyFont="1" applyFill="1" applyBorder="1"/>
    <xf numFmtId="0" fontId="26" fillId="0" borderId="0" xfId="8" applyBorder="1" applyAlignment="1">
      <alignment horizontal="left"/>
    </xf>
    <xf numFmtId="0" fontId="26" fillId="0" borderId="0" xfId="8" applyFill="1" applyBorder="1" applyAlignment="1">
      <alignment horizontal="left"/>
    </xf>
    <xf numFmtId="0" fontId="26" fillId="13" borderId="58" xfId="8" applyFill="1" applyBorder="1" applyAlignment="1">
      <alignment horizontal="left" wrapText="1"/>
    </xf>
    <xf numFmtId="0" fontId="26" fillId="0" borderId="47" xfId="8" applyFill="1" applyBorder="1"/>
    <xf numFmtId="0" fontId="19" fillId="8" borderId="80" xfId="1" applyFont="1" applyFill="1" applyBorder="1" applyProtection="1">
      <protection locked="0"/>
    </xf>
    <xf numFmtId="18" fontId="19" fillId="8" borderId="80" xfId="1" applyNumberFormat="1" applyFont="1" applyFill="1" applyBorder="1" applyAlignment="1" applyProtection="1">
      <alignment horizontal="right"/>
      <protection locked="0"/>
    </xf>
    <xf numFmtId="18" fontId="19" fillId="8" borderId="80" xfId="1" applyNumberFormat="1" applyFont="1" applyFill="1" applyBorder="1" applyAlignment="1" applyProtection="1">
      <protection locked="0"/>
    </xf>
    <xf numFmtId="0" fontId="26" fillId="8" borderId="80" xfId="8" applyFill="1" applyBorder="1" applyAlignment="1">
      <alignment horizontal="left"/>
    </xf>
    <xf numFmtId="37" fontId="19" fillId="8" borderId="80" xfId="1" applyNumberFormat="1" applyFont="1" applyFill="1" applyBorder="1" applyAlignment="1" applyProtection="1">
      <alignment horizontal="center"/>
      <protection locked="0"/>
    </xf>
    <xf numFmtId="171" fontId="19" fillId="8" borderId="80" xfId="1" applyNumberFormat="1" applyFont="1" applyFill="1" applyBorder="1" applyAlignment="1" applyProtection="1">
      <alignment horizontal="center"/>
      <protection locked="0"/>
    </xf>
    <xf numFmtId="0" fontId="19" fillId="8" borderId="80" xfId="1" applyFont="1" applyFill="1" applyBorder="1" applyAlignment="1">
      <alignment horizontal="center"/>
    </xf>
    <xf numFmtId="0" fontId="27" fillId="0" borderId="81" xfId="104" applyFont="1" applyFill="1" applyBorder="1" applyAlignment="1"/>
    <xf numFmtId="0" fontId="27" fillId="0" borderId="80" xfId="105" applyNumberFormat="1" applyFont="1" applyFill="1" applyBorder="1" applyAlignment="1"/>
    <xf numFmtId="0" fontId="27" fillId="0" borderId="80" xfId="104" applyNumberFormat="1" applyFont="1" applyFill="1" applyBorder="1" applyAlignment="1"/>
    <xf numFmtId="0" fontId="27" fillId="0" borderId="80" xfId="104" applyFont="1" applyFill="1" applyBorder="1" applyAlignment="1"/>
    <xf numFmtId="0" fontId="27" fillId="0" borderId="0" xfId="104" applyFont="1" applyFill="1" applyBorder="1" applyAlignment="1"/>
    <xf numFmtId="0" fontId="27" fillId="0" borderId="41" xfId="104" applyFont="1" applyFill="1" applyBorder="1" applyAlignment="1"/>
    <xf numFmtId="0" fontId="27" fillId="0" borderId="0" xfId="106" applyFont="1" applyFill="1" applyBorder="1"/>
    <xf numFmtId="171" fontId="34" fillId="13" borderId="66" xfId="18" applyNumberFormat="1" applyFont="1" applyFill="1" applyBorder="1"/>
    <xf numFmtId="0" fontId="34" fillId="13" borderId="66" xfId="106" applyFont="1" applyFill="1" applyBorder="1" applyAlignment="1">
      <alignment horizontal="right"/>
    </xf>
    <xf numFmtId="0" fontId="34" fillId="0" borderId="0" xfId="106" applyFont="1" applyFill="1" applyBorder="1"/>
    <xf numFmtId="0" fontId="34" fillId="13" borderId="66" xfId="106" applyFont="1" applyFill="1" applyBorder="1"/>
    <xf numFmtId="169" fontId="34" fillId="13" borderId="66" xfId="106" applyNumberFormat="1" applyFont="1" applyFill="1" applyBorder="1"/>
    <xf numFmtId="37" fontId="27" fillId="0" borderId="66" xfId="3" applyNumberFormat="1" applyFont="1" applyFill="1" applyBorder="1"/>
    <xf numFmtId="0" fontId="27" fillId="0" borderId="66" xfId="10" applyNumberFormat="1" applyFont="1" applyFill="1" applyBorder="1"/>
    <xf numFmtId="39" fontId="27" fillId="0" borderId="66" xfId="3" applyNumberFormat="1" applyFont="1" applyFill="1" applyBorder="1"/>
    <xf numFmtId="171" fontId="27" fillId="0" borderId="66" xfId="10" applyNumberFormat="1" applyFont="1" applyFill="1" applyBorder="1"/>
    <xf numFmtId="0" fontId="27" fillId="0" borderId="66" xfId="106" applyFont="1" applyFill="1" applyBorder="1" applyAlignment="1" applyProtection="1">
      <alignment vertical="center" wrapText="1"/>
    </xf>
    <xf numFmtId="0" fontId="27" fillId="0" borderId="66" xfId="106" applyFont="1" applyFill="1" applyBorder="1"/>
    <xf numFmtId="37" fontId="27" fillId="0" borderId="66" xfId="3" applyNumberFormat="1" applyFont="1" applyFill="1" applyBorder="1" applyAlignment="1"/>
    <xf numFmtId="39" fontId="27" fillId="0" borderId="66" xfId="18" applyNumberFormat="1" applyFont="1" applyFill="1" applyBorder="1"/>
    <xf numFmtId="173" fontId="13" fillId="0" borderId="66" xfId="14" applyBorder="1">
      <alignment vertical="center" wrapText="1"/>
    </xf>
    <xf numFmtId="0" fontId="27" fillId="0" borderId="66" xfId="26" applyFont="1" applyFill="1" applyBorder="1" applyAlignment="1" applyProtection="1">
      <alignment vertical="center" wrapText="1"/>
    </xf>
    <xf numFmtId="0" fontId="40" fillId="0" borderId="0" xfId="106" applyFont="1" applyFill="1" applyBorder="1" applyAlignment="1">
      <alignment vertical="center"/>
    </xf>
    <xf numFmtId="171" fontId="34" fillId="13" borderId="66" xfId="106" applyNumberFormat="1" applyFont="1" applyFill="1" applyBorder="1"/>
    <xf numFmtId="0" fontId="27" fillId="0" borderId="66" xfId="10" applyNumberFormat="1" applyFont="1" applyFill="1" applyBorder="1" applyAlignment="1">
      <alignment wrapText="1"/>
    </xf>
    <xf numFmtId="0" fontId="41" fillId="0" borderId="0" xfId="106" applyFont="1" applyFill="1" applyBorder="1"/>
    <xf numFmtId="172" fontId="27" fillId="0" borderId="66" xfId="10" applyNumberFormat="1" applyFont="1" applyBorder="1"/>
    <xf numFmtId="0" fontId="42" fillId="0" borderId="0" xfId="106" applyFont="1" applyFill="1" applyBorder="1"/>
    <xf numFmtId="0" fontId="43" fillId="0" borderId="0" xfId="106" applyFont="1" applyFill="1" applyBorder="1"/>
    <xf numFmtId="0" fontId="44" fillId="0" borderId="0" xfId="106" applyFont="1" applyFill="1" applyBorder="1"/>
    <xf numFmtId="170" fontId="27" fillId="0" borderId="66" xfId="90" applyFont="1" applyFill="1" applyBorder="1"/>
    <xf numFmtId="178" fontId="27" fillId="0" borderId="66" xfId="90" applyNumberFormat="1" applyFont="1" applyFill="1" applyBorder="1"/>
    <xf numFmtId="2" fontId="27" fillId="0" borderId="66" xfId="18" applyNumberFormat="1" applyFont="1" applyFill="1" applyBorder="1"/>
    <xf numFmtId="170" fontId="27" fillId="0" borderId="66" xfId="90" applyFont="1" applyFill="1" applyBorder="1" applyAlignment="1"/>
    <xf numFmtId="169" fontId="27" fillId="0" borderId="66" xfId="3" applyFont="1" applyFill="1" applyBorder="1" applyAlignment="1"/>
    <xf numFmtId="0" fontId="27" fillId="0" borderId="66" xfId="106" applyFont="1" applyFill="1" applyBorder="1" applyAlignment="1"/>
    <xf numFmtId="0" fontId="45" fillId="0" borderId="0" xfId="106" applyFont="1" applyFill="1" applyBorder="1"/>
    <xf numFmtId="0" fontId="27" fillId="0" borderId="66" xfId="90" applyNumberFormat="1" applyFont="1" applyFill="1" applyBorder="1"/>
    <xf numFmtId="172" fontId="27" fillId="0" borderId="66" xfId="90" applyNumberFormat="1" applyFont="1" applyFill="1" applyBorder="1"/>
    <xf numFmtId="169" fontId="27" fillId="0" borderId="5" xfId="18" applyFont="1" applyFill="1" applyBorder="1"/>
    <xf numFmtId="0" fontId="27" fillId="0" borderId="5" xfId="90" applyNumberFormat="1" applyFont="1" applyFill="1" applyBorder="1"/>
    <xf numFmtId="170" fontId="27" fillId="0" borderId="5" xfId="90" applyFont="1" applyFill="1" applyBorder="1"/>
    <xf numFmtId="178" fontId="27" fillId="0" borderId="5" xfId="90" applyNumberFormat="1" applyFont="1" applyFill="1" applyBorder="1"/>
    <xf numFmtId="11" fontId="27" fillId="0" borderId="5" xfId="106" applyNumberFormat="1" applyFont="1" applyFill="1" applyBorder="1"/>
    <xf numFmtId="0" fontId="27" fillId="0" borderId="5" xfId="106" applyFont="1" applyFill="1" applyBorder="1"/>
    <xf numFmtId="169" fontId="27" fillId="0" borderId="5" xfId="18" applyFont="1" applyFill="1" applyBorder="1" applyAlignment="1"/>
    <xf numFmtId="0" fontId="27" fillId="0" borderId="5" xfId="106" applyFont="1" applyFill="1" applyBorder="1" applyAlignment="1"/>
    <xf numFmtId="0" fontId="34" fillId="13" borderId="82" xfId="106" applyFont="1" applyFill="1" applyBorder="1"/>
    <xf numFmtId="169" fontId="27" fillId="0" borderId="66" xfId="18" applyNumberFormat="1" applyFont="1" applyFill="1" applyBorder="1"/>
    <xf numFmtId="0" fontId="27" fillId="0" borderId="66" xfId="106" applyNumberFormat="1" applyFont="1" applyFill="1" applyBorder="1"/>
    <xf numFmtId="0" fontId="29" fillId="0" borderId="66" xfId="13" applyFill="1" applyBorder="1"/>
    <xf numFmtId="169" fontId="27" fillId="0" borderId="5" xfId="18" applyNumberFormat="1" applyFont="1" applyFill="1" applyBorder="1"/>
    <xf numFmtId="0" fontId="27" fillId="0" borderId="5" xfId="106" applyNumberFormat="1" applyFont="1" applyFill="1" applyBorder="1"/>
    <xf numFmtId="0" fontId="29" fillId="0" borderId="5" xfId="13" applyFill="1" applyBorder="1"/>
    <xf numFmtId="0" fontId="27" fillId="0" borderId="0" xfId="106" applyFont="1" applyFill="1" applyBorder="1" applyAlignment="1">
      <alignment horizontal="left"/>
    </xf>
    <xf numFmtId="37" fontId="27" fillId="0" borderId="66" xfId="90" applyNumberFormat="1" applyFont="1" applyFill="1" applyBorder="1"/>
    <xf numFmtId="171" fontId="27" fillId="0" borderId="66" xfId="18" applyNumberFormat="1" applyFont="1" applyFill="1" applyBorder="1"/>
    <xf numFmtId="0" fontId="27" fillId="0" borderId="66" xfId="106" quotePrefix="1" applyFont="1" applyFill="1" applyBorder="1" applyAlignment="1">
      <alignment horizontal="right"/>
    </xf>
    <xf numFmtId="0" fontId="29" fillId="0" borderId="0" xfId="13" applyFill="1" applyBorder="1"/>
    <xf numFmtId="0" fontId="27" fillId="0" borderId="38" xfId="106" applyFont="1" applyFill="1" applyBorder="1"/>
    <xf numFmtId="0" fontId="27" fillId="0" borderId="39" xfId="106" applyFont="1" applyFill="1" applyBorder="1"/>
    <xf numFmtId="169" fontId="27" fillId="0" borderId="39" xfId="106" applyNumberFormat="1" applyFont="1" applyFill="1" applyBorder="1"/>
    <xf numFmtId="0" fontId="27" fillId="0" borderId="39" xfId="106" applyFont="1" applyFill="1" applyBorder="1" applyAlignment="1">
      <alignment horizontal="right"/>
    </xf>
    <xf numFmtId="0" fontId="27" fillId="0" borderId="40" xfId="106" applyFont="1" applyFill="1" applyBorder="1"/>
    <xf numFmtId="0" fontId="34" fillId="0" borderId="41" xfId="106" applyFont="1" applyFill="1" applyBorder="1"/>
    <xf numFmtId="171" fontId="34" fillId="14" borderId="66" xfId="18" applyNumberFormat="1" applyFont="1" applyFill="1" applyBorder="1"/>
    <xf numFmtId="0" fontId="34" fillId="14" borderId="66" xfId="106" applyFont="1" applyFill="1" applyBorder="1" applyAlignment="1">
      <alignment horizontal="right"/>
    </xf>
    <xf numFmtId="0" fontId="34" fillId="0" borderId="42" xfId="106" applyFont="1" applyFill="1" applyBorder="1"/>
    <xf numFmtId="0" fontId="27" fillId="0" borderId="41" xfId="106" applyFont="1" applyFill="1" applyBorder="1"/>
    <xf numFmtId="0" fontId="34" fillId="14" borderId="66" xfId="106" applyFont="1" applyFill="1" applyBorder="1"/>
    <xf numFmtId="0" fontId="34" fillId="14" borderId="63" xfId="106" applyFont="1" applyFill="1" applyBorder="1"/>
    <xf numFmtId="169" fontId="27" fillId="0" borderId="0" xfId="106" applyNumberFormat="1" applyFont="1" applyFill="1" applyBorder="1"/>
    <xf numFmtId="0" fontId="27" fillId="0" borderId="0" xfId="106" applyFont="1" applyFill="1" applyBorder="1" applyAlignment="1">
      <alignment horizontal="right"/>
    </xf>
    <xf numFmtId="0" fontId="27" fillId="0" borderId="42" xfId="106" applyFont="1" applyFill="1" applyBorder="1"/>
    <xf numFmtId="169" fontId="34" fillId="14" borderId="66" xfId="106" applyNumberFormat="1" applyFont="1" applyFill="1" applyBorder="1"/>
    <xf numFmtId="1" fontId="27" fillId="0" borderId="66" xfId="90" applyNumberFormat="1" applyFont="1" applyFill="1" applyBorder="1" applyAlignment="1"/>
    <xf numFmtId="3" fontId="13" fillId="0" borderId="66" xfId="10" applyNumberFormat="1" applyBorder="1" applyAlignment="1"/>
    <xf numFmtId="175" fontId="27" fillId="0" borderId="66" xfId="90" applyNumberFormat="1" applyFont="1" applyFill="1" applyBorder="1" applyAlignment="1"/>
    <xf numFmtId="11" fontId="27" fillId="0" borderId="66" xfId="90" applyNumberFormat="1" applyFont="1" applyFill="1" applyBorder="1" applyAlignment="1"/>
    <xf numFmtId="0" fontId="27" fillId="0" borderId="63" xfId="10" applyFont="1" applyFill="1" applyBorder="1" applyAlignment="1"/>
    <xf numFmtId="0" fontId="27" fillId="0" borderId="66" xfId="90" applyNumberFormat="1" applyFont="1" applyFill="1" applyBorder="1" applyAlignment="1"/>
    <xf numFmtId="0" fontId="13" fillId="0" borderId="66" xfId="10" applyNumberFormat="1" applyBorder="1" applyAlignment="1"/>
    <xf numFmtId="11" fontId="27" fillId="0" borderId="66" xfId="22" applyNumberFormat="1" applyFont="1" applyFill="1" applyBorder="1" applyAlignment="1"/>
    <xf numFmtId="172" fontId="27" fillId="0" borderId="66" xfId="10" applyNumberFormat="1" applyFont="1" applyFill="1" applyBorder="1" applyAlignment="1"/>
    <xf numFmtId="0" fontId="34" fillId="14" borderId="83" xfId="106" applyFont="1" applyFill="1" applyBorder="1"/>
    <xf numFmtId="0" fontId="27" fillId="15" borderId="0" xfId="106" applyFont="1" applyFill="1" applyBorder="1"/>
    <xf numFmtId="0" fontId="34" fillId="14" borderId="82" xfId="106" applyFont="1" applyFill="1" applyBorder="1"/>
    <xf numFmtId="169" fontId="27" fillId="0" borderId="0" xfId="18" applyNumberFormat="1" applyFont="1" applyFill="1" applyBorder="1"/>
    <xf numFmtId="37" fontId="27" fillId="0" borderId="0" xfId="90" applyNumberFormat="1" applyFont="1" applyFill="1" applyBorder="1"/>
    <xf numFmtId="0" fontId="29" fillId="14" borderId="82" xfId="13" applyFill="1" applyBorder="1"/>
    <xf numFmtId="0" fontId="27" fillId="0" borderId="46" xfId="106" applyFont="1" applyFill="1" applyBorder="1"/>
    <xf numFmtId="169" fontId="27" fillId="0" borderId="47" xfId="18" applyNumberFormat="1" applyFont="1" applyFill="1" applyBorder="1"/>
    <xf numFmtId="0" fontId="34" fillId="14" borderId="84" xfId="106" applyFont="1" applyFill="1" applyBorder="1"/>
    <xf numFmtId="0" fontId="27" fillId="0" borderId="47" xfId="106" applyFont="1" applyFill="1" applyBorder="1"/>
    <xf numFmtId="0" fontId="27" fillId="0" borderId="47" xfId="106" quotePrefix="1" applyFont="1" applyFill="1" applyBorder="1" applyAlignment="1">
      <alignment horizontal="right"/>
    </xf>
    <xf numFmtId="0" fontId="34" fillId="14" borderId="84" xfId="106" applyFont="1" applyFill="1" applyBorder="1" applyAlignment="1">
      <alignment horizontal="left"/>
    </xf>
    <xf numFmtId="0" fontId="34" fillId="14" borderId="85" xfId="106" applyFont="1" applyFill="1" applyBorder="1"/>
    <xf numFmtId="0" fontId="1" fillId="0" borderId="0" xfId="106"/>
    <xf numFmtId="169" fontId="34" fillId="14" borderId="5" xfId="106" applyNumberFormat="1" applyFont="1" applyFill="1" applyBorder="1"/>
    <xf numFmtId="0" fontId="34" fillId="14" borderId="5" xfId="106" applyFont="1" applyFill="1" applyBorder="1" applyAlignment="1">
      <alignment horizontal="right"/>
    </xf>
    <xf numFmtId="11" fontId="27" fillId="0" borderId="66" xfId="10" applyNumberFormat="1" applyFont="1" applyFill="1" applyBorder="1"/>
    <xf numFmtId="0" fontId="27" fillId="0" borderId="0" xfId="106" applyFont="1" applyFill="1" applyBorder="1" applyAlignment="1" applyProtection="1">
      <alignment vertical="center" wrapText="1"/>
    </xf>
    <xf numFmtId="175" fontId="27" fillId="0" borderId="66" xfId="90" applyNumberFormat="1" applyFont="1" applyFill="1" applyBorder="1"/>
    <xf numFmtId="11" fontId="27" fillId="0" borderId="66" xfId="90" applyNumberFormat="1" applyFont="1" applyFill="1" applyBorder="1"/>
    <xf numFmtId="172" fontId="27" fillId="0" borderId="66" xfId="10" applyNumberFormat="1" applyFont="1" applyFill="1" applyBorder="1"/>
    <xf numFmtId="171" fontId="34" fillId="14" borderId="66" xfId="106" applyNumberFormat="1" applyFont="1" applyFill="1" applyBorder="1"/>
    <xf numFmtId="37" fontId="27" fillId="0" borderId="66" xfId="18" applyNumberFormat="1" applyFont="1" applyFill="1" applyBorder="1"/>
    <xf numFmtId="0" fontId="27" fillId="0" borderId="63" xfId="10" applyFont="1" applyBorder="1"/>
    <xf numFmtId="169" fontId="27" fillId="0" borderId="66" xfId="3" applyNumberFormat="1" applyFont="1" applyFill="1" applyBorder="1" applyAlignment="1"/>
    <xf numFmtId="0" fontId="13" fillId="0" borderId="66" xfId="10" applyBorder="1" applyAlignment="1"/>
    <xf numFmtId="0" fontId="39" fillId="14" borderId="0" xfId="106" applyFont="1" applyFill="1" applyBorder="1"/>
    <xf numFmtId="0" fontId="30" fillId="0" borderId="0" xfId="106" applyFont="1" applyBorder="1" applyAlignment="1">
      <alignment horizontal="right"/>
    </xf>
    <xf numFmtId="0" fontId="34" fillId="13" borderId="63" xfId="106" applyFont="1" applyFill="1" applyBorder="1"/>
    <xf numFmtId="11" fontId="27" fillId="0" borderId="66" xfId="106" applyNumberFormat="1" applyFont="1" applyFill="1" applyBorder="1"/>
    <xf numFmtId="0" fontId="29" fillId="0" borderId="66" xfId="13" applyBorder="1" applyAlignment="1">
      <alignment horizontal="left"/>
    </xf>
    <xf numFmtId="0" fontId="27" fillId="0" borderId="63" xfId="106" applyFont="1" applyFill="1" applyBorder="1"/>
    <xf numFmtId="0" fontId="29" fillId="0" borderId="58" xfId="13" applyFill="1" applyBorder="1"/>
    <xf numFmtId="0" fontId="34" fillId="13" borderId="83" xfId="106" applyFont="1" applyFill="1" applyBorder="1"/>
    <xf numFmtId="0" fontId="34" fillId="13" borderId="84" xfId="106" applyFont="1" applyFill="1" applyBorder="1"/>
    <xf numFmtId="0" fontId="34" fillId="13" borderId="85" xfId="106" applyFont="1" applyFill="1" applyBorder="1"/>
    <xf numFmtId="0" fontId="1" fillId="0" borderId="38" xfId="106" applyBorder="1"/>
    <xf numFmtId="0" fontId="30" fillId="0" borderId="39" xfId="106" applyFont="1" applyBorder="1"/>
    <xf numFmtId="169" fontId="30" fillId="0" borderId="39" xfId="106" applyNumberFormat="1" applyFont="1" applyBorder="1"/>
    <xf numFmtId="0" fontId="30" fillId="0" borderId="39" xfId="106" applyFont="1" applyBorder="1" applyAlignment="1">
      <alignment horizontal="right"/>
    </xf>
    <xf numFmtId="0" fontId="30" fillId="0" borderId="40" xfId="106" applyFont="1" applyBorder="1"/>
    <xf numFmtId="0" fontId="1" fillId="0" borderId="41" xfId="106" applyBorder="1"/>
    <xf numFmtId="0" fontId="46" fillId="0" borderId="0" xfId="106" applyFont="1" applyBorder="1"/>
    <xf numFmtId="165" fontId="46" fillId="16" borderId="29" xfId="106" applyNumberFormat="1" applyFont="1" applyFill="1" applyBorder="1"/>
    <xf numFmtId="0" fontId="46" fillId="16" borderId="5" xfId="106" applyFont="1" applyFill="1" applyBorder="1" applyAlignment="1">
      <alignment horizontal="right"/>
    </xf>
    <xf numFmtId="0" fontId="46" fillId="0" borderId="42" xfId="106" applyFont="1" applyBorder="1"/>
    <xf numFmtId="0" fontId="30" fillId="0" borderId="0" xfId="106" applyFont="1" applyBorder="1"/>
    <xf numFmtId="0" fontId="46" fillId="16" borderId="55" xfId="106" applyFont="1" applyFill="1" applyBorder="1"/>
    <xf numFmtId="0" fontId="46" fillId="16" borderId="63" xfId="106" applyFont="1" applyFill="1" applyBorder="1"/>
    <xf numFmtId="169" fontId="30" fillId="0" borderId="0" xfId="106" applyNumberFormat="1" applyFont="1" applyBorder="1"/>
    <xf numFmtId="0" fontId="30" fillId="0" borderId="42" xfId="106" applyFont="1" applyBorder="1"/>
    <xf numFmtId="169" fontId="46" fillId="16" borderId="29" xfId="106" applyNumberFormat="1" applyFont="1" applyFill="1" applyBorder="1"/>
    <xf numFmtId="0" fontId="27" fillId="0" borderId="66" xfId="10" applyFont="1" applyBorder="1" applyAlignment="1"/>
    <xf numFmtId="165" fontId="27" fillId="15" borderId="66" xfId="7" applyNumberFormat="1" applyFont="1" applyFill="1" applyBorder="1" applyAlignment="1" applyProtection="1"/>
    <xf numFmtId="0" fontId="27" fillId="15" borderId="66" xfId="10" applyFont="1" applyFill="1" applyBorder="1" applyAlignment="1">
      <alignment wrapText="1"/>
    </xf>
    <xf numFmtId="0" fontId="27" fillId="15" borderId="66" xfId="9" applyFont="1" applyFill="1" applyBorder="1" applyAlignment="1">
      <alignment wrapText="1"/>
    </xf>
    <xf numFmtId="169" fontId="27" fillId="15" borderId="66" xfId="3" applyFont="1" applyFill="1" applyBorder="1" applyAlignment="1">
      <alignment wrapText="1"/>
    </xf>
    <xf numFmtId="0" fontId="27" fillId="15" borderId="63" xfId="10" applyFont="1" applyFill="1" applyBorder="1" applyAlignment="1">
      <alignment wrapText="1"/>
    </xf>
    <xf numFmtId="0" fontId="27" fillId="0" borderId="66" xfId="22" applyNumberFormat="1" applyFont="1" applyFill="1" applyBorder="1" applyAlignment="1"/>
    <xf numFmtId="172" fontId="27" fillId="0" borderId="5" xfId="10" applyNumberFormat="1" applyFont="1" applyFill="1" applyBorder="1"/>
    <xf numFmtId="0" fontId="27" fillId="0" borderId="5" xfId="10" applyFont="1" applyFill="1" applyBorder="1"/>
    <xf numFmtId="0" fontId="27" fillId="0" borderId="66" xfId="22" applyNumberFormat="1" applyFont="1" applyFill="1" applyBorder="1"/>
    <xf numFmtId="0" fontId="27" fillId="0" borderId="5" xfId="10" applyFont="1" applyFill="1" applyBorder="1" applyAlignment="1">
      <alignment wrapText="1"/>
    </xf>
    <xf numFmtId="0" fontId="27" fillId="0" borderId="50" xfId="10" applyFont="1" applyFill="1" applyBorder="1"/>
    <xf numFmtId="0" fontId="46" fillId="16" borderId="86" xfId="106" applyFont="1" applyFill="1" applyBorder="1"/>
    <xf numFmtId="0" fontId="46" fillId="16" borderId="87" xfId="106" applyFont="1" applyFill="1" applyBorder="1"/>
    <xf numFmtId="0" fontId="30" fillId="0" borderId="0" xfId="106" applyFont="1" applyBorder="1" applyAlignment="1">
      <alignment horizontal="left"/>
    </xf>
    <xf numFmtId="0" fontId="46" fillId="16" borderId="2" xfId="106" applyFont="1" applyFill="1" applyBorder="1"/>
    <xf numFmtId="0" fontId="29" fillId="0" borderId="0" xfId="13" applyBorder="1"/>
    <xf numFmtId="37" fontId="30" fillId="0" borderId="0" xfId="106" applyNumberFormat="1" applyFont="1" applyBorder="1"/>
    <xf numFmtId="0" fontId="1" fillId="0" borderId="46" xfId="106" applyBorder="1"/>
    <xf numFmtId="169" fontId="30" fillId="0" borderId="47" xfId="106" applyNumberFormat="1" applyFont="1" applyBorder="1"/>
    <xf numFmtId="0" fontId="46" fillId="16" borderId="88" xfId="106" applyFont="1" applyFill="1" applyBorder="1"/>
    <xf numFmtId="0" fontId="30" fillId="0" borderId="47" xfId="106" applyFont="1" applyBorder="1"/>
    <xf numFmtId="0" fontId="30" fillId="0" borderId="47" xfId="106" applyFont="1" applyBorder="1" applyAlignment="1">
      <alignment horizontal="right"/>
    </xf>
    <xf numFmtId="0" fontId="46" fillId="16" borderId="88" xfId="106" applyFont="1" applyFill="1" applyBorder="1" applyAlignment="1">
      <alignment horizontal="left"/>
    </xf>
    <xf numFmtId="0" fontId="46" fillId="16" borderId="89" xfId="106" applyFont="1" applyFill="1" applyBorder="1"/>
    <xf numFmtId="0" fontId="1" fillId="0" borderId="63" xfId="106" applyBorder="1"/>
    <xf numFmtId="0" fontId="27" fillId="0" borderId="77" xfId="9" applyFont="1" applyFill="1" applyBorder="1" applyAlignment="1">
      <alignment wrapText="1"/>
    </xf>
    <xf numFmtId="171" fontId="30" fillId="0" borderId="47" xfId="106" applyNumberFormat="1" applyFont="1" applyBorder="1"/>
    <xf numFmtId="0" fontId="46" fillId="0" borderId="0" xfId="106" applyFont="1" applyBorder="1" applyAlignment="1"/>
    <xf numFmtId="0" fontId="27" fillId="0" borderId="0" xfId="10" applyFont="1" applyBorder="1" applyAlignment="1">
      <alignment horizontal="left"/>
    </xf>
    <xf numFmtId="0" fontId="29" fillId="16" borderId="2" xfId="13" applyFill="1" applyBorder="1"/>
    <xf numFmtId="0" fontId="1" fillId="0" borderId="39" xfId="106" applyBorder="1"/>
    <xf numFmtId="0" fontId="1" fillId="0" borderId="40" xfId="106" applyBorder="1"/>
    <xf numFmtId="1" fontId="27" fillId="0" borderId="66" xfId="90" applyNumberFormat="1" applyFont="1" applyFill="1" applyBorder="1"/>
    <xf numFmtId="171" fontId="27" fillId="0" borderId="5" xfId="10" applyNumberFormat="1" applyFont="1" applyFill="1" applyBorder="1"/>
    <xf numFmtId="0" fontId="30" fillId="0" borderId="50" xfId="106" applyFont="1" applyBorder="1"/>
    <xf numFmtId="169" fontId="34" fillId="13" borderId="5" xfId="106" applyNumberFormat="1" applyFont="1" applyFill="1" applyBorder="1"/>
    <xf numFmtId="0" fontId="34" fillId="13" borderId="5" xfId="106" applyFont="1" applyFill="1" applyBorder="1" applyAlignment="1">
      <alignment horizontal="right"/>
    </xf>
    <xf numFmtId="165" fontId="12" fillId="0" borderId="66" xfId="7" applyNumberFormat="1" applyFont="1" applyFill="1" applyBorder="1" applyAlignment="1" applyProtection="1"/>
    <xf numFmtId="192" fontId="27" fillId="0" borderId="66" xfId="18" applyNumberFormat="1" applyFont="1" applyFill="1" applyBorder="1" applyAlignment="1" applyProtection="1">
      <alignment vertical="center" wrapText="1"/>
    </xf>
    <xf numFmtId="191" fontId="34" fillId="13" borderId="66" xfId="106" applyNumberFormat="1" applyFont="1" applyFill="1" applyBorder="1"/>
    <xf numFmtId="165" fontId="27" fillId="0" borderId="66" xfId="7" applyNumberFormat="1" applyFont="1" applyBorder="1" applyAlignment="1" applyProtection="1">
      <alignment horizontal="left"/>
    </xf>
    <xf numFmtId="0" fontId="27" fillId="0" borderId="66" xfId="106" applyFont="1" applyBorder="1"/>
    <xf numFmtId="0" fontId="27" fillId="0" borderId="5" xfId="10" applyFont="1" applyBorder="1"/>
    <xf numFmtId="169" fontId="27" fillId="0" borderId="5" xfId="3" applyFont="1" applyFill="1" applyBorder="1"/>
    <xf numFmtId="165" fontId="27" fillId="0" borderId="90" xfId="7" applyNumberFormat="1" applyFont="1" applyBorder="1" applyAlignment="1" applyProtection="1"/>
    <xf numFmtId="165" fontId="27" fillId="0" borderId="91" xfId="7" applyNumberFormat="1" applyFont="1" applyBorder="1" applyAlignment="1" applyProtection="1"/>
    <xf numFmtId="0" fontId="27" fillId="0" borderId="64" xfId="106" applyFont="1" applyFill="1" applyBorder="1"/>
    <xf numFmtId="169" fontId="27" fillId="0" borderId="64" xfId="3" applyFont="1" applyFill="1" applyBorder="1"/>
    <xf numFmtId="0" fontId="27" fillId="0" borderId="58" xfId="10" applyFont="1" applyFill="1" applyBorder="1"/>
    <xf numFmtId="0" fontId="27" fillId="0" borderId="58" xfId="10" applyFont="1" applyBorder="1"/>
    <xf numFmtId="169" fontId="27" fillId="0" borderId="58" xfId="3" applyFont="1" applyFill="1" applyBorder="1"/>
    <xf numFmtId="0" fontId="27" fillId="0" borderId="58" xfId="10" applyNumberFormat="1" applyFont="1" applyFill="1" applyBorder="1"/>
    <xf numFmtId="0" fontId="13" fillId="0" borderId="0" xfId="10"/>
    <xf numFmtId="0" fontId="13" fillId="0" borderId="41" xfId="10" applyBorder="1"/>
    <xf numFmtId="0" fontId="13" fillId="0" borderId="0" xfId="10" applyBorder="1"/>
    <xf numFmtId="0" fontId="27" fillId="0" borderId="64" xfId="106" applyFont="1" applyBorder="1"/>
    <xf numFmtId="0" fontId="27" fillId="0" borderId="64" xfId="106" applyFont="1" applyBorder="1" applyAlignment="1">
      <alignment wrapText="1"/>
    </xf>
    <xf numFmtId="2" fontId="27" fillId="0" borderId="64" xfId="106" applyNumberFormat="1" applyFont="1" applyBorder="1" applyAlignment="1">
      <alignment wrapText="1"/>
    </xf>
    <xf numFmtId="0" fontId="37" fillId="0" borderId="64" xfId="9" applyFont="1" applyFill="1" applyBorder="1" applyAlignment="1">
      <alignment wrapText="1"/>
    </xf>
    <xf numFmtId="165" fontId="27" fillId="0" borderId="64" xfId="7" applyNumberFormat="1" applyFont="1" applyBorder="1" applyAlignment="1" applyProtection="1">
      <alignment wrapText="1"/>
    </xf>
    <xf numFmtId="0" fontId="27" fillId="0" borderId="64" xfId="7" applyNumberFormat="1" applyFont="1" applyBorder="1" applyAlignment="1">
      <alignment wrapText="1"/>
    </xf>
    <xf numFmtId="0" fontId="27" fillId="0" borderId="64" xfId="10" applyFont="1" applyFill="1" applyBorder="1"/>
    <xf numFmtId="0" fontId="34" fillId="13" borderId="64" xfId="106" applyFont="1" applyFill="1" applyBorder="1"/>
    <xf numFmtId="191" fontId="34" fillId="13" borderId="64" xfId="106" applyNumberFormat="1" applyFont="1" applyFill="1" applyBorder="1"/>
    <xf numFmtId="0" fontId="34" fillId="13" borderId="64" xfId="106" applyFont="1" applyFill="1" applyBorder="1" applyAlignment="1">
      <alignment horizontal="right"/>
    </xf>
    <xf numFmtId="2" fontId="12" fillId="0" borderId="64" xfId="7" applyNumberFormat="1" applyFont="1" applyBorder="1" applyAlignment="1" applyProtection="1"/>
    <xf numFmtId="3" fontId="1" fillId="0" borderId="64" xfId="106" applyNumberFormat="1" applyBorder="1" applyAlignment="1"/>
    <xf numFmtId="11" fontId="12" fillId="0" borderId="64" xfId="7" applyNumberFormat="1" applyFont="1" applyBorder="1" applyAlignment="1" applyProtection="1"/>
    <xf numFmtId="172" fontId="12" fillId="0" borderId="64" xfId="7" applyNumberFormat="1" applyFont="1" applyBorder="1" applyAlignment="1" applyProtection="1"/>
    <xf numFmtId="11" fontId="12" fillId="0" borderId="64" xfId="106" applyNumberFormat="1" applyFont="1" applyBorder="1" applyAlignment="1"/>
    <xf numFmtId="164" fontId="12" fillId="0" borderId="64" xfId="7" applyNumberFormat="1" applyFont="1" applyBorder="1" applyAlignment="1" applyProtection="1"/>
    <xf numFmtId="0" fontId="12" fillId="0" borderId="64" xfId="106" applyFont="1" applyBorder="1" applyAlignment="1"/>
    <xf numFmtId="0" fontId="12" fillId="0" borderId="64" xfId="106" applyFont="1" applyBorder="1" applyAlignment="1" applyProtection="1"/>
    <xf numFmtId="169" fontId="27" fillId="0" borderId="64" xfId="18" applyNumberFormat="1" applyFont="1" applyFill="1" applyBorder="1"/>
    <xf numFmtId="0" fontId="27" fillId="0" borderId="64" xfId="90" applyNumberFormat="1" applyFont="1" applyFill="1" applyBorder="1"/>
    <xf numFmtId="11" fontId="27" fillId="0" borderId="64" xfId="90" applyNumberFormat="1" applyFont="1" applyFill="1" applyBorder="1"/>
    <xf numFmtId="170" fontId="27" fillId="0" borderId="64" xfId="90" applyFont="1" applyFill="1" applyBorder="1"/>
    <xf numFmtId="178" fontId="27" fillId="0" borderId="64" xfId="90" applyNumberFormat="1" applyFont="1" applyFill="1" applyBorder="1"/>
    <xf numFmtId="2" fontId="27" fillId="0" borderId="64" xfId="18" applyNumberFormat="1" applyFont="1" applyFill="1" applyBorder="1"/>
    <xf numFmtId="11" fontId="27" fillId="0" borderId="64" xfId="106" applyNumberFormat="1" applyFont="1" applyFill="1" applyBorder="1"/>
    <xf numFmtId="0" fontId="34" fillId="13" borderId="92" xfId="106" applyFont="1" applyFill="1" applyBorder="1"/>
    <xf numFmtId="0" fontId="34" fillId="13" borderId="93" xfId="106" applyFont="1" applyFill="1" applyBorder="1"/>
    <xf numFmtId="0" fontId="27" fillId="0" borderId="0" xfId="107" applyFont="1" applyFill="1" applyBorder="1"/>
    <xf numFmtId="0" fontId="27" fillId="0" borderId="38" xfId="107" applyFont="1" applyFill="1" applyBorder="1"/>
    <xf numFmtId="0" fontId="27" fillId="0" borderId="39" xfId="107" applyFont="1" applyFill="1" applyBorder="1"/>
    <xf numFmtId="169" fontId="27" fillId="0" borderId="39" xfId="107" applyNumberFormat="1" applyFont="1" applyFill="1" applyBorder="1"/>
    <xf numFmtId="0" fontId="27" fillId="0" borderId="39" xfId="107" applyFont="1" applyFill="1" applyBorder="1" applyAlignment="1">
      <alignment horizontal="right"/>
    </xf>
    <xf numFmtId="0" fontId="27" fillId="0" borderId="40" xfId="107" applyFont="1" applyFill="1" applyBorder="1"/>
    <xf numFmtId="0" fontId="34" fillId="0" borderId="0" xfId="107" applyFont="1" applyFill="1" applyBorder="1"/>
    <xf numFmtId="0" fontId="34" fillId="0" borderId="41" xfId="107" applyFont="1" applyFill="1" applyBorder="1"/>
    <xf numFmtId="169" fontId="34" fillId="14" borderId="66" xfId="107" applyNumberFormat="1" applyFont="1" applyFill="1" applyBorder="1"/>
    <xf numFmtId="0" fontId="34" fillId="14" borderId="66" xfId="107" applyFont="1" applyFill="1" applyBorder="1" applyAlignment="1">
      <alignment horizontal="right"/>
    </xf>
    <xf numFmtId="0" fontId="34" fillId="0" borderId="42" xfId="107" applyFont="1" applyFill="1" applyBorder="1"/>
    <xf numFmtId="0" fontId="27" fillId="0" borderId="41" xfId="107" applyFont="1" applyFill="1" applyBorder="1"/>
    <xf numFmtId="0" fontId="27" fillId="0" borderId="66" xfId="107" applyFont="1" applyFill="1" applyBorder="1"/>
    <xf numFmtId="0" fontId="27" fillId="0" borderId="66" xfId="107" applyNumberFormat="1" applyFont="1" applyFill="1" applyBorder="1"/>
    <xf numFmtId="0" fontId="27" fillId="0" borderId="94" xfId="107" applyFont="1" applyFill="1" applyBorder="1"/>
    <xf numFmtId="0" fontId="27" fillId="0" borderId="5" xfId="107" applyFont="1" applyFill="1" applyBorder="1"/>
    <xf numFmtId="0" fontId="27" fillId="0" borderId="5" xfId="107" applyNumberFormat="1" applyFont="1" applyFill="1" applyBorder="1" applyAlignment="1">
      <alignment horizontal="left"/>
    </xf>
    <xf numFmtId="0" fontId="27" fillId="0" borderId="50" xfId="107" applyFont="1" applyFill="1" applyBorder="1"/>
    <xf numFmtId="0" fontId="34" fillId="14" borderId="66" xfId="107" applyFont="1" applyFill="1" applyBorder="1"/>
    <xf numFmtId="0" fontId="34" fillId="14" borderId="94" xfId="107" applyFont="1" applyFill="1" applyBorder="1"/>
    <xf numFmtId="0" fontId="27" fillId="0" borderId="42" xfId="107" applyFont="1" applyFill="1" applyBorder="1"/>
    <xf numFmtId="191" fontId="34" fillId="14" borderId="66" xfId="107" applyNumberFormat="1" applyFont="1" applyFill="1" applyBorder="1"/>
    <xf numFmtId="181" fontId="27" fillId="0" borderId="5" xfId="90" applyNumberFormat="1" applyFont="1" applyFill="1" applyBorder="1"/>
    <xf numFmtId="11" fontId="27" fillId="0" borderId="5" xfId="90" applyNumberFormat="1" applyFont="1" applyFill="1" applyBorder="1"/>
    <xf numFmtId="2" fontId="27" fillId="0" borderId="5" xfId="18" applyNumberFormat="1" applyFont="1" applyFill="1" applyBorder="1"/>
    <xf numFmtId="193" fontId="27" fillId="0" borderId="5" xfId="107" applyNumberFormat="1" applyFont="1" applyFill="1" applyBorder="1"/>
    <xf numFmtId="0" fontId="27" fillId="0" borderId="0" xfId="107" applyFont="1" applyFill="1" applyBorder="1" applyAlignment="1">
      <alignment horizontal="left"/>
    </xf>
    <xf numFmtId="0" fontId="41" fillId="0" borderId="41" xfId="107" applyFont="1" applyFill="1" applyBorder="1"/>
    <xf numFmtId="0" fontId="29" fillId="14" borderId="66" xfId="13" applyFill="1" applyBorder="1"/>
    <xf numFmtId="0" fontId="30" fillId="0" borderId="0" xfId="107" applyFont="1" applyBorder="1" applyAlignment="1">
      <alignment horizontal="right"/>
    </xf>
    <xf numFmtId="0" fontId="27" fillId="0" borderId="46" xfId="107" applyFont="1" applyFill="1" applyBorder="1"/>
    <xf numFmtId="0" fontId="34" fillId="14" borderId="95" xfId="107" applyFont="1" applyFill="1" applyBorder="1"/>
    <xf numFmtId="0" fontId="27" fillId="0" borderId="47" xfId="107" applyFont="1" applyFill="1" applyBorder="1"/>
    <xf numFmtId="0" fontId="27" fillId="0" borderId="47" xfId="107" quotePrefix="1" applyFont="1" applyFill="1" applyBorder="1" applyAlignment="1">
      <alignment horizontal="right"/>
    </xf>
    <xf numFmtId="0" fontId="34" fillId="14" borderId="95" xfId="107" applyFont="1" applyFill="1" applyBorder="1" applyAlignment="1">
      <alignment horizontal="left"/>
    </xf>
    <xf numFmtId="0" fontId="29" fillId="0" borderId="47" xfId="108" applyFill="1" applyBorder="1"/>
    <xf numFmtId="0" fontId="34" fillId="14" borderId="96" xfId="107" applyFont="1" applyFill="1" applyBorder="1"/>
    <xf numFmtId="169" fontId="34" fillId="13" borderId="66" xfId="107" applyNumberFormat="1" applyFont="1" applyFill="1" applyBorder="1"/>
    <xf numFmtId="0" fontId="34" fillId="13" borderId="66" xfId="107" applyFont="1" applyFill="1" applyBorder="1" applyAlignment="1">
      <alignment horizontal="right"/>
    </xf>
    <xf numFmtId="169" fontId="27" fillId="0" borderId="66" xfId="3" applyNumberFormat="1" applyFont="1" applyFill="1" applyBorder="1"/>
    <xf numFmtId="0" fontId="27" fillId="0" borderId="66" xfId="105" applyFont="1" applyFill="1" applyBorder="1"/>
    <xf numFmtId="0" fontId="34" fillId="13" borderId="66" xfId="107" applyFont="1" applyFill="1" applyBorder="1"/>
    <xf numFmtId="0" fontId="34" fillId="13" borderId="94" xfId="107" applyFont="1" applyFill="1" applyBorder="1"/>
    <xf numFmtId="169" fontId="27" fillId="0" borderId="0" xfId="107" applyNumberFormat="1" applyFont="1" applyFill="1" applyBorder="1"/>
    <xf numFmtId="0" fontId="27" fillId="0" borderId="0" xfId="107" applyFont="1" applyFill="1" applyBorder="1" applyAlignment="1">
      <alignment horizontal="right"/>
    </xf>
    <xf numFmtId="0" fontId="47" fillId="0" borderId="0" xfId="107" applyFont="1" applyFill="1" applyBorder="1"/>
    <xf numFmtId="171" fontId="27" fillId="0" borderId="66" xfId="107" applyNumberFormat="1" applyFont="1" applyFill="1" applyBorder="1"/>
    <xf numFmtId="0" fontId="13" fillId="0" borderId="0" xfId="105"/>
    <xf numFmtId="0" fontId="13" fillId="0" borderId="0" xfId="105" applyBorder="1"/>
    <xf numFmtId="0" fontId="13" fillId="0" borderId="41" xfId="105" applyBorder="1"/>
    <xf numFmtId="0" fontId="47" fillId="0" borderId="0" xfId="105" applyFont="1" applyBorder="1"/>
    <xf numFmtId="0" fontId="27" fillId="0" borderId="66" xfId="105" applyNumberFormat="1" applyFont="1" applyFill="1" applyBorder="1"/>
    <xf numFmtId="0" fontId="27" fillId="0" borderId="66" xfId="105" applyFont="1" applyFill="1" applyBorder="1" applyAlignment="1">
      <alignment wrapText="1"/>
    </xf>
    <xf numFmtId="0" fontId="27" fillId="0" borderId="94" xfId="105" applyFont="1" applyFill="1" applyBorder="1"/>
    <xf numFmtId="171" fontId="27" fillId="0" borderId="66" xfId="105" applyNumberFormat="1" applyFont="1" applyFill="1" applyBorder="1"/>
    <xf numFmtId="0" fontId="27" fillId="0" borderId="66" xfId="105" applyNumberFormat="1" applyFont="1" applyFill="1" applyBorder="1" applyAlignment="1">
      <alignment wrapText="1"/>
    </xf>
    <xf numFmtId="172" fontId="27" fillId="0" borderId="66" xfId="107" applyNumberFormat="1" applyFont="1" applyFill="1" applyBorder="1"/>
    <xf numFmtId="191" fontId="34" fillId="13" borderId="66" xfId="107" applyNumberFormat="1" applyFont="1" applyFill="1" applyBorder="1"/>
    <xf numFmtId="2" fontId="27" fillId="0" borderId="66" xfId="3" applyNumberFormat="1" applyFont="1" applyFill="1" applyBorder="1"/>
    <xf numFmtId="11" fontId="27" fillId="0" borderId="66" xfId="107" applyNumberFormat="1" applyFont="1" applyFill="1" applyBorder="1"/>
    <xf numFmtId="0" fontId="27" fillId="0" borderId="66" xfId="107" applyFont="1" applyFill="1" applyBorder="1" applyAlignment="1" applyProtection="1">
      <alignment vertical="center" wrapText="1"/>
    </xf>
    <xf numFmtId="0" fontId="13" fillId="0" borderId="0" xfId="105" applyFill="1"/>
    <xf numFmtId="0" fontId="13" fillId="0" borderId="0" xfId="105" applyFill="1" applyBorder="1"/>
    <xf numFmtId="0" fontId="13" fillId="0" borderId="41" xfId="105" applyFill="1" applyBorder="1" applyAlignment="1"/>
    <xf numFmtId="165" fontId="27" fillId="0" borderId="66" xfId="7" applyNumberFormat="1" applyFont="1" applyFill="1" applyBorder="1" applyAlignment="1" applyProtection="1">
      <alignment vertical="center"/>
    </xf>
    <xf numFmtId="0" fontId="27" fillId="0" borderId="66" xfId="22" applyNumberFormat="1" applyFont="1" applyFill="1" applyBorder="1" applyAlignment="1">
      <alignment vertical="center"/>
    </xf>
    <xf numFmtId="0" fontId="27" fillId="0" borderId="66" xfId="90" applyNumberFormat="1" applyFont="1" applyFill="1" applyBorder="1" applyAlignment="1">
      <alignment horizontal="left" vertical="center"/>
    </xf>
    <xf numFmtId="172" fontId="27" fillId="0" borderId="66" xfId="90" applyNumberFormat="1" applyFont="1" applyFill="1" applyBorder="1" applyAlignment="1">
      <alignment horizontal="left" vertical="center"/>
    </xf>
    <xf numFmtId="11" fontId="27" fillId="0" borderId="66" xfId="90" applyNumberFormat="1" applyFont="1" applyFill="1" applyBorder="1" applyAlignment="1">
      <alignment horizontal="left" vertical="center"/>
    </xf>
    <xf numFmtId="11" fontId="27" fillId="0" borderId="66" xfId="105" applyNumberFormat="1" applyFont="1" applyFill="1" applyBorder="1" applyAlignment="1">
      <alignment vertical="center"/>
    </xf>
    <xf numFmtId="170" fontId="27" fillId="0" borderId="66" xfId="90" applyFont="1" applyFill="1" applyBorder="1" applyAlignment="1">
      <alignment vertical="center"/>
    </xf>
    <xf numFmtId="0" fontId="27" fillId="0" borderId="66" xfId="105" applyFont="1" applyFill="1" applyBorder="1" applyAlignment="1">
      <alignment vertical="center"/>
    </xf>
    <xf numFmtId="1" fontId="27" fillId="0" borderId="66" xfId="105" applyNumberFormat="1" applyFont="1" applyFill="1" applyBorder="1" applyAlignment="1">
      <alignment horizontal="right" vertical="center"/>
    </xf>
    <xf numFmtId="169" fontId="27" fillId="0" borderId="66" xfId="18" applyFont="1" applyFill="1" applyBorder="1" applyAlignment="1">
      <alignment vertical="center"/>
    </xf>
    <xf numFmtId="0" fontId="27" fillId="0" borderId="94" xfId="105" applyFont="1" applyFill="1" applyBorder="1" applyAlignment="1">
      <alignment vertical="center"/>
    </xf>
    <xf numFmtId="191" fontId="27" fillId="0" borderId="66" xfId="3" applyNumberFormat="1" applyFont="1" applyFill="1" applyBorder="1"/>
    <xf numFmtId="0" fontId="41" fillId="0" borderId="0" xfId="107" applyFont="1" applyFill="1" applyBorder="1"/>
    <xf numFmtId="0" fontId="48" fillId="0" borderId="0" xfId="107" applyFont="1" applyFill="1" applyBorder="1"/>
    <xf numFmtId="0" fontId="34" fillId="13" borderId="92" xfId="107" applyFont="1" applyFill="1" applyBorder="1"/>
    <xf numFmtId="0" fontId="34" fillId="13" borderId="93" xfId="107" applyFont="1" applyFill="1" applyBorder="1"/>
    <xf numFmtId="169" fontId="27" fillId="0" borderId="0" xfId="3" applyNumberFormat="1" applyFont="1" applyFill="1" applyBorder="1"/>
    <xf numFmtId="169" fontId="27" fillId="0" borderId="47" xfId="3" applyNumberFormat="1" applyFont="1" applyFill="1" applyBorder="1"/>
    <xf numFmtId="0" fontId="34" fillId="13" borderId="84" xfId="107" applyFont="1" applyFill="1" applyBorder="1"/>
    <xf numFmtId="0" fontId="34" fillId="13" borderId="85" xfId="107" applyFont="1" applyFill="1" applyBorder="1"/>
    <xf numFmtId="169" fontId="34" fillId="14" borderId="5" xfId="107" applyNumberFormat="1" applyFont="1" applyFill="1" applyBorder="1"/>
    <xf numFmtId="0" fontId="34" fillId="14" borderId="5" xfId="107" applyFont="1" applyFill="1" applyBorder="1" applyAlignment="1">
      <alignment horizontal="right"/>
    </xf>
    <xf numFmtId="0" fontId="27" fillId="0" borderId="64" xfId="107" applyFont="1" applyFill="1" applyBorder="1"/>
    <xf numFmtId="0" fontId="27" fillId="0" borderId="64" xfId="107" applyNumberFormat="1" applyFont="1" applyFill="1" applyBorder="1"/>
    <xf numFmtId="0" fontId="27" fillId="0" borderId="63" xfId="107" applyFont="1" applyFill="1" applyBorder="1"/>
    <xf numFmtId="1" fontId="27" fillId="0" borderId="64" xfId="107" applyNumberFormat="1" applyFont="1" applyFill="1" applyBorder="1"/>
    <xf numFmtId="0" fontId="27" fillId="0" borderId="64" xfId="107" applyNumberFormat="1" applyFont="1" applyFill="1" applyBorder="1" applyAlignment="1">
      <alignment horizontal="left"/>
    </xf>
    <xf numFmtId="0" fontId="34" fillId="14" borderId="64" xfId="107" applyFont="1" applyFill="1" applyBorder="1"/>
    <xf numFmtId="0" fontId="34" fillId="14" borderId="63" xfId="107" applyFont="1" applyFill="1" applyBorder="1"/>
    <xf numFmtId="191" fontId="34" fillId="14" borderId="5" xfId="107" applyNumberFormat="1" applyFont="1" applyFill="1" applyBorder="1"/>
    <xf numFmtId="172" fontId="27" fillId="0" borderId="64" xfId="107" applyNumberFormat="1" applyFont="1" applyFill="1" applyBorder="1"/>
    <xf numFmtId="194" fontId="30" fillId="0" borderId="0" xfId="93" applyNumberFormat="1" applyFont="1" applyFill="1" applyBorder="1" applyAlignment="1" applyProtection="1">
      <alignment vertical="center" wrapText="1"/>
    </xf>
    <xf numFmtId="37" fontId="27" fillId="0" borderId="64" xfId="90" applyNumberFormat="1" applyFont="1" applyFill="1" applyBorder="1"/>
    <xf numFmtId="0" fontId="29" fillId="14" borderId="64" xfId="13" applyFill="1" applyBorder="1"/>
    <xf numFmtId="169" fontId="27" fillId="0" borderId="95" xfId="18" applyNumberFormat="1" applyFont="1" applyFill="1" applyBorder="1"/>
    <xf numFmtId="0" fontId="27" fillId="0" borderId="95" xfId="107" quotePrefix="1" applyFont="1" applyFill="1" applyBorder="1" applyAlignment="1">
      <alignment horizontal="right"/>
    </xf>
    <xf numFmtId="0" fontId="27" fillId="0" borderId="0" xfId="107" applyNumberFormat="1" applyFont="1" applyFill="1" applyBorder="1"/>
    <xf numFmtId="0" fontId="27" fillId="0" borderId="66" xfId="107" applyNumberFormat="1" applyFont="1" applyFill="1" applyBorder="1" applyAlignment="1">
      <alignment horizontal="left"/>
    </xf>
    <xf numFmtId="181" fontId="27" fillId="0" borderId="66" xfId="90" applyNumberFormat="1" applyFont="1" applyFill="1" applyBorder="1"/>
    <xf numFmtId="193" fontId="27" fillId="0" borderId="66" xfId="107" applyNumberFormat="1" applyFont="1" applyFill="1" applyBorder="1"/>
    <xf numFmtId="0" fontId="13" fillId="0" borderId="42" xfId="106" applyFont="1" applyFill="1" applyBorder="1"/>
    <xf numFmtId="0" fontId="34" fillId="14" borderId="93" xfId="107" applyFont="1" applyFill="1" applyBorder="1"/>
    <xf numFmtId="0" fontId="29" fillId="14" borderId="93" xfId="13" applyFill="1" applyBorder="1"/>
    <xf numFmtId="0" fontId="34" fillId="14" borderId="84" xfId="107" applyFont="1" applyFill="1" applyBorder="1"/>
    <xf numFmtId="0" fontId="34" fillId="14" borderId="84" xfId="107" applyFont="1" applyFill="1" applyBorder="1" applyAlignment="1">
      <alignment horizontal="left"/>
    </xf>
    <xf numFmtId="0" fontId="1" fillId="0" borderId="0" xfId="107"/>
    <xf numFmtId="174" fontId="27" fillId="0" borderId="66" xfId="107" applyNumberFormat="1" applyFont="1" applyFill="1" applyBorder="1"/>
    <xf numFmtId="0" fontId="13" fillId="0" borderId="41" xfId="105" applyFont="1" applyBorder="1"/>
    <xf numFmtId="0" fontId="13" fillId="0" borderId="0" xfId="105" applyFont="1" applyBorder="1"/>
    <xf numFmtId="174" fontId="27" fillId="0" borderId="66" xfId="105" applyNumberFormat="1" applyFont="1" applyFill="1" applyBorder="1"/>
    <xf numFmtId="0" fontId="13" fillId="0" borderId="41" xfId="105" applyBorder="1" applyAlignment="1">
      <alignment wrapText="1"/>
    </xf>
    <xf numFmtId="0" fontId="13" fillId="0" borderId="0" xfId="105" applyBorder="1" applyAlignment="1">
      <alignment wrapText="1"/>
    </xf>
    <xf numFmtId="0" fontId="13" fillId="0" borderId="41" xfId="105" applyBorder="1" applyAlignment="1"/>
    <xf numFmtId="11" fontId="27" fillId="0" borderId="66" xfId="105" applyNumberFormat="1" applyFont="1" applyFill="1" applyBorder="1"/>
    <xf numFmtId="172" fontId="27" fillId="0" borderId="66" xfId="105" applyNumberFormat="1" applyFont="1" applyFill="1" applyBorder="1"/>
    <xf numFmtId="0" fontId="27" fillId="0" borderId="55" xfId="105" applyFont="1" applyFill="1" applyBorder="1"/>
    <xf numFmtId="0" fontId="27" fillId="0" borderId="94" xfId="105" applyFont="1" applyBorder="1" applyAlignment="1"/>
    <xf numFmtId="0" fontId="34" fillId="14" borderId="55" xfId="107" applyFont="1" applyFill="1" applyBorder="1"/>
    <xf numFmtId="37" fontId="27" fillId="15" borderId="66" xfId="90" applyNumberFormat="1" applyFont="1" applyFill="1" applyBorder="1"/>
    <xf numFmtId="0" fontId="34" fillId="0" borderId="0" xfId="107" applyFont="1" applyFill="1" applyBorder="1" applyAlignment="1"/>
    <xf numFmtId="191" fontId="34" fillId="14" borderId="66" xfId="107" applyNumberFormat="1" applyFont="1" applyFill="1" applyBorder="1" applyAlignment="1"/>
    <xf numFmtId="0" fontId="34" fillId="0" borderId="42" xfId="107" applyFont="1" applyFill="1" applyBorder="1" applyAlignment="1"/>
    <xf numFmtId="0" fontId="27" fillId="0" borderId="0" xfId="107" applyFont="1" applyFill="1" applyBorder="1" applyAlignment="1"/>
    <xf numFmtId="0" fontId="27" fillId="0" borderId="66" xfId="105" applyFont="1" applyFill="1" applyBorder="1" applyAlignment="1"/>
    <xf numFmtId="0" fontId="27" fillId="0" borderId="94" xfId="105" applyFont="1" applyFill="1" applyBorder="1" applyAlignment="1"/>
    <xf numFmtId="0" fontId="34" fillId="14" borderId="66" xfId="107" applyFont="1" applyFill="1" applyBorder="1" applyAlignment="1"/>
    <xf numFmtId="0" fontId="34" fillId="14" borderId="94" xfId="107" applyFont="1" applyFill="1" applyBorder="1" applyAlignment="1"/>
    <xf numFmtId="169" fontId="27" fillId="0" borderId="0" xfId="107" applyNumberFormat="1" applyFont="1" applyFill="1" applyBorder="1" applyAlignment="1"/>
    <xf numFmtId="0" fontId="27" fillId="0" borderId="42" xfId="107" applyFont="1" applyFill="1" applyBorder="1" applyAlignment="1"/>
    <xf numFmtId="0" fontId="13" fillId="0" borderId="0" xfId="105" applyBorder="1" applyAlignment="1"/>
    <xf numFmtId="0" fontId="27" fillId="0" borderId="0" xfId="105" applyFont="1" applyFill="1" applyBorder="1" applyAlignment="1"/>
    <xf numFmtId="169" fontId="27" fillId="0" borderId="0" xfId="18" applyFont="1" applyFill="1" applyBorder="1" applyAlignment="1"/>
    <xf numFmtId="0" fontId="27" fillId="0" borderId="0" xfId="105" applyNumberFormat="1" applyFont="1" applyFill="1" applyBorder="1" applyAlignment="1"/>
    <xf numFmtId="0" fontId="27" fillId="0" borderId="42" xfId="105" applyFont="1" applyFill="1" applyBorder="1" applyAlignment="1"/>
    <xf numFmtId="0" fontId="27" fillId="0" borderId="66" xfId="105" applyNumberFormat="1" applyFont="1" applyFill="1" applyBorder="1" applyAlignment="1"/>
    <xf numFmtId="0" fontId="13" fillId="0" borderId="0" xfId="105" applyFont="1" applyBorder="1" applyAlignment="1"/>
    <xf numFmtId="0" fontId="23" fillId="0" borderId="97" xfId="9" applyFont="1" applyFill="1" applyBorder="1" applyAlignment="1">
      <alignment wrapText="1"/>
    </xf>
    <xf numFmtId="1" fontId="27" fillId="0" borderId="66" xfId="105" applyNumberFormat="1" applyFont="1" applyFill="1" applyBorder="1" applyAlignment="1"/>
    <xf numFmtId="2" fontId="27" fillId="0" borderId="66" xfId="105" applyNumberFormat="1" applyFont="1" applyFill="1" applyBorder="1" applyAlignment="1"/>
    <xf numFmtId="0" fontId="27" fillId="0" borderId="0" xfId="106" applyFont="1" applyBorder="1"/>
    <xf numFmtId="0" fontId="27" fillId="0" borderId="41" xfId="106" applyFont="1" applyBorder="1"/>
    <xf numFmtId="195" fontId="27" fillId="0" borderId="0" xfId="106" applyNumberFormat="1" applyFont="1" applyFill="1" applyBorder="1"/>
    <xf numFmtId="169" fontId="30" fillId="0" borderId="0" xfId="109" applyFont="1" applyFill="1" applyBorder="1">
      <alignment vertical="center" wrapText="1"/>
    </xf>
    <xf numFmtId="169" fontId="30" fillId="0" borderId="0" xfId="110" applyFont="1" applyFill="1" applyBorder="1">
      <alignment vertical="center" wrapText="1"/>
    </xf>
    <xf numFmtId="0" fontId="27" fillId="0" borderId="42" xfId="106" applyFont="1" applyBorder="1"/>
    <xf numFmtId="165" fontId="27" fillId="0" borderId="66" xfId="7" applyNumberFormat="1" applyFont="1" applyBorder="1" applyAlignment="1" applyProtection="1">
      <alignment vertical="center"/>
    </xf>
    <xf numFmtId="172" fontId="27" fillId="0" borderId="66" xfId="105" applyNumberFormat="1" applyFont="1" applyFill="1" applyBorder="1" applyAlignment="1">
      <alignment horizontal="left" vertical="center"/>
    </xf>
    <xf numFmtId="1" fontId="27" fillId="0" borderId="66" xfId="38" applyNumberFormat="1" applyFont="1" applyFill="1" applyBorder="1" applyAlignment="1"/>
    <xf numFmtId="175" fontId="27" fillId="0" borderId="66" xfId="38" applyNumberFormat="1" applyFont="1" applyFill="1" applyBorder="1" applyAlignment="1"/>
    <xf numFmtId="11" fontId="27" fillId="0" borderId="66" xfId="38" applyNumberFormat="1" applyFont="1" applyFill="1" applyBorder="1" applyAlignment="1"/>
    <xf numFmtId="43" fontId="27" fillId="0" borderId="66" xfId="38" applyFont="1" applyFill="1" applyBorder="1" applyAlignment="1"/>
    <xf numFmtId="0" fontId="29" fillId="0" borderId="0" xfId="13" applyFill="1" applyBorder="1" applyAlignment="1"/>
    <xf numFmtId="0" fontId="29" fillId="14" borderId="66" xfId="13" applyFill="1" applyBorder="1" applyAlignment="1"/>
    <xf numFmtId="0" fontId="34" fillId="14" borderId="95" xfId="107" applyFont="1" applyFill="1" applyBorder="1" applyAlignment="1"/>
    <xf numFmtId="0" fontId="27" fillId="0" borderId="47" xfId="107" applyFont="1" applyFill="1" applyBorder="1" applyAlignment="1"/>
    <xf numFmtId="0" fontId="34" fillId="14" borderId="96" xfId="107" applyFont="1" applyFill="1" applyBorder="1" applyAlignment="1"/>
    <xf numFmtId="0" fontId="27" fillId="0" borderId="41" xfId="107" applyFont="1" applyFill="1" applyBorder="1" applyAlignment="1"/>
    <xf numFmtId="169" fontId="27" fillId="0" borderId="66" xfId="18" applyNumberFormat="1" applyFont="1" applyFill="1" applyBorder="1" applyAlignment="1"/>
    <xf numFmtId="0" fontId="27" fillId="0" borderId="66" xfId="107" applyFont="1" applyFill="1" applyBorder="1" applyAlignment="1"/>
    <xf numFmtId="0" fontId="27" fillId="0" borderId="66" xfId="107" applyNumberFormat="1" applyFont="1" applyFill="1" applyBorder="1" applyAlignment="1"/>
    <xf numFmtId="0" fontId="27" fillId="0" borderId="94" xfId="107" applyFont="1" applyFill="1" applyBorder="1" applyAlignment="1"/>
    <xf numFmtId="0" fontId="27" fillId="0" borderId="66" xfId="107" applyNumberFormat="1" applyFont="1" applyFill="1" applyBorder="1" applyAlignment="1">
      <alignment wrapText="1"/>
    </xf>
    <xf numFmtId="0" fontId="47" fillId="0" borderId="0" xfId="107" applyFont="1" applyFill="1" applyBorder="1" applyAlignment="1"/>
    <xf numFmtId="11" fontId="27" fillId="0" borderId="66" xfId="107" applyNumberFormat="1" applyFont="1" applyFill="1" applyBorder="1" applyAlignment="1"/>
    <xf numFmtId="0" fontId="27" fillId="0" borderId="66" xfId="107" applyFont="1" applyFill="1" applyBorder="1" applyAlignment="1" applyProtection="1">
      <alignment horizontal="left" wrapText="1"/>
    </xf>
    <xf numFmtId="37" fontId="27" fillId="0" borderId="80" xfId="18" applyNumberFormat="1" applyFont="1" applyFill="1" applyBorder="1"/>
    <xf numFmtId="39" fontId="27" fillId="0" borderId="80" xfId="18" applyNumberFormat="1" applyFont="1" applyFill="1" applyBorder="1"/>
    <xf numFmtId="169" fontId="27" fillId="0" borderId="80" xfId="18" applyFont="1" applyFill="1" applyBorder="1"/>
    <xf numFmtId="0" fontId="27" fillId="0" borderId="80" xfId="105" applyFont="1" applyFill="1" applyBorder="1" applyAlignment="1">
      <alignment wrapText="1"/>
    </xf>
    <xf numFmtId="0" fontId="27" fillId="0" borderId="81" xfId="105" applyFont="1" applyFill="1" applyBorder="1"/>
    <xf numFmtId="0" fontId="34" fillId="14" borderId="80" xfId="107" applyFont="1" applyFill="1" applyBorder="1"/>
    <xf numFmtId="0" fontId="34" fillId="14" borderId="81" xfId="107" applyFont="1" applyFill="1" applyBorder="1"/>
    <xf numFmtId="169" fontId="34" fillId="14" borderId="80" xfId="107" applyNumberFormat="1" applyFont="1" applyFill="1" applyBorder="1"/>
    <xf numFmtId="0" fontId="34" fillId="14" borderId="80" xfId="107" applyFont="1" applyFill="1" applyBorder="1" applyAlignment="1">
      <alignment horizontal="right"/>
    </xf>
    <xf numFmtId="191" fontId="34" fillId="14" borderId="80" xfId="107" applyNumberFormat="1" applyFont="1" applyFill="1" applyBorder="1"/>
    <xf numFmtId="0" fontId="41" fillId="0" borderId="0" xfId="105" applyFont="1"/>
    <xf numFmtId="169" fontId="27" fillId="0" borderId="80" xfId="18" applyNumberFormat="1" applyFont="1" applyFill="1" applyBorder="1"/>
    <xf numFmtId="0" fontId="27" fillId="0" borderId="80" xfId="22" applyNumberFormat="1" applyFont="1" applyFill="1" applyBorder="1"/>
    <xf numFmtId="11" fontId="27" fillId="15" borderId="80" xfId="90" applyNumberFormat="1" applyFont="1" applyFill="1" applyBorder="1"/>
    <xf numFmtId="11" fontId="27" fillId="0" borderId="80" xfId="105" applyNumberFormat="1" applyFont="1" applyFill="1" applyBorder="1"/>
    <xf numFmtId="172" fontId="27" fillId="15" borderId="80" xfId="105" applyNumberFormat="1" applyFont="1" applyFill="1" applyBorder="1"/>
    <xf numFmtId="0" fontId="27" fillId="0" borderId="81" xfId="105" applyFont="1" applyBorder="1" applyAlignment="1"/>
    <xf numFmtId="174" fontId="27" fillId="0" borderId="80" xfId="105" applyNumberFormat="1" applyFont="1" applyFill="1" applyBorder="1"/>
    <xf numFmtId="0" fontId="27" fillId="0" borderId="95" xfId="107" applyFont="1" applyFill="1" applyBorder="1"/>
    <xf numFmtId="0" fontId="19" fillId="17" borderId="36" xfId="1" applyFont="1" applyFill="1" applyBorder="1" applyAlignment="1">
      <alignment horizontal="left"/>
    </xf>
    <xf numFmtId="0" fontId="19" fillId="17" borderId="80" xfId="1" applyFont="1" applyFill="1" applyBorder="1" applyProtection="1">
      <protection locked="0"/>
    </xf>
    <xf numFmtId="0" fontId="19" fillId="17" borderId="80" xfId="1" applyFont="1" applyFill="1" applyBorder="1" applyAlignment="1">
      <alignment horizontal="left"/>
    </xf>
    <xf numFmtId="18" fontId="19" fillId="17" borderId="80" xfId="1" applyNumberFormat="1" applyFont="1" applyFill="1" applyBorder="1" applyAlignment="1" applyProtection="1">
      <protection locked="0"/>
    </xf>
    <xf numFmtId="0" fontId="26" fillId="17" borderId="80" xfId="8" applyFill="1" applyBorder="1" applyAlignment="1">
      <alignment horizontal="left"/>
    </xf>
    <xf numFmtId="37" fontId="19" fillId="17" borderId="80" xfId="1" applyNumberFormat="1" applyFont="1" applyFill="1" applyBorder="1" applyAlignment="1" applyProtection="1">
      <alignment horizontal="center"/>
      <protection locked="0"/>
    </xf>
    <xf numFmtId="171" fontId="19" fillId="17" borderId="80" xfId="1" applyNumberFormat="1" applyFont="1" applyFill="1" applyBorder="1" applyAlignment="1" applyProtection="1">
      <alignment horizontal="center"/>
      <protection locked="0"/>
    </xf>
    <xf numFmtId="0" fontId="19" fillId="17" borderId="80" xfId="1" applyFont="1" applyFill="1" applyBorder="1" applyAlignment="1">
      <alignment horizontal="center"/>
    </xf>
    <xf numFmtId="18" fontId="19" fillId="17" borderId="80" xfId="1" applyNumberFormat="1" applyFont="1" applyFill="1" applyBorder="1" applyAlignment="1" applyProtection="1">
      <alignment horizontal="left"/>
      <protection locked="0"/>
    </xf>
    <xf numFmtId="171" fontId="19" fillId="17" borderId="36" xfId="5" applyNumberFormat="1" applyFont="1" applyFill="1" applyBorder="1" applyProtection="1">
      <protection locked="0"/>
    </xf>
    <xf numFmtId="171" fontId="19" fillId="17" borderId="36" xfId="1" applyNumberFormat="1" applyFont="1" applyFill="1" applyBorder="1" applyAlignment="1">
      <alignment horizontal="right"/>
    </xf>
    <xf numFmtId="0" fontId="34" fillId="14" borderId="98" xfId="106" applyFont="1" applyFill="1" applyBorder="1"/>
    <xf numFmtId="0" fontId="34" fillId="14" borderId="99" xfId="106" applyFont="1" applyFill="1" applyBorder="1"/>
    <xf numFmtId="0" fontId="34" fillId="14" borderId="81" xfId="106" applyFont="1" applyFill="1" applyBorder="1"/>
    <xf numFmtId="0" fontId="34" fillId="14" borderId="80" xfId="106" applyFont="1" applyFill="1" applyBorder="1"/>
    <xf numFmtId="0" fontId="27" fillId="0" borderId="81" xfId="10" applyFont="1" applyFill="1" applyBorder="1"/>
    <xf numFmtId="0" fontId="27" fillId="0" borderId="80" xfId="10" applyFont="1" applyFill="1" applyBorder="1" applyAlignment="1" applyProtection="1">
      <alignment wrapText="1"/>
    </xf>
    <xf numFmtId="0" fontId="27" fillId="0" borderId="80" xfId="10" applyFont="1" applyFill="1" applyBorder="1" applyAlignment="1">
      <alignment horizontal="left"/>
    </xf>
    <xf numFmtId="172" fontId="27" fillId="0" borderId="80" xfId="10" applyNumberFormat="1" applyFont="1" applyFill="1" applyBorder="1"/>
    <xf numFmtId="0" fontId="27" fillId="0" borderId="80" xfId="10" applyFont="1" applyFill="1" applyBorder="1"/>
    <xf numFmtId="11" fontId="27" fillId="0" borderId="80" xfId="10" applyNumberFormat="1" applyFont="1" applyFill="1" applyBorder="1" applyAlignment="1">
      <alignment wrapText="1"/>
    </xf>
    <xf numFmtId="11" fontId="27" fillId="0" borderId="80" xfId="10" applyNumberFormat="1" applyFont="1" applyFill="1" applyBorder="1"/>
    <xf numFmtId="0" fontId="27" fillId="0" borderId="80" xfId="106" applyFont="1" applyFill="1" applyBorder="1" applyAlignment="1" applyProtection="1">
      <alignment vertical="center" wrapText="1"/>
    </xf>
    <xf numFmtId="0" fontId="27" fillId="0" borderId="80" xfId="10" applyFont="1" applyFill="1" applyBorder="1" applyAlignment="1">
      <alignment horizontal="left" wrapText="1"/>
    </xf>
    <xf numFmtId="0" fontId="27" fillId="0" borderId="81" xfId="10" applyFont="1" applyBorder="1"/>
    <xf numFmtId="0" fontId="27" fillId="0" borderId="80" xfId="10" applyFont="1" applyBorder="1"/>
    <xf numFmtId="1" fontId="27" fillId="0" borderId="80" xfId="10" applyNumberFormat="1" applyFont="1" applyFill="1" applyBorder="1"/>
    <xf numFmtId="0" fontId="27" fillId="0" borderId="80" xfId="10" applyFont="1" applyFill="1" applyBorder="1" applyAlignment="1">
      <alignment wrapText="1"/>
    </xf>
    <xf numFmtId="0" fontId="34" fillId="14" borderId="80" xfId="106" applyFont="1" applyFill="1" applyBorder="1" applyAlignment="1">
      <alignment horizontal="right"/>
    </xf>
    <xf numFmtId="169" fontId="34" fillId="14" borderId="80" xfId="106" applyNumberFormat="1" applyFont="1" applyFill="1" applyBorder="1"/>
    <xf numFmtId="0" fontId="26" fillId="0" borderId="47" xfId="8" applyFill="1" applyBorder="1" applyAlignment="1"/>
  </cellXfs>
  <cellStyles count="111">
    <cellStyle name="Comma 2" xfId="5" xr:uid="{00000000-0005-0000-0000-000000000000}"/>
    <cellStyle name="Comma 2 2" xfId="21" xr:uid="{00000000-0005-0000-0000-000001000000}"/>
    <cellStyle name="Comma 2 2 2" xfId="47" xr:uid="{00000000-0005-0000-0000-000002000000}"/>
    <cellStyle name="Comma 2 2 3" xfId="63" xr:uid="{00000000-0005-0000-0000-000003000000}"/>
    <cellStyle name="Comma 2 2 4" xfId="78" xr:uid="{00000000-0005-0000-0000-000004000000}"/>
    <cellStyle name="Comma 2 3" xfId="12" xr:uid="{00000000-0005-0000-0000-000005000000}"/>
    <cellStyle name="Cost_Green" xfId="4" xr:uid="{00000000-0005-0000-0000-000006000000}"/>
    <cellStyle name="Cost_Green 2" xfId="110" xr:uid="{3C40AB93-0D99-402C-A509-F07DFD6162CA}"/>
    <cellStyle name="Cost_Yellow" xfId="109" xr:uid="{A95FC01A-5E82-49C3-91CA-79BEC4F84591}"/>
    <cellStyle name="Currency 2" xfId="2" xr:uid="{00000000-0005-0000-0000-000007000000}"/>
    <cellStyle name="Currency 2 2" xfId="30" xr:uid="{00000000-0005-0000-0000-000008000000}"/>
    <cellStyle name="Excel Built-in Explanatory Text" xfId="36" xr:uid="{00000000-0005-0000-0000-000009000000}"/>
    <cellStyle name="Excel Built-in Explanatory Text 2" xfId="53" xr:uid="{00000000-0005-0000-0000-00000A000000}"/>
    <cellStyle name="Excel Built-in Explanatory Text 3" xfId="58" xr:uid="{00000000-0005-0000-0000-00000B000000}"/>
    <cellStyle name="Excel Built-in Explanatory Text 4" xfId="69" xr:uid="{00000000-0005-0000-0000-00000C000000}"/>
    <cellStyle name="Excel Built-in Explanatory Text 5" xfId="84" xr:uid="{00000000-0005-0000-0000-00000D000000}"/>
    <cellStyle name="Lien hypertexte" xfId="8" builtinId="8"/>
    <cellStyle name="Lien hypertexte 2" xfId="13" xr:uid="{00000000-0005-0000-0000-00000F000000}"/>
    <cellStyle name="Lien hypertexte 2 2" xfId="108" xr:uid="{150FAD18-4AE1-4D5E-8A7F-93158858610A}"/>
    <cellStyle name="Milliers 2" xfId="16" xr:uid="{00000000-0005-0000-0000-000010000000}"/>
    <cellStyle name="Milliers 2 2" xfId="38" xr:uid="{00000000-0005-0000-0000-000011000000}"/>
    <cellStyle name="Milliers 2 2 2" xfId="54" xr:uid="{00000000-0005-0000-0000-000012000000}"/>
    <cellStyle name="Milliers 2 2 3" xfId="70" xr:uid="{00000000-0005-0000-0000-000013000000}"/>
    <cellStyle name="Milliers 2 2 4" xfId="85" xr:uid="{00000000-0005-0000-0000-000014000000}"/>
    <cellStyle name="Milliers 2 3" xfId="90" xr:uid="{00000000-0005-0000-0000-000015000000}"/>
    <cellStyle name="Milliers 3" xfId="22" xr:uid="{00000000-0005-0000-0000-000016000000}"/>
    <cellStyle name="Milliers 3 2" xfId="20" xr:uid="{00000000-0005-0000-0000-000017000000}"/>
    <cellStyle name="Milliers 3 2 2" xfId="46" xr:uid="{00000000-0005-0000-0000-000018000000}"/>
    <cellStyle name="Milliers 3 2 3" xfId="62" xr:uid="{00000000-0005-0000-0000-000019000000}"/>
    <cellStyle name="Milliers 3 2 4" xfId="77" xr:uid="{00000000-0005-0000-0000-00001A000000}"/>
    <cellStyle name="Milliers 3 3" xfId="48" xr:uid="{00000000-0005-0000-0000-00001B000000}"/>
    <cellStyle name="Milliers 3 4" xfId="64" xr:uid="{00000000-0005-0000-0000-00001C000000}"/>
    <cellStyle name="Milliers 3 5" xfId="79" xr:uid="{00000000-0005-0000-0000-00001D000000}"/>
    <cellStyle name="Milliers 4" xfId="33" xr:uid="{00000000-0005-0000-0000-00001E000000}"/>
    <cellStyle name="Milliers 5" xfId="17" xr:uid="{00000000-0005-0000-0000-00001F000000}"/>
    <cellStyle name="Milliers 6" xfId="45" xr:uid="{00000000-0005-0000-0000-000020000000}"/>
    <cellStyle name="Milliers 7" xfId="61" xr:uid="{00000000-0005-0000-0000-000021000000}"/>
    <cellStyle name="Milliers 8" xfId="76" xr:uid="{00000000-0005-0000-0000-000022000000}"/>
    <cellStyle name="Monétaire" xfId="91" builtinId="4"/>
    <cellStyle name="Monétaire 10" xfId="18" xr:uid="{00000000-0005-0000-0000-000024000000}"/>
    <cellStyle name="Monétaire 10 2" xfId="29" xr:uid="{00000000-0005-0000-0000-000025000000}"/>
    <cellStyle name="Monétaire 2" xfId="3" xr:uid="{00000000-0005-0000-0000-000026000000}"/>
    <cellStyle name="Monétaire 2 3" xfId="25" xr:uid="{00000000-0005-0000-0000-000027000000}"/>
    <cellStyle name="Monétaire 2 3 2" xfId="51" xr:uid="{00000000-0005-0000-0000-000028000000}"/>
    <cellStyle name="Monétaire 2 3 3" xfId="40" xr:uid="{00000000-0005-0000-0000-000029000000}"/>
    <cellStyle name="Monétaire 2 3 3 2" xfId="56" xr:uid="{00000000-0005-0000-0000-00002A000000}"/>
    <cellStyle name="Monétaire 2 3 3 3" xfId="72" xr:uid="{00000000-0005-0000-0000-00002B000000}"/>
    <cellStyle name="Monétaire 2 3 3 4" xfId="87" xr:uid="{00000000-0005-0000-0000-00002C000000}"/>
    <cellStyle name="Monétaire 2 3 4" xfId="67" xr:uid="{00000000-0005-0000-0000-00002D000000}"/>
    <cellStyle name="Monétaire 2 3 5" xfId="82" xr:uid="{00000000-0005-0000-0000-00002E000000}"/>
    <cellStyle name="Monétaire 2 3 6" xfId="100" xr:uid="{00000000-0005-0000-0000-00002F000000}"/>
    <cellStyle name="Monétaire 3" xfId="15" xr:uid="{00000000-0005-0000-0000-000030000000}"/>
    <cellStyle name="Monétaire 3 2" xfId="44" xr:uid="{00000000-0005-0000-0000-000031000000}"/>
    <cellStyle name="Monétaire 3 3" xfId="60" xr:uid="{00000000-0005-0000-0000-000032000000}"/>
    <cellStyle name="Monétaire 3 4" xfId="75" xr:uid="{00000000-0005-0000-0000-000033000000}"/>
    <cellStyle name="Monétaire 35" xfId="27" xr:uid="{00000000-0005-0000-0000-000034000000}"/>
    <cellStyle name="Monétaire 4 3" xfId="39" xr:uid="{00000000-0005-0000-0000-000035000000}"/>
    <cellStyle name="Monétaire 4 3 2" xfId="55" xr:uid="{00000000-0005-0000-0000-000036000000}"/>
    <cellStyle name="Monétaire 4 3 3" xfId="71" xr:uid="{00000000-0005-0000-0000-000037000000}"/>
    <cellStyle name="Monétaire 4 3 4" xfId="86" xr:uid="{00000000-0005-0000-0000-000038000000}"/>
    <cellStyle name="Monétaire 7" xfId="24" xr:uid="{00000000-0005-0000-0000-000039000000}"/>
    <cellStyle name="Monétaire 7 2" xfId="50" xr:uid="{00000000-0005-0000-0000-00003A000000}"/>
    <cellStyle name="Monétaire 7 3" xfId="66" xr:uid="{00000000-0005-0000-0000-00003B000000}"/>
    <cellStyle name="Monétaire 7 4" xfId="81" xr:uid="{00000000-0005-0000-0000-00003C000000}"/>
    <cellStyle name="Neutre" xfId="93" builtinId="28"/>
    <cellStyle name="Neutre 2" xfId="19" xr:uid="{00000000-0005-0000-0000-00003E000000}"/>
    <cellStyle name="Normal" xfId="0" builtinId="0"/>
    <cellStyle name="Normal 10" xfId="35" xr:uid="{00000000-0005-0000-0000-000040000000}"/>
    <cellStyle name="Normal 11" xfId="95" xr:uid="{00000000-0005-0000-0000-000041000000}"/>
    <cellStyle name="Normal 12" xfId="96" xr:uid="{00000000-0005-0000-0000-000042000000}"/>
    <cellStyle name="Normal 13" xfId="106" xr:uid="{CC74BA90-E81B-462F-A2B7-EB7CECC33D47}"/>
    <cellStyle name="Normal 2" xfId="1" xr:uid="{00000000-0005-0000-0000-000043000000}"/>
    <cellStyle name="Normal 2 2" xfId="31" xr:uid="{00000000-0005-0000-0000-000044000000}"/>
    <cellStyle name="Normal 2 2 4" xfId="28" xr:uid="{00000000-0005-0000-0000-000045000000}"/>
    <cellStyle name="Normal 2 2 4 2" xfId="52" xr:uid="{00000000-0005-0000-0000-000046000000}"/>
    <cellStyle name="Normal 2 2 4 2 2" xfId="97" xr:uid="{00000000-0005-0000-0000-000047000000}"/>
    <cellStyle name="Normal 2 2 4 3" xfId="68" xr:uid="{00000000-0005-0000-0000-000048000000}"/>
    <cellStyle name="Normal 2 2 4 3 2" xfId="101" xr:uid="{00000000-0005-0000-0000-000049000000}"/>
    <cellStyle name="Normal 2 2 4 4" xfId="23" xr:uid="{00000000-0005-0000-0000-00004A000000}"/>
    <cellStyle name="Normal 2 2 4 4 2" xfId="49" xr:uid="{00000000-0005-0000-0000-00004B000000}"/>
    <cellStyle name="Normal 2 2 4 4 3" xfId="65" xr:uid="{00000000-0005-0000-0000-00004C000000}"/>
    <cellStyle name="Normal 2 2 4 4 4" xfId="80" xr:uid="{00000000-0005-0000-0000-00004D000000}"/>
    <cellStyle name="Normal 2 2 4 4 4 2" xfId="94" xr:uid="{00000000-0005-0000-0000-00004E000000}"/>
    <cellStyle name="Normal 2 2 4 5" xfId="83" xr:uid="{00000000-0005-0000-0000-00004F000000}"/>
    <cellStyle name="Normal 3" xfId="6" xr:uid="{00000000-0005-0000-0000-000050000000}"/>
    <cellStyle name="Normal 3 2" xfId="32" xr:uid="{00000000-0005-0000-0000-000051000000}"/>
    <cellStyle name="Normal 3 3" xfId="42" xr:uid="{00000000-0005-0000-0000-000052000000}"/>
    <cellStyle name="Normal 3 4" xfId="89" xr:uid="{00000000-0005-0000-0000-000053000000}"/>
    <cellStyle name="Normal 4" xfId="10" xr:uid="{00000000-0005-0000-0000-000054000000}"/>
    <cellStyle name="Normal 4 2" xfId="104" xr:uid="{5E01F935-6A3C-473A-9E5C-48FAF133BD34}"/>
    <cellStyle name="Normal 4 2 2" xfId="105" xr:uid="{345A82D6-B6EA-4606-A1C9-47C2F78404A5}"/>
    <cellStyle name="Normal 4 2 3" xfId="107" xr:uid="{069AA518-2F74-4B96-ADE6-0329CECC4FBC}"/>
    <cellStyle name="Normal 5" xfId="11" xr:uid="{00000000-0005-0000-0000-000055000000}"/>
    <cellStyle name="Normal 5 2" xfId="98" xr:uid="{00000000-0005-0000-0000-000056000000}"/>
    <cellStyle name="Normal 6" xfId="26" xr:uid="{00000000-0005-0000-0000-000057000000}"/>
    <cellStyle name="Normal 7" xfId="43" xr:uid="{00000000-0005-0000-0000-000058000000}"/>
    <cellStyle name="Normal 7 2" xfId="99" xr:uid="{00000000-0005-0000-0000-000059000000}"/>
    <cellStyle name="Normal 8" xfId="59" xr:uid="{00000000-0005-0000-0000-00005A000000}"/>
    <cellStyle name="Normal 8 2" xfId="102" xr:uid="{00000000-0005-0000-0000-00005B000000}"/>
    <cellStyle name="Normal 9" xfId="74" xr:uid="{00000000-0005-0000-0000-00005C000000}"/>
    <cellStyle name="Normal 9 2" xfId="103" xr:uid="{00000000-0005-0000-0000-00005D000000}"/>
    <cellStyle name="Normal_Sheet1" xfId="9" xr:uid="{00000000-0005-0000-0000-00005E000000}"/>
    <cellStyle name="Pourcentage 2" xfId="41" xr:uid="{00000000-0005-0000-0000-00005F000000}"/>
    <cellStyle name="Pourcentage 3" xfId="57" xr:uid="{00000000-0005-0000-0000-000060000000}"/>
    <cellStyle name="Pourcentage 4" xfId="73" xr:uid="{00000000-0005-0000-0000-000061000000}"/>
    <cellStyle name="Pourcentage 5" xfId="88" xr:uid="{00000000-0005-0000-0000-000062000000}"/>
    <cellStyle name="Satisfaisant" xfId="92" builtinId="26"/>
    <cellStyle name="Satisfaisant 2" xfId="34" xr:uid="{00000000-0005-0000-0000-000064000000}"/>
    <cellStyle name="Style 1" xfId="14" xr:uid="{00000000-0005-0000-0000-000065000000}"/>
    <cellStyle name="Style 1 2" xfId="37" xr:uid="{00000000-0005-0000-0000-000066000000}"/>
    <cellStyle name="TableStyleLight1" xfId="7" xr:uid="{00000000-0005-0000-0000-00006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4D79B"/>
      <color rgb="FF76933C"/>
      <color rgb="FFD8E4B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hyperlink" Target="#EN_02002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hyperlink" Target="#EN_0300_002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hyperlink" Target="#EN_0300_009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hyperlink" Target="#EN_0300_010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hyperlink" Target="#EN_0300_01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hyperlink" Target="#EN_0300_012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hyperlink" Target="#EN_0300_013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jp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5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7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0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2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4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5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7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8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0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3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4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5.jpe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6.jpe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7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8.jpe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hyperlink" Target="#EN_02001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0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2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3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452437</xdr:colOff>
      <xdr:row>19</xdr:row>
      <xdr:rowOff>127934</xdr:rowOff>
    </xdr:from>
    <xdr:ext cx="2752227" cy="2605741"/>
    <xdr:pic>
      <xdr:nvPicPr>
        <xdr:cNvPr id="2" name="Image 1">
          <a:extLst>
            <a:ext uri="{FF2B5EF4-FFF2-40B4-BE49-F238E27FC236}">
              <a16:creationId xmlns:a16="http://schemas.microsoft.com/office/drawing/2014/main" id="{5EF9AFDF-DDAC-4880-85A7-9C2D33733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525250" y="4128434"/>
          <a:ext cx="2752227" cy="2605741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57149</xdr:rowOff>
    </xdr:from>
    <xdr:ext cx="6329099" cy="448627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D25314-B2D7-44C7-8CDF-B65BD62B7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247649"/>
          <a:ext cx="6329099" cy="4486275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609601</xdr:colOff>
      <xdr:row>12</xdr:row>
      <xdr:rowOff>71807</xdr:rowOff>
    </xdr:from>
    <xdr:ext cx="2565400" cy="2514554"/>
    <xdr:pic>
      <xdr:nvPicPr>
        <xdr:cNvPr id="2" name="Image 1">
          <a:extLst>
            <a:ext uri="{FF2B5EF4-FFF2-40B4-BE49-F238E27FC236}">
              <a16:creationId xmlns:a16="http://schemas.microsoft.com/office/drawing/2014/main" id="{70F04541-9126-4463-9A9B-8139116B1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96001" y="2357807"/>
          <a:ext cx="2565400" cy="251455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224117</xdr:colOff>
      <xdr:row>14</xdr:row>
      <xdr:rowOff>78443</xdr:rowOff>
    </xdr:from>
    <xdr:ext cx="2803393" cy="1624852"/>
    <xdr:pic>
      <xdr:nvPicPr>
        <xdr:cNvPr id="2" name="Image 1">
          <a:extLst>
            <a:ext uri="{FF2B5EF4-FFF2-40B4-BE49-F238E27FC236}">
              <a16:creationId xmlns:a16="http://schemas.microsoft.com/office/drawing/2014/main" id="{A29CE7FA-9B3C-4861-9AA2-F5DF08F90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10517" y="2745443"/>
          <a:ext cx="2803393" cy="1624852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38099</xdr:colOff>
      <xdr:row>2</xdr:row>
      <xdr:rowOff>165100</xdr:rowOff>
    </xdr:from>
    <xdr:ext cx="2598065" cy="977900"/>
    <xdr:pic>
      <xdr:nvPicPr>
        <xdr:cNvPr id="2" name="Image 1">
          <a:extLst>
            <a:ext uri="{FF2B5EF4-FFF2-40B4-BE49-F238E27FC236}">
              <a16:creationId xmlns:a16="http://schemas.microsoft.com/office/drawing/2014/main" id="{4EB7FE6D-C4B4-490A-9684-84CF266F0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86099" y="546100"/>
          <a:ext cx="2598065" cy="9779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444500</xdr:colOff>
      <xdr:row>13</xdr:row>
      <xdr:rowOff>108776</xdr:rowOff>
    </xdr:from>
    <xdr:ext cx="2590800" cy="2059354"/>
    <xdr:pic>
      <xdr:nvPicPr>
        <xdr:cNvPr id="2" name="Image 1">
          <a:extLst>
            <a:ext uri="{FF2B5EF4-FFF2-40B4-BE49-F238E27FC236}">
              <a16:creationId xmlns:a16="http://schemas.microsoft.com/office/drawing/2014/main" id="{9B12FD5A-C300-4E8C-978B-9103856B3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2585276"/>
          <a:ext cx="2590800" cy="205935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317500</xdr:colOff>
      <xdr:row>13</xdr:row>
      <xdr:rowOff>114300</xdr:rowOff>
    </xdr:from>
    <xdr:ext cx="1586499" cy="2160170"/>
    <xdr:pic>
      <xdr:nvPicPr>
        <xdr:cNvPr id="2" name="Image 1">
          <a:extLst>
            <a:ext uri="{FF2B5EF4-FFF2-40B4-BE49-F238E27FC236}">
              <a16:creationId xmlns:a16="http://schemas.microsoft.com/office/drawing/2014/main" id="{A3E65309-0AC8-4C14-891A-515FD722F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00" y="2590800"/>
          <a:ext cx="1586499" cy="2160170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104175</xdr:colOff>
      <xdr:row>16</xdr:row>
      <xdr:rowOff>82718</xdr:rowOff>
    </xdr:from>
    <xdr:ext cx="2837463" cy="780593"/>
    <xdr:pic>
      <xdr:nvPicPr>
        <xdr:cNvPr id="2" name="Image 1">
          <a:extLst>
            <a:ext uri="{FF2B5EF4-FFF2-40B4-BE49-F238E27FC236}">
              <a16:creationId xmlns:a16="http://schemas.microsoft.com/office/drawing/2014/main" id="{818C1059-83FA-430E-8898-5144AD800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4543469">
          <a:off x="6619010" y="2102283"/>
          <a:ext cx="780593" cy="2837463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495301</xdr:colOff>
      <xdr:row>12</xdr:row>
      <xdr:rowOff>152400</xdr:rowOff>
    </xdr:from>
    <xdr:ext cx="1078409" cy="1600200"/>
    <xdr:pic>
      <xdr:nvPicPr>
        <xdr:cNvPr id="2" name="Image 1">
          <a:extLst>
            <a:ext uri="{FF2B5EF4-FFF2-40B4-BE49-F238E27FC236}">
              <a16:creationId xmlns:a16="http://schemas.microsoft.com/office/drawing/2014/main" id="{C57445A6-736F-4265-941A-19BD1CAE8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00901" y="2438400"/>
          <a:ext cx="1078409" cy="1600200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274914</xdr:colOff>
      <xdr:row>12</xdr:row>
      <xdr:rowOff>138769</xdr:rowOff>
    </xdr:from>
    <xdr:ext cx="2481918" cy="877230"/>
    <xdr:pic>
      <xdr:nvPicPr>
        <xdr:cNvPr id="2" name="Image 1">
          <a:extLst>
            <a:ext uri="{FF2B5EF4-FFF2-40B4-BE49-F238E27FC236}">
              <a16:creationId xmlns:a16="http://schemas.microsoft.com/office/drawing/2014/main" id="{8D788448-A191-421B-A603-3590B4461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6563658" y="1622425"/>
          <a:ext cx="877230" cy="2481918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259773</xdr:colOff>
      <xdr:row>35</xdr:row>
      <xdr:rowOff>64248</xdr:rowOff>
    </xdr:from>
    <xdr:ext cx="3203864" cy="3676479"/>
    <xdr:pic>
      <xdr:nvPicPr>
        <xdr:cNvPr id="2" name="Image 1">
          <a:extLst>
            <a:ext uri="{FF2B5EF4-FFF2-40B4-BE49-F238E27FC236}">
              <a16:creationId xmlns:a16="http://schemas.microsoft.com/office/drawing/2014/main" id="{00458804-B61C-41A9-97D7-6B80C9674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0" y="6160248"/>
          <a:ext cx="3203864" cy="367647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161924</xdr:colOff>
      <xdr:row>16</xdr:row>
      <xdr:rowOff>123824</xdr:rowOff>
    </xdr:from>
    <xdr:ext cx="2839304" cy="2476500"/>
    <xdr:pic>
      <xdr:nvPicPr>
        <xdr:cNvPr id="2" name="Image 1">
          <a:extLst>
            <a:ext uri="{FF2B5EF4-FFF2-40B4-BE49-F238E27FC236}">
              <a16:creationId xmlns:a16="http://schemas.microsoft.com/office/drawing/2014/main" id="{8CA9D3DE-AA4B-427A-A169-4BC81EAC5D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42" r="14286"/>
        <a:stretch/>
      </xdr:blipFill>
      <xdr:spPr>
        <a:xfrm>
          <a:off x="5648324" y="3171824"/>
          <a:ext cx="2839304" cy="2476500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317502</xdr:colOff>
      <xdr:row>12</xdr:row>
      <xdr:rowOff>140144</xdr:rowOff>
    </xdr:from>
    <xdr:ext cx="1447798" cy="1443524"/>
    <xdr:pic>
      <xdr:nvPicPr>
        <xdr:cNvPr id="2" name="Image 1">
          <a:extLst>
            <a:ext uri="{FF2B5EF4-FFF2-40B4-BE49-F238E27FC236}">
              <a16:creationId xmlns:a16="http://schemas.microsoft.com/office/drawing/2014/main" id="{F4D6E9EE-5B21-4E30-88C1-57B63037C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02" y="2426144"/>
          <a:ext cx="1447798" cy="144352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156882</xdr:colOff>
      <xdr:row>13</xdr:row>
      <xdr:rowOff>76597</xdr:rowOff>
    </xdr:from>
    <xdr:to>
      <xdr:col>13</xdr:col>
      <xdr:colOff>571500</xdr:colOff>
      <xdr:row>21</xdr:row>
      <xdr:rowOff>34159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882" y="2553097"/>
          <a:ext cx="2835089" cy="148156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</xdr:row>
      <xdr:rowOff>99601</xdr:rowOff>
    </xdr:from>
    <xdr:ext cx="7762875" cy="551926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249772-5238-4BC4-98BC-D11F6E809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290101"/>
          <a:ext cx="7762875" cy="5519269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309255</xdr:colOff>
      <xdr:row>11</xdr:row>
      <xdr:rowOff>98962</xdr:rowOff>
    </xdr:from>
    <xdr:ext cx="1431365" cy="1533896"/>
    <xdr:pic>
      <xdr:nvPicPr>
        <xdr:cNvPr id="2" name="Image 1">
          <a:extLst>
            <a:ext uri="{FF2B5EF4-FFF2-40B4-BE49-F238E27FC236}">
              <a16:creationId xmlns:a16="http://schemas.microsoft.com/office/drawing/2014/main" id="{FA5BED34-2DD1-455C-952F-E7FAAD036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5655" y="2194462"/>
          <a:ext cx="1431365" cy="1533896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390821</xdr:colOff>
      <xdr:row>12</xdr:row>
      <xdr:rowOff>85725</xdr:rowOff>
    </xdr:from>
    <xdr:ext cx="1142256" cy="1561488"/>
    <xdr:pic>
      <xdr:nvPicPr>
        <xdr:cNvPr id="2" name="Image 1">
          <a:extLst>
            <a:ext uri="{FF2B5EF4-FFF2-40B4-BE49-F238E27FC236}">
              <a16:creationId xmlns:a16="http://schemas.microsoft.com/office/drawing/2014/main" id="{8866B2EB-4B85-4F4F-995E-E020FF492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7221" y="2371725"/>
          <a:ext cx="1142256" cy="1561488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247652</xdr:colOff>
      <xdr:row>2</xdr:row>
      <xdr:rowOff>8911</xdr:rowOff>
    </xdr:from>
    <xdr:ext cx="7534274" cy="5333741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919EC4-1443-412A-98E6-25BC32C73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2" y="389911"/>
          <a:ext cx="7534274" cy="5333741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12</xdr:row>
      <xdr:rowOff>76940</xdr:rowOff>
    </xdr:from>
    <xdr:ext cx="1294909" cy="1694068"/>
    <xdr:pic>
      <xdr:nvPicPr>
        <xdr:cNvPr id="2" name="Image 1">
          <a:extLst>
            <a:ext uri="{FF2B5EF4-FFF2-40B4-BE49-F238E27FC236}">
              <a16:creationId xmlns:a16="http://schemas.microsoft.com/office/drawing/2014/main" id="{69327DA0-A6F8-40D3-BC6B-DD2E911A8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7875" y="2362940"/>
          <a:ext cx="1294909" cy="1694068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152402</xdr:colOff>
      <xdr:row>1</xdr:row>
      <xdr:rowOff>172690</xdr:rowOff>
    </xdr:from>
    <xdr:ext cx="6931249" cy="489461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B05175-EC83-4817-8397-E8802C011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2" y="363190"/>
          <a:ext cx="6931249" cy="4894610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142874</xdr:colOff>
      <xdr:row>12</xdr:row>
      <xdr:rowOff>140249</xdr:rowOff>
    </xdr:from>
    <xdr:ext cx="2247901" cy="1699711"/>
    <xdr:pic>
      <xdr:nvPicPr>
        <xdr:cNvPr id="2" name="Image 1">
          <a:extLst>
            <a:ext uri="{FF2B5EF4-FFF2-40B4-BE49-F238E27FC236}">
              <a16:creationId xmlns:a16="http://schemas.microsoft.com/office/drawing/2014/main" id="{5C3D4184-3119-4992-A87A-5E1177318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4" y="2426249"/>
          <a:ext cx="2247901" cy="1699711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2</xdr:row>
      <xdr:rowOff>161480</xdr:rowOff>
    </xdr:from>
    <xdr:ext cx="6124575" cy="432392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E281D2-55BF-4FB2-AA37-8294E3D9B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542480"/>
          <a:ext cx="6124575" cy="43239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299358</xdr:colOff>
      <xdr:row>1</xdr:row>
      <xdr:rowOff>93306</xdr:rowOff>
    </xdr:from>
    <xdr:ext cx="9247766" cy="6986099"/>
    <xdr:pic>
      <xdr:nvPicPr>
        <xdr:cNvPr id="2" name="Image 1">
          <a:extLst>
            <a:ext uri="{FF2B5EF4-FFF2-40B4-BE49-F238E27FC236}">
              <a16:creationId xmlns:a16="http://schemas.microsoft.com/office/drawing/2014/main" id="{01E28E34-8088-47C1-A728-DB90CB569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8" y="287694"/>
          <a:ext cx="9247766" cy="6986099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150132</xdr:colOff>
      <xdr:row>12</xdr:row>
      <xdr:rowOff>133350</xdr:rowOff>
    </xdr:from>
    <xdr:ext cx="1487641" cy="1837674"/>
    <xdr:pic>
      <xdr:nvPicPr>
        <xdr:cNvPr id="2" name="Image 1">
          <a:extLst>
            <a:ext uri="{FF2B5EF4-FFF2-40B4-BE49-F238E27FC236}">
              <a16:creationId xmlns:a16="http://schemas.microsoft.com/office/drawing/2014/main" id="{8B43D47F-A97B-4436-831D-E4A5C4FB1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9957" y="2419350"/>
          <a:ext cx="1487641" cy="1837674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174396</xdr:rowOff>
    </xdr:from>
    <xdr:ext cx="7315200" cy="517777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727AE9-0F6D-4AC8-9BA9-B5E892765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364896"/>
          <a:ext cx="7315200" cy="5177779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12</xdr:row>
      <xdr:rowOff>173215</xdr:rowOff>
    </xdr:from>
    <xdr:ext cx="1914525" cy="1598074"/>
    <xdr:pic>
      <xdr:nvPicPr>
        <xdr:cNvPr id="2" name="Image 1">
          <a:extLst>
            <a:ext uri="{FF2B5EF4-FFF2-40B4-BE49-F238E27FC236}">
              <a16:creationId xmlns:a16="http://schemas.microsoft.com/office/drawing/2014/main" id="{3C6D55F5-FC0A-4480-89F1-B5AE84F09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2459215"/>
          <a:ext cx="1914525" cy="1598074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1</xdr:row>
      <xdr:rowOff>142874</xdr:rowOff>
    </xdr:from>
    <xdr:ext cx="7200899" cy="511661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8C346C-D749-4861-9F82-28142DD3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333374"/>
          <a:ext cx="7200899" cy="5116612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153681</xdr:colOff>
      <xdr:row>36</xdr:row>
      <xdr:rowOff>159004</xdr:rowOff>
    </xdr:from>
    <xdr:ext cx="1560819" cy="3349477"/>
    <xdr:pic>
      <xdr:nvPicPr>
        <xdr:cNvPr id="2" name="Image 1">
          <a:extLst>
            <a:ext uri="{FF2B5EF4-FFF2-40B4-BE49-F238E27FC236}">
              <a16:creationId xmlns:a16="http://schemas.microsoft.com/office/drawing/2014/main" id="{A89B3C3C-361B-41D8-BDA4-90A4E019D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9281" y="7017004"/>
          <a:ext cx="1560819" cy="3349477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108855</xdr:colOff>
      <xdr:row>14</xdr:row>
      <xdr:rowOff>119742</xdr:rowOff>
    </xdr:from>
    <xdr:ext cx="3028952" cy="2389414"/>
    <xdr:pic>
      <xdr:nvPicPr>
        <xdr:cNvPr id="2" name="Image 1">
          <a:extLst>
            <a:ext uri="{FF2B5EF4-FFF2-40B4-BE49-F238E27FC236}">
              <a16:creationId xmlns:a16="http://schemas.microsoft.com/office/drawing/2014/main" id="{CFFF125F-E41E-4B37-A63F-D2360490A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005" y="2786742"/>
          <a:ext cx="3028952" cy="2389414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46652</xdr:rowOff>
    </xdr:from>
    <xdr:ext cx="9049491" cy="6970859"/>
    <xdr:pic>
      <xdr:nvPicPr>
        <xdr:cNvPr id="2" name="Image 1">
          <a:extLst>
            <a:ext uri="{FF2B5EF4-FFF2-40B4-BE49-F238E27FC236}">
              <a16:creationId xmlns:a16="http://schemas.microsoft.com/office/drawing/2014/main" id="{329CD0BB-7863-4E8B-AD23-677D2E454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7652"/>
          <a:ext cx="9049491" cy="6970859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186612</xdr:colOff>
      <xdr:row>14</xdr:row>
      <xdr:rowOff>108857</xdr:rowOff>
    </xdr:from>
    <xdr:ext cx="2668702" cy="2079949"/>
    <xdr:pic>
      <xdr:nvPicPr>
        <xdr:cNvPr id="2" name="Image 1">
          <a:extLst>
            <a:ext uri="{FF2B5EF4-FFF2-40B4-BE49-F238E27FC236}">
              <a16:creationId xmlns:a16="http://schemas.microsoft.com/office/drawing/2014/main" id="{67B9C60D-F400-49DE-8D08-64F58D6F0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762" y="2775857"/>
          <a:ext cx="2668702" cy="2079949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449036</xdr:colOff>
      <xdr:row>15</xdr:row>
      <xdr:rowOff>162070</xdr:rowOff>
    </xdr:from>
    <xdr:ext cx="1126671" cy="3692016"/>
    <xdr:pic>
      <xdr:nvPicPr>
        <xdr:cNvPr id="2" name="Image 1">
          <a:extLst>
            <a:ext uri="{FF2B5EF4-FFF2-40B4-BE49-F238E27FC236}">
              <a16:creationId xmlns:a16="http://schemas.microsoft.com/office/drawing/2014/main" id="{2D1A2228-4343-40A9-B080-B04F5B2D0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78186" y="3019570"/>
          <a:ext cx="1126671" cy="3692016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345</xdr:rowOff>
    </xdr:from>
    <xdr:ext cx="5724416" cy="4292256"/>
    <xdr:pic>
      <xdr:nvPicPr>
        <xdr:cNvPr id="2" name="Image 1">
          <a:extLst>
            <a:ext uri="{FF2B5EF4-FFF2-40B4-BE49-F238E27FC236}">
              <a16:creationId xmlns:a16="http://schemas.microsoft.com/office/drawing/2014/main" id="{C3BFF99A-0872-4B33-A562-BA598EC35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845"/>
          <a:ext cx="5724416" cy="429225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490537</xdr:colOff>
      <xdr:row>11</xdr:row>
      <xdr:rowOff>157162</xdr:rowOff>
    </xdr:from>
    <xdr:ext cx="3009980" cy="1462087"/>
    <xdr:pic>
      <xdr:nvPicPr>
        <xdr:cNvPr id="2" name="Image 1">
          <a:extLst>
            <a:ext uri="{FF2B5EF4-FFF2-40B4-BE49-F238E27FC236}">
              <a16:creationId xmlns:a16="http://schemas.microsoft.com/office/drawing/2014/main" id="{8815FD41-7CD0-4F74-9C43-22B719281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55943" y="2252662"/>
          <a:ext cx="3009980" cy="1462087"/>
        </a:xfrm>
        <a:prstGeom prst="rect">
          <a:avLst/>
        </a:prstGeom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</xdr:colOff>
      <xdr:row>1</xdr:row>
      <xdr:rowOff>169333</xdr:rowOff>
    </xdr:from>
    <xdr:ext cx="5759155" cy="4330700"/>
    <xdr:pic>
      <xdr:nvPicPr>
        <xdr:cNvPr id="2" name="Image 1">
          <a:extLst>
            <a:ext uri="{FF2B5EF4-FFF2-40B4-BE49-F238E27FC236}">
              <a16:creationId xmlns:a16="http://schemas.microsoft.com/office/drawing/2014/main" id="{79DF5FB6-BF5C-44CC-AA2F-053B4D78D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59833"/>
          <a:ext cx="5759155" cy="4330700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251460</xdr:colOff>
      <xdr:row>12</xdr:row>
      <xdr:rowOff>114300</xdr:rowOff>
    </xdr:from>
    <xdr:ext cx="3177540" cy="2470393"/>
    <xdr:pic>
      <xdr:nvPicPr>
        <xdr:cNvPr id="2" name="Image 1">
          <a:extLst>
            <a:ext uri="{FF2B5EF4-FFF2-40B4-BE49-F238E27FC236}">
              <a16:creationId xmlns:a16="http://schemas.microsoft.com/office/drawing/2014/main" id="{D7FAC2E3-280F-4BD1-AD32-03AB7EFD5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09460" y="2400300"/>
          <a:ext cx="3177540" cy="2470393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823231" cy="4334934"/>
    <xdr:pic>
      <xdr:nvPicPr>
        <xdr:cNvPr id="2" name="Image 1">
          <a:extLst>
            <a:ext uri="{FF2B5EF4-FFF2-40B4-BE49-F238E27FC236}">
              <a16:creationId xmlns:a16="http://schemas.microsoft.com/office/drawing/2014/main" id="{0917235A-1F3E-4ABE-B900-537236FAA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5823231" cy="4334934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6715976" cy="4999653"/>
    <xdr:pic>
      <xdr:nvPicPr>
        <xdr:cNvPr id="2" name="Image 1">
          <a:extLst>
            <a:ext uri="{FF2B5EF4-FFF2-40B4-BE49-F238E27FC236}">
              <a16:creationId xmlns:a16="http://schemas.microsoft.com/office/drawing/2014/main" id="{4C41D44F-BBBC-493D-92AD-3DD19DC36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6715976" cy="4999653"/>
        </a:xfrm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57151</xdr:colOff>
      <xdr:row>1</xdr:row>
      <xdr:rowOff>104776</xdr:rowOff>
    </xdr:from>
    <xdr:ext cx="8182420" cy="5972174"/>
    <xdr:pic>
      <xdr:nvPicPr>
        <xdr:cNvPr id="2" name="Image 1">
          <a:extLst>
            <a:ext uri="{FF2B5EF4-FFF2-40B4-BE49-F238E27FC236}">
              <a16:creationId xmlns:a16="http://schemas.microsoft.com/office/drawing/2014/main" id="{CBCFE7FF-1BDF-40C5-BFEF-BCDC492B8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295276"/>
          <a:ext cx="8182420" cy="5972174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77756</xdr:colOff>
      <xdr:row>1</xdr:row>
      <xdr:rowOff>77755</xdr:rowOff>
    </xdr:from>
    <xdr:ext cx="7406554" cy="5948265"/>
    <xdr:pic>
      <xdr:nvPicPr>
        <xdr:cNvPr id="2" name="Image 1">
          <a:extLst>
            <a:ext uri="{FF2B5EF4-FFF2-40B4-BE49-F238E27FC236}">
              <a16:creationId xmlns:a16="http://schemas.microsoft.com/office/drawing/2014/main" id="{718DA85C-CBEF-41CB-A6E0-5D0C1E9BE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56" y="268255"/>
          <a:ext cx="7406554" cy="5948265"/>
        </a:xfrm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2</xdr:row>
      <xdr:rowOff>0</xdr:rowOff>
    </xdr:from>
    <xdr:ext cx="7691437" cy="5761276"/>
    <xdr:pic>
      <xdr:nvPicPr>
        <xdr:cNvPr id="2" name="Image 1">
          <a:extLst>
            <a:ext uri="{FF2B5EF4-FFF2-40B4-BE49-F238E27FC236}">
              <a16:creationId xmlns:a16="http://schemas.microsoft.com/office/drawing/2014/main" id="{7BCE2D21-B5B6-4F90-A5AC-6D5C89C85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381000"/>
          <a:ext cx="7691437" cy="5761276"/>
        </a:xfrm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136072</xdr:rowOff>
    </xdr:from>
    <xdr:ext cx="7483929" cy="6013603"/>
    <xdr:pic>
      <xdr:nvPicPr>
        <xdr:cNvPr id="2" name="Image 1">
          <a:extLst>
            <a:ext uri="{FF2B5EF4-FFF2-40B4-BE49-F238E27FC236}">
              <a16:creationId xmlns:a16="http://schemas.microsoft.com/office/drawing/2014/main" id="{F19385D5-98F1-4952-BFE4-64FB4DFB7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6572"/>
          <a:ext cx="7483929" cy="6013603"/>
        </a:xfrm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152668</xdr:colOff>
      <xdr:row>11</xdr:row>
      <xdr:rowOff>140326</xdr:rowOff>
    </xdr:from>
    <xdr:ext cx="2535499" cy="1718775"/>
    <xdr:pic>
      <xdr:nvPicPr>
        <xdr:cNvPr id="2" name="Image 1">
          <a:extLst>
            <a:ext uri="{FF2B5EF4-FFF2-40B4-BE49-F238E27FC236}">
              <a16:creationId xmlns:a16="http://schemas.microsoft.com/office/drawing/2014/main" id="{5E7CE7E8-28B6-4CF3-80C0-2B934EF09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00918" y="2235826"/>
          <a:ext cx="2535499" cy="1718775"/>
        </a:xfrm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58317</xdr:rowOff>
    </xdr:from>
    <xdr:ext cx="6648061" cy="4251250"/>
    <xdr:pic>
      <xdr:nvPicPr>
        <xdr:cNvPr id="2" name="Image 1">
          <a:extLst>
            <a:ext uri="{FF2B5EF4-FFF2-40B4-BE49-F238E27FC236}">
              <a16:creationId xmlns:a16="http://schemas.microsoft.com/office/drawing/2014/main" id="{611FAE36-841D-4B01-80B9-5AAF8DB55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48817"/>
          <a:ext cx="6648061" cy="42512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168089</xdr:colOff>
      <xdr:row>1</xdr:row>
      <xdr:rowOff>42309</xdr:rowOff>
    </xdr:from>
    <xdr:ext cx="8460706" cy="6255397"/>
    <xdr:pic>
      <xdr:nvPicPr>
        <xdr:cNvPr id="2" name="Image 1">
          <a:extLst>
            <a:ext uri="{FF2B5EF4-FFF2-40B4-BE49-F238E27FC236}">
              <a16:creationId xmlns:a16="http://schemas.microsoft.com/office/drawing/2014/main" id="{B2903A28-2072-4E83-AAD4-B0BD26F75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9" y="232809"/>
          <a:ext cx="8460706" cy="6255397"/>
        </a:xfrm>
        <a:prstGeom prst="rect">
          <a:avLst/>
        </a:prstGeom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136072</xdr:rowOff>
    </xdr:from>
    <xdr:ext cx="7604147" cy="6103776"/>
    <xdr:pic>
      <xdr:nvPicPr>
        <xdr:cNvPr id="2" name="Image 1">
          <a:extLst>
            <a:ext uri="{FF2B5EF4-FFF2-40B4-BE49-F238E27FC236}">
              <a16:creationId xmlns:a16="http://schemas.microsoft.com/office/drawing/2014/main" id="{BA2F6D78-3388-44BF-9547-F2D3E7353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6572"/>
          <a:ext cx="7604147" cy="6103776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13607</xdr:colOff>
      <xdr:row>1</xdr:row>
      <xdr:rowOff>68036</xdr:rowOff>
    </xdr:from>
    <xdr:ext cx="7549336" cy="5878286"/>
    <xdr:pic>
      <xdr:nvPicPr>
        <xdr:cNvPr id="2" name="Image 1">
          <a:extLst>
            <a:ext uri="{FF2B5EF4-FFF2-40B4-BE49-F238E27FC236}">
              <a16:creationId xmlns:a16="http://schemas.microsoft.com/office/drawing/2014/main" id="{AE5241C8-03C3-408D-9D4A-A634CA49B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7" y="258536"/>
          <a:ext cx="7549336" cy="5878286"/>
        </a:xfrm>
        <a:prstGeom prst="rect">
          <a:avLst/>
        </a:prstGeom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126466</xdr:colOff>
      <xdr:row>18</xdr:row>
      <xdr:rowOff>160886</xdr:rowOff>
    </xdr:from>
    <xdr:ext cx="3125641" cy="1972900"/>
    <xdr:pic>
      <xdr:nvPicPr>
        <xdr:cNvPr id="2" name="Image 1" descr="https://murmotorsports.eng.unimelb.edu.au/__data/assets/image/0005/2367968/varieties/medium.jpg">
          <a:extLst>
            <a:ext uri="{FF2B5EF4-FFF2-40B4-BE49-F238E27FC236}">
              <a16:creationId xmlns:a16="http://schemas.microsoft.com/office/drawing/2014/main" id="{7121E79E-A1D4-4B5C-A041-4807F990D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359" y="3589886"/>
          <a:ext cx="3125641" cy="197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71467</xdr:colOff>
      <xdr:row>14</xdr:row>
      <xdr:rowOff>104775</xdr:rowOff>
    </xdr:from>
    <xdr:ext cx="2518187" cy="2057400"/>
    <xdr:pic>
      <xdr:nvPicPr>
        <xdr:cNvPr id="2" name="Image 1">
          <a:extLst>
            <a:ext uri="{FF2B5EF4-FFF2-40B4-BE49-F238E27FC236}">
              <a16:creationId xmlns:a16="http://schemas.microsoft.com/office/drawing/2014/main" id="{EB15707B-1E2A-41E4-B1C3-D4A195B14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1467" y="2771775"/>
          <a:ext cx="2518187" cy="2057400"/>
        </a:xfrm>
        <a:prstGeom prst="rect">
          <a:avLst/>
        </a:prstGeom>
      </xdr:spPr>
    </xdr:pic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2</xdr:row>
      <xdr:rowOff>28575</xdr:rowOff>
    </xdr:from>
    <xdr:ext cx="9901400" cy="7000000"/>
    <xdr:pic>
      <xdr:nvPicPr>
        <xdr:cNvPr id="2" name="Image 1">
          <a:extLst>
            <a:ext uri="{FF2B5EF4-FFF2-40B4-BE49-F238E27FC236}">
              <a16:creationId xmlns:a16="http://schemas.microsoft.com/office/drawing/2014/main" id="{67660EF1-3C57-4BF8-8EFB-8FCB2F688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09575"/>
          <a:ext cx="9901400" cy="7000000"/>
        </a:xfrm>
        <a:prstGeom prst="rect">
          <a:avLst/>
        </a:prstGeom>
      </xdr:spPr>
    </xdr:pic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58419</xdr:colOff>
      <xdr:row>14</xdr:row>
      <xdr:rowOff>104775</xdr:rowOff>
    </xdr:from>
    <xdr:ext cx="2056131" cy="2245977"/>
    <xdr:pic>
      <xdr:nvPicPr>
        <xdr:cNvPr id="2" name="Image 1">
          <a:extLst>
            <a:ext uri="{FF2B5EF4-FFF2-40B4-BE49-F238E27FC236}">
              <a16:creationId xmlns:a16="http://schemas.microsoft.com/office/drawing/2014/main" id="{CE564B42-9F23-4717-AFD9-CE8B3F7A9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8419" y="2771775"/>
          <a:ext cx="2056131" cy="2245977"/>
        </a:xfrm>
        <a:prstGeom prst="rect">
          <a:avLst/>
        </a:prstGeom>
      </xdr:spPr>
    </xdr:pic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</xdr:row>
      <xdr:rowOff>171450</xdr:rowOff>
    </xdr:from>
    <xdr:ext cx="9866667" cy="6971428"/>
    <xdr:pic>
      <xdr:nvPicPr>
        <xdr:cNvPr id="2" name="Image 1">
          <a:extLst>
            <a:ext uri="{FF2B5EF4-FFF2-40B4-BE49-F238E27FC236}">
              <a16:creationId xmlns:a16="http://schemas.microsoft.com/office/drawing/2014/main" id="{555C61F1-E3B4-4E9B-BE3C-777B21A32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61950"/>
          <a:ext cx="9866667" cy="6971428"/>
        </a:xfrm>
        <a:prstGeom prst="rect">
          <a:avLst/>
        </a:prstGeom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314325</xdr:colOff>
      <xdr:row>12</xdr:row>
      <xdr:rowOff>117426</xdr:rowOff>
    </xdr:from>
    <xdr:ext cx="1495425" cy="2939284"/>
    <xdr:pic>
      <xdr:nvPicPr>
        <xdr:cNvPr id="2" name="Image 1">
          <a:extLst>
            <a:ext uri="{FF2B5EF4-FFF2-40B4-BE49-F238E27FC236}">
              <a16:creationId xmlns:a16="http://schemas.microsoft.com/office/drawing/2014/main" id="{2815808E-3E47-4455-803D-FB33C2B1E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2403426"/>
          <a:ext cx="1495425" cy="2939284"/>
        </a:xfrm>
        <a:prstGeom prst="rect">
          <a:avLst/>
        </a:prstGeom>
      </xdr:spPr>
    </xdr:pic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38100</xdr:rowOff>
    </xdr:from>
    <xdr:ext cx="12123809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2736A0FC-9801-4E14-8102-31D8A6F06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28600"/>
          <a:ext cx="12123809" cy="8571428"/>
        </a:xfrm>
        <a:prstGeom prst="rect">
          <a:avLst/>
        </a:prstGeom>
      </xdr:spPr>
    </xdr:pic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314325</xdr:colOff>
      <xdr:row>12</xdr:row>
      <xdr:rowOff>19787</xdr:rowOff>
    </xdr:from>
    <xdr:ext cx="1581150" cy="3139048"/>
    <xdr:pic>
      <xdr:nvPicPr>
        <xdr:cNvPr id="2" name="Image 1">
          <a:extLst>
            <a:ext uri="{FF2B5EF4-FFF2-40B4-BE49-F238E27FC236}">
              <a16:creationId xmlns:a16="http://schemas.microsoft.com/office/drawing/2014/main" id="{00B7288F-D58E-442C-B469-390C9C4A1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2305787"/>
          <a:ext cx="1581150" cy="313904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226668</xdr:colOff>
      <xdr:row>29</xdr:row>
      <xdr:rowOff>81643</xdr:rowOff>
    </xdr:from>
    <xdr:ext cx="3405506" cy="1646464"/>
    <xdr:pic>
      <xdr:nvPicPr>
        <xdr:cNvPr id="2" name="Image 1">
          <a:extLst>
            <a:ext uri="{FF2B5EF4-FFF2-40B4-BE49-F238E27FC236}">
              <a16:creationId xmlns:a16="http://schemas.microsoft.com/office/drawing/2014/main" id="{D7717832-EA69-49A6-99A0-55B582907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13025" y="5606143"/>
          <a:ext cx="3405506" cy="1646464"/>
        </a:xfrm>
        <a:prstGeom prst="rect">
          <a:avLst/>
        </a:prstGeom>
      </xdr:spPr>
    </xdr:pic>
    <xdr:clientData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1</xdr:row>
      <xdr:rowOff>95250</xdr:rowOff>
    </xdr:from>
    <xdr:ext cx="12104762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21DBAA6B-2956-4038-9686-678848D05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285750"/>
          <a:ext cx="12104762" cy="8571428"/>
        </a:xfrm>
        <a:prstGeom prst="rect">
          <a:avLst/>
        </a:prstGeom>
      </xdr:spPr>
    </xdr:pic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393872</xdr:colOff>
      <xdr:row>14</xdr:row>
      <xdr:rowOff>9524</xdr:rowOff>
    </xdr:from>
    <xdr:ext cx="2824645" cy="2266201"/>
    <xdr:pic>
      <xdr:nvPicPr>
        <xdr:cNvPr id="2" name="Image 1">
          <a:extLst>
            <a:ext uri="{FF2B5EF4-FFF2-40B4-BE49-F238E27FC236}">
              <a16:creationId xmlns:a16="http://schemas.microsoft.com/office/drawing/2014/main" id="{D621A9C9-A74F-4B40-BD1F-1B1D06EA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1872" y="2676524"/>
          <a:ext cx="2824645" cy="2266201"/>
        </a:xfrm>
        <a:prstGeom prst="rect">
          <a:avLst/>
        </a:prstGeom>
      </xdr:spPr>
    </xdr:pic>
    <xdr:clientData/>
  </xdr:one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3</xdr:row>
      <xdr:rowOff>28575</xdr:rowOff>
    </xdr:from>
    <xdr:ext cx="12114286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F7F7B279-4BE4-4DA2-8DB8-4C3D1D607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00075"/>
          <a:ext cx="12114286" cy="8571428"/>
        </a:xfrm>
        <a:prstGeom prst="rect">
          <a:avLst/>
        </a:prstGeom>
      </xdr:spPr>
    </xdr:pic>
    <xdr:clientData/>
  </xdr:oneCellAnchor>
</xdr:wsDr>
</file>

<file path=xl/drawings/drawing6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13</xdr:row>
      <xdr:rowOff>66675</xdr:rowOff>
    </xdr:from>
    <xdr:ext cx="2351926" cy="2313867"/>
    <xdr:pic>
      <xdr:nvPicPr>
        <xdr:cNvPr id="2" name="Image 1">
          <a:extLst>
            <a:ext uri="{FF2B5EF4-FFF2-40B4-BE49-F238E27FC236}">
              <a16:creationId xmlns:a16="http://schemas.microsoft.com/office/drawing/2014/main" id="{4E3290B9-BD1D-4054-AC0A-D9A5C70B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9525" y="2543175"/>
          <a:ext cx="2351926" cy="2313867"/>
        </a:xfrm>
        <a:prstGeom prst="rect">
          <a:avLst/>
        </a:prstGeom>
      </xdr:spPr>
    </xdr:pic>
    <xdr:clientData/>
  </xdr:one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1</xdr:row>
      <xdr:rowOff>142875</xdr:rowOff>
    </xdr:from>
    <xdr:ext cx="12104762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4C29C42B-D1DA-430B-9E55-C6AA00BFD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33375"/>
          <a:ext cx="12104762" cy="8571428"/>
        </a:xfrm>
        <a:prstGeom prst="rect">
          <a:avLst/>
        </a:prstGeom>
      </xdr:spPr>
    </xdr:pic>
    <xdr:clientData/>
  </xdr:oneCellAnchor>
</xdr:wsDr>
</file>

<file path=xl/drawings/drawing6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419922</xdr:colOff>
      <xdr:row>13</xdr:row>
      <xdr:rowOff>152399</xdr:rowOff>
    </xdr:from>
    <xdr:ext cx="1836849" cy="2285187"/>
    <xdr:pic>
      <xdr:nvPicPr>
        <xdr:cNvPr id="2" name="Image 1">
          <a:extLst>
            <a:ext uri="{FF2B5EF4-FFF2-40B4-BE49-F238E27FC236}">
              <a16:creationId xmlns:a16="http://schemas.microsoft.com/office/drawing/2014/main" id="{27769444-DF0E-49F4-BEDA-4B32769A6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922" y="2628899"/>
          <a:ext cx="1836849" cy="2285187"/>
        </a:xfrm>
        <a:prstGeom prst="rect">
          <a:avLst/>
        </a:prstGeom>
      </xdr:spPr>
    </xdr:pic>
    <xdr:clientData/>
  </xdr:oneCellAnchor>
</xdr:wsDr>
</file>

<file path=xl/drawings/drawing6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12123809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4204DD05-5BEC-4ABE-A788-DAD95C651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123809" cy="8571428"/>
        </a:xfrm>
        <a:prstGeom prst="rect">
          <a:avLst/>
        </a:prstGeom>
      </xdr:spPr>
    </xdr:pic>
    <xdr:clientData/>
  </xdr:oneCellAnchor>
</xdr:wsDr>
</file>

<file path=xl/drawings/drawing6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477148</xdr:colOff>
      <xdr:row>13</xdr:row>
      <xdr:rowOff>133349</xdr:rowOff>
    </xdr:from>
    <xdr:ext cx="1637401" cy="2145775"/>
    <xdr:pic>
      <xdr:nvPicPr>
        <xdr:cNvPr id="2" name="Image 1">
          <a:extLst>
            <a:ext uri="{FF2B5EF4-FFF2-40B4-BE49-F238E27FC236}">
              <a16:creationId xmlns:a16="http://schemas.microsoft.com/office/drawing/2014/main" id="{1A526F43-7413-485C-B959-73B210A94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5148" y="2609849"/>
          <a:ext cx="1637401" cy="2145775"/>
        </a:xfrm>
        <a:prstGeom prst="rect">
          <a:avLst/>
        </a:prstGeom>
      </xdr:spPr>
    </xdr:pic>
    <xdr:clientData/>
  </xdr:oneCellAnchor>
</xdr:wsDr>
</file>

<file path=xl/drawings/drawing6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95250</xdr:rowOff>
    </xdr:from>
    <xdr:ext cx="12123809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B1BE3B44-5E08-4529-9B39-9AFBC41F4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"/>
          <a:ext cx="12123809" cy="8571428"/>
        </a:xfrm>
        <a:prstGeom prst="rect">
          <a:avLst/>
        </a:prstGeom>
      </xdr:spPr>
    </xdr:pic>
    <xdr:clientData/>
  </xdr:oneCellAnchor>
</xdr:wsDr>
</file>

<file path=xl/drawings/drawing6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458372</xdr:colOff>
      <xdr:row>14</xdr:row>
      <xdr:rowOff>0</xdr:rowOff>
    </xdr:from>
    <xdr:ext cx="3483391" cy="2722790"/>
    <xdr:pic>
      <xdr:nvPicPr>
        <xdr:cNvPr id="2" name="Image 1">
          <a:extLst>
            <a:ext uri="{FF2B5EF4-FFF2-40B4-BE49-F238E27FC236}">
              <a16:creationId xmlns:a16="http://schemas.microsoft.com/office/drawing/2014/main" id="{24C54DCC-9AC8-466D-A2E5-E0AD8DD88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6372" y="2667000"/>
          <a:ext cx="3483391" cy="272279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76201</xdr:colOff>
      <xdr:row>12</xdr:row>
      <xdr:rowOff>101600</xdr:rowOff>
    </xdr:from>
    <xdr:ext cx="2501363" cy="1943100"/>
    <xdr:pic>
      <xdr:nvPicPr>
        <xdr:cNvPr id="2" name="Image 1">
          <a:extLst>
            <a:ext uri="{FF2B5EF4-FFF2-40B4-BE49-F238E27FC236}">
              <a16:creationId xmlns:a16="http://schemas.microsoft.com/office/drawing/2014/main" id="{653ADBDC-7A1A-469B-88E9-04CA872D3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1" y="2387600"/>
          <a:ext cx="2501363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591792</xdr:colOff>
      <xdr:row>13</xdr:row>
      <xdr:rowOff>180975</xdr:rowOff>
    </xdr:from>
    <xdr:ext cx="3121967" cy="2532846"/>
    <xdr:pic>
      <xdr:nvPicPr>
        <xdr:cNvPr id="2" name="Image 1">
          <a:extLst>
            <a:ext uri="{FF2B5EF4-FFF2-40B4-BE49-F238E27FC236}">
              <a16:creationId xmlns:a16="http://schemas.microsoft.com/office/drawing/2014/main" id="{7D324629-6B91-42EA-9C84-D543D888D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792" y="2657475"/>
          <a:ext cx="3121967" cy="2532846"/>
        </a:xfrm>
        <a:prstGeom prst="rect">
          <a:avLst/>
        </a:prstGeom>
      </xdr:spPr>
    </xdr:pic>
    <xdr:clientData/>
  </xdr:oneCellAnchor>
</xdr:wsDr>
</file>

<file path=xl/drawings/drawing7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584864</xdr:colOff>
      <xdr:row>12</xdr:row>
      <xdr:rowOff>142875</xdr:rowOff>
    </xdr:from>
    <xdr:ext cx="3043053" cy="1970957"/>
    <xdr:pic>
      <xdr:nvPicPr>
        <xdr:cNvPr id="2" name="Image 1">
          <a:extLst>
            <a:ext uri="{FF2B5EF4-FFF2-40B4-BE49-F238E27FC236}">
              <a16:creationId xmlns:a16="http://schemas.microsoft.com/office/drawing/2014/main" id="{C7401841-7B9C-4B19-9F83-8366062B0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2864" y="2428875"/>
          <a:ext cx="3043053" cy="1970957"/>
        </a:xfrm>
        <a:prstGeom prst="rect">
          <a:avLst/>
        </a:prstGeom>
      </xdr:spPr>
    </xdr:pic>
    <xdr:clientData/>
  </xdr:oneCellAnchor>
</xdr:wsDr>
</file>

<file path=xl/drawings/drawing7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142875</xdr:rowOff>
    </xdr:from>
    <xdr:ext cx="9876190" cy="6971428"/>
    <xdr:pic>
      <xdr:nvPicPr>
        <xdr:cNvPr id="2" name="Image 1">
          <a:extLst>
            <a:ext uri="{FF2B5EF4-FFF2-40B4-BE49-F238E27FC236}">
              <a16:creationId xmlns:a16="http://schemas.microsoft.com/office/drawing/2014/main" id="{BF8DFD42-2BC5-41C0-A1DE-CB553C05D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9876190" cy="6971428"/>
        </a:xfrm>
        <a:prstGeom prst="rect">
          <a:avLst/>
        </a:prstGeom>
      </xdr:spPr>
    </xdr:pic>
    <xdr:clientData/>
  </xdr:oneCellAnchor>
</xdr:wsDr>
</file>

<file path=xl/drawings/drawing7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485775</xdr:colOff>
      <xdr:row>13</xdr:row>
      <xdr:rowOff>152400</xdr:rowOff>
    </xdr:from>
    <xdr:ext cx="3342701" cy="2180526"/>
    <xdr:pic>
      <xdr:nvPicPr>
        <xdr:cNvPr id="2" name="Image 1">
          <a:extLst>
            <a:ext uri="{FF2B5EF4-FFF2-40B4-BE49-F238E27FC236}">
              <a16:creationId xmlns:a16="http://schemas.microsoft.com/office/drawing/2014/main" id="{AED61CE6-71FC-4FC7-861D-49E7A5CCA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3775" y="2628900"/>
          <a:ext cx="3342701" cy="2180526"/>
        </a:xfrm>
        <a:prstGeom prst="rect">
          <a:avLst/>
        </a:prstGeom>
      </xdr:spPr>
    </xdr:pic>
    <xdr:clientData/>
  </xdr:oneCellAnchor>
</xdr:wsDr>
</file>

<file path=xl/drawings/drawing7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95250</xdr:rowOff>
    </xdr:from>
    <xdr:ext cx="9885714" cy="6971428"/>
    <xdr:pic>
      <xdr:nvPicPr>
        <xdr:cNvPr id="2" name="Image 1">
          <a:extLst>
            <a:ext uri="{FF2B5EF4-FFF2-40B4-BE49-F238E27FC236}">
              <a16:creationId xmlns:a16="http://schemas.microsoft.com/office/drawing/2014/main" id="{EF83FBD2-A333-4ADB-996C-714F5737E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85750"/>
          <a:ext cx="9885714" cy="6971428"/>
        </a:xfrm>
        <a:prstGeom prst="rect">
          <a:avLst/>
        </a:prstGeom>
      </xdr:spPr>
    </xdr:pic>
    <xdr:clientData/>
  </xdr:oneCellAnchor>
</xdr:wsDr>
</file>

<file path=xl/drawings/drawing7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657225</xdr:colOff>
      <xdr:row>13</xdr:row>
      <xdr:rowOff>85725</xdr:rowOff>
    </xdr:from>
    <xdr:ext cx="3027831" cy="2427601"/>
    <xdr:pic>
      <xdr:nvPicPr>
        <xdr:cNvPr id="2" name="Image 1">
          <a:extLst>
            <a:ext uri="{FF2B5EF4-FFF2-40B4-BE49-F238E27FC236}">
              <a16:creationId xmlns:a16="http://schemas.microsoft.com/office/drawing/2014/main" id="{9D167E36-2B43-47C4-8916-9C4C1069D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15225" y="2562225"/>
          <a:ext cx="3027831" cy="2427601"/>
        </a:xfrm>
        <a:prstGeom prst="rect">
          <a:avLst/>
        </a:prstGeom>
      </xdr:spPr>
    </xdr:pic>
    <xdr:clientData/>
  </xdr:oneCellAnchor>
</xdr:wsDr>
</file>

<file path=xl/drawings/drawing7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619125</xdr:colOff>
      <xdr:row>13</xdr:row>
      <xdr:rowOff>95251</xdr:rowOff>
    </xdr:from>
    <xdr:ext cx="2562225" cy="1893574"/>
    <xdr:pic>
      <xdr:nvPicPr>
        <xdr:cNvPr id="2" name="Image 1">
          <a:extLst>
            <a:ext uri="{FF2B5EF4-FFF2-40B4-BE49-F238E27FC236}">
              <a16:creationId xmlns:a16="http://schemas.microsoft.com/office/drawing/2014/main" id="{6350FC4E-B73F-41AA-9FA2-60E6654C7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77125" y="2571751"/>
          <a:ext cx="2562225" cy="1893574"/>
        </a:xfrm>
        <a:prstGeom prst="rect">
          <a:avLst/>
        </a:prstGeom>
      </xdr:spPr>
    </xdr:pic>
    <xdr:clientData/>
  </xdr:oneCellAnchor>
</xdr:wsDr>
</file>

<file path=xl/drawings/drawing7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161925</xdr:colOff>
      <xdr:row>14</xdr:row>
      <xdr:rowOff>200025</xdr:rowOff>
    </xdr:from>
    <xdr:ext cx="2690187" cy="2420053"/>
    <xdr:pic>
      <xdr:nvPicPr>
        <xdr:cNvPr id="2" name="Image 1">
          <a:extLst>
            <a:ext uri="{FF2B5EF4-FFF2-40B4-BE49-F238E27FC236}">
              <a16:creationId xmlns:a16="http://schemas.microsoft.com/office/drawing/2014/main" id="{7CA983D2-0FA8-4F43-B44A-B1ACA3FB6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81925" y="2857500"/>
          <a:ext cx="2690187" cy="2420053"/>
        </a:xfrm>
        <a:prstGeom prst="rect">
          <a:avLst/>
        </a:prstGeom>
      </xdr:spPr>
    </xdr:pic>
    <xdr:clientData/>
  </xdr:oneCellAnchor>
</xdr:wsDr>
</file>

<file path=xl/drawings/drawing7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</xdr:row>
      <xdr:rowOff>161925</xdr:rowOff>
    </xdr:from>
    <xdr:ext cx="9905238" cy="7559040"/>
    <xdr:pic>
      <xdr:nvPicPr>
        <xdr:cNvPr id="2" name="Image 1">
          <a:extLst>
            <a:ext uri="{FF2B5EF4-FFF2-40B4-BE49-F238E27FC236}">
              <a16:creationId xmlns:a16="http://schemas.microsoft.com/office/drawing/2014/main" id="{B0A951FD-3D86-404F-90E2-EA11E9DDA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050" y="352425"/>
          <a:ext cx="9905238" cy="7559040"/>
        </a:xfrm>
        <a:prstGeom prst="rect">
          <a:avLst/>
        </a:prstGeom>
      </xdr:spPr>
    </xdr:pic>
    <xdr:clientData/>
  </xdr:oneCellAnchor>
</xdr:wsDr>
</file>

<file path=xl/drawings/drawing79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48527</xdr:colOff>
      <xdr:row>13</xdr:row>
      <xdr:rowOff>95250</xdr:rowOff>
    </xdr:from>
    <xdr:ext cx="2208898" cy="1934216"/>
    <xdr:pic>
      <xdr:nvPicPr>
        <xdr:cNvPr id="2" name="Image 1">
          <a:extLst>
            <a:ext uri="{FF2B5EF4-FFF2-40B4-BE49-F238E27FC236}">
              <a16:creationId xmlns:a16="http://schemas.microsoft.com/office/drawing/2014/main" id="{640B6DF8-259D-4790-A98E-1C81F173C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8527" y="2571750"/>
          <a:ext cx="2208898" cy="1934216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</xdr:row>
      <xdr:rowOff>161924</xdr:rowOff>
    </xdr:from>
    <xdr:ext cx="7597588" cy="538960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3C7C46-2B5A-40E1-90D1-A2C25B740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52424"/>
          <a:ext cx="7597588" cy="5389602"/>
        </a:xfrm>
        <a:prstGeom prst="rect">
          <a:avLst/>
        </a:prstGeom>
      </xdr:spPr>
    </xdr:pic>
    <xdr:clientData/>
  </xdr:oneCellAnchor>
</xdr:wsDr>
</file>

<file path=xl/drawings/drawing8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104774</xdr:colOff>
      <xdr:row>1</xdr:row>
      <xdr:rowOff>188868</xdr:rowOff>
    </xdr:from>
    <xdr:ext cx="9871819" cy="6973932"/>
    <xdr:pic>
      <xdr:nvPicPr>
        <xdr:cNvPr id="2" name="Image 1">
          <a:extLst>
            <a:ext uri="{FF2B5EF4-FFF2-40B4-BE49-F238E27FC236}">
              <a16:creationId xmlns:a16="http://schemas.microsoft.com/office/drawing/2014/main" id="{741E0F06-FB97-4FD8-B147-693B70DE2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4" y="379368"/>
          <a:ext cx="9871819" cy="6973932"/>
        </a:xfrm>
        <a:prstGeom prst="rect">
          <a:avLst/>
        </a:prstGeom>
      </xdr:spPr>
    </xdr:pic>
    <xdr:clientData/>
  </xdr:oneCellAnchor>
</xdr:wsDr>
</file>

<file path=xl/drawings/drawing8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313765</xdr:colOff>
      <xdr:row>12</xdr:row>
      <xdr:rowOff>67235</xdr:rowOff>
    </xdr:from>
    <xdr:ext cx="1934964" cy="1924139"/>
    <xdr:pic>
      <xdr:nvPicPr>
        <xdr:cNvPr id="2" name="Image 1">
          <a:extLst>
            <a:ext uri="{FF2B5EF4-FFF2-40B4-BE49-F238E27FC236}">
              <a16:creationId xmlns:a16="http://schemas.microsoft.com/office/drawing/2014/main" id="{499B04DC-A3A7-4D2D-95F6-865A95712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1765" y="2353235"/>
          <a:ext cx="1934964" cy="1924139"/>
        </a:xfrm>
        <a:prstGeom prst="rect">
          <a:avLst/>
        </a:prstGeom>
      </xdr:spPr>
    </xdr:pic>
    <xdr:clientData/>
  </xdr:oneCellAnchor>
</xdr:wsDr>
</file>

<file path=xl/drawings/drawing8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152400</xdr:rowOff>
    </xdr:from>
    <xdr:ext cx="9885714" cy="6942857"/>
    <xdr:pic>
      <xdr:nvPicPr>
        <xdr:cNvPr id="2" name="Image 1">
          <a:extLst>
            <a:ext uri="{FF2B5EF4-FFF2-40B4-BE49-F238E27FC236}">
              <a16:creationId xmlns:a16="http://schemas.microsoft.com/office/drawing/2014/main" id="{D109DE8B-489F-45B1-A94F-307F5C158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342900"/>
          <a:ext cx="9885714" cy="6942857"/>
        </a:xfrm>
        <a:prstGeom prst="rect">
          <a:avLst/>
        </a:prstGeom>
      </xdr:spPr>
    </xdr:pic>
    <xdr:clientData/>
  </xdr:oneCellAnchor>
</xdr:wsDr>
</file>

<file path=xl/drawings/drawing8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238904</xdr:colOff>
      <xdr:row>12</xdr:row>
      <xdr:rowOff>47625</xdr:rowOff>
    </xdr:from>
    <xdr:ext cx="1732268" cy="1866900"/>
    <xdr:pic>
      <xdr:nvPicPr>
        <xdr:cNvPr id="2" name="Image 1">
          <a:extLst>
            <a:ext uri="{FF2B5EF4-FFF2-40B4-BE49-F238E27FC236}">
              <a16:creationId xmlns:a16="http://schemas.microsoft.com/office/drawing/2014/main" id="{7F3B621F-CDC1-41D1-B997-E90CC6780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904" y="2333625"/>
          <a:ext cx="1732268" cy="1866900"/>
        </a:xfrm>
        <a:prstGeom prst="rect">
          <a:avLst/>
        </a:prstGeom>
      </xdr:spPr>
    </xdr:pic>
    <xdr:clientData/>
  </xdr:oneCellAnchor>
</xdr:wsDr>
</file>

<file path=xl/drawings/drawing8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152400</xdr:rowOff>
    </xdr:from>
    <xdr:ext cx="10163175" cy="7180930"/>
    <xdr:pic>
      <xdr:nvPicPr>
        <xdr:cNvPr id="2" name="Image 1">
          <a:extLst>
            <a:ext uri="{FF2B5EF4-FFF2-40B4-BE49-F238E27FC236}">
              <a16:creationId xmlns:a16="http://schemas.microsoft.com/office/drawing/2014/main" id="{5CAC66FE-F66E-4D97-8601-0E2D66CB2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342900"/>
          <a:ext cx="10163175" cy="718093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228601</xdr:colOff>
      <xdr:row>0</xdr:row>
      <xdr:rowOff>38100</xdr:rowOff>
    </xdr:from>
    <xdr:ext cx="1727200" cy="1606239"/>
    <xdr:pic>
      <xdr:nvPicPr>
        <xdr:cNvPr id="2" name="Image 1">
          <a:extLst>
            <a:ext uri="{FF2B5EF4-FFF2-40B4-BE49-F238E27FC236}">
              <a16:creationId xmlns:a16="http://schemas.microsoft.com/office/drawing/2014/main" id="{D175257E-067A-47B8-8170-49F148BF3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1" y="38100"/>
          <a:ext cx="1727200" cy="1606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pha&#235;l/Desktop/ECL/2A/EPSA/Cost_Report_Vulcanix/template_cost_engine_lecture_se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EN Assembly"/>
      <sheetName val="EN Part 1"/>
      <sheetName val="EN Drawing Part 1"/>
    </sheetNames>
    <sheetDataSet>
      <sheetData sheetId="0"/>
      <sheetData sheetId="1"/>
      <sheetData sheetId="2">
        <row r="3">
          <cell r="B3" t="str">
            <v>Engine and Drivetrain</v>
          </cell>
          <cell r="N3">
            <v>1</v>
          </cell>
        </row>
        <row r="5">
          <cell r="B5" t="str">
            <v>EN A0001</v>
          </cell>
        </row>
        <row r="16">
          <cell r="E16">
            <v>6.8615487933333332</v>
          </cell>
        </row>
        <row r="24">
          <cell r="N24">
            <v>176.88978594062499</v>
          </cell>
        </row>
        <row r="33">
          <cell r="I33">
            <v>1.32</v>
          </cell>
        </row>
        <row r="43">
          <cell r="J43">
            <v>0.66</v>
          </cell>
        </row>
        <row r="48">
          <cell r="I48">
            <v>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36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3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35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32"/>
  <sheetViews>
    <sheetView tabSelected="1" zoomScale="70" zoomScaleNormal="70" workbookViewId="0">
      <pane xSplit="3" ySplit="6" topLeftCell="D67" activePane="bottomRight" state="frozen"/>
      <selection activeCell="H10" sqref="H10"/>
      <selection pane="topRight" activeCell="H10" sqref="H10"/>
      <selection pane="bottomLeft" activeCell="H10" sqref="H10"/>
      <selection pane="bottomRight" activeCell="B90" sqref="B90"/>
    </sheetView>
  </sheetViews>
  <sheetFormatPr baseColWidth="10" defaultColWidth="9.140625" defaultRowHeight="12.75" x14ac:dyDescent="0.2"/>
  <cols>
    <col min="1" max="1" width="15.7109375" style="4" customWidth="1"/>
    <col min="2" max="2" width="28.7109375" style="8" bestFit="1" customWidth="1"/>
    <col min="3" max="3" width="15.140625" style="4" customWidth="1"/>
    <col min="4" max="4" width="9.140625" style="4" customWidth="1"/>
    <col min="5" max="5" width="23" style="4" customWidth="1"/>
    <col min="6" max="6" width="39.140625" style="27" customWidth="1"/>
    <col min="7" max="7" width="14" style="4" customWidth="1"/>
    <col min="8" max="8" width="12.140625" style="4" customWidth="1"/>
    <col min="9" max="9" width="10.42578125" style="1" customWidth="1"/>
    <col min="10" max="10" width="12.28515625" style="1" customWidth="1"/>
    <col min="11" max="11" width="12.7109375" style="1" customWidth="1"/>
    <col min="12" max="13" width="10.42578125" style="1" customWidth="1"/>
    <col min="14" max="14" width="11.5703125" style="4" bestFit="1" customWidth="1"/>
    <col min="15" max="15" width="11.140625" style="8" customWidth="1"/>
    <col min="16" max="16384" width="9.140625" style="8"/>
  </cols>
  <sheetData>
    <row r="1" spans="1:15" ht="15.75" thickBot="1" x14ac:dyDescent="0.3">
      <c r="A1" s="37" t="s">
        <v>0</v>
      </c>
      <c r="B1" s="72" t="s">
        <v>44</v>
      </c>
      <c r="D1" s="28"/>
      <c r="M1" s="40" t="s">
        <v>47</v>
      </c>
      <c r="N1" s="29"/>
      <c r="O1" s="39" t="e">
        <f>#REF!</f>
        <v>#REF!</v>
      </c>
    </row>
    <row r="2" spans="1:15" s="10" customFormat="1" ht="15.75" thickBot="1" x14ac:dyDescent="0.3">
      <c r="A2" s="35" t="s">
        <v>48</v>
      </c>
      <c r="B2" s="71" t="s">
        <v>68</v>
      </c>
      <c r="C2" s="9"/>
      <c r="F2" s="24"/>
    </row>
    <row r="3" spans="1:15" s="10" customFormat="1" ht="16.5" thickTop="1" thickBot="1" x14ac:dyDescent="0.3">
      <c r="A3" s="36" t="s">
        <v>49</v>
      </c>
      <c r="B3" s="38">
        <v>2018</v>
      </c>
      <c r="C3" s="9"/>
      <c r="F3" s="24"/>
    </row>
    <row r="4" spans="1:15" s="10" customFormat="1" ht="16.5" thickTop="1" thickBot="1" x14ac:dyDescent="0.3">
      <c r="A4" s="34" t="s">
        <v>1</v>
      </c>
      <c r="B4" s="70">
        <v>81</v>
      </c>
      <c r="C4" s="9"/>
      <c r="D4" s="28" t="s">
        <v>50</v>
      </c>
      <c r="F4" s="24"/>
    </row>
    <row r="5" spans="1:15" s="22" customFormat="1" ht="15.75" thickTop="1" x14ac:dyDescent="0.25">
      <c r="A5" s="21"/>
      <c r="B5" s="25"/>
      <c r="C5" s="23"/>
      <c r="F5" s="26"/>
    </row>
    <row r="6" spans="1:15" s="20" customFormat="1" ht="49.5" customHeight="1" x14ac:dyDescent="0.25">
      <c r="A6" s="19" t="s">
        <v>51</v>
      </c>
      <c r="B6" s="31" t="s">
        <v>52</v>
      </c>
      <c r="C6" s="31" t="s">
        <v>53</v>
      </c>
      <c r="D6" s="31" t="s">
        <v>54</v>
      </c>
      <c r="E6" s="31" t="s">
        <v>55</v>
      </c>
      <c r="F6" s="31" t="s">
        <v>56</v>
      </c>
      <c r="G6" s="31" t="s">
        <v>57</v>
      </c>
      <c r="H6" s="33" t="s">
        <v>58</v>
      </c>
      <c r="I6" s="31" t="s">
        <v>17</v>
      </c>
      <c r="J6" s="31" t="s">
        <v>59</v>
      </c>
      <c r="K6" s="31" t="s">
        <v>60</v>
      </c>
      <c r="L6" s="31" t="s">
        <v>61</v>
      </c>
      <c r="M6" s="31" t="s">
        <v>62</v>
      </c>
      <c r="N6" s="32" t="s">
        <v>63</v>
      </c>
      <c r="O6" s="31" t="s">
        <v>64</v>
      </c>
    </row>
    <row r="7" spans="1:15" ht="15" x14ac:dyDescent="0.25">
      <c r="A7" s="723"/>
      <c r="B7" s="724" t="str">
        <f>'EN A0100'!B2</f>
        <v>Engine &amp; Drivetrain</v>
      </c>
      <c r="C7" s="725" t="s">
        <v>653</v>
      </c>
      <c r="D7" s="726" t="s">
        <v>11</v>
      </c>
      <c r="E7" s="726"/>
      <c r="F7" s="727" t="str">
        <f>'EN A0100'!B3</f>
        <v>Engine</v>
      </c>
      <c r="G7" s="726"/>
      <c r="H7" s="78">
        <f t="shared" ref="H7:H10" si="0">SUM(J7:M7)</f>
        <v>1582.9930137887866</v>
      </c>
      <c r="I7" s="728">
        <f>EN_A0100_q</f>
        <v>1</v>
      </c>
      <c r="J7" s="728">
        <f>EN_A0100_m</f>
        <v>1500.213344</v>
      </c>
      <c r="K7" s="728">
        <f>EN_A0100_p</f>
        <v>76.377982849999995</v>
      </c>
      <c r="L7" s="728">
        <f>EN_A0100_f</f>
        <v>5.7350202721198675</v>
      </c>
      <c r="M7" s="728">
        <f>EN_A0100_t</f>
        <v>0.66666666666666663</v>
      </c>
      <c r="N7" s="81">
        <f t="shared" ref="N7:N10" si="1">H7*I7</f>
        <v>1582.9930137887866</v>
      </c>
      <c r="O7" s="729"/>
    </row>
    <row r="8" spans="1:15" ht="15" x14ac:dyDescent="0.25">
      <c r="A8" s="731"/>
      <c r="B8" s="732" t="str">
        <f>'EN 01001'!B$2</f>
        <v>Engine &amp; Drivetrain</v>
      </c>
      <c r="C8" s="736" t="s">
        <v>642</v>
      </c>
      <c r="D8" s="733" t="s">
        <v>11</v>
      </c>
      <c r="E8" s="733" t="str">
        <f>F$7</f>
        <v>Engine</v>
      </c>
      <c r="F8" s="734" t="str">
        <f>'EN 01001'!B4</f>
        <v>Flat Sump</v>
      </c>
      <c r="G8" s="733"/>
      <c r="H8" s="739">
        <f t="shared" si="0"/>
        <v>38.781627930666666</v>
      </c>
      <c r="I8" s="89">
        <f>EN_A0100_q*EN_01001_q</f>
        <v>1</v>
      </c>
      <c r="J8" s="90">
        <f>EN_01001_m</f>
        <v>10.574961264000001</v>
      </c>
      <c r="K8" s="90">
        <f>EN_01001_p</f>
        <v>26.04</v>
      </c>
      <c r="L8" s="90">
        <v>0</v>
      </c>
      <c r="M8" s="90">
        <f>EN_01001_t</f>
        <v>2.1666666666666665</v>
      </c>
      <c r="N8" s="91">
        <f t="shared" si="1"/>
        <v>38.781627930666666</v>
      </c>
      <c r="O8" s="735"/>
    </row>
    <row r="9" spans="1:15" ht="15" x14ac:dyDescent="0.25">
      <c r="A9" s="731"/>
      <c r="B9" s="732" t="str">
        <f>'EN 01001'!B$2</f>
        <v>Engine &amp; Drivetrain</v>
      </c>
      <c r="C9" s="736" t="s">
        <v>648</v>
      </c>
      <c r="D9" s="733" t="s">
        <v>11</v>
      </c>
      <c r="E9" s="733" t="str">
        <f t="shared" ref="E9:E10" si="2">F$7</f>
        <v>Engine</v>
      </c>
      <c r="F9" s="734" t="str">
        <f>'EN 01002'!B4</f>
        <v>Rear tab</v>
      </c>
      <c r="G9" s="733"/>
      <c r="H9" s="739">
        <f t="shared" si="0"/>
        <v>1.4174720000000001</v>
      </c>
      <c r="I9" s="89">
        <f>EN_A0100_q*EN_01002_q</f>
        <v>2</v>
      </c>
      <c r="J9" s="90">
        <f>EN_01002_m</f>
        <v>0.20347200000000001</v>
      </c>
      <c r="K9" s="90">
        <f>EN_01002_p</f>
        <v>1.214</v>
      </c>
      <c r="L9" s="90">
        <v>0</v>
      </c>
      <c r="M9" s="90">
        <v>0</v>
      </c>
      <c r="N9" s="91">
        <f t="shared" si="1"/>
        <v>2.8349440000000001</v>
      </c>
      <c r="O9" s="735"/>
    </row>
    <row r="10" spans="1:15" ht="15" x14ac:dyDescent="0.25">
      <c r="A10" s="737"/>
      <c r="B10" s="732" t="str">
        <f>'EN 01001'!B$2</f>
        <v>Engine &amp; Drivetrain</v>
      </c>
      <c r="C10" s="736" t="s">
        <v>652</v>
      </c>
      <c r="D10" s="733" t="s">
        <v>11</v>
      </c>
      <c r="E10" s="733" t="str">
        <f t="shared" si="2"/>
        <v>Engine</v>
      </c>
      <c r="F10" s="746" t="str">
        <f>'EN 01003'!B4</f>
        <v>Rear tube</v>
      </c>
      <c r="G10" s="738"/>
      <c r="H10" s="739">
        <f t="shared" si="0"/>
        <v>1.9460502534247164</v>
      </c>
      <c r="I10" s="89">
        <f>EN_A0100_q*EN_01003_q</f>
        <v>2</v>
      </c>
      <c r="J10" s="90">
        <f>EN_01003_m</f>
        <v>0.14205025342471611</v>
      </c>
      <c r="K10" s="90">
        <f>EN_01003_p</f>
        <v>1.8040000000000003</v>
      </c>
      <c r="L10" s="90">
        <v>0</v>
      </c>
      <c r="M10" s="90">
        <v>0</v>
      </c>
      <c r="N10" s="91">
        <f t="shared" si="1"/>
        <v>3.8921005068494328</v>
      </c>
      <c r="O10" s="738"/>
    </row>
    <row r="11" spans="1:15" ht="15" x14ac:dyDescent="0.25">
      <c r="A11" s="74"/>
      <c r="B11" s="75" t="str">
        <f>'EN A0200'!B3</f>
        <v>Engine and Drivetrain</v>
      </c>
      <c r="C11" s="76" t="str">
        <f>EN_A0200</f>
        <v>EN A0200</v>
      </c>
      <c r="D11" s="76" t="s">
        <v>11</v>
      </c>
      <c r="E11" s="76"/>
      <c r="F11" s="77" t="str">
        <f>'EN A0200'!B4</f>
        <v>Exhaust System</v>
      </c>
      <c r="G11" s="76"/>
      <c r="H11" s="78">
        <f>SUM(J11:M11)</f>
        <v>100.72663538500295</v>
      </c>
      <c r="I11" s="79">
        <f>EN_A0200_q</f>
        <v>1</v>
      </c>
      <c r="J11" s="80">
        <f>EN_A0200_m</f>
        <v>6</v>
      </c>
      <c r="K11" s="80">
        <f>EN_A0200_p</f>
        <v>92.688849013323178</v>
      </c>
      <c r="L11" s="80">
        <f>EN_A0200_f</f>
        <v>1.0377863716797775</v>
      </c>
      <c r="M11" s="80">
        <f>EN_A0200_t</f>
        <v>1</v>
      </c>
      <c r="N11" s="81">
        <f t="shared" ref="N11:N85" si="3">H11*I11</f>
        <v>100.72663538500295</v>
      </c>
      <c r="O11" s="82"/>
    </row>
    <row r="12" spans="1:15" ht="15" x14ac:dyDescent="0.25">
      <c r="A12" s="83"/>
      <c r="B12" s="84" t="str">
        <f>EN_02001!$B$3</f>
        <v>Engine and Drivetrain</v>
      </c>
      <c r="C12" s="85" t="str">
        <f>EN_02001</f>
        <v>EN 02001</v>
      </c>
      <c r="D12" s="86" t="s">
        <v>11</v>
      </c>
      <c r="E12" s="86" t="str">
        <f>$F$11</f>
        <v>Exhaust System</v>
      </c>
      <c r="F12" s="87" t="str">
        <f>EN_02001!B5</f>
        <v>Exhaust Tip</v>
      </c>
      <c r="G12" s="86"/>
      <c r="H12" s="88">
        <f t="shared" ref="H12:H21" si="4">SUM(J12:M12)</f>
        <v>4.3537375941950689</v>
      </c>
      <c r="I12" s="89">
        <f>EN_A0200_q*EN_02001_q</f>
        <v>4</v>
      </c>
      <c r="J12" s="90">
        <f>EN_02001_m</f>
        <v>0.64123759419506832</v>
      </c>
      <c r="K12" s="90">
        <f>EN_02001_p</f>
        <v>3.7125000000000004</v>
      </c>
      <c r="L12" s="90">
        <v>0</v>
      </c>
      <c r="M12" s="90">
        <v>0</v>
      </c>
      <c r="N12" s="91">
        <f t="shared" si="3"/>
        <v>17.414950376780276</v>
      </c>
      <c r="O12" s="92"/>
    </row>
    <row r="13" spans="1:15" ht="15" x14ac:dyDescent="0.25">
      <c r="A13" s="83"/>
      <c r="B13" s="84" t="str">
        <f>EN_02001!$B$3</f>
        <v>Engine and Drivetrain</v>
      </c>
      <c r="C13" s="85" t="str">
        <f>EN_02002</f>
        <v>EN 02002</v>
      </c>
      <c r="D13" s="86" t="s">
        <v>11</v>
      </c>
      <c r="E13" s="86" t="str">
        <f t="shared" ref="E13:E21" si="5">$F$11</f>
        <v>Exhaust System</v>
      </c>
      <c r="F13" s="87" t="str">
        <f>EN_02002!B5</f>
        <v>Exhaust Flange</v>
      </c>
      <c r="G13" s="86"/>
      <c r="H13" s="88">
        <f t="shared" si="4"/>
        <v>1.75075</v>
      </c>
      <c r="I13" s="89">
        <f>EN_A0200_q*EN_02002_q</f>
        <v>4</v>
      </c>
      <c r="J13" s="90">
        <f>EN_02002_m</f>
        <v>0.35325000000000001</v>
      </c>
      <c r="K13" s="90">
        <f>EN_02002_p</f>
        <v>1.3975</v>
      </c>
      <c r="L13" s="90">
        <v>0</v>
      </c>
      <c r="M13" s="90">
        <v>0</v>
      </c>
      <c r="N13" s="91">
        <f t="shared" si="3"/>
        <v>7.0030000000000001</v>
      </c>
      <c r="O13" s="92"/>
    </row>
    <row r="14" spans="1:15" ht="15" x14ac:dyDescent="0.25">
      <c r="A14" s="83"/>
      <c r="B14" s="730" t="str">
        <f>EN_02001!$B$3</f>
        <v>Engine and Drivetrain</v>
      </c>
      <c r="C14" s="85" t="str">
        <f>EN_02003</f>
        <v>EN 02003</v>
      </c>
      <c r="D14" s="86" t="s">
        <v>11</v>
      </c>
      <c r="E14" s="86" t="str">
        <f t="shared" si="5"/>
        <v>Exhaust System</v>
      </c>
      <c r="F14" s="87" t="str">
        <f>EN_02003!B5</f>
        <v>Exhaust headers</v>
      </c>
      <c r="G14" s="86"/>
      <c r="H14" s="88">
        <f t="shared" si="4"/>
        <v>109.43393911329514</v>
      </c>
      <c r="I14" s="89">
        <f>EN_A0200_q*EN_02003_q</f>
        <v>1</v>
      </c>
      <c r="J14" s="90">
        <f>EN_02003_m</f>
        <v>1.6472724466284603</v>
      </c>
      <c r="K14" s="90">
        <f>EN_02003_p</f>
        <v>100.12</v>
      </c>
      <c r="L14" s="90">
        <v>0</v>
      </c>
      <c r="M14" s="90">
        <f>EN_02003_t</f>
        <v>7.666666666666667</v>
      </c>
      <c r="N14" s="91">
        <f t="shared" si="3"/>
        <v>109.43393911329514</v>
      </c>
      <c r="O14" s="92"/>
    </row>
    <row r="15" spans="1:15" ht="15" x14ac:dyDescent="0.25">
      <c r="A15" s="83"/>
      <c r="B15" s="84" t="str">
        <f>EN_02001!$B$3</f>
        <v>Engine and Drivetrain</v>
      </c>
      <c r="C15" s="85" t="str">
        <f>EN_02004</f>
        <v>EN 02004</v>
      </c>
      <c r="D15" s="86" t="s">
        <v>11</v>
      </c>
      <c r="E15" s="86" t="str">
        <f t="shared" si="5"/>
        <v>Exhaust System</v>
      </c>
      <c r="F15" s="87" t="str">
        <f>EN_02004!B5</f>
        <v>Primary collector</v>
      </c>
      <c r="G15" s="86"/>
      <c r="H15" s="88">
        <f t="shared" si="4"/>
        <v>20.228377789788073</v>
      </c>
      <c r="I15" s="89">
        <f>EN_A0200_q*EN_02004_q</f>
        <v>2</v>
      </c>
      <c r="J15" s="90">
        <f>EN_02004_m</f>
        <v>0.28964518324531668</v>
      </c>
      <c r="K15" s="90">
        <f>EN_02004_p</f>
        <v>18.438732606542757</v>
      </c>
      <c r="L15" s="90">
        <v>0</v>
      </c>
      <c r="M15" s="90">
        <f>EN_02004_t</f>
        <v>1.5</v>
      </c>
      <c r="N15" s="91">
        <f t="shared" si="3"/>
        <v>40.456755579576146</v>
      </c>
      <c r="O15" s="92"/>
    </row>
    <row r="16" spans="1:15" ht="15" x14ac:dyDescent="0.25">
      <c r="A16" s="83"/>
      <c r="B16" s="84" t="str">
        <f>EN_02001!$B$3</f>
        <v>Engine and Drivetrain</v>
      </c>
      <c r="C16" s="85" t="str">
        <f>EN_02005</f>
        <v>EN 02005</v>
      </c>
      <c r="D16" s="86" t="s">
        <v>11</v>
      </c>
      <c r="E16" s="86" t="str">
        <f t="shared" si="5"/>
        <v>Exhaust System</v>
      </c>
      <c r="F16" s="87" t="str">
        <f>EN_02005!B5</f>
        <v>Primary collector tubing</v>
      </c>
      <c r="G16" s="86"/>
      <c r="H16" s="88">
        <f t="shared" si="4"/>
        <v>1.2217583384506194</v>
      </c>
      <c r="I16" s="89">
        <f>EN_A0200_q*EN_02005_q</f>
        <v>2</v>
      </c>
      <c r="J16" s="90">
        <f>EN_02005_m</f>
        <v>0.59025833845061948</v>
      </c>
      <c r="K16" s="90">
        <f>EN_02005_p</f>
        <v>0.63149999999999995</v>
      </c>
      <c r="L16" s="90">
        <v>0</v>
      </c>
      <c r="M16" s="90">
        <v>0</v>
      </c>
      <c r="N16" s="91">
        <f t="shared" si="3"/>
        <v>2.4435166769012389</v>
      </c>
      <c r="O16" s="92"/>
    </row>
    <row r="17" spans="1:15" ht="15" x14ac:dyDescent="0.25">
      <c r="A17" s="83"/>
      <c r="B17" s="84" t="str">
        <f>EN_02001!$B$3</f>
        <v>Engine and Drivetrain</v>
      </c>
      <c r="C17" s="85" t="str">
        <f>EN_02006</f>
        <v>EN 02006</v>
      </c>
      <c r="D17" s="86" t="s">
        <v>11</v>
      </c>
      <c r="E17" s="86" t="str">
        <f t="shared" si="5"/>
        <v>Exhaust System</v>
      </c>
      <c r="F17" s="87" t="str">
        <f>EN_02006!B5</f>
        <v>Secondary collector</v>
      </c>
      <c r="G17" s="86"/>
      <c r="H17" s="88">
        <f t="shared" si="4"/>
        <v>22.466496278906856</v>
      </c>
      <c r="I17" s="89">
        <f>EN_A0200_q*EN_02006_q</f>
        <v>1</v>
      </c>
      <c r="J17" s="90">
        <f>EN_02006_m</f>
        <v>0.38627070650896178</v>
      </c>
      <c r="K17" s="90">
        <f>EN_02006_p</f>
        <v>20.580225572397893</v>
      </c>
      <c r="L17" s="90">
        <v>0</v>
      </c>
      <c r="M17" s="90">
        <f>EN_02006_t</f>
        <v>1.5</v>
      </c>
      <c r="N17" s="91">
        <f t="shared" si="3"/>
        <v>22.466496278906856</v>
      </c>
      <c r="O17" s="92"/>
    </row>
    <row r="18" spans="1:15" ht="15" x14ac:dyDescent="0.25">
      <c r="A18" s="83"/>
      <c r="B18" s="84" t="str">
        <f>EN_02001!$B$3</f>
        <v>Engine and Drivetrain</v>
      </c>
      <c r="C18" s="85" t="str">
        <f>EN_02007</f>
        <v>EN 02007</v>
      </c>
      <c r="D18" s="86" t="s">
        <v>11</v>
      </c>
      <c r="E18" s="86" t="str">
        <f t="shared" si="5"/>
        <v>Exhaust System</v>
      </c>
      <c r="F18" s="87" t="str">
        <f>EN_02007!B5</f>
        <v>Secondary collector tubing</v>
      </c>
      <c r="G18" s="86"/>
      <c r="H18" s="88">
        <f t="shared" si="4"/>
        <v>12.90112506395198</v>
      </c>
      <c r="I18" s="89">
        <f>EN_A0200_q*EN_02007_q</f>
        <v>1</v>
      </c>
      <c r="J18" s="90">
        <f>EN_02007_m</f>
        <v>0.51345839728531351</v>
      </c>
      <c r="K18" s="90">
        <f>EN_02007_p</f>
        <v>11.721</v>
      </c>
      <c r="L18" s="90">
        <v>0</v>
      </c>
      <c r="M18" s="90">
        <f>EN_02007_t</f>
        <v>0.66666666666666663</v>
      </c>
      <c r="N18" s="91">
        <f t="shared" si="3"/>
        <v>12.90112506395198</v>
      </c>
      <c r="O18" s="92"/>
    </row>
    <row r="19" spans="1:15" ht="15" x14ac:dyDescent="0.25">
      <c r="A19" s="83"/>
      <c r="B19" s="84" t="str">
        <f>EN_02001!$B$3</f>
        <v>Engine and Drivetrain</v>
      </c>
      <c r="C19" s="85" t="str">
        <f>EN_02008</f>
        <v>EN 02008</v>
      </c>
      <c r="D19" s="86" t="s">
        <v>11</v>
      </c>
      <c r="E19" s="86" t="str">
        <f t="shared" si="5"/>
        <v>Exhaust System</v>
      </c>
      <c r="F19" s="87" t="str">
        <f>EN_02008!B5</f>
        <v>Muffler</v>
      </c>
      <c r="G19" s="93"/>
      <c r="H19" s="88">
        <f t="shared" si="4"/>
        <v>40.144999999999996</v>
      </c>
      <c r="I19" s="89">
        <f>EN_A0200_q*EN_02008_q</f>
        <v>1</v>
      </c>
      <c r="J19" s="90">
        <f>EN_02008_m</f>
        <v>24.125</v>
      </c>
      <c r="K19" s="90">
        <f>EN_02008_p</f>
        <v>16.02</v>
      </c>
      <c r="L19" s="90">
        <v>0</v>
      </c>
      <c r="M19" s="90">
        <v>0</v>
      </c>
      <c r="N19" s="91">
        <f t="shared" si="3"/>
        <v>40.144999999999996</v>
      </c>
      <c r="O19" s="92"/>
    </row>
    <row r="20" spans="1:15" ht="15" x14ac:dyDescent="0.25">
      <c r="A20" s="83"/>
      <c r="B20" s="84" t="str">
        <f>EN_02001!$B$3</f>
        <v>Engine and Drivetrain</v>
      </c>
      <c r="C20" s="85" t="str">
        <f>EN_02009</f>
        <v>EN 02009</v>
      </c>
      <c r="D20" s="86" t="s">
        <v>11</v>
      </c>
      <c r="E20" s="86" t="str">
        <f t="shared" si="5"/>
        <v>Exhaust System</v>
      </c>
      <c r="F20" s="87" t="str">
        <f>EN_02009!B5</f>
        <v>Muffler Collar</v>
      </c>
      <c r="G20" s="86"/>
      <c r="H20" s="88">
        <f t="shared" si="4"/>
        <v>6.208613333333334</v>
      </c>
      <c r="I20" s="89">
        <f>EN_A0200_q*EN_02009_q</f>
        <v>1</v>
      </c>
      <c r="J20" s="90">
        <f>EN_02009_m</f>
        <v>5.5552800000000007</v>
      </c>
      <c r="K20" s="90">
        <f>EN_02009_p</f>
        <v>0.61599999999999999</v>
      </c>
      <c r="L20" s="90">
        <v>0</v>
      </c>
      <c r="M20" s="90">
        <f>EN_02009_t</f>
        <v>3.7333333333333336E-2</v>
      </c>
      <c r="N20" s="91">
        <f t="shared" si="3"/>
        <v>6.208613333333334</v>
      </c>
      <c r="O20" s="92"/>
    </row>
    <row r="21" spans="1:15" ht="15" x14ac:dyDescent="0.25">
      <c r="A21" s="83"/>
      <c r="B21" s="84" t="str">
        <f>EN_02001!$B$3</f>
        <v>Engine and Drivetrain</v>
      </c>
      <c r="C21" s="85" t="str">
        <f>EN_02010</f>
        <v>EN 02010</v>
      </c>
      <c r="D21" s="86" t="s">
        <v>11</v>
      </c>
      <c r="E21" s="86" t="str">
        <f t="shared" si="5"/>
        <v>Exhaust System</v>
      </c>
      <c r="F21" s="87" t="str">
        <f>EN_02010!B5</f>
        <v>Spacer</v>
      </c>
      <c r="G21" s="86"/>
      <c r="H21" s="88">
        <f t="shared" si="4"/>
        <v>2.2250004878264873</v>
      </c>
      <c r="I21" s="89">
        <f>EN_A0200_q*EN_02010_q</f>
        <v>1</v>
      </c>
      <c r="J21" s="90">
        <f>EN_02010_m</f>
        <v>0.14915276609595188</v>
      </c>
      <c r="K21" s="90">
        <f>EN_02010_p</f>
        <v>2.0758477217305353</v>
      </c>
      <c r="L21" s="90">
        <v>0</v>
      </c>
      <c r="M21" s="90">
        <v>0</v>
      </c>
      <c r="N21" s="91">
        <f t="shared" si="3"/>
        <v>2.2250004878264873</v>
      </c>
      <c r="O21" s="92"/>
    </row>
    <row r="22" spans="1:15" ht="15" x14ac:dyDescent="0.25">
      <c r="A22" s="609"/>
      <c r="B22" s="610" t="str">
        <f>EN_A0300!B3</f>
        <v>Engine and Drivetrain</v>
      </c>
      <c r="C22" s="618" t="s">
        <v>522</v>
      </c>
      <c r="D22" s="611" t="s">
        <v>11</v>
      </c>
      <c r="E22" s="611"/>
      <c r="F22" s="612" t="str">
        <f>EN_A0300</f>
        <v>Air Intake System</v>
      </c>
      <c r="G22" s="611"/>
      <c r="H22" s="613">
        <f t="shared" ref="H22:H85" si="6">SUM(J22:M22)</f>
        <v>95.195598846774004</v>
      </c>
      <c r="I22" s="614">
        <f>EN_A0300_q</f>
        <v>1</v>
      </c>
      <c r="J22" s="615">
        <f>EN_A0300_m</f>
        <v>26.45</v>
      </c>
      <c r="K22" s="615">
        <f>EN_A0300_p</f>
        <v>62.641749999999995</v>
      </c>
      <c r="L22" s="615">
        <f>EN_A0300_f</f>
        <v>5.437182180107337</v>
      </c>
      <c r="M22" s="615">
        <f>EN_A0300_t</f>
        <v>0.66666666666666663</v>
      </c>
      <c r="N22" s="616">
        <f t="shared" si="3"/>
        <v>95.195598846774004</v>
      </c>
      <c r="O22" s="617"/>
    </row>
    <row r="23" spans="1:15" ht="15" x14ac:dyDescent="0.25">
      <c r="A23" s="582"/>
      <c r="B23" s="583" t="str">
        <f>EN_A0300!$B$3</f>
        <v>Engine and Drivetrain</v>
      </c>
      <c r="C23" s="584" t="s">
        <v>523</v>
      </c>
      <c r="D23" s="585" t="s">
        <v>11</v>
      </c>
      <c r="E23" s="585" t="str">
        <f>$F$22</f>
        <v>Air Intake System</v>
      </c>
      <c r="F23" s="586" t="str">
        <f>EN_03001!B$5</f>
        <v>Upper plenum</v>
      </c>
      <c r="G23" s="585"/>
      <c r="H23" s="587">
        <f t="shared" si="6"/>
        <v>12.57225</v>
      </c>
      <c r="I23" s="588">
        <f>EN_A0300_q*EN_0300_001_q</f>
        <v>1</v>
      </c>
      <c r="J23" s="589">
        <f>EN_0300_001_m</f>
        <v>1.1384999999999998</v>
      </c>
      <c r="K23" s="589">
        <f>EN_0300_001_p</f>
        <v>11.43375</v>
      </c>
      <c r="L23" s="589">
        <f>EN_0300_001_f</f>
        <v>0</v>
      </c>
      <c r="M23" s="589">
        <f>EN_0300_001_t</f>
        <v>0</v>
      </c>
      <c r="N23" s="590">
        <f t="shared" si="3"/>
        <v>12.57225</v>
      </c>
      <c r="O23" s="591"/>
    </row>
    <row r="24" spans="1:15" ht="15" x14ac:dyDescent="0.25">
      <c r="A24" s="582"/>
      <c r="B24" s="583" t="str">
        <f>EN_A0300!$B$3</f>
        <v>Engine and Drivetrain</v>
      </c>
      <c r="C24" s="584" t="s">
        <v>524</v>
      </c>
      <c r="D24" s="585" t="s">
        <v>11</v>
      </c>
      <c r="E24" s="585" t="str">
        <f t="shared" ref="E24:E30" si="7">$F$22</f>
        <v>Air Intake System</v>
      </c>
      <c r="F24" s="586" t="str">
        <f>EN_03002!B$5</f>
        <v>Plenum plate</v>
      </c>
      <c r="G24" s="585"/>
      <c r="H24" s="587">
        <f t="shared" si="6"/>
        <v>3.6799999999999997</v>
      </c>
      <c r="I24" s="588">
        <f>EN_A0300_q*EN_0300_002_q</f>
        <v>1</v>
      </c>
      <c r="J24" s="589">
        <f>EN_0300_002_m</f>
        <v>0.58800000000000008</v>
      </c>
      <c r="K24" s="589">
        <f>EN_0300_002_p</f>
        <v>3.0919999999999996</v>
      </c>
      <c r="L24" s="589">
        <f>EN_0300_002_f</f>
        <v>0</v>
      </c>
      <c r="M24" s="589">
        <f>EN_0300_002_t</f>
        <v>0</v>
      </c>
      <c r="N24" s="590">
        <f t="shared" si="3"/>
        <v>3.6799999999999997</v>
      </c>
      <c r="O24" s="591"/>
    </row>
    <row r="25" spans="1:15" ht="15" x14ac:dyDescent="0.25">
      <c r="A25" s="582"/>
      <c r="B25" s="583" t="str">
        <f>EN_A0300!$B$3</f>
        <v>Engine and Drivetrain</v>
      </c>
      <c r="C25" s="584" t="s">
        <v>525</v>
      </c>
      <c r="D25" s="585" t="s">
        <v>11</v>
      </c>
      <c r="E25" s="585" t="str">
        <f t="shared" si="7"/>
        <v>Air Intake System</v>
      </c>
      <c r="F25" s="586" t="str">
        <f>EN_03003!B$5</f>
        <v>Intake manifold</v>
      </c>
      <c r="G25" s="585"/>
      <c r="H25" s="587">
        <f t="shared" si="6"/>
        <v>18.119250000000001</v>
      </c>
      <c r="I25" s="588">
        <f>EN_A0300_q*EN_0300_003_q</f>
        <v>1</v>
      </c>
      <c r="J25" s="589">
        <f>EN_0300_003_m</f>
        <v>1.6335</v>
      </c>
      <c r="K25" s="589">
        <f>EN_0300_003_p</f>
        <v>16.485749999999999</v>
      </c>
      <c r="L25" s="589">
        <f>EN_0300_003_f</f>
        <v>0</v>
      </c>
      <c r="M25" s="589">
        <f>EN_0300_003_t</f>
        <v>0</v>
      </c>
      <c r="N25" s="590">
        <f t="shared" si="3"/>
        <v>18.119250000000001</v>
      </c>
      <c r="O25" s="591"/>
    </row>
    <row r="26" spans="1:15" ht="15" x14ac:dyDescent="0.25">
      <c r="A26" s="582"/>
      <c r="B26" s="583" t="str">
        <f>EN_A0300!$B$3</f>
        <v>Engine and Drivetrain</v>
      </c>
      <c r="C26" s="584" t="s">
        <v>568</v>
      </c>
      <c r="D26" s="585" t="s">
        <v>11</v>
      </c>
      <c r="E26" s="585" t="str">
        <f t="shared" si="7"/>
        <v>Air Intake System</v>
      </c>
      <c r="F26" s="586" t="str">
        <f>EN_03004!B$5</f>
        <v>Left frame bracket</v>
      </c>
      <c r="G26" s="585"/>
      <c r="H26" s="587">
        <f t="shared" si="6"/>
        <v>1.6890000000000001</v>
      </c>
      <c r="I26" s="588">
        <f>EN_A0300_q*EN_0300_004_q</f>
        <v>1</v>
      </c>
      <c r="J26" s="589">
        <f>EN_0300_004_m</f>
        <v>4.2000000000000003E-2</v>
      </c>
      <c r="K26" s="589">
        <f>EN_0300_004_p</f>
        <v>1.647</v>
      </c>
      <c r="L26" s="589">
        <f>EN_0300_004_f</f>
        <v>0</v>
      </c>
      <c r="M26" s="589">
        <f>EN_0300_004_t</f>
        <v>0</v>
      </c>
      <c r="N26" s="590">
        <f t="shared" si="3"/>
        <v>1.6890000000000001</v>
      </c>
      <c r="O26" s="591"/>
    </row>
    <row r="27" spans="1:15" ht="15" x14ac:dyDescent="0.25">
      <c r="A27" s="582"/>
      <c r="B27" s="583" t="str">
        <f>EN_A0300!$B$3</f>
        <v>Engine and Drivetrain</v>
      </c>
      <c r="C27" s="584" t="s">
        <v>569</v>
      </c>
      <c r="D27" s="585" t="s">
        <v>11</v>
      </c>
      <c r="E27" s="585" t="str">
        <f t="shared" si="7"/>
        <v>Air Intake System</v>
      </c>
      <c r="F27" s="586" t="str">
        <f>EN_03005!B$5</f>
        <v>Right frame bracket</v>
      </c>
      <c r="G27" s="585"/>
      <c r="H27" s="587">
        <f t="shared" si="6"/>
        <v>1.7614000000000001</v>
      </c>
      <c r="I27" s="588">
        <f>EN_A0300_q*EN_0300_005_q</f>
        <v>1</v>
      </c>
      <c r="J27" s="589">
        <f>EN_0300_005_m</f>
        <v>5.04E-2</v>
      </c>
      <c r="K27" s="589">
        <f>EN_0300_005_p</f>
        <v>1.7110000000000001</v>
      </c>
      <c r="L27" s="589">
        <f>EN_0300_005_f</f>
        <v>0</v>
      </c>
      <c r="M27" s="589">
        <f>EN_0300_005_t</f>
        <v>0</v>
      </c>
      <c r="N27" s="590">
        <f t="shared" si="3"/>
        <v>1.7614000000000001</v>
      </c>
      <c r="O27" s="591"/>
    </row>
    <row r="28" spans="1:15" ht="15" x14ac:dyDescent="0.25">
      <c r="A28" s="582"/>
      <c r="B28" s="583" t="str">
        <f>EN_A0300!$B$3</f>
        <v>Engine and Drivetrain</v>
      </c>
      <c r="C28" s="584" t="s">
        <v>570</v>
      </c>
      <c r="D28" s="585" t="s">
        <v>11</v>
      </c>
      <c r="E28" s="585" t="str">
        <f t="shared" si="7"/>
        <v>Air Intake System</v>
      </c>
      <c r="F28" s="586" t="str">
        <f>EN_03006!B$5</f>
        <v>PAIR plate</v>
      </c>
      <c r="G28" s="585"/>
      <c r="H28" s="587">
        <f t="shared" si="6"/>
        <v>1.9656000000000002</v>
      </c>
      <c r="I28" s="588">
        <f>EN_A0300_q*EN_0300_006_q</f>
        <v>2</v>
      </c>
      <c r="J28" s="589">
        <f>EN_0300_006_m</f>
        <v>7.5600000000000001E-2</v>
      </c>
      <c r="K28" s="589">
        <f>EN_0300_006_p</f>
        <v>1.8900000000000001</v>
      </c>
      <c r="L28" s="589">
        <f>EN_0300_006_f</f>
        <v>0</v>
      </c>
      <c r="M28" s="589">
        <f>EN_0300_006_t</f>
        <v>0</v>
      </c>
      <c r="N28" s="590">
        <f t="shared" si="3"/>
        <v>3.9312000000000005</v>
      </c>
      <c r="O28" s="591"/>
    </row>
    <row r="29" spans="1:15" ht="15" x14ac:dyDescent="0.25">
      <c r="A29" s="582"/>
      <c r="B29" s="583" t="str">
        <f>EN_A0300!$B$3</f>
        <v>Engine and Drivetrain</v>
      </c>
      <c r="C29" s="584" t="s">
        <v>571</v>
      </c>
      <c r="D29" s="585" t="s">
        <v>11</v>
      </c>
      <c r="E29" s="585" t="str">
        <f t="shared" si="7"/>
        <v>Air Intake System</v>
      </c>
      <c r="F29" s="586" t="str">
        <f>EN_03007!B$5</f>
        <v>Motor bracket</v>
      </c>
      <c r="G29" s="585"/>
      <c r="H29" s="587">
        <f t="shared" si="6"/>
        <v>4.1755999999999993</v>
      </c>
      <c r="I29" s="588">
        <f>EN_A0300_q*EN_0300_007_q</f>
        <v>1</v>
      </c>
      <c r="J29" s="589">
        <f>EN_0300_007_m</f>
        <v>0.28560000000000002</v>
      </c>
      <c r="K29" s="589">
        <f>EN_0300_007_p</f>
        <v>3.8899999999999997</v>
      </c>
      <c r="L29" s="589">
        <f>EN_0300_007_f</f>
        <v>0</v>
      </c>
      <c r="M29" s="589">
        <f>EN_0300_007_t</f>
        <v>0</v>
      </c>
      <c r="N29" s="590">
        <f t="shared" si="3"/>
        <v>4.1755999999999993</v>
      </c>
      <c r="O29" s="591"/>
    </row>
    <row r="30" spans="1:15" ht="15" x14ac:dyDescent="0.25">
      <c r="A30" s="592"/>
      <c r="B30" s="593" t="str">
        <f>EN_A0300!$B$3</f>
        <v>Engine and Drivetrain</v>
      </c>
      <c r="C30" s="594" t="s">
        <v>572</v>
      </c>
      <c r="D30" s="595" t="s">
        <v>11</v>
      </c>
      <c r="E30" s="585" t="str">
        <f t="shared" si="7"/>
        <v>Air Intake System</v>
      </c>
      <c r="F30" s="596" t="str">
        <f>EN_03008!B$5</f>
        <v>Intake bracket</v>
      </c>
      <c r="G30" s="595"/>
      <c r="H30" s="597">
        <f t="shared" si="6"/>
        <v>1.38425</v>
      </c>
      <c r="I30" s="598">
        <f>EN_A0300_q*EN_0300_008_q</f>
        <v>2</v>
      </c>
      <c r="J30" s="589">
        <f>EN_0300_008_m</f>
        <v>6.7499999999999999E-3</v>
      </c>
      <c r="K30" s="599">
        <f>EN_0300_008_p</f>
        <v>1.3774999999999999</v>
      </c>
      <c r="L30" s="599">
        <f>EN_0300_008_f</f>
        <v>0</v>
      </c>
      <c r="M30" s="599">
        <f>EN_0300_008_t</f>
        <v>0</v>
      </c>
      <c r="N30" s="600">
        <f t="shared" si="3"/>
        <v>2.7685</v>
      </c>
      <c r="O30" s="601"/>
    </row>
    <row r="31" spans="1:15" ht="15" x14ac:dyDescent="0.25">
      <c r="A31" s="152"/>
      <c r="B31" s="1162" t="str">
        <f>EN_A0400!B3</f>
        <v>Engine and Drivetrain</v>
      </c>
      <c r="C31" s="150" t="s">
        <v>557</v>
      </c>
      <c r="D31" s="150" t="s">
        <v>11</v>
      </c>
      <c r="E31" s="150"/>
      <c r="F31" s="151" t="str">
        <f>EN_A0400</f>
        <v>Throttle Body</v>
      </c>
      <c r="G31" s="150"/>
      <c r="H31" s="149">
        <f t="shared" si="6"/>
        <v>130.01000000000002</v>
      </c>
      <c r="I31" s="148">
        <f>EN_A0400_q</f>
        <v>1</v>
      </c>
      <c r="J31" s="147">
        <f>EN_A0400_m</f>
        <v>119.8</v>
      </c>
      <c r="K31" s="147">
        <f>EN_A0400_p</f>
        <v>9.1900000000000013</v>
      </c>
      <c r="L31" s="147">
        <f>EN_A0400_f</f>
        <v>1.02</v>
      </c>
      <c r="M31" s="147">
        <f>EN_A0400_t</f>
        <v>0</v>
      </c>
      <c r="N31" s="146">
        <f t="shared" si="3"/>
        <v>130.01000000000002</v>
      </c>
      <c r="O31" s="145"/>
    </row>
    <row r="32" spans="1:15" ht="15" x14ac:dyDescent="0.25">
      <c r="A32" s="143"/>
      <c r="B32" s="142" t="str">
        <f>EN_A0400!$B$3</f>
        <v>Engine and Drivetrain</v>
      </c>
      <c r="C32" s="141" t="s">
        <v>558</v>
      </c>
      <c r="D32" s="139" t="s">
        <v>11</v>
      </c>
      <c r="E32" s="139" t="str">
        <f>$F$31</f>
        <v>Throttle Body</v>
      </c>
      <c r="F32" s="140" t="str">
        <f>EN_0400_001</f>
        <v>Throttle Frange</v>
      </c>
      <c r="G32" s="139"/>
      <c r="H32" s="138">
        <f t="shared" si="6"/>
        <v>5.1789856000000007</v>
      </c>
      <c r="I32" s="137">
        <f>EN_A0400_q*EN_0400_001_q</f>
        <v>1</v>
      </c>
      <c r="J32" s="136">
        <f>EN_0400_001_m</f>
        <v>0.72898560000000012</v>
      </c>
      <c r="K32" s="136">
        <f>EN_0400_001_p</f>
        <v>4.45</v>
      </c>
      <c r="L32" s="136">
        <f>EN_0400_001_f</f>
        <v>0</v>
      </c>
      <c r="M32" s="136">
        <f>EN_0400_001_t</f>
        <v>0</v>
      </c>
      <c r="N32" s="135">
        <f t="shared" si="3"/>
        <v>5.1789856000000007</v>
      </c>
      <c r="O32" s="134"/>
    </row>
    <row r="33" spans="1:15" ht="15" x14ac:dyDescent="0.25">
      <c r="A33" s="143"/>
      <c r="B33" s="142" t="str">
        <f>EN_A0400!$B$3</f>
        <v>Engine and Drivetrain</v>
      </c>
      <c r="C33" s="141" t="s">
        <v>559</v>
      </c>
      <c r="D33" s="139" t="s">
        <v>11</v>
      </c>
      <c r="E33" s="139" t="str">
        <f t="shared" ref="E33:E40" si="8">$F$31</f>
        <v>Throttle Body</v>
      </c>
      <c r="F33" s="140" t="str">
        <f>EN_0400_002</f>
        <v>Restrictor</v>
      </c>
      <c r="G33" s="139"/>
      <c r="H33" s="138">
        <f t="shared" si="6"/>
        <v>5.7292000000000005</v>
      </c>
      <c r="I33" s="137">
        <f>EN_A0400_q*EN_0400_002_q</f>
        <v>1</v>
      </c>
      <c r="J33" s="136">
        <f>EN_0400_002_m</f>
        <v>1.5792000000000002</v>
      </c>
      <c r="K33" s="136">
        <f>EN_0400_002_p</f>
        <v>4.1500000000000004</v>
      </c>
      <c r="L33" s="136">
        <f>EN_0400_002_f</f>
        <v>0</v>
      </c>
      <c r="M33" s="136">
        <f>EN_0400_002_t</f>
        <v>0</v>
      </c>
      <c r="N33" s="135">
        <f t="shared" si="3"/>
        <v>5.7292000000000005</v>
      </c>
      <c r="O33" s="134"/>
    </row>
    <row r="34" spans="1:15" ht="15" x14ac:dyDescent="0.25">
      <c r="A34" s="143"/>
      <c r="B34" s="142" t="str">
        <f>EN_A0400!$B$3</f>
        <v>Engine and Drivetrain</v>
      </c>
      <c r="C34" s="141" t="s">
        <v>560</v>
      </c>
      <c r="D34" s="139" t="s">
        <v>11</v>
      </c>
      <c r="E34" s="139" t="str">
        <f t="shared" si="8"/>
        <v>Throttle Body</v>
      </c>
      <c r="F34" s="140" t="str">
        <f>EN_0400_003</f>
        <v>Throttle Housing</v>
      </c>
      <c r="G34" s="139"/>
      <c r="H34" s="138">
        <f t="shared" si="6"/>
        <v>4.2741999999999996</v>
      </c>
      <c r="I34" s="137">
        <f>EN_A0400_q*EN_0400_003_q</f>
        <v>1</v>
      </c>
      <c r="J34" s="136">
        <f>EN_0400_003_m</f>
        <v>0.84420000000000006</v>
      </c>
      <c r="K34" s="136">
        <f>EN_0400_003_p</f>
        <v>3.4299999999999997</v>
      </c>
      <c r="L34" s="136">
        <f>EN_0400_003_f</f>
        <v>0</v>
      </c>
      <c r="M34" s="136">
        <f>EN_0400_003_t</f>
        <v>0</v>
      </c>
      <c r="N34" s="135">
        <f t="shared" si="3"/>
        <v>4.2741999999999996</v>
      </c>
      <c r="O34" s="134"/>
    </row>
    <row r="35" spans="1:15" ht="15" x14ac:dyDescent="0.25">
      <c r="A35" s="143"/>
      <c r="B35" s="142" t="str">
        <f>EN_A0400!$B$3</f>
        <v>Engine and Drivetrain</v>
      </c>
      <c r="C35" s="141" t="s">
        <v>561</v>
      </c>
      <c r="D35" s="139" t="s">
        <v>11</v>
      </c>
      <c r="E35" s="139" t="str">
        <f t="shared" si="8"/>
        <v>Throttle Body</v>
      </c>
      <c r="F35" s="140" t="str">
        <f>EN_0400_004</f>
        <v>Throttle Axle</v>
      </c>
      <c r="G35" s="139"/>
      <c r="H35" s="138">
        <f t="shared" si="6"/>
        <v>2.7262499999999998</v>
      </c>
      <c r="I35" s="137">
        <f>EN_A0400_q*EN_0400_004_q</f>
        <v>1</v>
      </c>
      <c r="J35" s="136">
        <f>EN_0400_004_m</f>
        <v>5.6250000000000001E-2</v>
      </c>
      <c r="K35" s="136">
        <f>EN_0400_004_p</f>
        <v>2.67</v>
      </c>
      <c r="L35" s="136">
        <f>EN_0400_004_f</f>
        <v>0</v>
      </c>
      <c r="M35" s="136">
        <f>EN_0400_004_t</f>
        <v>0</v>
      </c>
      <c r="N35" s="135">
        <f t="shared" si="3"/>
        <v>2.7262499999999998</v>
      </c>
      <c r="O35" s="134"/>
    </row>
    <row r="36" spans="1:15" ht="15" x14ac:dyDescent="0.25">
      <c r="A36" s="143"/>
      <c r="B36" s="142" t="str">
        <f>EN_A0400!$B$3</f>
        <v>Engine and Drivetrain</v>
      </c>
      <c r="C36" s="141" t="s">
        <v>562</v>
      </c>
      <c r="D36" s="139" t="s">
        <v>11</v>
      </c>
      <c r="E36" s="139" t="str">
        <f t="shared" si="8"/>
        <v>Throttle Body</v>
      </c>
      <c r="F36" s="140" t="str">
        <f>EN_0400_005</f>
        <v>TPS Axle</v>
      </c>
      <c r="G36" s="139"/>
      <c r="H36" s="138">
        <f t="shared" si="6"/>
        <v>2.7105000000000001</v>
      </c>
      <c r="I36" s="137">
        <f>EN_A0400_q*EN_0400_005_q</f>
        <v>1</v>
      </c>
      <c r="J36" s="136">
        <f>EN_0400_005_m</f>
        <v>4.0499999999999994E-2</v>
      </c>
      <c r="K36" s="136">
        <f>EN_0400_005_p</f>
        <v>2.67</v>
      </c>
      <c r="L36" s="136">
        <f>EN_0400_005_f</f>
        <v>0</v>
      </c>
      <c r="M36" s="136">
        <f>EN_0400_005_t</f>
        <v>0</v>
      </c>
      <c r="N36" s="135">
        <f t="shared" si="3"/>
        <v>2.7105000000000001</v>
      </c>
      <c r="O36" s="134"/>
    </row>
    <row r="37" spans="1:15" ht="15" x14ac:dyDescent="0.25">
      <c r="A37" s="143"/>
      <c r="B37" s="142" t="str">
        <f>EN_A0400!$B$3</f>
        <v>Engine and Drivetrain</v>
      </c>
      <c r="C37" s="141" t="s">
        <v>563</v>
      </c>
      <c r="D37" s="139" t="s">
        <v>11</v>
      </c>
      <c r="E37" s="139" t="str">
        <f t="shared" si="8"/>
        <v>Throttle Body</v>
      </c>
      <c r="F37" s="140" t="str">
        <f>EN_0400_006</f>
        <v>Cable Housing</v>
      </c>
      <c r="G37" s="139"/>
      <c r="H37" s="138">
        <f t="shared" si="6"/>
        <v>3.5687500000000001</v>
      </c>
      <c r="I37" s="137">
        <f>EN_A0400_q*EN_0400_006_q</f>
        <v>1</v>
      </c>
      <c r="J37" s="136">
        <f>EN_0400_006_m</f>
        <v>0.16874999999999998</v>
      </c>
      <c r="K37" s="136">
        <f>EN_0400_006_p</f>
        <v>3.4</v>
      </c>
      <c r="L37" s="136">
        <f>EN_0400_006_f</f>
        <v>0</v>
      </c>
      <c r="M37" s="136">
        <f>EN_0400_006_t</f>
        <v>0</v>
      </c>
      <c r="N37" s="135">
        <f t="shared" si="3"/>
        <v>3.5687500000000001</v>
      </c>
      <c r="O37" s="134"/>
    </row>
    <row r="38" spans="1:15" ht="15" x14ac:dyDescent="0.25">
      <c r="A38" s="143"/>
      <c r="B38" s="142" t="str">
        <f>EN_A0400!$B$3</f>
        <v>Engine and Drivetrain</v>
      </c>
      <c r="C38" s="141" t="s">
        <v>564</v>
      </c>
      <c r="D38" s="139" t="s">
        <v>11</v>
      </c>
      <c r="E38" s="139" t="str">
        <f t="shared" si="8"/>
        <v>Throttle Body</v>
      </c>
      <c r="F38" s="140" t="str">
        <f>EN_0400_007</f>
        <v>Axle Stop</v>
      </c>
      <c r="G38" s="139"/>
      <c r="H38" s="138">
        <f t="shared" si="6"/>
        <v>2.0409999999999999</v>
      </c>
      <c r="I38" s="137">
        <f>EN_A0400_q*EN_0400_007_q</f>
        <v>1</v>
      </c>
      <c r="J38" s="136">
        <f>EN_0400_007_m</f>
        <v>0.26100000000000001</v>
      </c>
      <c r="K38" s="136">
        <f>EN_0400_007_p</f>
        <v>1.78</v>
      </c>
      <c r="L38" s="136">
        <f>EN_0400_007_f</f>
        <v>0</v>
      </c>
      <c r="M38" s="136">
        <f>EN_0400_007_t</f>
        <v>0</v>
      </c>
      <c r="N38" s="135">
        <f t="shared" si="3"/>
        <v>2.0409999999999999</v>
      </c>
      <c r="O38" s="134"/>
    </row>
    <row r="39" spans="1:15" ht="15" x14ac:dyDescent="0.25">
      <c r="A39" s="143"/>
      <c r="B39" s="142" t="str">
        <f>EN_A0400!$B$3</f>
        <v>Engine and Drivetrain</v>
      </c>
      <c r="C39" s="141" t="s">
        <v>565</v>
      </c>
      <c r="D39" s="139" t="s">
        <v>11</v>
      </c>
      <c r="E39" s="139" t="str">
        <f t="shared" si="8"/>
        <v>Throttle Body</v>
      </c>
      <c r="F39" s="140" t="str">
        <f>EN_0400_008</f>
        <v>Ram Pipe</v>
      </c>
      <c r="G39" s="144"/>
      <c r="H39" s="138">
        <f t="shared" si="6"/>
        <v>12.5068</v>
      </c>
      <c r="I39" s="137">
        <f>EN_A0400_q*EN_0400_008_q</f>
        <v>1</v>
      </c>
      <c r="J39" s="136">
        <f>EN_0400_008_m</f>
        <v>4.0068000000000001</v>
      </c>
      <c r="K39" s="136">
        <f>EN_0400_008_p</f>
        <v>8.5</v>
      </c>
      <c r="L39" s="136">
        <f>EN_0400_008_f</f>
        <v>0</v>
      </c>
      <c r="M39" s="136">
        <f>EN_0400_008_t</f>
        <v>0</v>
      </c>
      <c r="N39" s="135">
        <f t="shared" si="3"/>
        <v>12.5068</v>
      </c>
      <c r="O39" s="134"/>
    </row>
    <row r="40" spans="1:15" ht="15" x14ac:dyDescent="0.25">
      <c r="A40" s="143"/>
      <c r="B40" s="142" t="str">
        <f>EN_A0400!$B$3</f>
        <v>Engine and Drivetrain</v>
      </c>
      <c r="C40" s="141" t="s">
        <v>566</v>
      </c>
      <c r="D40" s="139" t="s">
        <v>11</v>
      </c>
      <c r="E40" s="139" t="str">
        <f t="shared" si="8"/>
        <v>Throttle Body</v>
      </c>
      <c r="F40" s="140" t="str">
        <f>EN_0400_009</f>
        <v>Throttle Plate</v>
      </c>
      <c r="G40" s="139"/>
      <c r="H40" s="138">
        <f t="shared" si="6"/>
        <v>1.492</v>
      </c>
      <c r="I40" s="137">
        <f>EN_A0400_q*EN_0400_009_q</f>
        <v>1</v>
      </c>
      <c r="J40" s="136">
        <f>EN_0400_009_m</f>
        <v>7.2000000000000008E-2</v>
      </c>
      <c r="K40" s="136">
        <f>EN_0400_009_p</f>
        <v>1.42</v>
      </c>
      <c r="L40" s="136">
        <f>EN_0400_009_f</f>
        <v>0</v>
      </c>
      <c r="M40" s="136">
        <f>EN_0400_009_t</f>
        <v>0</v>
      </c>
      <c r="N40" s="135">
        <f t="shared" si="3"/>
        <v>1.492</v>
      </c>
      <c r="O40" s="134"/>
    </row>
    <row r="41" spans="1:15" ht="15" x14ac:dyDescent="0.25">
      <c r="A41" s="1163"/>
      <c r="B41" s="1162" t="str">
        <f>B42</f>
        <v>Engine and Drivetrain</v>
      </c>
      <c r="C41" s="1170" t="str">
        <f>EN_A0500</f>
        <v>EN A0500</v>
      </c>
      <c r="D41" s="1165" t="s">
        <v>11</v>
      </c>
      <c r="E41" s="1165"/>
      <c r="F41" s="1166" t="str">
        <f>'EN A0005'!B3</f>
        <v>Fuel Tank Assembly</v>
      </c>
      <c r="G41" s="1165"/>
      <c r="H41" s="1171">
        <f t="shared" si="6"/>
        <v>40.532146708333343</v>
      </c>
      <c r="I41" s="148">
        <f>EN_A0500_q</f>
        <v>1</v>
      </c>
      <c r="J41" s="1168">
        <f>EN_A0500_m</f>
        <v>24.858435000000004</v>
      </c>
      <c r="K41" s="1168">
        <f>EN_A0500_p</f>
        <v>12.460378374999999</v>
      </c>
      <c r="L41" s="1168">
        <f>EN_A0500_f</f>
        <v>1.8800000000000001</v>
      </c>
      <c r="M41" s="1168">
        <f>EN_A0500_t</f>
        <v>1.3333333333333333</v>
      </c>
      <c r="N41" s="1172">
        <f t="shared" si="3"/>
        <v>40.532146708333343</v>
      </c>
      <c r="O41" s="1169"/>
    </row>
    <row r="42" spans="1:15" ht="15" x14ac:dyDescent="0.25">
      <c r="A42" s="748"/>
      <c r="B42" s="142" t="str">
        <f>EN_A0400!$B$3</f>
        <v>Engine and Drivetrain</v>
      </c>
      <c r="C42" s="749" t="str">
        <f>EN_05001</f>
        <v>EN 05001</v>
      </c>
      <c r="D42" s="750" t="s">
        <v>11</v>
      </c>
      <c r="E42" s="750" t="str">
        <f>F$41</f>
        <v>Fuel Tank Assembly</v>
      </c>
      <c r="F42" s="751" t="str">
        <f>'EN 05001'!B4</f>
        <v>Fuel Tank (with filler neck)</v>
      </c>
      <c r="G42" s="750"/>
      <c r="H42" s="138">
        <f t="shared" si="6"/>
        <v>103.67125799008251</v>
      </c>
      <c r="I42" s="137">
        <f>EN_A0500_q*EN_05001_q</f>
        <v>1</v>
      </c>
      <c r="J42" s="753">
        <f>EN_05001_m</f>
        <v>19.849591323415851</v>
      </c>
      <c r="K42" s="753">
        <f>EN_05001_p</f>
        <v>82.154999999999987</v>
      </c>
      <c r="L42" s="753">
        <v>0</v>
      </c>
      <c r="M42" s="753">
        <f>EN_05001_t</f>
        <v>1.6666666666666667</v>
      </c>
      <c r="N42" s="135">
        <f t="shared" si="3"/>
        <v>103.67125799008251</v>
      </c>
      <c r="O42" s="754"/>
    </row>
    <row r="43" spans="1:15" ht="15" x14ac:dyDescent="0.25">
      <c r="A43" s="748"/>
      <c r="B43" s="142" t="str">
        <f>EN_A0400!$B$3</f>
        <v>Engine and Drivetrain</v>
      </c>
      <c r="C43" s="749" t="str">
        <f>EN_05002</f>
        <v>EN 05002</v>
      </c>
      <c r="D43" s="750" t="s">
        <v>11</v>
      </c>
      <c r="E43" s="750" t="str">
        <f t="shared" ref="E43:E46" si="9">F$41</f>
        <v>Fuel Tank Assembly</v>
      </c>
      <c r="F43" s="751" t="str">
        <f>'EN 05002'!B4</f>
        <v>Filler Cap</v>
      </c>
      <c r="G43" s="750"/>
      <c r="H43" s="138">
        <f t="shared" si="6"/>
        <v>31.684274971513588</v>
      </c>
      <c r="I43" s="137">
        <f>EN_A0500_q*EN_05002_q</f>
        <v>1</v>
      </c>
      <c r="J43" s="753">
        <f>EN_05002_m</f>
        <v>24.424274971513587</v>
      </c>
      <c r="K43" s="753">
        <f>EN_05002_p</f>
        <v>7.26</v>
      </c>
      <c r="L43" s="753">
        <v>0</v>
      </c>
      <c r="M43" s="753">
        <v>0</v>
      </c>
      <c r="N43" s="135">
        <f t="shared" si="3"/>
        <v>31.684274971513588</v>
      </c>
      <c r="O43" s="754"/>
    </row>
    <row r="44" spans="1:15" ht="15" x14ac:dyDescent="0.25">
      <c r="A44" s="748"/>
      <c r="B44" s="142" t="str">
        <f>EN_A0400!$B$3</f>
        <v>Engine and Drivetrain</v>
      </c>
      <c r="C44" s="749" t="str">
        <f>EN_05003</f>
        <v>EN 05003</v>
      </c>
      <c r="D44" s="750" t="s">
        <v>11</v>
      </c>
      <c r="E44" s="750" t="str">
        <f t="shared" si="9"/>
        <v>Fuel Tank Assembly</v>
      </c>
      <c r="F44" s="751" t="str">
        <f>'EN 05003'!B4</f>
        <v>Filler Tube</v>
      </c>
      <c r="G44" s="750"/>
      <c r="H44" s="138">
        <f t="shared" si="6"/>
        <v>18.357814563839998</v>
      </c>
      <c r="I44" s="137">
        <f>EN_A0500_q*EN_05003_q</f>
        <v>1</v>
      </c>
      <c r="J44" s="753">
        <f>EN_05003_m</f>
        <v>4.0578145638400001</v>
      </c>
      <c r="K44" s="753">
        <f>EN_05003_p</f>
        <v>10.78</v>
      </c>
      <c r="L44" s="753">
        <f>EN_05003_f</f>
        <v>2.52</v>
      </c>
      <c r="M44" s="753">
        <f>EN_05003_t</f>
        <v>1</v>
      </c>
      <c r="N44" s="135">
        <f t="shared" si="3"/>
        <v>18.357814563839998</v>
      </c>
      <c r="O44" s="754"/>
    </row>
    <row r="45" spans="1:15" ht="15" x14ac:dyDescent="0.25">
      <c r="A45" s="748"/>
      <c r="B45" s="142" t="str">
        <f>EN_A0400!$B$3</f>
        <v>Engine and Drivetrain</v>
      </c>
      <c r="C45" s="749" t="str">
        <f>EN_05004</f>
        <v>EN 05004</v>
      </c>
      <c r="D45" s="750" t="s">
        <v>11</v>
      </c>
      <c r="E45" s="750" t="str">
        <f t="shared" si="9"/>
        <v>Fuel Tank Assembly</v>
      </c>
      <c r="F45" s="751" t="str">
        <f>'EN 05004'!B4</f>
        <v>Lateral tab</v>
      </c>
      <c r="G45" s="750"/>
      <c r="H45" s="138">
        <f t="shared" si="6"/>
        <v>1.738382125</v>
      </c>
      <c r="I45" s="137">
        <f>EN_A0500_q*EN_05004_q</f>
        <v>2</v>
      </c>
      <c r="J45" s="753">
        <f>EN_05004_m</f>
        <v>3.3382125000000006E-2</v>
      </c>
      <c r="K45" s="753">
        <f>EN_05004_p</f>
        <v>1.7050000000000001</v>
      </c>
      <c r="L45" s="753">
        <v>0</v>
      </c>
      <c r="M45" s="753">
        <v>0</v>
      </c>
      <c r="N45" s="135">
        <f t="shared" si="3"/>
        <v>3.47676425</v>
      </c>
      <c r="O45" s="754"/>
    </row>
    <row r="46" spans="1:15" ht="15" x14ac:dyDescent="0.25">
      <c r="A46" s="748"/>
      <c r="B46" s="142" t="str">
        <f>EN_A0400!$B$3</f>
        <v>Engine and Drivetrain</v>
      </c>
      <c r="C46" s="749" t="str">
        <f>EN_05005</f>
        <v>EN 05005</v>
      </c>
      <c r="D46" s="750" t="s">
        <v>11</v>
      </c>
      <c r="E46" s="750" t="str">
        <f t="shared" si="9"/>
        <v>Fuel Tank Assembly</v>
      </c>
      <c r="F46" s="751" t="str">
        <f>'EN 05005'!B4</f>
        <v>Rear tab</v>
      </c>
      <c r="G46" s="750"/>
      <c r="H46" s="138">
        <f t="shared" si="6"/>
        <v>1.884868</v>
      </c>
      <c r="I46" s="137">
        <f>EN_A0500_q*EN_05005_q</f>
        <v>2</v>
      </c>
      <c r="J46" s="753">
        <f>EN_05005_m</f>
        <v>5.0868000000000003E-2</v>
      </c>
      <c r="K46" s="753">
        <f>EN_05005_p</f>
        <v>1.8340000000000001</v>
      </c>
      <c r="L46" s="753">
        <v>0</v>
      </c>
      <c r="M46" s="753">
        <v>0</v>
      </c>
      <c r="N46" s="135">
        <f t="shared" si="3"/>
        <v>3.769736</v>
      </c>
      <c r="O46" s="754"/>
    </row>
    <row r="47" spans="1:15" ht="15" x14ac:dyDescent="0.25">
      <c r="A47" s="1163"/>
      <c r="B47" s="1164" t="str">
        <f>B41</f>
        <v>Engine and Drivetrain</v>
      </c>
      <c r="C47" s="1170" t="str">
        <f>EN_A0600</f>
        <v>EN A0600</v>
      </c>
      <c r="D47" s="1165" t="s">
        <v>11</v>
      </c>
      <c r="E47" s="1165"/>
      <c r="F47" s="1166" t="str">
        <f>'EN A0600'!B3</f>
        <v>Fuel System</v>
      </c>
      <c r="G47" s="1165"/>
      <c r="H47" s="1171">
        <f t="shared" si="6"/>
        <v>328.32780866666673</v>
      </c>
      <c r="I47" s="1167">
        <f>EN_A0600_q</f>
        <v>1</v>
      </c>
      <c r="J47" s="1168">
        <f>EN_A0600_m</f>
        <v>283.82959200000005</v>
      </c>
      <c r="K47" s="1168">
        <f>EN_A0600_p</f>
        <v>43.141549999999995</v>
      </c>
      <c r="L47" s="1168">
        <f>EN_A0600_f</f>
        <v>0.69</v>
      </c>
      <c r="M47" s="1168">
        <f>EN_A0600_t</f>
        <v>0.66666666666666663</v>
      </c>
      <c r="N47" s="1172">
        <f t="shared" si="3"/>
        <v>328.32780866666673</v>
      </c>
      <c r="O47" s="1169"/>
    </row>
    <row r="48" spans="1:15" ht="15" x14ac:dyDescent="0.25">
      <c r="A48" s="748"/>
      <c r="B48" s="142" t="str">
        <f>EN_A0400!$B$3</f>
        <v>Engine and Drivetrain</v>
      </c>
      <c r="C48" s="749" t="str">
        <f>EN_06001</f>
        <v>EN 06001</v>
      </c>
      <c r="D48" s="750" t="s">
        <v>11</v>
      </c>
      <c r="E48" s="750" t="str">
        <f>F$47</f>
        <v>Fuel System</v>
      </c>
      <c r="F48" s="751" t="str">
        <f>'EN 06001'!B4</f>
        <v>Fuel Rail</v>
      </c>
      <c r="G48" s="750"/>
      <c r="H48" s="138">
        <f t="shared" si="6"/>
        <v>7.6413700144256271</v>
      </c>
      <c r="I48" s="752">
        <f>EN_A0600_q*EN_06001_q</f>
        <v>1</v>
      </c>
      <c r="J48" s="753">
        <f>EN_06001_m</f>
        <v>0.4680366810922939</v>
      </c>
      <c r="K48" s="753">
        <f>EN_06001_p</f>
        <v>4.84</v>
      </c>
      <c r="L48" s="753">
        <v>0</v>
      </c>
      <c r="M48" s="753">
        <f>EN_06001_t</f>
        <v>2.3333333333333335</v>
      </c>
      <c r="N48" s="135">
        <f t="shared" si="3"/>
        <v>7.6413700144256271</v>
      </c>
      <c r="O48" s="754"/>
    </row>
    <row r="49" spans="1:15" ht="15" x14ac:dyDescent="0.25">
      <c r="A49" s="748"/>
      <c r="B49" s="142" t="str">
        <f>EN_A0400!$B$3</f>
        <v>Engine and Drivetrain</v>
      </c>
      <c r="C49" s="749" t="str">
        <f>EN_06002</f>
        <v>EN 06002</v>
      </c>
      <c r="D49" s="750" t="s">
        <v>11</v>
      </c>
      <c r="E49" s="750" t="str">
        <f t="shared" ref="E49:E51" si="10">F$47</f>
        <v>Fuel System</v>
      </c>
      <c r="F49" s="751" t="str">
        <f>'EN 06002'!B4</f>
        <v>Fuel Pump Collar</v>
      </c>
      <c r="G49" s="750"/>
      <c r="H49" s="138">
        <f t="shared" si="6"/>
        <v>3.3523958399999998</v>
      </c>
      <c r="I49" s="752">
        <f>EN_A0600_q*EN_06002_q</f>
        <v>1</v>
      </c>
      <c r="J49" s="753">
        <f>EN_06002_m</f>
        <v>5.2395840000000006E-2</v>
      </c>
      <c r="K49" s="753">
        <f>EN_06002_p</f>
        <v>3.3</v>
      </c>
      <c r="L49" s="753">
        <v>0</v>
      </c>
      <c r="M49" s="753">
        <v>0</v>
      </c>
      <c r="N49" s="135">
        <f t="shared" si="3"/>
        <v>3.3523958399999998</v>
      </c>
      <c r="O49" s="754"/>
    </row>
    <row r="50" spans="1:15" ht="15" x14ac:dyDescent="0.25">
      <c r="A50" s="748"/>
      <c r="B50" s="142" t="str">
        <f>EN_A0400!$B$3</f>
        <v>Engine and Drivetrain</v>
      </c>
      <c r="C50" s="749" t="str">
        <f>EN_06003</f>
        <v>EN 06003</v>
      </c>
      <c r="D50" s="750" t="s">
        <v>11</v>
      </c>
      <c r="E50" s="750" t="str">
        <f t="shared" si="10"/>
        <v>Fuel System</v>
      </c>
      <c r="F50" s="751" t="str">
        <f>'EN 06003'!B4</f>
        <v>Pressure Regulator Tab</v>
      </c>
      <c r="G50" s="750"/>
      <c r="H50" s="138">
        <f t="shared" si="6"/>
        <v>1.8305095</v>
      </c>
      <c r="I50" s="752">
        <f>EN_A0600_q*EN_06003_q</f>
        <v>1</v>
      </c>
      <c r="J50" s="753">
        <f>EN_06003_m</f>
        <v>4.4509500000000007E-2</v>
      </c>
      <c r="K50" s="753">
        <f>EN_06003_p</f>
        <v>1.786</v>
      </c>
      <c r="L50" s="753">
        <v>0</v>
      </c>
      <c r="M50" s="753">
        <v>0</v>
      </c>
      <c r="N50" s="135">
        <f t="shared" si="3"/>
        <v>1.8305095</v>
      </c>
      <c r="O50" s="754"/>
    </row>
    <row r="51" spans="1:15" ht="15" x14ac:dyDescent="0.25">
      <c r="A51" s="748"/>
      <c r="B51" s="142" t="str">
        <f>EN_A0400!$B$3</f>
        <v>Engine and Drivetrain</v>
      </c>
      <c r="C51" s="749" t="str">
        <f>EN_06004</f>
        <v>EN 06004</v>
      </c>
      <c r="D51" s="750" t="s">
        <v>11</v>
      </c>
      <c r="E51" s="750" t="str">
        <f t="shared" si="10"/>
        <v>Fuel System</v>
      </c>
      <c r="F51" s="751" t="str">
        <f>'EN 06004'!B4</f>
        <v>Fuel Pump Tab</v>
      </c>
      <c r="G51" s="750"/>
      <c r="H51" s="138">
        <f t="shared" si="6"/>
        <v>1.5539844999999999</v>
      </c>
      <c r="I51" s="752">
        <f>EN_A0600_q*EN_06004_q</f>
        <v>1</v>
      </c>
      <c r="J51" s="753">
        <f>EN_06004_m</f>
        <v>9.1845E-3</v>
      </c>
      <c r="K51" s="753">
        <f>EN_06004_p</f>
        <v>1.5448</v>
      </c>
      <c r="L51" s="753">
        <v>0</v>
      </c>
      <c r="M51" s="753">
        <v>0</v>
      </c>
      <c r="N51" s="135">
        <f t="shared" si="3"/>
        <v>1.5539844999999999</v>
      </c>
      <c r="O51" s="754"/>
    </row>
    <row r="52" spans="1:15" ht="15" x14ac:dyDescent="0.25">
      <c r="A52" s="1163"/>
      <c r="B52" s="1164" t="str">
        <f>B47</f>
        <v>Engine and Drivetrain</v>
      </c>
      <c r="C52" s="1170" t="str">
        <f>EN_A0700</f>
        <v>EN A0700</v>
      </c>
      <c r="D52" s="1165" t="s">
        <v>11</v>
      </c>
      <c r="E52" s="1165"/>
      <c r="F52" s="1166" t="str">
        <f>'EN A0700'!B3</f>
        <v>Overflow Bottles</v>
      </c>
      <c r="G52" s="1165"/>
      <c r="H52" s="1171">
        <f t="shared" si="6"/>
        <v>26.183297910649134</v>
      </c>
      <c r="I52" s="1167">
        <f>EN_A0700_q</f>
        <v>1</v>
      </c>
      <c r="J52" s="1168">
        <f>EN_A0700_m</f>
        <v>14.3775</v>
      </c>
      <c r="K52" s="1168">
        <f>EN_A0700_p</f>
        <v>9.8299999999999983</v>
      </c>
      <c r="L52" s="1168">
        <f>EN_A0700_f</f>
        <v>1.9757979106491377</v>
      </c>
      <c r="M52" s="1168">
        <v>0</v>
      </c>
      <c r="N52" s="1172">
        <f t="shared" si="3"/>
        <v>26.183297910649134</v>
      </c>
      <c r="O52" s="1169"/>
    </row>
    <row r="53" spans="1:15" ht="15" x14ac:dyDescent="0.25">
      <c r="A53" s="1163"/>
      <c r="B53" s="1164" t="str">
        <f>B52</f>
        <v>Engine and Drivetrain</v>
      </c>
      <c r="C53" s="1170" t="str">
        <f>EN_A0800</f>
        <v>EN A0800</v>
      </c>
      <c r="D53" s="1165" t="s">
        <v>11</v>
      </c>
      <c r="E53" s="1165"/>
      <c r="F53" s="1166" t="str">
        <f>'EN A0800'!B3</f>
        <v>Cooling System</v>
      </c>
      <c r="G53" s="1165"/>
      <c r="H53" s="1171">
        <f t="shared" si="6"/>
        <v>49.037957249999998</v>
      </c>
      <c r="I53" s="1167">
        <f>EN_A0800_q</f>
        <v>1</v>
      </c>
      <c r="J53" s="1168">
        <f>EN_A0800_m</f>
        <v>20.044000000000004</v>
      </c>
      <c r="K53" s="1168">
        <f>EN_A0800_p</f>
        <v>19.440357249999991</v>
      </c>
      <c r="L53" s="1168">
        <f>EN_A0800_f</f>
        <v>8.5536000000000012</v>
      </c>
      <c r="M53" s="1168">
        <f>EN_A0800_t</f>
        <v>1</v>
      </c>
      <c r="N53" s="1172">
        <f t="shared" si="3"/>
        <v>49.037957249999998</v>
      </c>
      <c r="O53" s="1169"/>
    </row>
    <row r="54" spans="1:15" ht="15" x14ac:dyDescent="0.25">
      <c r="A54" s="748"/>
      <c r="B54" s="142" t="str">
        <f>EN_A0400!$B$3</f>
        <v>Engine and Drivetrain</v>
      </c>
      <c r="C54" s="749" t="str">
        <f>EN_08001</f>
        <v>EN 08001</v>
      </c>
      <c r="D54" s="750" t="s">
        <v>11</v>
      </c>
      <c r="E54" s="750" t="str">
        <f>F$53</f>
        <v>Cooling System</v>
      </c>
      <c r="F54" s="751" t="str">
        <f>EN_08001!B4</f>
        <v>Radiator</v>
      </c>
      <c r="G54" s="750"/>
      <c r="H54" s="138">
        <f t="shared" si="6"/>
        <v>189.3719449297335</v>
      </c>
      <c r="I54" s="752">
        <f>EN_A0800_q*EN_08001_q</f>
        <v>1</v>
      </c>
      <c r="J54" s="753">
        <f>EN_08001_m</f>
        <v>17.942504929733513</v>
      </c>
      <c r="K54" s="753">
        <f>EN_08001_p</f>
        <v>171.42944</v>
      </c>
      <c r="L54" s="753">
        <v>0</v>
      </c>
      <c r="M54" s="753">
        <v>0</v>
      </c>
      <c r="N54" s="135">
        <f t="shared" si="3"/>
        <v>189.3719449297335</v>
      </c>
      <c r="O54" s="754"/>
    </row>
    <row r="55" spans="1:15" ht="15" x14ac:dyDescent="0.25">
      <c r="A55" s="748"/>
      <c r="B55" s="142" t="str">
        <f>EN_A0400!$B$3</f>
        <v>Engine and Drivetrain</v>
      </c>
      <c r="C55" s="749" t="str">
        <f>EN_08002</f>
        <v>EN 08002</v>
      </c>
      <c r="D55" s="750" t="s">
        <v>11</v>
      </c>
      <c r="E55" s="750" t="str">
        <f t="shared" ref="E55:E63" si="11">F$53</f>
        <v>Cooling System</v>
      </c>
      <c r="F55" s="751" t="str">
        <f>EN_08002!B4</f>
        <v>Radiator lateral upper tab</v>
      </c>
      <c r="G55" s="750"/>
      <c r="H55" s="138">
        <f t="shared" si="6"/>
        <v>1.7906290000000002</v>
      </c>
      <c r="I55" s="752">
        <f>EN_A0800_q*EN_08002_q</f>
        <v>1</v>
      </c>
      <c r="J55" s="753">
        <f>EN_08002_m</f>
        <v>4.6628999999999997E-2</v>
      </c>
      <c r="K55" s="753">
        <f>EN_08002_p</f>
        <v>1.7440000000000002</v>
      </c>
      <c r="L55" s="753">
        <v>0</v>
      </c>
      <c r="M55" s="753">
        <v>0</v>
      </c>
      <c r="N55" s="135">
        <f t="shared" si="3"/>
        <v>1.7906290000000002</v>
      </c>
      <c r="O55" s="754"/>
    </row>
    <row r="56" spans="1:15" ht="15" x14ac:dyDescent="0.25">
      <c r="A56" s="748"/>
      <c r="B56" s="142" t="str">
        <f>EN_A0400!$B$3</f>
        <v>Engine and Drivetrain</v>
      </c>
      <c r="C56" s="749" t="str">
        <f>EN_08003</f>
        <v>EN 08003</v>
      </c>
      <c r="D56" s="750" t="s">
        <v>11</v>
      </c>
      <c r="E56" s="750" t="str">
        <f t="shared" si="11"/>
        <v>Cooling System</v>
      </c>
      <c r="F56" s="751" t="str">
        <f>EN_08003!B4</f>
        <v>Radiator lateral lower tab</v>
      </c>
      <c r="G56" s="750"/>
      <c r="H56" s="138">
        <f t="shared" si="6"/>
        <v>2.5271720024703863</v>
      </c>
      <c r="I56" s="752">
        <f>EN_A0800_q*EN_08003_q</f>
        <v>1</v>
      </c>
      <c r="J56" s="753">
        <f>EN_08003_m</f>
        <v>0.26493749999999999</v>
      </c>
      <c r="K56" s="753">
        <f>EN_08003_p</f>
        <v>2.2622345024703865</v>
      </c>
      <c r="L56" s="753">
        <v>0</v>
      </c>
      <c r="M56" s="753">
        <v>0</v>
      </c>
      <c r="N56" s="135">
        <f t="shared" si="3"/>
        <v>2.5271720024703863</v>
      </c>
      <c r="O56" s="754"/>
    </row>
    <row r="57" spans="1:15" ht="15" x14ac:dyDescent="0.25">
      <c r="A57" s="748"/>
      <c r="B57" s="142" t="str">
        <f>EN_A0400!$B$3</f>
        <v>Engine and Drivetrain</v>
      </c>
      <c r="C57" s="749" t="str">
        <f>EN_08004</f>
        <v>EN 08004</v>
      </c>
      <c r="D57" s="750" t="s">
        <v>11</v>
      </c>
      <c r="E57" s="750" t="str">
        <f t="shared" si="11"/>
        <v>Cooling System</v>
      </c>
      <c r="F57" s="751" t="str">
        <f>EN_08004!B4</f>
        <v>Radiator Back tab</v>
      </c>
      <c r="G57" s="750"/>
      <c r="H57" s="138">
        <f t="shared" si="6"/>
        <v>1.614127375</v>
      </c>
      <c r="I57" s="752">
        <f>EN_A0800_q*EN_08004_q</f>
        <v>1</v>
      </c>
      <c r="J57" s="753">
        <f>EN_08004_m</f>
        <v>1.1127375000000002E-2</v>
      </c>
      <c r="K57" s="753">
        <f>EN_08004_p</f>
        <v>1.603</v>
      </c>
      <c r="L57" s="753">
        <v>0</v>
      </c>
      <c r="M57" s="753">
        <v>0</v>
      </c>
      <c r="N57" s="135">
        <f t="shared" si="3"/>
        <v>1.614127375</v>
      </c>
      <c r="O57" s="754"/>
    </row>
    <row r="58" spans="1:15" ht="15" x14ac:dyDescent="0.25">
      <c r="A58" s="748"/>
      <c r="B58" s="142" t="str">
        <f>EN_A0400!$B$3</f>
        <v>Engine and Drivetrain</v>
      </c>
      <c r="C58" s="749" t="str">
        <f>EN_08005</f>
        <v>EN 08005</v>
      </c>
      <c r="D58" s="750" t="s">
        <v>11</v>
      </c>
      <c r="E58" s="750" t="str">
        <f t="shared" si="11"/>
        <v>Cooling System</v>
      </c>
      <c r="F58" s="751" t="str">
        <f>EN_08005!B4</f>
        <v xml:space="preserve">Main Coolant Line </v>
      </c>
      <c r="G58" s="750"/>
      <c r="H58" s="138">
        <f t="shared" si="6"/>
        <v>38.15621592366692</v>
      </c>
      <c r="I58" s="752">
        <f>EN_A0800_q*EN_08005_q</f>
        <v>1</v>
      </c>
      <c r="J58" s="753">
        <f>EN_08005_m</f>
        <v>12.259934125000001</v>
      </c>
      <c r="K58" s="753">
        <f>EN_08005_p</f>
        <v>21.096281798666926</v>
      </c>
      <c r="L58" s="753">
        <f>EN_08005_f</f>
        <v>4.8</v>
      </c>
      <c r="M58" s="753">
        <v>0</v>
      </c>
      <c r="N58" s="135">
        <f t="shared" si="3"/>
        <v>38.15621592366692</v>
      </c>
      <c r="O58" s="754"/>
    </row>
    <row r="59" spans="1:15" ht="15" x14ac:dyDescent="0.25">
      <c r="A59" s="748"/>
      <c r="B59" s="142" t="str">
        <f>EN_A0400!$B$3</f>
        <v>Engine and Drivetrain</v>
      </c>
      <c r="C59" s="749" t="str">
        <f>EN_08006</f>
        <v>EN 08006</v>
      </c>
      <c r="D59" s="750" t="s">
        <v>11</v>
      </c>
      <c r="E59" s="750" t="str">
        <f t="shared" si="11"/>
        <v>Cooling System</v>
      </c>
      <c r="F59" s="751" t="str">
        <f>EN_08006!B4</f>
        <v>Fan</v>
      </c>
      <c r="G59" s="750"/>
      <c r="H59" s="138">
        <f t="shared" si="6"/>
        <v>30.77</v>
      </c>
      <c r="I59" s="752">
        <f>EN_A0800_q*EN_08006_q</f>
        <v>1</v>
      </c>
      <c r="J59" s="753">
        <f>EN_08006_m</f>
        <v>30</v>
      </c>
      <c r="K59" s="753">
        <f>EN_08006_p</f>
        <v>0.37</v>
      </c>
      <c r="L59" s="753">
        <f>EN_08006_f</f>
        <v>0.4</v>
      </c>
      <c r="M59" s="753">
        <v>0</v>
      </c>
      <c r="N59" s="135">
        <f t="shared" si="3"/>
        <v>30.77</v>
      </c>
      <c r="O59" s="754"/>
    </row>
    <row r="60" spans="1:15" ht="15" x14ac:dyDescent="0.25">
      <c r="A60" s="748"/>
      <c r="B60" s="142" t="str">
        <f>EN_A0400!$B$3</f>
        <v>Engine and Drivetrain</v>
      </c>
      <c r="C60" s="749" t="str">
        <f>EN_08007</f>
        <v>EN 08007</v>
      </c>
      <c r="D60" s="750" t="s">
        <v>11</v>
      </c>
      <c r="E60" s="750" t="str">
        <f t="shared" si="11"/>
        <v>Cooling System</v>
      </c>
      <c r="F60" s="751" t="str">
        <f>EN_08007!B4</f>
        <v>Expansion Tank</v>
      </c>
      <c r="G60" s="750"/>
      <c r="H60" s="138">
        <f t="shared" si="6"/>
        <v>22.729890633701562</v>
      </c>
      <c r="I60" s="752">
        <f>EN_A0800_q*EN_08007_q</f>
        <v>1</v>
      </c>
      <c r="J60" s="753">
        <f>EN_08007_m</f>
        <v>3.0189026337015608</v>
      </c>
      <c r="K60" s="753">
        <f>EN_08007_p</f>
        <v>17.710988</v>
      </c>
      <c r="L60" s="753">
        <v>0</v>
      </c>
      <c r="M60" s="753">
        <f>EN_08007_t</f>
        <v>2</v>
      </c>
      <c r="N60" s="135">
        <f t="shared" si="3"/>
        <v>22.729890633701562</v>
      </c>
      <c r="O60" s="754"/>
    </row>
    <row r="61" spans="1:15" ht="15" x14ac:dyDescent="0.25">
      <c r="A61" s="748"/>
      <c r="B61" s="142" t="str">
        <f>EN_A0400!$B$3</f>
        <v>Engine and Drivetrain</v>
      </c>
      <c r="C61" s="749" t="str">
        <f>EN_08008</f>
        <v>EN 08008</v>
      </c>
      <c r="D61" s="750" t="s">
        <v>11</v>
      </c>
      <c r="E61" s="750" t="str">
        <f t="shared" si="11"/>
        <v>Cooling System</v>
      </c>
      <c r="F61" s="751" t="str">
        <f>EN_08008!B4</f>
        <v>Expansion Tank tab</v>
      </c>
      <c r="G61" s="750"/>
      <c r="H61" s="138">
        <f t="shared" si="6"/>
        <v>1.5446910625000001</v>
      </c>
      <c r="I61" s="752">
        <f>EN_A0800_q*EN_08008_q</f>
        <v>1</v>
      </c>
      <c r="J61" s="753">
        <f>EN_08008_m</f>
        <v>1.6691062500000003E-2</v>
      </c>
      <c r="K61" s="753">
        <f>EN_08008_p</f>
        <v>1.528</v>
      </c>
      <c r="L61" s="753">
        <v>0</v>
      </c>
      <c r="M61" s="753">
        <v>0</v>
      </c>
      <c r="N61" s="135">
        <f t="shared" si="3"/>
        <v>1.5446910625000001</v>
      </c>
      <c r="O61" s="754"/>
    </row>
    <row r="62" spans="1:15" ht="15" x14ac:dyDescent="0.25">
      <c r="A62" s="748"/>
      <c r="B62" s="142" t="str">
        <f>EN_A0400!$B$3</f>
        <v>Engine and Drivetrain</v>
      </c>
      <c r="C62" s="749" t="str">
        <f>EN_08009</f>
        <v>EN 08009</v>
      </c>
      <c r="D62" s="750" t="s">
        <v>11</v>
      </c>
      <c r="E62" s="750" t="str">
        <f t="shared" si="11"/>
        <v>Cooling System</v>
      </c>
      <c r="F62" s="751" t="str">
        <f>EN_08009!B4</f>
        <v>Lateral Tube</v>
      </c>
      <c r="G62" s="750"/>
      <c r="H62" s="138">
        <f t="shared" si="6"/>
        <v>3.1535134468570387</v>
      </c>
      <c r="I62" s="752">
        <f>EN_A0800_q*EN_08009_q</f>
        <v>1</v>
      </c>
      <c r="J62" s="753">
        <f>EN_08009_m</f>
        <v>1.8035134468570386</v>
      </c>
      <c r="K62" s="753">
        <f>EN_08009_p</f>
        <v>1.35</v>
      </c>
      <c r="L62" s="753">
        <v>0</v>
      </c>
      <c r="M62" s="753">
        <v>0</v>
      </c>
      <c r="N62" s="135">
        <f t="shared" si="3"/>
        <v>3.1535134468570387</v>
      </c>
      <c r="O62" s="754"/>
    </row>
    <row r="63" spans="1:15" ht="15" x14ac:dyDescent="0.25">
      <c r="A63" s="748"/>
      <c r="B63" s="142" t="str">
        <f>EN_A0400!$B$3</f>
        <v>Engine and Drivetrain</v>
      </c>
      <c r="C63" s="749" t="str">
        <f>EN_08010</f>
        <v>EN 08010</v>
      </c>
      <c r="D63" s="750" t="s">
        <v>11</v>
      </c>
      <c r="E63" s="750" t="str">
        <f t="shared" si="11"/>
        <v>Cooling System</v>
      </c>
      <c r="F63" s="751" t="str">
        <f>EN_08010!B4</f>
        <v>Secondary Coolant Line</v>
      </c>
      <c r="G63" s="750"/>
      <c r="H63" s="138">
        <f t="shared" si="6"/>
        <v>15.483797116966837</v>
      </c>
      <c r="I63" s="752">
        <f>EN_A0800_q*EN_08010_q</f>
        <v>1</v>
      </c>
      <c r="J63" s="753">
        <f>EN_08010_m</f>
        <v>1.3285971169668374</v>
      </c>
      <c r="K63" s="753">
        <f>EN_08010_p</f>
        <v>9.3552</v>
      </c>
      <c r="L63" s="753">
        <f>EN_08010_f</f>
        <v>4.8</v>
      </c>
      <c r="M63" s="753">
        <v>0</v>
      </c>
      <c r="N63" s="135">
        <f t="shared" si="3"/>
        <v>15.483797116966837</v>
      </c>
      <c r="O63" s="754"/>
    </row>
    <row r="64" spans="1:15" ht="15" x14ac:dyDescent="0.25">
      <c r="A64" s="609"/>
      <c r="B64" s="610" t="str">
        <f>EN_A0900!B3</f>
        <v>Engine &amp; Drivetrain</v>
      </c>
      <c r="C64" s="618" t="str">
        <f>EN_A0900</f>
        <v>EN A0900</v>
      </c>
      <c r="D64" s="611" t="s">
        <v>11</v>
      </c>
      <c r="E64" s="611"/>
      <c r="F64" s="612" t="str">
        <f>EN_A0900!B4</f>
        <v>Differential Assembly</v>
      </c>
      <c r="G64" s="611"/>
      <c r="H64" s="149">
        <f t="shared" si="6"/>
        <v>203.88982703267328</v>
      </c>
      <c r="I64" s="614">
        <f>EN_A0900_q</f>
        <v>1</v>
      </c>
      <c r="J64" s="615">
        <f>EN_A0900_m</f>
        <v>180.46876618407356</v>
      </c>
      <c r="K64" s="615">
        <f>EN_A0900_p</f>
        <v>18.487000000000002</v>
      </c>
      <c r="L64" s="615">
        <f>EN_A0900_f</f>
        <v>2.2673941819330707</v>
      </c>
      <c r="M64" s="615">
        <f>EN_A0900_t</f>
        <v>2.6666666666666665</v>
      </c>
      <c r="N64" s="146">
        <f t="shared" si="3"/>
        <v>203.88982703267328</v>
      </c>
      <c r="O64" s="617"/>
    </row>
    <row r="65" spans="1:15" ht="15" x14ac:dyDescent="0.25">
      <c r="A65" s="582"/>
      <c r="B65" s="583" t="str">
        <f>EN_09001!$B$3</f>
        <v>Engine &amp; Drivetrain</v>
      </c>
      <c r="C65" s="584" t="str">
        <f>EN_0900_001</f>
        <v>EN 09001</v>
      </c>
      <c r="D65" s="585" t="s">
        <v>11</v>
      </c>
      <c r="E65" s="585" t="str">
        <f>F$64</f>
        <v>Differential Assembly</v>
      </c>
      <c r="F65" s="586" t="str">
        <f>EN_09001!B5</f>
        <v>Housing</v>
      </c>
      <c r="G65" s="585"/>
      <c r="H65" s="138">
        <f t="shared" si="6"/>
        <v>125.93892271516907</v>
      </c>
      <c r="I65" s="588">
        <f>EN_A0900_q*EN_0900_001_q</f>
        <v>1</v>
      </c>
      <c r="J65" s="589">
        <f>EN_0900_001_m</f>
        <v>21.413986326151015</v>
      </c>
      <c r="K65" s="589">
        <f>EN_0900_001_p</f>
        <v>101.49</v>
      </c>
      <c r="L65" s="589">
        <f>EN_0900_001_f</f>
        <v>3.0349363890180614</v>
      </c>
      <c r="M65" s="589">
        <v>0</v>
      </c>
      <c r="N65" s="135">
        <f t="shared" si="3"/>
        <v>125.93892271516907</v>
      </c>
      <c r="O65" s="591"/>
    </row>
    <row r="66" spans="1:15" ht="15" x14ac:dyDescent="0.25">
      <c r="A66" s="582"/>
      <c r="B66" s="583" t="str">
        <f>EN_09001!$B$3</f>
        <v>Engine &amp; Drivetrain</v>
      </c>
      <c r="C66" s="584" t="str">
        <f>EN_0900_002</f>
        <v>EN 09002</v>
      </c>
      <c r="D66" s="585" t="s">
        <v>11</v>
      </c>
      <c r="E66" s="585" t="str">
        <f t="shared" ref="E66:E73" si="12">F$64</f>
        <v>Differential Assembly</v>
      </c>
      <c r="F66" s="586" t="str">
        <f>EN_09002!B5</f>
        <v>Left Eccentric</v>
      </c>
      <c r="G66" s="585"/>
      <c r="H66" s="138">
        <f t="shared" si="6"/>
        <v>10.904564699673662</v>
      </c>
      <c r="I66" s="588">
        <f>EN_A0900_q*EN_0900_002_q</f>
        <v>1</v>
      </c>
      <c r="J66" s="589">
        <f>EN_0900_002_m</f>
        <v>2.5923646996736607</v>
      </c>
      <c r="K66" s="589">
        <f>EN_0900_002_p</f>
        <v>8.3122000000000007</v>
      </c>
      <c r="L66" s="589">
        <v>0</v>
      </c>
      <c r="M66" s="589">
        <v>0</v>
      </c>
      <c r="N66" s="135">
        <f t="shared" si="3"/>
        <v>10.904564699673662</v>
      </c>
      <c r="O66" s="591"/>
    </row>
    <row r="67" spans="1:15" ht="15" x14ac:dyDescent="0.25">
      <c r="A67" s="582"/>
      <c r="B67" s="583" t="str">
        <f>EN_09001!$B$3</f>
        <v>Engine &amp; Drivetrain</v>
      </c>
      <c r="C67" s="584" t="str">
        <f>EN_0900_003</f>
        <v>EN 09003</v>
      </c>
      <c r="D67" s="585" t="s">
        <v>11</v>
      </c>
      <c r="E67" s="585" t="str">
        <f t="shared" si="12"/>
        <v>Differential Assembly</v>
      </c>
      <c r="F67" s="586" t="str">
        <f>EN_09003!B5</f>
        <v>Right Eccentric</v>
      </c>
      <c r="G67" s="585"/>
      <c r="H67" s="138">
        <f t="shared" si="6"/>
        <v>8.5389646196590014</v>
      </c>
      <c r="I67" s="588">
        <f>EN_A0900_q*EN_0900_003_q</f>
        <v>1</v>
      </c>
      <c r="J67" s="589">
        <f>EN_0900_003_m</f>
        <v>2.0039646196590013</v>
      </c>
      <c r="K67" s="589">
        <f>EN_0900_003_p</f>
        <v>6.5350000000000001</v>
      </c>
      <c r="L67" s="589">
        <v>0</v>
      </c>
      <c r="M67" s="589">
        <v>0</v>
      </c>
      <c r="N67" s="135">
        <f t="shared" si="3"/>
        <v>8.5389646196590014</v>
      </c>
      <c r="O67" s="591"/>
    </row>
    <row r="68" spans="1:15" ht="15" x14ac:dyDescent="0.25">
      <c r="A68" s="582"/>
      <c r="B68" s="583" t="str">
        <f>EN_09001!$B$3</f>
        <v>Engine &amp; Drivetrain</v>
      </c>
      <c r="C68" s="584" t="str">
        <f>EN_0900_004</f>
        <v>EN 09004</v>
      </c>
      <c r="D68" s="585" t="s">
        <v>11</v>
      </c>
      <c r="E68" s="585" t="str">
        <f t="shared" si="12"/>
        <v>Differential Assembly</v>
      </c>
      <c r="F68" s="586" t="str">
        <f>EN_09004!B5</f>
        <v>Left Eccentric carrier</v>
      </c>
      <c r="G68" s="585"/>
      <c r="H68" s="138">
        <f t="shared" si="6"/>
        <v>23.956417471999998</v>
      </c>
      <c r="I68" s="588">
        <f>EN_A0900_q*EN_0900_004_q</f>
        <v>1</v>
      </c>
      <c r="J68" s="589">
        <f>EN_0900_004_m</f>
        <v>7.7532174719999993</v>
      </c>
      <c r="K68" s="589">
        <f>EN_0900_004_p</f>
        <v>16.203199999999999</v>
      </c>
      <c r="L68" s="589">
        <v>0</v>
      </c>
      <c r="M68" s="589">
        <v>0</v>
      </c>
      <c r="N68" s="135">
        <f t="shared" si="3"/>
        <v>23.956417471999998</v>
      </c>
      <c r="O68" s="591"/>
    </row>
    <row r="69" spans="1:15" ht="15" x14ac:dyDescent="0.25">
      <c r="A69" s="582"/>
      <c r="B69" s="583" t="str">
        <f>EN_09001!$B$3</f>
        <v>Engine &amp; Drivetrain</v>
      </c>
      <c r="C69" s="584" t="str">
        <f>EN_0900_005</f>
        <v>EN 09005</v>
      </c>
      <c r="D69" s="585" t="s">
        <v>11</v>
      </c>
      <c r="E69" s="585" t="str">
        <f t="shared" si="12"/>
        <v>Differential Assembly</v>
      </c>
      <c r="F69" s="586" t="str">
        <f>EN_09005!B5</f>
        <v>Right Eccentric carrier</v>
      </c>
      <c r="G69" s="585"/>
      <c r="H69" s="138">
        <f t="shared" si="6"/>
        <v>17.198412672</v>
      </c>
      <c r="I69" s="588">
        <f>EN_A0900_q*EN_0900_005_q</f>
        <v>1</v>
      </c>
      <c r="J69" s="589">
        <f>EN_0900_005_m</f>
        <v>5.6232126720000002</v>
      </c>
      <c r="K69" s="589">
        <f>EN_0900_005_p</f>
        <v>11.575200000000001</v>
      </c>
      <c r="L69" s="589">
        <v>0</v>
      </c>
      <c r="M69" s="589">
        <v>0</v>
      </c>
      <c r="N69" s="135">
        <f t="shared" si="3"/>
        <v>17.198412672</v>
      </c>
      <c r="O69" s="591"/>
    </row>
    <row r="70" spans="1:15" ht="15" x14ac:dyDescent="0.25">
      <c r="A70" s="582"/>
      <c r="B70" s="583" t="str">
        <f>EN_09001!$B$3</f>
        <v>Engine &amp; Drivetrain</v>
      </c>
      <c r="C70" s="584" t="str">
        <f>EN_0900_006</f>
        <v>EN 09006</v>
      </c>
      <c r="D70" s="585" t="s">
        <v>11</v>
      </c>
      <c r="E70" s="585" t="str">
        <f t="shared" si="12"/>
        <v>Differential Assembly</v>
      </c>
      <c r="F70" s="586" t="str">
        <f>EN_09006!B5</f>
        <v>Upper Eccentric Carrier bracket</v>
      </c>
      <c r="G70" s="585"/>
      <c r="H70" s="587">
        <f t="shared" si="6"/>
        <v>0.99587245000000002</v>
      </c>
      <c r="I70" s="588">
        <f>EN_A0900_q*EN_0900_006_q</f>
        <v>4</v>
      </c>
      <c r="J70" s="589">
        <f>EN_0900_006_m</f>
        <v>8.287245E-2</v>
      </c>
      <c r="K70" s="589">
        <f>EN_0900_006_p</f>
        <v>0.91300000000000003</v>
      </c>
      <c r="L70" s="589">
        <v>0</v>
      </c>
      <c r="M70" s="589">
        <v>0</v>
      </c>
      <c r="N70" s="590">
        <f t="shared" si="3"/>
        <v>3.9834898000000001</v>
      </c>
      <c r="O70" s="591"/>
    </row>
    <row r="71" spans="1:15" ht="15" x14ac:dyDescent="0.25">
      <c r="A71" s="582"/>
      <c r="B71" s="583" t="str">
        <f>EN_09001!$B$3</f>
        <v>Engine &amp; Drivetrain</v>
      </c>
      <c r="C71" s="584" t="str">
        <f>EN_0900_007</f>
        <v>EN 09007</v>
      </c>
      <c r="D71" s="585" t="s">
        <v>11</v>
      </c>
      <c r="E71" s="585" t="str">
        <f t="shared" si="12"/>
        <v>Differential Assembly</v>
      </c>
      <c r="F71" s="586" t="str">
        <f>EN_09007!B5</f>
        <v>Lower Eccentric Carrier bracket</v>
      </c>
      <c r="G71" s="585"/>
      <c r="H71" s="587">
        <f t="shared" si="6"/>
        <v>0.96928532500000009</v>
      </c>
      <c r="I71" s="588">
        <f>EN_A0900_q*EN_0900_007_q</f>
        <v>4</v>
      </c>
      <c r="J71" s="589">
        <f>EN_0900_007_m</f>
        <v>7.0685324999999993E-2</v>
      </c>
      <c r="K71" s="589">
        <f>EN_0900_007_p</f>
        <v>0.89860000000000007</v>
      </c>
      <c r="L71" s="589">
        <v>0</v>
      </c>
      <c r="M71" s="589">
        <v>0</v>
      </c>
      <c r="N71" s="590">
        <f t="shared" si="3"/>
        <v>3.8771413000000003</v>
      </c>
      <c r="O71" s="591"/>
    </row>
    <row r="72" spans="1:15" ht="15" x14ac:dyDescent="0.25">
      <c r="A72" s="582"/>
      <c r="B72" s="583" t="str">
        <f>EN_09001!$B$3</f>
        <v>Engine &amp; Drivetrain</v>
      </c>
      <c r="C72" s="584" t="str">
        <f>EN_0900_008</f>
        <v>EN 09008</v>
      </c>
      <c r="D72" s="585" t="s">
        <v>11</v>
      </c>
      <c r="E72" s="585" t="str">
        <f t="shared" si="12"/>
        <v>Differential Assembly</v>
      </c>
      <c r="F72" s="586" t="str">
        <f>EN_09008!B5</f>
        <v>Left Jacking Bar bracket</v>
      </c>
      <c r="G72" s="585"/>
      <c r="H72" s="587">
        <f t="shared" si="6"/>
        <v>2.2021247500000003</v>
      </c>
      <c r="I72" s="588">
        <f>EN_A0900_q*EN_0900_008_q</f>
        <v>1</v>
      </c>
      <c r="J72" s="589">
        <f>EN_0900_008_m</f>
        <v>0.14942475</v>
      </c>
      <c r="K72" s="589">
        <f>EN_0900_008_p</f>
        <v>2.0527000000000002</v>
      </c>
      <c r="L72" s="589">
        <v>0</v>
      </c>
      <c r="M72" s="589">
        <v>0</v>
      </c>
      <c r="N72" s="590">
        <f t="shared" si="3"/>
        <v>2.2021247500000003</v>
      </c>
      <c r="O72" s="591"/>
    </row>
    <row r="73" spans="1:15" ht="15" x14ac:dyDescent="0.25">
      <c r="A73" s="582"/>
      <c r="B73" s="583" t="str">
        <f>EN_09001!$B$3</f>
        <v>Engine &amp; Drivetrain</v>
      </c>
      <c r="C73" s="584" t="str">
        <f>EN_0900_009</f>
        <v>EN 09009</v>
      </c>
      <c r="D73" s="585" t="s">
        <v>11</v>
      </c>
      <c r="E73" s="585" t="str">
        <f t="shared" si="12"/>
        <v>Differential Assembly</v>
      </c>
      <c r="F73" s="586" t="str">
        <f>EN_09009!B5</f>
        <v>Right Jacking Bar bracket</v>
      </c>
      <c r="G73" s="585"/>
      <c r="H73" s="587">
        <f t="shared" si="6"/>
        <v>2.2130151625000001</v>
      </c>
      <c r="I73" s="588">
        <f>EN_A0900_q*EN_0900_009_q</f>
        <v>1</v>
      </c>
      <c r="J73" s="589">
        <f>EN_0900_009_m</f>
        <v>0.15191516250000001</v>
      </c>
      <c r="K73" s="589">
        <f>EN_0900_009_p</f>
        <v>2.0611000000000002</v>
      </c>
      <c r="L73" s="589">
        <v>0</v>
      </c>
      <c r="M73" s="589">
        <v>0</v>
      </c>
      <c r="N73" s="590">
        <f t="shared" si="3"/>
        <v>2.2130151625000001</v>
      </c>
      <c r="O73" s="591"/>
    </row>
    <row r="74" spans="1:15" ht="15" x14ac:dyDescent="0.25">
      <c r="A74" s="609"/>
      <c r="B74" s="610" t="str">
        <f>EN_A1000!B3</f>
        <v>Engine &amp; Drivetrain</v>
      </c>
      <c r="C74" s="618" t="str">
        <f>EN_A1000!B5</f>
        <v>EN A1000</v>
      </c>
      <c r="D74" s="611" t="s">
        <v>11</v>
      </c>
      <c r="E74" s="611"/>
      <c r="F74" s="612" t="str">
        <f>EN_A1000!B4</f>
        <v>Driveshaft</v>
      </c>
      <c r="G74" s="611"/>
      <c r="H74" s="613">
        <f t="shared" si="6"/>
        <v>223.03216066177703</v>
      </c>
      <c r="I74" s="614">
        <f>EN_A1000_q</f>
        <v>1</v>
      </c>
      <c r="J74" s="615">
        <f>EN_A1000_m</f>
        <v>200</v>
      </c>
      <c r="K74" s="615">
        <f>EN_A1000_p</f>
        <v>15.54</v>
      </c>
      <c r="L74" s="615">
        <f>EN_A1000_f</f>
        <v>7.492160661777044</v>
      </c>
      <c r="M74" s="615">
        <v>0</v>
      </c>
      <c r="N74" s="616">
        <f t="shared" si="3"/>
        <v>223.03216066177703</v>
      </c>
      <c r="O74" s="617"/>
    </row>
    <row r="75" spans="1:15" ht="15" x14ac:dyDescent="0.25">
      <c r="A75" s="582"/>
      <c r="B75" s="583" t="str">
        <f>EN_10001!$B$3</f>
        <v>Engine &amp; Drivetrain</v>
      </c>
      <c r="C75" s="584" t="str">
        <f>EN_1000_001</f>
        <v>EN 10001</v>
      </c>
      <c r="D75" s="585" t="s">
        <v>11</v>
      </c>
      <c r="E75" s="585" t="str">
        <f>F$74</f>
        <v>Driveshaft</v>
      </c>
      <c r="F75" s="586" t="str">
        <f>EN_10001!B5</f>
        <v>Inboard tripod housing</v>
      </c>
      <c r="G75" s="585"/>
      <c r="H75" s="587">
        <f t="shared" si="6"/>
        <v>66.549787154500507</v>
      </c>
      <c r="I75" s="588">
        <f>EN_A1000_q*EN_1000_001_q</f>
        <v>2</v>
      </c>
      <c r="J75" s="589">
        <f>EN_1000_001_m</f>
        <v>9.224787154500504</v>
      </c>
      <c r="K75" s="589">
        <f>EN_1000_001_p</f>
        <v>57.324999999999996</v>
      </c>
      <c r="L75" s="589">
        <v>0</v>
      </c>
      <c r="M75" s="589">
        <v>0</v>
      </c>
      <c r="N75" s="590">
        <f t="shared" si="3"/>
        <v>133.09957430900101</v>
      </c>
      <c r="O75" s="591"/>
    </row>
    <row r="76" spans="1:15" ht="15" x14ac:dyDescent="0.25">
      <c r="A76" s="582"/>
      <c r="B76" s="583" t="str">
        <f>EN_10001!$B$3</f>
        <v>Engine &amp; Drivetrain</v>
      </c>
      <c r="C76" s="584" t="str">
        <f>EN_1000_002</f>
        <v>EN 10002</v>
      </c>
      <c r="D76" s="585" t="s">
        <v>11</v>
      </c>
      <c r="E76" s="585" t="str">
        <f t="shared" ref="E76:E78" si="13">F$74</f>
        <v>Driveshaft</v>
      </c>
      <c r="F76" s="586" t="str">
        <f>EN_10002!B5</f>
        <v>Outboard tripod housing</v>
      </c>
      <c r="G76" s="585"/>
      <c r="H76" s="587">
        <f t="shared" si="6"/>
        <v>72.275200595774251</v>
      </c>
      <c r="I76" s="588">
        <f>EN_A1000_q*EN_1000_002_q</f>
        <v>2</v>
      </c>
      <c r="J76" s="589">
        <f>EN_1000_002_m</f>
        <v>9.6278805957742595</v>
      </c>
      <c r="K76" s="589">
        <f>EN_1000_002_p</f>
        <v>62.647319999999993</v>
      </c>
      <c r="L76" s="589">
        <v>0</v>
      </c>
      <c r="M76" s="589">
        <v>0</v>
      </c>
      <c r="N76" s="590">
        <f t="shared" si="3"/>
        <v>144.5504011915485</v>
      </c>
      <c r="O76" s="591"/>
    </row>
    <row r="77" spans="1:15" ht="15" x14ac:dyDescent="0.25">
      <c r="A77" s="582"/>
      <c r="B77" s="583" t="str">
        <f>EN_10001!$B$3</f>
        <v>Engine &amp; Drivetrain</v>
      </c>
      <c r="C77" s="584" t="str">
        <f>EN_1000_003</f>
        <v>EN 10003</v>
      </c>
      <c r="D77" s="585" t="s">
        <v>11</v>
      </c>
      <c r="E77" s="585" t="str">
        <f t="shared" si="13"/>
        <v>Driveshaft</v>
      </c>
      <c r="F77" s="586" t="str">
        <f>EN_10003!B5</f>
        <v>Left Axle</v>
      </c>
      <c r="G77" s="585"/>
      <c r="H77" s="587">
        <f t="shared" si="6"/>
        <v>16.43313830045987</v>
      </c>
      <c r="I77" s="588">
        <f>EN_A1000_q*EN_1000_003_q</f>
        <v>1</v>
      </c>
      <c r="J77" s="589">
        <f>EN_1000_003_m</f>
        <v>2.58137785047247</v>
      </c>
      <c r="K77" s="589">
        <f>EN_1000_003_p</f>
        <v>13.851760449987401</v>
      </c>
      <c r="L77" s="589">
        <v>0</v>
      </c>
      <c r="M77" s="589">
        <v>0</v>
      </c>
      <c r="N77" s="590">
        <f t="shared" si="3"/>
        <v>16.43313830045987</v>
      </c>
      <c r="O77" s="591"/>
    </row>
    <row r="78" spans="1:15" ht="15" x14ac:dyDescent="0.25">
      <c r="A78" s="619"/>
      <c r="B78" s="593" t="str">
        <f>EN_10001!$B$3</f>
        <v>Engine &amp; Drivetrain</v>
      </c>
      <c r="C78" s="579" t="str">
        <f>EN_1000_004</f>
        <v>EN 10004</v>
      </c>
      <c r="D78" s="580" t="s">
        <v>11</v>
      </c>
      <c r="E78" s="595" t="str">
        <f t="shared" si="13"/>
        <v>Driveshaft</v>
      </c>
      <c r="F78" s="581" t="str">
        <f>EN_10004!B5</f>
        <v>Right Axle</v>
      </c>
      <c r="G78" s="580"/>
      <c r="H78" s="597">
        <f t="shared" si="6"/>
        <v>17.337133082722115</v>
      </c>
      <c r="I78" s="598">
        <f>EN_A1000_q*EN_1000_004_q</f>
        <v>1</v>
      </c>
      <c r="J78" s="599">
        <f>EN_1000_004_m</f>
        <v>2.9255615638687997</v>
      </c>
      <c r="K78" s="599">
        <f>EN_1000_004_p</f>
        <v>14.411571518853314</v>
      </c>
      <c r="L78" s="599">
        <v>0</v>
      </c>
      <c r="M78" s="599">
        <v>0</v>
      </c>
      <c r="N78" s="600">
        <f t="shared" si="3"/>
        <v>17.337133082722115</v>
      </c>
      <c r="O78" s="601"/>
    </row>
    <row r="79" spans="1:15" ht="15" x14ac:dyDescent="0.25">
      <c r="A79" s="609"/>
      <c r="B79" s="610" t="str">
        <f>EN_A1100!B3</f>
        <v>Engine &amp; Drivetrain</v>
      </c>
      <c r="C79" s="618" t="str">
        <f>EN_A1100</f>
        <v>EN A1100</v>
      </c>
      <c r="D79" s="611" t="s">
        <v>11</v>
      </c>
      <c r="E79" s="611"/>
      <c r="F79" s="612" t="str">
        <f>EN_A1100!B4</f>
        <v>Chain Set</v>
      </c>
      <c r="G79" s="611"/>
      <c r="H79" s="641">
        <f t="shared" si="6"/>
        <v>25.137729239533723</v>
      </c>
      <c r="I79" s="614">
        <f>EN_A1100_q</f>
        <v>1</v>
      </c>
      <c r="J79" s="615">
        <f>EN_A1100_m</f>
        <v>2.1800000000000002</v>
      </c>
      <c r="K79" s="615">
        <f>EN_A1100_p</f>
        <v>17.709499999999998</v>
      </c>
      <c r="L79" s="615">
        <f>EN_A1100_f</f>
        <v>2.5815625728670586</v>
      </c>
      <c r="M79" s="615">
        <f>EN_A1100_t</f>
        <v>2.6666666666666665</v>
      </c>
      <c r="N79" s="642">
        <f t="shared" si="3"/>
        <v>25.137729239533723</v>
      </c>
      <c r="O79" s="617"/>
    </row>
    <row r="80" spans="1:15" ht="15" x14ac:dyDescent="0.25">
      <c r="A80" s="582"/>
      <c r="B80" s="583" t="str">
        <f>EN_A1100!$B$3</f>
        <v>Engine &amp; Drivetrain</v>
      </c>
      <c r="C80" s="584" t="str">
        <f>EN_1100_001</f>
        <v>EN 11001</v>
      </c>
      <c r="D80" s="585" t="s">
        <v>11</v>
      </c>
      <c r="E80" s="585" t="str">
        <f>F$79</f>
        <v>Chain Set</v>
      </c>
      <c r="F80" s="586" t="str">
        <f>EN_11001!B5</f>
        <v>Front sprocket</v>
      </c>
      <c r="G80" s="585"/>
      <c r="H80" s="597">
        <f t="shared" si="6"/>
        <v>24.754258243942196</v>
      </c>
      <c r="I80" s="588">
        <f>EN_A1100_q*EN_1100_001_q</f>
        <v>1</v>
      </c>
      <c r="J80" s="589">
        <f>EN_1100_001_m</f>
        <v>1.519947422111005</v>
      </c>
      <c r="K80" s="589">
        <f>EN_1100_001_p</f>
        <v>23.23431082183119</v>
      </c>
      <c r="L80" s="589">
        <v>0</v>
      </c>
      <c r="M80" s="589">
        <v>0</v>
      </c>
      <c r="N80" s="600">
        <f t="shared" si="3"/>
        <v>24.754258243942196</v>
      </c>
      <c r="O80" s="591"/>
    </row>
    <row r="81" spans="1:15" ht="15" x14ac:dyDescent="0.25">
      <c r="A81" s="582"/>
      <c r="B81" s="583" t="str">
        <f>EN_A1100!$B$3</f>
        <v>Engine &amp; Drivetrain</v>
      </c>
      <c r="C81" s="584" t="str">
        <f>EN_1100_002</f>
        <v>EN 11002</v>
      </c>
      <c r="D81" s="585" t="s">
        <v>11</v>
      </c>
      <c r="E81" s="585" t="str">
        <f t="shared" ref="E81:E85" si="14">F$79</f>
        <v>Chain Set</v>
      </c>
      <c r="F81" s="586" t="str">
        <f>EN_11002!B5</f>
        <v>Rear sprocket</v>
      </c>
      <c r="G81" s="585"/>
      <c r="H81" s="597">
        <f t="shared" si="6"/>
        <v>41.802269960952131</v>
      </c>
      <c r="I81" s="588">
        <f>EN_A1100_q*EN_1100_002_q</f>
        <v>1</v>
      </c>
      <c r="J81" s="589">
        <f>EN_1100_002_m</f>
        <v>3.0587969609521379</v>
      </c>
      <c r="K81" s="589">
        <f>EN_1100_002_p</f>
        <v>38.743472999999994</v>
      </c>
      <c r="L81" s="589">
        <v>0</v>
      </c>
      <c r="M81" s="589">
        <v>0</v>
      </c>
      <c r="N81" s="600">
        <f t="shared" si="3"/>
        <v>41.802269960952131</v>
      </c>
      <c r="O81" s="591"/>
    </row>
    <row r="82" spans="1:15" ht="15" x14ac:dyDescent="0.25">
      <c r="A82" s="582"/>
      <c r="B82" s="583" t="str">
        <f>EN_A1100!$B$3</f>
        <v>Engine &amp; Drivetrain</v>
      </c>
      <c r="C82" s="584" t="str">
        <f>EN_1100_003</f>
        <v>EN 11003</v>
      </c>
      <c r="D82" s="585" t="s">
        <v>11</v>
      </c>
      <c r="E82" s="585" t="str">
        <f t="shared" si="14"/>
        <v>Chain Set</v>
      </c>
      <c r="F82" s="586" t="str">
        <f>EN_11003!B5</f>
        <v>Rear sprocket adaptor</v>
      </c>
      <c r="G82" s="585"/>
      <c r="H82" s="597">
        <f t="shared" si="6"/>
        <v>29.160865459581132</v>
      </c>
      <c r="I82" s="588">
        <f>EN_A1100_q*EN_1100_003_q</f>
        <v>1</v>
      </c>
      <c r="J82" s="589">
        <f>EN_1100_003_m</f>
        <v>8.7196654595811296</v>
      </c>
      <c r="K82" s="589">
        <f>EN_1100_003_p</f>
        <v>20.441200000000002</v>
      </c>
      <c r="L82" s="589">
        <v>0</v>
      </c>
      <c r="M82" s="589">
        <v>0</v>
      </c>
      <c r="N82" s="600">
        <f t="shared" si="3"/>
        <v>29.160865459581132</v>
      </c>
      <c r="O82" s="591"/>
    </row>
    <row r="83" spans="1:15" ht="15" x14ac:dyDescent="0.25">
      <c r="A83" s="582"/>
      <c r="B83" s="583" t="str">
        <f>EN_A1100!$B$3</f>
        <v>Engine &amp; Drivetrain</v>
      </c>
      <c r="C83" s="584" t="str">
        <f>EN_1100_004</f>
        <v>EN 11004</v>
      </c>
      <c r="D83" s="585" t="s">
        <v>11</v>
      </c>
      <c r="E83" s="585" t="str">
        <f t="shared" si="14"/>
        <v>Chain Set</v>
      </c>
      <c r="F83" s="586" t="str">
        <f>EN_11004!B5</f>
        <v>Chain shield</v>
      </c>
      <c r="G83" s="585"/>
      <c r="H83" s="597">
        <f>SUM(J83:M83)</f>
        <v>9.0978820921659498</v>
      </c>
      <c r="I83" s="588">
        <f>EN_A1100_q*EN_1100_004_q</f>
        <v>1</v>
      </c>
      <c r="J83" s="589">
        <f>EN_1100_004_m</f>
        <v>3.3131600921659494</v>
      </c>
      <c r="K83" s="589">
        <f>EN_1100_004_p</f>
        <v>5.7847220000000004</v>
      </c>
      <c r="L83" s="589">
        <v>0</v>
      </c>
      <c r="M83" s="589">
        <v>0</v>
      </c>
      <c r="N83" s="600">
        <f>H83*I83</f>
        <v>9.0978820921659498</v>
      </c>
      <c r="O83" s="591"/>
    </row>
    <row r="84" spans="1:15" ht="15" x14ac:dyDescent="0.25">
      <c r="A84" s="582"/>
      <c r="B84" s="583" t="str">
        <f>EN_A1100!$B$3</f>
        <v>Engine &amp; Drivetrain</v>
      </c>
      <c r="C84" s="584" t="str">
        <f>EN_1100_005</f>
        <v>EN 11005</v>
      </c>
      <c r="D84" s="585" t="s">
        <v>11</v>
      </c>
      <c r="E84" s="585" t="str">
        <f t="shared" si="14"/>
        <v>Chain Set</v>
      </c>
      <c r="F84" s="586" t="str">
        <f>EN_11005!B5</f>
        <v>Upper chainshield bracket</v>
      </c>
      <c r="G84" s="585"/>
      <c r="H84" s="597">
        <f t="shared" si="6"/>
        <v>1.7144014375000001</v>
      </c>
      <c r="I84" s="588">
        <f>EN_A1100_q*EN_1100_005_q</f>
        <v>1</v>
      </c>
      <c r="J84" s="589">
        <f>EN_1100_005_m</f>
        <v>4.0535437499999993E-2</v>
      </c>
      <c r="K84" s="589">
        <f>EN_1100_005_p</f>
        <v>1.6738660000000001</v>
      </c>
      <c r="L84" s="589">
        <v>0</v>
      </c>
      <c r="M84" s="589">
        <v>0</v>
      </c>
      <c r="N84" s="600">
        <f t="shared" si="3"/>
        <v>1.7144014375000001</v>
      </c>
      <c r="O84" s="591"/>
    </row>
    <row r="85" spans="1:15" ht="15.75" thickBot="1" x14ac:dyDescent="0.3">
      <c r="A85" s="619"/>
      <c r="B85" s="583" t="str">
        <f>EN_A1100!$B$3</f>
        <v>Engine &amp; Drivetrain</v>
      </c>
      <c r="C85" s="579" t="str">
        <f>EN_1100_006</f>
        <v>EN 11006</v>
      </c>
      <c r="D85" s="585" t="s">
        <v>11</v>
      </c>
      <c r="E85" s="585" t="str">
        <f t="shared" si="14"/>
        <v>Chain Set</v>
      </c>
      <c r="F85" s="581" t="str">
        <f>EN_11006!B5</f>
        <v>Lower chainshield bracket</v>
      </c>
      <c r="G85" s="580"/>
      <c r="H85" s="597">
        <f t="shared" si="6"/>
        <v>1.7139456024999999</v>
      </c>
      <c r="I85" s="588">
        <f>EN_A1100_q*EN_1100_006_q</f>
        <v>1</v>
      </c>
      <c r="J85" s="589">
        <f>EN_1100_006_m</f>
        <v>3.7292602500000001E-2</v>
      </c>
      <c r="K85" s="589">
        <f>EN_1100_006_p</f>
        <v>1.6766529999999999</v>
      </c>
      <c r="L85" s="589">
        <v>0</v>
      </c>
      <c r="M85" s="589">
        <v>0</v>
      </c>
      <c r="N85" s="600">
        <f t="shared" si="3"/>
        <v>1.7139456024999999</v>
      </c>
      <c r="O85" s="620"/>
    </row>
    <row r="86" spans="1:15" s="7" customFormat="1" ht="15" thickBot="1" x14ac:dyDescent="0.25">
      <c r="A86" s="602"/>
      <c r="B86" s="603" t="str">
        <f>'EN A0200'!B3</f>
        <v>Engine and Drivetrain</v>
      </c>
      <c r="C86" s="604"/>
      <c r="D86" s="604"/>
      <c r="E86" s="604"/>
      <c r="F86" s="603" t="s">
        <v>65</v>
      </c>
      <c r="G86" s="604"/>
      <c r="H86" s="605"/>
      <c r="I86" s="606"/>
      <c r="J86" s="607">
        <f>SUMPRODUCT($I7:$I85,J7:J85)</f>
        <v>2655.2333548029187</v>
      </c>
      <c r="K86" s="607">
        <f>SUMPRODUCT($I7:$I85,K7:K85)</f>
        <v>1558.9923470873462</v>
      </c>
      <c r="L86" s="607">
        <f>SUMPRODUCT($I7:$I85,L7:L85)</f>
        <v>54.225440540151354</v>
      </c>
      <c r="M86" s="607">
        <f>SUMPRODUCT($I7:$I85,M7:M85)</f>
        <v>32.704000000000001</v>
      </c>
      <c r="N86" s="607">
        <f>SUM(N7:N85)</f>
        <v>4301.1551424304189</v>
      </c>
      <c r="O86" s="608"/>
    </row>
    <row r="87" spans="1:15" x14ac:dyDescent="0.2">
      <c r="A87" s="6"/>
      <c r="B87" s="27"/>
      <c r="C87" s="8"/>
      <c r="D87" s="8"/>
      <c r="E87" s="8"/>
      <c r="F87" s="8"/>
      <c r="G87" s="8"/>
      <c r="H87" s="3"/>
      <c r="I87" s="8"/>
      <c r="J87" s="8"/>
      <c r="K87" s="8"/>
      <c r="L87" s="8"/>
      <c r="M87" s="8"/>
      <c r="N87" s="8"/>
    </row>
    <row r="88" spans="1:15" x14ac:dyDescent="0.2">
      <c r="A88" s="6"/>
      <c r="B88" s="27"/>
      <c r="C88" s="8"/>
      <c r="D88" s="8"/>
      <c r="E88" s="8"/>
      <c r="F88" s="8"/>
      <c r="G88" s="8"/>
      <c r="H88" s="3"/>
      <c r="I88" s="8"/>
      <c r="J88" s="8"/>
      <c r="K88" s="8"/>
      <c r="L88" s="8"/>
      <c r="M88" s="8"/>
      <c r="N88" s="8"/>
    </row>
    <row r="89" spans="1:15" x14ac:dyDescent="0.2">
      <c r="A89" s="6"/>
      <c r="B89" s="6"/>
      <c r="D89" s="8"/>
      <c r="E89" s="8"/>
      <c r="G89" s="8"/>
      <c r="H89" s="8"/>
      <c r="I89" s="3"/>
      <c r="J89" s="3"/>
      <c r="K89" s="3"/>
      <c r="L89" s="3"/>
      <c r="M89" s="3"/>
      <c r="N89" s="8"/>
    </row>
    <row r="90" spans="1:15" x14ac:dyDescent="0.2">
      <c r="A90" s="6"/>
      <c r="B90" s="6"/>
      <c r="D90" s="8"/>
      <c r="E90" s="8"/>
      <c r="G90" s="8"/>
      <c r="H90" s="8"/>
      <c r="I90" s="3"/>
      <c r="J90" s="3"/>
      <c r="K90" s="3"/>
      <c r="L90" s="3"/>
      <c r="M90" s="3"/>
      <c r="N90" s="30"/>
    </row>
    <row r="91" spans="1:15" x14ac:dyDescent="0.2">
      <c r="A91" s="6"/>
      <c r="B91" s="6"/>
      <c r="D91" s="8"/>
      <c r="E91" s="8"/>
      <c r="G91" s="8"/>
      <c r="H91" s="8"/>
      <c r="I91" s="3"/>
      <c r="J91" s="3"/>
      <c r="K91" s="3"/>
      <c r="L91" s="3"/>
      <c r="M91" s="3"/>
      <c r="N91" s="8"/>
    </row>
    <row r="92" spans="1:15" x14ac:dyDescent="0.2">
      <c r="A92" s="6"/>
      <c r="B92" s="6"/>
      <c r="D92" s="8"/>
      <c r="E92" s="8"/>
      <c r="G92" s="8"/>
      <c r="H92" s="8"/>
      <c r="I92" s="3"/>
      <c r="J92" s="3"/>
      <c r="K92" s="3"/>
      <c r="L92" s="3"/>
      <c r="M92" s="3"/>
      <c r="N92" s="30"/>
    </row>
    <row r="93" spans="1:15" x14ac:dyDescent="0.2">
      <c r="A93" s="6"/>
      <c r="B93" s="6"/>
      <c r="D93" s="8"/>
      <c r="E93" s="8"/>
      <c r="G93" s="8"/>
      <c r="H93" s="8"/>
      <c r="I93" s="3"/>
      <c r="J93" s="3"/>
      <c r="K93" s="3"/>
      <c r="L93" s="3"/>
      <c r="M93" s="3"/>
      <c r="N93" s="8"/>
    </row>
    <row r="94" spans="1:15" x14ac:dyDescent="0.2">
      <c r="A94" s="6"/>
      <c r="B94" s="6"/>
      <c r="D94" s="8"/>
      <c r="E94" s="8"/>
      <c r="G94" s="8"/>
      <c r="H94" s="8"/>
      <c r="I94" s="3"/>
      <c r="J94" s="3"/>
      <c r="K94" s="3"/>
      <c r="L94" s="3"/>
      <c r="M94" s="3"/>
      <c r="N94" s="8"/>
    </row>
    <row r="95" spans="1:15" x14ac:dyDescent="0.2">
      <c r="A95" s="6"/>
      <c r="B95" s="6"/>
      <c r="D95" s="8"/>
      <c r="E95" s="8"/>
      <c r="G95" s="8"/>
      <c r="H95" s="8"/>
      <c r="I95" s="3"/>
      <c r="J95" s="3"/>
      <c r="K95" s="3"/>
      <c r="L95" s="3"/>
      <c r="M95" s="3"/>
      <c r="N95" s="8"/>
    </row>
    <row r="96" spans="1:15" x14ac:dyDescent="0.2">
      <c r="A96" s="6"/>
      <c r="B96" s="6"/>
      <c r="D96" s="8"/>
      <c r="E96" s="8"/>
      <c r="G96" s="8"/>
      <c r="H96" s="8"/>
      <c r="I96" s="3"/>
      <c r="J96" s="3"/>
      <c r="K96" s="3"/>
      <c r="L96" s="3"/>
      <c r="M96" s="3"/>
      <c r="N96" s="8"/>
    </row>
    <row r="97" spans="1:14" x14ac:dyDescent="0.2">
      <c r="A97" s="6"/>
      <c r="B97" s="6"/>
      <c r="D97" s="8"/>
      <c r="E97" s="8"/>
      <c r="G97" s="8"/>
      <c r="H97" s="8"/>
      <c r="I97" s="3"/>
      <c r="J97" s="3"/>
      <c r="K97" s="3"/>
      <c r="L97" s="3"/>
      <c r="M97" s="3"/>
      <c r="N97" s="8"/>
    </row>
    <row r="98" spans="1:14" x14ac:dyDescent="0.2">
      <c r="A98" s="6"/>
      <c r="B98" s="6"/>
      <c r="D98" s="8"/>
      <c r="E98" s="8"/>
      <c r="G98" s="8"/>
      <c r="H98" s="8"/>
      <c r="I98" s="3"/>
      <c r="J98" s="3"/>
      <c r="K98" s="3"/>
      <c r="L98" s="3"/>
      <c r="M98" s="3"/>
      <c r="N98" s="8"/>
    </row>
    <row r="99" spans="1:14" x14ac:dyDescent="0.2">
      <c r="A99" s="6"/>
      <c r="B99" s="6"/>
      <c r="D99" s="8"/>
      <c r="E99" s="8"/>
      <c r="G99" s="8"/>
      <c r="H99" s="8"/>
      <c r="I99" s="3"/>
      <c r="J99" s="3"/>
      <c r="K99" s="3"/>
      <c r="L99" s="3"/>
      <c r="M99" s="3"/>
      <c r="N99" s="8"/>
    </row>
    <row r="100" spans="1:14" x14ac:dyDescent="0.2">
      <c r="A100" s="6"/>
      <c r="B100" s="6"/>
      <c r="D100" s="8"/>
      <c r="E100" s="8"/>
      <c r="G100" s="8"/>
      <c r="H100" s="8"/>
      <c r="I100" s="3"/>
      <c r="J100" s="3"/>
      <c r="K100" s="3"/>
      <c r="L100" s="3"/>
      <c r="M100" s="3"/>
      <c r="N100" s="8"/>
    </row>
    <row r="101" spans="1:14" x14ac:dyDescent="0.2">
      <c r="A101" s="6"/>
      <c r="B101" s="6"/>
      <c r="D101" s="8"/>
      <c r="E101" s="8"/>
      <c r="G101" s="8"/>
      <c r="H101" s="8"/>
      <c r="I101" s="3"/>
      <c r="J101" s="3"/>
      <c r="K101" s="3"/>
      <c r="L101" s="3"/>
      <c r="M101" s="3"/>
      <c r="N101" s="8"/>
    </row>
    <row r="102" spans="1:14" x14ac:dyDescent="0.2">
      <c r="A102" s="6"/>
      <c r="B102" s="6"/>
      <c r="D102" s="8"/>
      <c r="E102" s="8"/>
      <c r="G102" s="8"/>
      <c r="H102" s="8"/>
      <c r="I102" s="3"/>
      <c r="J102" s="3"/>
      <c r="K102" s="3"/>
      <c r="L102" s="3"/>
      <c r="M102" s="3"/>
      <c r="N102" s="8"/>
    </row>
    <row r="103" spans="1:14" x14ac:dyDescent="0.2">
      <c r="A103" s="6"/>
      <c r="B103" s="6"/>
      <c r="D103" s="8"/>
      <c r="E103" s="8"/>
      <c r="G103" s="8"/>
      <c r="H103" s="8"/>
      <c r="I103" s="3"/>
      <c r="J103" s="3"/>
      <c r="K103" s="3"/>
      <c r="L103" s="3"/>
      <c r="M103" s="3"/>
      <c r="N103" s="8"/>
    </row>
    <row r="104" spans="1:14" x14ac:dyDescent="0.2">
      <c r="A104" s="6"/>
      <c r="B104" s="6"/>
      <c r="D104" s="8"/>
      <c r="E104" s="8"/>
      <c r="G104" s="8"/>
      <c r="H104" s="8"/>
      <c r="I104" s="3"/>
      <c r="J104" s="3"/>
      <c r="K104" s="3"/>
      <c r="L104" s="3"/>
      <c r="M104" s="3"/>
      <c r="N104" s="8"/>
    </row>
    <row r="105" spans="1:14" x14ac:dyDescent="0.2">
      <c r="A105" s="6"/>
      <c r="B105" s="6"/>
      <c r="D105" s="8"/>
      <c r="E105" s="8"/>
      <c r="G105" s="8"/>
      <c r="H105" s="8"/>
      <c r="I105" s="3"/>
      <c r="J105" s="3"/>
      <c r="K105" s="3"/>
      <c r="L105" s="3"/>
      <c r="M105" s="3"/>
      <c r="N105" s="8"/>
    </row>
    <row r="106" spans="1:14" x14ac:dyDescent="0.2">
      <c r="A106" s="6"/>
      <c r="B106" s="6"/>
      <c r="D106" s="8"/>
      <c r="E106" s="8"/>
      <c r="G106" s="8"/>
      <c r="H106" s="8"/>
      <c r="I106" s="3"/>
      <c r="J106" s="3"/>
      <c r="K106" s="3"/>
      <c r="L106" s="3"/>
      <c r="M106" s="3"/>
      <c r="N106" s="8"/>
    </row>
    <row r="107" spans="1:14" x14ac:dyDescent="0.2">
      <c r="A107" s="6"/>
      <c r="B107" s="6"/>
      <c r="D107" s="8"/>
      <c r="E107" s="8"/>
      <c r="G107" s="8"/>
      <c r="H107" s="8"/>
      <c r="I107" s="3"/>
      <c r="J107" s="3"/>
      <c r="K107" s="3"/>
      <c r="L107" s="3"/>
      <c r="M107" s="3"/>
      <c r="N107" s="8"/>
    </row>
    <row r="108" spans="1:14" x14ac:dyDescent="0.2">
      <c r="A108" s="6"/>
      <c r="B108" s="6"/>
      <c r="D108" s="8"/>
      <c r="E108" s="8"/>
      <c r="G108" s="8"/>
      <c r="H108" s="8"/>
      <c r="I108" s="3"/>
      <c r="J108" s="3"/>
      <c r="K108" s="3"/>
      <c r="L108" s="3"/>
      <c r="M108" s="3"/>
      <c r="N108" s="8"/>
    </row>
    <row r="109" spans="1:14" x14ac:dyDescent="0.2">
      <c r="A109" s="6"/>
      <c r="B109" s="6"/>
      <c r="D109" s="8"/>
      <c r="E109" s="8"/>
      <c r="G109" s="8"/>
      <c r="H109" s="8"/>
      <c r="I109" s="3"/>
      <c r="J109" s="3"/>
      <c r="K109" s="3"/>
      <c r="L109" s="3"/>
      <c r="M109" s="3"/>
      <c r="N109" s="8"/>
    </row>
    <row r="110" spans="1:14" x14ac:dyDescent="0.2">
      <c r="A110" s="6"/>
      <c r="B110" s="6"/>
      <c r="D110" s="8"/>
      <c r="E110" s="8"/>
      <c r="G110" s="8"/>
      <c r="H110" s="8"/>
      <c r="I110" s="3"/>
      <c r="J110" s="3"/>
      <c r="K110" s="3"/>
      <c r="L110" s="3"/>
      <c r="M110" s="3"/>
      <c r="N110" s="8"/>
    </row>
    <row r="111" spans="1:14" x14ac:dyDescent="0.2">
      <c r="A111" s="6"/>
      <c r="B111" s="6"/>
      <c r="D111" s="8"/>
      <c r="E111" s="8"/>
      <c r="G111" s="8"/>
      <c r="H111" s="8"/>
      <c r="I111" s="3"/>
      <c r="J111" s="3"/>
      <c r="K111" s="3"/>
      <c r="L111" s="3"/>
      <c r="M111" s="3"/>
      <c r="N111" s="8"/>
    </row>
    <row r="112" spans="1:14" x14ac:dyDescent="0.2">
      <c r="A112" s="6"/>
      <c r="B112" s="6"/>
      <c r="D112" s="8"/>
      <c r="E112" s="8"/>
      <c r="G112" s="8"/>
      <c r="H112" s="8"/>
      <c r="I112" s="3"/>
      <c r="J112" s="3"/>
      <c r="K112" s="3"/>
      <c r="L112" s="3"/>
      <c r="M112" s="3"/>
      <c r="N112" s="8"/>
    </row>
    <row r="113" spans="1:14" x14ac:dyDescent="0.2">
      <c r="A113" s="6"/>
      <c r="B113" s="6"/>
      <c r="D113" s="8"/>
      <c r="E113" s="8"/>
      <c r="G113" s="8"/>
      <c r="H113" s="8"/>
      <c r="I113" s="3"/>
      <c r="J113" s="3"/>
      <c r="K113" s="3"/>
      <c r="L113" s="3"/>
      <c r="M113" s="3"/>
      <c r="N113" s="8"/>
    </row>
    <row r="114" spans="1:14" x14ac:dyDescent="0.2">
      <c r="A114" s="6"/>
      <c r="B114" s="6"/>
      <c r="D114" s="8"/>
      <c r="E114" s="8"/>
      <c r="G114" s="8"/>
      <c r="H114" s="8"/>
      <c r="I114" s="3"/>
      <c r="J114" s="3"/>
      <c r="K114" s="3"/>
      <c r="L114" s="3"/>
      <c r="M114" s="3"/>
      <c r="N114" s="8"/>
    </row>
    <row r="115" spans="1:14" x14ac:dyDescent="0.2">
      <c r="A115" s="6"/>
      <c r="B115" s="6"/>
      <c r="D115" s="8"/>
      <c r="E115" s="8"/>
      <c r="G115" s="8"/>
      <c r="H115" s="8"/>
      <c r="I115" s="3"/>
      <c r="J115" s="3"/>
      <c r="K115" s="3"/>
      <c r="L115" s="3"/>
      <c r="M115" s="3"/>
      <c r="N115" s="8"/>
    </row>
    <row r="116" spans="1:14" x14ac:dyDescent="0.2">
      <c r="A116" s="6"/>
      <c r="B116" s="6"/>
      <c r="D116" s="8"/>
      <c r="E116" s="8"/>
      <c r="G116" s="8"/>
      <c r="H116" s="8"/>
      <c r="I116" s="3"/>
      <c r="J116" s="3"/>
      <c r="K116" s="3"/>
      <c r="L116" s="3"/>
      <c r="M116" s="3"/>
      <c r="N116" s="8"/>
    </row>
    <row r="117" spans="1:14" s="4" customFormat="1" x14ac:dyDescent="0.2">
      <c r="A117" s="2"/>
      <c r="B117" s="6"/>
      <c r="F117" s="27"/>
      <c r="I117" s="1"/>
      <c r="J117" s="1"/>
      <c r="K117" s="1"/>
      <c r="L117" s="1"/>
      <c r="M117" s="1"/>
    </row>
    <row r="118" spans="1:14" s="4" customFormat="1" x14ac:dyDescent="0.2">
      <c r="A118" s="2"/>
      <c r="B118" s="6"/>
      <c r="F118" s="27"/>
      <c r="I118" s="1"/>
      <c r="J118" s="1"/>
      <c r="K118" s="1"/>
      <c r="L118" s="1"/>
      <c r="M118" s="1"/>
    </row>
    <row r="119" spans="1:14" s="4" customFormat="1" x14ac:dyDescent="0.2">
      <c r="A119" s="2"/>
      <c r="B119" s="6"/>
      <c r="F119" s="27"/>
      <c r="I119" s="1"/>
      <c r="J119" s="1"/>
      <c r="K119" s="1"/>
      <c r="L119" s="1"/>
      <c r="M119" s="1"/>
    </row>
    <row r="120" spans="1:14" s="4" customFormat="1" x14ac:dyDescent="0.2">
      <c r="A120" s="2"/>
      <c r="B120" s="6"/>
      <c r="F120" s="27"/>
      <c r="I120" s="1"/>
      <c r="J120" s="1"/>
      <c r="K120" s="1"/>
      <c r="L120" s="1"/>
      <c r="M120" s="1"/>
    </row>
    <row r="121" spans="1:14" s="4" customFormat="1" x14ac:dyDescent="0.2">
      <c r="A121" s="2"/>
      <c r="B121" s="6"/>
      <c r="F121" s="27"/>
      <c r="I121" s="1"/>
      <c r="J121" s="1"/>
      <c r="K121" s="1"/>
      <c r="L121" s="1"/>
      <c r="M121" s="1"/>
    </row>
    <row r="122" spans="1:14" s="4" customFormat="1" x14ac:dyDescent="0.2">
      <c r="A122" s="2"/>
      <c r="B122" s="6"/>
      <c r="F122" s="27"/>
      <c r="I122" s="1"/>
      <c r="J122" s="1"/>
      <c r="K122" s="1"/>
      <c r="L122" s="1"/>
      <c r="M122" s="1"/>
    </row>
    <row r="123" spans="1:14" s="4" customFormat="1" x14ac:dyDescent="0.2">
      <c r="A123" s="2"/>
      <c r="B123" s="6"/>
      <c r="F123" s="27"/>
      <c r="I123" s="1"/>
      <c r="J123" s="1"/>
      <c r="K123" s="1"/>
      <c r="L123" s="1"/>
      <c r="M123" s="1"/>
    </row>
    <row r="124" spans="1:14" s="4" customFormat="1" x14ac:dyDescent="0.2">
      <c r="A124" s="2"/>
      <c r="B124" s="6"/>
      <c r="F124" s="27"/>
      <c r="I124" s="1"/>
      <c r="J124" s="1"/>
      <c r="K124" s="1"/>
      <c r="L124" s="1"/>
      <c r="M124" s="1"/>
    </row>
    <row r="125" spans="1:14" s="4" customFormat="1" x14ac:dyDescent="0.2">
      <c r="A125" s="2"/>
      <c r="B125" s="6"/>
      <c r="F125" s="27"/>
      <c r="I125" s="1"/>
      <c r="J125" s="1"/>
      <c r="K125" s="1"/>
      <c r="L125" s="1"/>
      <c r="M125" s="1"/>
    </row>
    <row r="126" spans="1:14" s="4" customFormat="1" x14ac:dyDescent="0.2">
      <c r="A126" s="2"/>
      <c r="B126" s="6"/>
      <c r="F126" s="27"/>
      <c r="I126" s="1"/>
      <c r="J126" s="1"/>
      <c r="K126" s="1"/>
      <c r="L126" s="1"/>
      <c r="M126" s="1"/>
    </row>
    <row r="127" spans="1:14" s="5" customFormat="1" x14ac:dyDescent="0.2">
      <c r="A127" s="2"/>
      <c r="B127" s="6"/>
      <c r="C127" s="4"/>
      <c r="D127" s="4"/>
      <c r="E127" s="4"/>
      <c r="F127" s="27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">
      <c r="A128" s="2"/>
      <c r="B128" s="6"/>
      <c r="C128" s="4"/>
      <c r="D128" s="4"/>
      <c r="E128" s="4"/>
      <c r="F128" s="27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">
      <c r="A129" s="2"/>
      <c r="B129" s="6"/>
      <c r="C129" s="4"/>
      <c r="D129" s="4"/>
      <c r="E129" s="4"/>
      <c r="F129" s="27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">
      <c r="A130" s="2"/>
      <c r="B130" s="6"/>
      <c r="C130" s="4"/>
      <c r="D130" s="4"/>
      <c r="E130" s="4"/>
      <c r="F130" s="27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">
      <c r="A131" s="2"/>
      <c r="B131" s="6"/>
      <c r="C131" s="4"/>
      <c r="D131" s="4"/>
      <c r="E131" s="4"/>
      <c r="F131" s="27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">
      <c r="A132" s="2"/>
      <c r="B132" s="6"/>
      <c r="C132" s="4"/>
      <c r="D132" s="4"/>
      <c r="E132" s="4"/>
      <c r="F132" s="27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">
      <c r="A133" s="2"/>
      <c r="B133" s="6"/>
      <c r="C133" s="4"/>
      <c r="D133" s="4"/>
      <c r="E133" s="4"/>
      <c r="F133" s="27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">
      <c r="A134" s="2"/>
      <c r="B134" s="6"/>
      <c r="C134" s="4"/>
      <c r="D134" s="4"/>
      <c r="E134" s="4"/>
      <c r="F134" s="27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">
      <c r="A135" s="2"/>
      <c r="B135" s="6"/>
      <c r="C135" s="4"/>
      <c r="D135" s="4"/>
      <c r="E135" s="4"/>
      <c r="F135" s="27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">
      <c r="A136" s="2"/>
      <c r="B136" s="6"/>
      <c r="C136" s="4"/>
      <c r="D136" s="4"/>
      <c r="E136" s="4"/>
      <c r="F136" s="27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">
      <c r="A137" s="2"/>
      <c r="B137" s="6"/>
      <c r="C137" s="4"/>
      <c r="D137" s="4"/>
      <c r="E137" s="4"/>
      <c r="F137" s="27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">
      <c r="A138" s="2"/>
      <c r="B138" s="6"/>
      <c r="C138" s="4"/>
      <c r="D138" s="4"/>
      <c r="E138" s="4"/>
      <c r="F138" s="27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">
      <c r="A139" s="2"/>
      <c r="B139" s="6"/>
      <c r="C139" s="4"/>
      <c r="D139" s="4"/>
      <c r="E139" s="4"/>
      <c r="F139" s="27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">
      <c r="A140" s="2"/>
      <c r="B140" s="6"/>
      <c r="C140" s="4"/>
      <c r="D140" s="4"/>
      <c r="E140" s="4"/>
      <c r="F140" s="27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">
      <c r="A141" s="2"/>
      <c r="B141" s="6"/>
      <c r="C141" s="4"/>
      <c r="D141" s="4"/>
      <c r="E141" s="4"/>
      <c r="F141" s="27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">
      <c r="A142" s="2"/>
      <c r="B142" s="6"/>
      <c r="C142" s="4"/>
      <c r="D142" s="4"/>
      <c r="E142" s="4"/>
      <c r="F142" s="27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">
      <c r="A143" s="2"/>
      <c r="B143" s="6"/>
      <c r="C143" s="4"/>
      <c r="D143" s="4"/>
      <c r="E143" s="4"/>
      <c r="F143" s="27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">
      <c r="A144" s="2"/>
      <c r="B144" s="6"/>
      <c r="C144" s="4"/>
      <c r="D144" s="4"/>
      <c r="E144" s="4"/>
      <c r="F144" s="27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">
      <c r="A145" s="2"/>
      <c r="B145" s="6"/>
      <c r="C145" s="4"/>
      <c r="D145" s="4"/>
      <c r="E145" s="4"/>
      <c r="F145" s="27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">
      <c r="A146" s="2"/>
      <c r="B146" s="6"/>
      <c r="C146" s="4"/>
      <c r="D146" s="4"/>
      <c r="E146" s="4"/>
      <c r="F146" s="27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">
      <c r="A147" s="2"/>
      <c r="B147" s="6"/>
      <c r="C147" s="4"/>
      <c r="D147" s="4"/>
      <c r="E147" s="4"/>
      <c r="F147" s="27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">
      <c r="A148" s="2"/>
      <c r="B148" s="6"/>
      <c r="C148" s="4"/>
      <c r="D148" s="4"/>
      <c r="E148" s="4"/>
      <c r="F148" s="27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">
      <c r="A149" s="2"/>
      <c r="B149" s="6"/>
      <c r="C149" s="4"/>
      <c r="D149" s="4"/>
      <c r="E149" s="4"/>
      <c r="F149" s="27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">
      <c r="A150" s="2"/>
      <c r="B150" s="6"/>
      <c r="C150" s="4"/>
      <c r="D150" s="4"/>
      <c r="E150" s="4"/>
      <c r="F150" s="27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">
      <c r="A151" s="2"/>
      <c r="B151" s="6"/>
      <c r="C151" s="4"/>
      <c r="D151" s="4"/>
      <c r="E151" s="4"/>
      <c r="F151" s="27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">
      <c r="A152" s="2"/>
      <c r="B152" s="6"/>
      <c r="C152" s="4"/>
      <c r="D152" s="4"/>
      <c r="E152" s="4"/>
      <c r="F152" s="27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">
      <c r="A153" s="2"/>
      <c r="B153" s="6"/>
      <c r="C153" s="4"/>
      <c r="D153" s="4"/>
      <c r="E153" s="4"/>
      <c r="F153" s="27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">
      <c r="A154" s="2"/>
      <c r="B154" s="6"/>
      <c r="C154" s="4"/>
      <c r="D154" s="4"/>
      <c r="E154" s="4"/>
      <c r="F154" s="27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">
      <c r="A155" s="2"/>
      <c r="B155" s="6"/>
      <c r="C155" s="4"/>
      <c r="D155" s="4"/>
      <c r="E155" s="4"/>
      <c r="F155" s="27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">
      <c r="A156" s="2"/>
      <c r="B156" s="6"/>
      <c r="C156" s="4"/>
      <c r="D156" s="4"/>
      <c r="E156" s="4"/>
      <c r="F156" s="27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">
      <c r="A157" s="2"/>
      <c r="B157" s="6"/>
      <c r="C157" s="4"/>
      <c r="D157" s="4"/>
      <c r="E157" s="4"/>
      <c r="F157" s="27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">
      <c r="A158" s="2"/>
      <c r="B158" s="6"/>
      <c r="C158" s="4"/>
      <c r="D158" s="4"/>
      <c r="E158" s="4"/>
      <c r="F158" s="27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">
      <c r="A159" s="2"/>
      <c r="B159" s="6"/>
      <c r="C159" s="4"/>
      <c r="D159" s="4"/>
      <c r="E159" s="4"/>
      <c r="F159" s="27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">
      <c r="A160" s="2"/>
      <c r="B160" s="6"/>
      <c r="C160" s="4"/>
      <c r="D160" s="4"/>
      <c r="E160" s="4"/>
      <c r="F160" s="27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">
      <c r="A161" s="2"/>
      <c r="B161" s="6"/>
      <c r="C161" s="4"/>
      <c r="D161" s="4"/>
      <c r="E161" s="4"/>
      <c r="F161" s="27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">
      <c r="A162" s="2"/>
      <c r="B162" s="6"/>
      <c r="C162" s="4"/>
      <c r="D162" s="4"/>
      <c r="E162" s="4"/>
      <c r="F162" s="27"/>
      <c r="G162" s="4"/>
      <c r="H162" s="4"/>
      <c r="I162" s="1"/>
      <c r="J162" s="1"/>
      <c r="K162" s="1"/>
      <c r="L162" s="1"/>
      <c r="M162" s="1"/>
      <c r="N162" s="4"/>
    </row>
    <row r="163" spans="1:14" s="5" customFormat="1" x14ac:dyDescent="0.2">
      <c r="A163" s="2"/>
      <c r="B163" s="6"/>
      <c r="C163" s="4"/>
      <c r="D163" s="4"/>
      <c r="E163" s="4"/>
      <c r="F163" s="27"/>
      <c r="G163" s="4"/>
      <c r="H163" s="4"/>
      <c r="I163" s="1"/>
      <c r="J163" s="1"/>
      <c r="K163" s="1"/>
      <c r="L163" s="1"/>
      <c r="M163" s="1"/>
      <c r="N163" s="4"/>
    </row>
    <row r="164" spans="1:14" s="5" customFormat="1" x14ac:dyDescent="0.2">
      <c r="A164" s="2"/>
      <c r="B164" s="6"/>
      <c r="C164" s="4"/>
      <c r="D164" s="4"/>
      <c r="E164" s="4"/>
      <c r="F164" s="27"/>
      <c r="G164" s="4"/>
      <c r="H164" s="4"/>
      <c r="I164" s="1"/>
      <c r="J164" s="1"/>
      <c r="K164" s="1"/>
      <c r="L164" s="1"/>
      <c r="M164" s="1"/>
      <c r="N164" s="4"/>
    </row>
    <row r="165" spans="1:14" s="5" customFormat="1" x14ac:dyDescent="0.2">
      <c r="A165" s="2"/>
      <c r="B165" s="6"/>
      <c r="C165" s="4"/>
      <c r="D165" s="4"/>
      <c r="E165" s="4"/>
      <c r="F165" s="27"/>
      <c r="G165" s="4"/>
      <c r="H165" s="4"/>
      <c r="I165" s="1"/>
      <c r="J165" s="1"/>
      <c r="K165" s="1"/>
      <c r="L165" s="1"/>
      <c r="M165" s="1"/>
      <c r="N165" s="4"/>
    </row>
    <row r="166" spans="1:14" s="5" customFormat="1" x14ac:dyDescent="0.2">
      <c r="A166" s="2"/>
      <c r="B166" s="6"/>
      <c r="C166" s="4"/>
      <c r="D166" s="4"/>
      <c r="E166" s="4"/>
      <c r="F166" s="27"/>
      <c r="G166" s="4"/>
      <c r="H166" s="4"/>
      <c r="I166" s="1"/>
      <c r="J166" s="1"/>
      <c r="K166" s="1"/>
      <c r="L166" s="1"/>
      <c r="M166" s="1"/>
      <c r="N166" s="4"/>
    </row>
    <row r="167" spans="1:14" s="5" customFormat="1" x14ac:dyDescent="0.2">
      <c r="A167" s="2"/>
      <c r="B167" s="6"/>
      <c r="C167" s="4"/>
      <c r="D167" s="4"/>
      <c r="E167" s="4"/>
      <c r="F167" s="27"/>
      <c r="G167" s="4"/>
      <c r="H167" s="4"/>
      <c r="I167" s="1"/>
      <c r="J167" s="1"/>
      <c r="K167" s="1"/>
      <c r="L167" s="1"/>
      <c r="M167" s="1"/>
      <c r="N167" s="4"/>
    </row>
    <row r="168" spans="1:14" s="5" customFormat="1" x14ac:dyDescent="0.2">
      <c r="A168" s="2"/>
      <c r="B168" s="6"/>
      <c r="C168" s="4"/>
      <c r="D168" s="4"/>
      <c r="E168" s="4"/>
      <c r="F168" s="27"/>
      <c r="G168" s="4"/>
      <c r="H168" s="4"/>
      <c r="I168" s="1"/>
      <c r="J168" s="1"/>
      <c r="K168" s="1"/>
      <c r="L168" s="1"/>
      <c r="M168" s="1"/>
      <c r="N168" s="4"/>
    </row>
    <row r="169" spans="1:14" s="5" customFormat="1" x14ac:dyDescent="0.2">
      <c r="A169" s="2"/>
      <c r="B169" s="6"/>
      <c r="C169" s="4"/>
      <c r="D169" s="4"/>
      <c r="E169" s="4"/>
      <c r="F169" s="27"/>
      <c r="G169" s="4"/>
      <c r="H169" s="4"/>
      <c r="I169" s="1"/>
      <c r="J169" s="1"/>
      <c r="K169" s="1"/>
      <c r="L169" s="1"/>
      <c r="M169" s="1"/>
      <c r="N169" s="4"/>
    </row>
    <row r="170" spans="1:14" s="5" customFormat="1" x14ac:dyDescent="0.2">
      <c r="A170" s="2"/>
      <c r="B170" s="6"/>
      <c r="C170" s="4"/>
      <c r="D170" s="4"/>
      <c r="E170" s="4"/>
      <c r="F170" s="27"/>
      <c r="G170" s="4"/>
      <c r="H170" s="4"/>
      <c r="I170" s="1"/>
      <c r="J170" s="1"/>
      <c r="K170" s="1"/>
      <c r="L170" s="1"/>
      <c r="M170" s="1"/>
      <c r="N170" s="4"/>
    </row>
    <row r="171" spans="1:14" s="5" customFormat="1" x14ac:dyDescent="0.2">
      <c r="A171" s="2"/>
      <c r="B171" s="6"/>
      <c r="C171" s="4"/>
      <c r="D171" s="4"/>
      <c r="E171" s="4"/>
      <c r="F171" s="27"/>
      <c r="G171" s="4"/>
      <c r="H171" s="4"/>
      <c r="I171" s="1"/>
      <c r="J171" s="1"/>
      <c r="K171" s="1"/>
      <c r="L171" s="1"/>
      <c r="M171" s="1"/>
      <c r="N171" s="4"/>
    </row>
    <row r="172" spans="1:14" s="5" customFormat="1" x14ac:dyDescent="0.2">
      <c r="A172" s="2"/>
      <c r="B172" s="6"/>
      <c r="C172" s="4"/>
      <c r="D172" s="4"/>
      <c r="E172" s="4"/>
      <c r="F172" s="27"/>
      <c r="G172" s="4"/>
      <c r="H172" s="4"/>
      <c r="I172" s="1"/>
      <c r="J172" s="1"/>
      <c r="K172" s="1"/>
      <c r="L172" s="1"/>
      <c r="M172" s="1"/>
      <c r="N172" s="4"/>
    </row>
    <row r="173" spans="1:14" s="5" customFormat="1" x14ac:dyDescent="0.2">
      <c r="A173" s="2"/>
      <c r="B173" s="6"/>
      <c r="C173" s="4"/>
      <c r="D173" s="4"/>
      <c r="E173" s="4"/>
      <c r="F173" s="27"/>
      <c r="G173" s="4"/>
      <c r="H173" s="4"/>
      <c r="I173" s="1"/>
      <c r="J173" s="1"/>
      <c r="K173" s="1"/>
      <c r="L173" s="1"/>
      <c r="M173" s="1"/>
      <c r="N173" s="4"/>
    </row>
    <row r="174" spans="1:14" s="5" customFormat="1" x14ac:dyDescent="0.2">
      <c r="A174" s="2"/>
      <c r="B174" s="6"/>
      <c r="C174" s="4"/>
      <c r="D174" s="4"/>
      <c r="E174" s="4"/>
      <c r="F174" s="27"/>
      <c r="G174" s="4"/>
      <c r="H174" s="4"/>
      <c r="I174" s="1"/>
      <c r="J174" s="1"/>
      <c r="K174" s="1"/>
      <c r="L174" s="1"/>
      <c r="M174" s="1"/>
      <c r="N174" s="4"/>
    </row>
    <row r="175" spans="1:14" s="5" customFormat="1" x14ac:dyDescent="0.2">
      <c r="A175" s="2"/>
      <c r="B175" s="6"/>
      <c r="C175" s="4"/>
      <c r="D175" s="4"/>
      <c r="E175" s="4"/>
      <c r="F175" s="27"/>
      <c r="G175" s="4"/>
      <c r="H175" s="4"/>
      <c r="I175" s="1"/>
      <c r="J175" s="1"/>
      <c r="K175" s="1"/>
      <c r="L175" s="1"/>
      <c r="M175" s="1"/>
      <c r="N175" s="4"/>
    </row>
    <row r="176" spans="1:14" s="5" customFormat="1" x14ac:dyDescent="0.2">
      <c r="A176" s="2"/>
      <c r="B176" s="6"/>
      <c r="C176" s="4"/>
      <c r="D176" s="4"/>
      <c r="E176" s="4"/>
      <c r="F176" s="27"/>
      <c r="G176" s="4"/>
      <c r="H176" s="4"/>
      <c r="I176" s="1"/>
      <c r="J176" s="1"/>
      <c r="K176" s="1"/>
      <c r="L176" s="1"/>
      <c r="M176" s="1"/>
      <c r="N176" s="4"/>
    </row>
    <row r="177" spans="1:14" s="5" customFormat="1" x14ac:dyDescent="0.2">
      <c r="A177" s="2"/>
      <c r="B177" s="6"/>
      <c r="C177" s="4"/>
      <c r="D177" s="4"/>
      <c r="E177" s="4"/>
      <c r="F177" s="27"/>
      <c r="G177" s="4"/>
      <c r="H177" s="4"/>
      <c r="I177" s="1"/>
      <c r="J177" s="1"/>
      <c r="K177" s="1"/>
      <c r="L177" s="1"/>
      <c r="M177" s="1"/>
      <c r="N177" s="4"/>
    </row>
    <row r="178" spans="1:14" s="5" customFormat="1" x14ac:dyDescent="0.2">
      <c r="A178" s="2"/>
      <c r="B178" s="6"/>
      <c r="C178" s="4"/>
      <c r="D178" s="4"/>
      <c r="E178" s="4"/>
      <c r="F178" s="27"/>
      <c r="G178" s="4"/>
      <c r="H178" s="4"/>
      <c r="I178" s="1"/>
      <c r="J178" s="1"/>
      <c r="K178" s="1"/>
      <c r="L178" s="1"/>
      <c r="M178" s="1"/>
      <c r="N178" s="4"/>
    </row>
    <row r="179" spans="1:14" s="5" customFormat="1" x14ac:dyDescent="0.2">
      <c r="A179" s="2"/>
      <c r="B179" s="6"/>
      <c r="C179" s="4"/>
      <c r="D179" s="4"/>
      <c r="E179" s="4"/>
      <c r="F179" s="27"/>
      <c r="G179" s="4"/>
      <c r="H179" s="4"/>
      <c r="I179" s="1"/>
      <c r="J179" s="1"/>
      <c r="K179" s="1"/>
      <c r="L179" s="1"/>
      <c r="M179" s="1"/>
      <c r="N179" s="4"/>
    </row>
    <row r="180" spans="1:14" s="5" customFormat="1" x14ac:dyDescent="0.2">
      <c r="A180" s="2"/>
      <c r="B180" s="6"/>
      <c r="C180" s="4"/>
      <c r="D180" s="4"/>
      <c r="E180" s="4"/>
      <c r="F180" s="27"/>
      <c r="G180" s="4"/>
      <c r="H180" s="4"/>
      <c r="I180" s="1"/>
      <c r="J180" s="1"/>
      <c r="K180" s="1"/>
      <c r="L180" s="1"/>
      <c r="M180" s="1"/>
      <c r="N180" s="4"/>
    </row>
    <row r="181" spans="1:14" s="5" customFormat="1" x14ac:dyDescent="0.2">
      <c r="A181" s="2"/>
      <c r="B181" s="6"/>
      <c r="C181" s="4"/>
      <c r="D181" s="4"/>
      <c r="E181" s="4"/>
      <c r="F181" s="27"/>
      <c r="G181" s="4"/>
      <c r="H181" s="4"/>
      <c r="I181" s="1"/>
      <c r="J181" s="1"/>
      <c r="K181" s="1"/>
      <c r="L181" s="1"/>
      <c r="M181" s="1"/>
      <c r="N181" s="4"/>
    </row>
    <row r="182" spans="1:14" s="5" customFormat="1" x14ac:dyDescent="0.2">
      <c r="A182" s="2"/>
      <c r="B182" s="6"/>
      <c r="C182" s="4"/>
      <c r="D182" s="4"/>
      <c r="E182" s="4"/>
      <c r="F182" s="27"/>
      <c r="G182" s="4"/>
      <c r="H182" s="4"/>
      <c r="I182" s="1"/>
      <c r="J182" s="1"/>
      <c r="K182" s="1"/>
      <c r="L182" s="1"/>
      <c r="M182" s="1"/>
      <c r="N182" s="4"/>
    </row>
    <row r="183" spans="1:14" s="5" customFormat="1" x14ac:dyDescent="0.2">
      <c r="A183" s="2"/>
      <c r="B183" s="6"/>
      <c r="C183" s="4"/>
      <c r="D183" s="4"/>
      <c r="E183" s="4"/>
      <c r="F183" s="27"/>
      <c r="G183" s="4"/>
      <c r="H183" s="4"/>
      <c r="I183" s="1"/>
      <c r="J183" s="1"/>
      <c r="K183" s="1"/>
      <c r="L183" s="1"/>
      <c r="M183" s="1"/>
      <c r="N183" s="4"/>
    </row>
    <row r="184" spans="1:14" s="5" customFormat="1" x14ac:dyDescent="0.2">
      <c r="A184" s="2"/>
      <c r="B184" s="6"/>
      <c r="C184" s="4"/>
      <c r="D184" s="4"/>
      <c r="E184" s="4"/>
      <c r="F184" s="27"/>
      <c r="G184" s="4"/>
      <c r="H184" s="4"/>
      <c r="I184" s="1"/>
      <c r="J184" s="1"/>
      <c r="K184" s="1"/>
      <c r="L184" s="1"/>
      <c r="M184" s="1"/>
      <c r="N184" s="4"/>
    </row>
    <row r="185" spans="1:14" s="5" customFormat="1" x14ac:dyDescent="0.2">
      <c r="A185" s="2"/>
      <c r="B185" s="6"/>
      <c r="C185" s="4"/>
      <c r="D185" s="4"/>
      <c r="E185" s="4"/>
      <c r="F185" s="27"/>
      <c r="G185" s="4"/>
      <c r="H185" s="4"/>
      <c r="I185" s="1"/>
      <c r="J185" s="1"/>
      <c r="K185" s="1"/>
      <c r="L185" s="1"/>
      <c r="M185" s="1"/>
      <c r="N185" s="4"/>
    </row>
    <row r="186" spans="1:14" s="5" customFormat="1" x14ac:dyDescent="0.2">
      <c r="A186" s="2"/>
      <c r="B186" s="6"/>
      <c r="C186" s="4"/>
      <c r="D186" s="4"/>
      <c r="E186" s="4"/>
      <c r="F186" s="27"/>
      <c r="G186" s="4"/>
      <c r="H186" s="4"/>
      <c r="I186" s="1"/>
      <c r="J186" s="1"/>
      <c r="K186" s="1"/>
      <c r="L186" s="1"/>
      <c r="M186" s="1"/>
      <c r="N186" s="4"/>
    </row>
    <row r="187" spans="1:14" s="5" customFormat="1" x14ac:dyDescent="0.2">
      <c r="A187" s="2"/>
      <c r="B187" s="6"/>
      <c r="C187" s="4"/>
      <c r="D187" s="4"/>
      <c r="E187" s="4"/>
      <c r="F187" s="27"/>
      <c r="G187" s="4"/>
      <c r="H187" s="4"/>
      <c r="I187" s="1"/>
      <c r="J187" s="1"/>
      <c r="K187" s="1"/>
      <c r="L187" s="1"/>
      <c r="M187" s="1"/>
      <c r="N187" s="4"/>
    </row>
    <row r="188" spans="1:14" s="5" customFormat="1" x14ac:dyDescent="0.2">
      <c r="A188" s="2"/>
      <c r="B188" s="6"/>
      <c r="C188" s="4"/>
      <c r="D188" s="4"/>
      <c r="E188" s="4"/>
      <c r="F188" s="27"/>
      <c r="G188" s="4"/>
      <c r="H188" s="4"/>
      <c r="I188" s="1"/>
      <c r="J188" s="1"/>
      <c r="K188" s="1"/>
      <c r="L188" s="1"/>
      <c r="M188" s="1"/>
      <c r="N188" s="4"/>
    </row>
    <row r="189" spans="1:14" s="5" customFormat="1" x14ac:dyDescent="0.2">
      <c r="A189" s="2"/>
      <c r="B189" s="6"/>
      <c r="C189" s="4"/>
      <c r="D189" s="4"/>
      <c r="E189" s="4"/>
      <c r="F189" s="27"/>
      <c r="G189" s="4"/>
      <c r="H189" s="4"/>
      <c r="I189" s="1"/>
      <c r="J189" s="1"/>
      <c r="K189" s="1"/>
      <c r="L189" s="1"/>
      <c r="M189" s="1"/>
      <c r="N189" s="4"/>
    </row>
    <row r="190" spans="1:14" s="5" customFormat="1" x14ac:dyDescent="0.2">
      <c r="A190" s="2"/>
      <c r="B190" s="6"/>
      <c r="C190" s="4"/>
      <c r="D190" s="4"/>
      <c r="E190" s="4"/>
      <c r="F190" s="27"/>
      <c r="G190" s="4"/>
      <c r="H190" s="4"/>
      <c r="I190" s="1"/>
      <c r="J190" s="1"/>
      <c r="K190" s="1"/>
      <c r="L190" s="1"/>
      <c r="M190" s="1"/>
      <c r="N190" s="4"/>
    </row>
    <row r="191" spans="1:14" s="5" customFormat="1" x14ac:dyDescent="0.2">
      <c r="A191" s="2"/>
      <c r="B191" s="6"/>
      <c r="C191" s="4"/>
      <c r="D191" s="4"/>
      <c r="E191" s="4"/>
      <c r="F191" s="27"/>
      <c r="G191" s="4"/>
      <c r="H191" s="4"/>
      <c r="I191" s="1"/>
      <c r="J191" s="1"/>
      <c r="K191" s="1"/>
      <c r="L191" s="1"/>
      <c r="M191" s="1"/>
      <c r="N191" s="4"/>
    </row>
    <row r="192" spans="1:14" s="5" customFormat="1" x14ac:dyDescent="0.2">
      <c r="A192" s="2"/>
      <c r="B192" s="6"/>
      <c r="C192" s="4"/>
      <c r="D192" s="4"/>
      <c r="E192" s="4"/>
      <c r="F192" s="27"/>
      <c r="G192" s="4"/>
      <c r="H192" s="4"/>
      <c r="I192" s="1"/>
      <c r="J192" s="1"/>
      <c r="K192" s="1"/>
      <c r="L192" s="1"/>
      <c r="M192" s="1"/>
      <c r="N192" s="4"/>
    </row>
    <row r="193" spans="1:14" s="5" customFormat="1" x14ac:dyDescent="0.2">
      <c r="A193" s="2"/>
      <c r="B193" s="6"/>
      <c r="C193" s="4"/>
      <c r="D193" s="4"/>
      <c r="E193" s="4"/>
      <c r="F193" s="27"/>
      <c r="G193" s="4"/>
      <c r="H193" s="4"/>
      <c r="I193" s="1"/>
      <c r="J193" s="1"/>
      <c r="K193" s="1"/>
      <c r="L193" s="1"/>
      <c r="M193" s="1"/>
      <c r="N193" s="4"/>
    </row>
    <row r="194" spans="1:14" s="5" customFormat="1" x14ac:dyDescent="0.2">
      <c r="A194" s="2"/>
      <c r="B194" s="6"/>
      <c r="C194" s="4"/>
      <c r="D194" s="4"/>
      <c r="E194" s="4"/>
      <c r="F194" s="27"/>
      <c r="G194" s="4"/>
      <c r="H194" s="4"/>
      <c r="I194" s="1"/>
      <c r="J194" s="1"/>
      <c r="K194" s="1"/>
      <c r="L194" s="1"/>
      <c r="M194" s="1"/>
      <c r="N194" s="4"/>
    </row>
    <row r="195" spans="1:14" s="5" customFormat="1" x14ac:dyDescent="0.2">
      <c r="A195" s="2"/>
      <c r="B195" s="6"/>
      <c r="C195" s="4"/>
      <c r="D195" s="4"/>
      <c r="E195" s="4"/>
      <c r="F195" s="27"/>
      <c r="G195" s="4"/>
      <c r="H195" s="4"/>
      <c r="I195" s="1"/>
      <c r="J195" s="1"/>
      <c r="K195" s="1"/>
      <c r="L195" s="1"/>
      <c r="M195" s="1"/>
      <c r="N195" s="4"/>
    </row>
    <row r="196" spans="1:14" s="5" customFormat="1" x14ac:dyDescent="0.2">
      <c r="A196" s="2"/>
      <c r="B196" s="6"/>
      <c r="C196" s="4"/>
      <c r="D196" s="4"/>
      <c r="E196" s="4"/>
      <c r="F196" s="27"/>
      <c r="G196" s="4"/>
      <c r="H196" s="4"/>
      <c r="I196" s="1"/>
      <c r="J196" s="1"/>
      <c r="K196" s="1"/>
      <c r="L196" s="1"/>
      <c r="M196" s="1"/>
      <c r="N196" s="4"/>
    </row>
    <row r="197" spans="1:14" s="5" customFormat="1" x14ac:dyDescent="0.2">
      <c r="A197" s="2"/>
      <c r="B197" s="6"/>
      <c r="C197" s="4"/>
      <c r="D197" s="4"/>
      <c r="E197" s="4"/>
      <c r="F197" s="27"/>
      <c r="G197" s="4"/>
      <c r="H197" s="4"/>
      <c r="I197" s="1"/>
      <c r="J197" s="1"/>
      <c r="K197" s="1"/>
      <c r="L197" s="1"/>
      <c r="M197" s="1"/>
      <c r="N197" s="4"/>
    </row>
    <row r="198" spans="1:14" s="5" customFormat="1" x14ac:dyDescent="0.2">
      <c r="A198" s="2"/>
      <c r="B198" s="6"/>
      <c r="C198" s="4"/>
      <c r="D198" s="4"/>
      <c r="E198" s="4"/>
      <c r="F198" s="27"/>
      <c r="G198" s="4"/>
      <c r="H198" s="4"/>
      <c r="I198" s="1"/>
      <c r="J198" s="1"/>
      <c r="K198" s="1"/>
      <c r="L198" s="1"/>
      <c r="M198" s="1"/>
      <c r="N198" s="4"/>
    </row>
    <row r="199" spans="1:14" s="5" customFormat="1" x14ac:dyDescent="0.2">
      <c r="A199" s="2"/>
      <c r="B199" s="6"/>
      <c r="C199" s="4"/>
      <c r="D199" s="4"/>
      <c r="E199" s="4"/>
      <c r="F199" s="27"/>
      <c r="G199" s="4"/>
      <c r="H199" s="4"/>
      <c r="I199" s="1"/>
      <c r="J199" s="1"/>
      <c r="K199" s="1"/>
      <c r="L199" s="1"/>
      <c r="M199" s="1"/>
      <c r="N199" s="4"/>
    </row>
    <row r="200" spans="1:14" s="5" customFormat="1" x14ac:dyDescent="0.2">
      <c r="A200" s="2"/>
      <c r="B200" s="6"/>
      <c r="C200" s="4"/>
      <c r="D200" s="4"/>
      <c r="E200" s="4"/>
      <c r="F200" s="27"/>
      <c r="G200" s="4"/>
      <c r="H200" s="4"/>
      <c r="I200" s="1"/>
      <c r="J200" s="1"/>
      <c r="K200" s="1"/>
      <c r="L200" s="1"/>
      <c r="M200" s="1"/>
      <c r="N200" s="4"/>
    </row>
    <row r="201" spans="1:14" s="5" customFormat="1" x14ac:dyDescent="0.2">
      <c r="A201" s="2"/>
      <c r="B201" s="6"/>
      <c r="C201" s="4"/>
      <c r="D201" s="4"/>
      <c r="E201" s="4"/>
      <c r="F201" s="27"/>
      <c r="G201" s="4"/>
      <c r="H201" s="4"/>
      <c r="I201" s="1"/>
      <c r="J201" s="1"/>
      <c r="K201" s="1"/>
      <c r="L201" s="1"/>
      <c r="M201" s="1"/>
      <c r="N201" s="4"/>
    </row>
    <row r="202" spans="1:14" s="5" customFormat="1" x14ac:dyDescent="0.2">
      <c r="A202" s="2"/>
      <c r="B202" s="6"/>
      <c r="C202" s="4"/>
      <c r="D202" s="4"/>
      <c r="E202" s="4"/>
      <c r="F202" s="27"/>
      <c r="G202" s="4"/>
      <c r="H202" s="4"/>
      <c r="I202" s="1"/>
      <c r="J202" s="1"/>
      <c r="K202" s="1"/>
      <c r="L202" s="1"/>
      <c r="M202" s="1"/>
      <c r="N202" s="4"/>
    </row>
    <row r="203" spans="1:14" s="5" customFormat="1" x14ac:dyDescent="0.2">
      <c r="A203" s="2"/>
      <c r="B203" s="6"/>
      <c r="C203" s="4"/>
      <c r="D203" s="4"/>
      <c r="E203" s="4"/>
      <c r="F203" s="27"/>
      <c r="G203" s="4"/>
      <c r="H203" s="4"/>
      <c r="I203" s="1"/>
      <c r="J203" s="1"/>
      <c r="K203" s="1"/>
      <c r="L203" s="1"/>
      <c r="M203" s="1"/>
      <c r="N203" s="4"/>
    </row>
    <row r="204" spans="1:14" s="5" customFormat="1" x14ac:dyDescent="0.2">
      <c r="A204" s="2"/>
      <c r="B204" s="6"/>
      <c r="C204" s="4"/>
      <c r="D204" s="4"/>
      <c r="E204" s="4"/>
      <c r="F204" s="27"/>
      <c r="G204" s="4"/>
      <c r="H204" s="4"/>
      <c r="I204" s="1"/>
      <c r="J204" s="1"/>
      <c r="K204" s="1"/>
      <c r="L204" s="1"/>
      <c r="M204" s="1"/>
      <c r="N204" s="4"/>
    </row>
    <row r="205" spans="1:14" s="5" customFormat="1" x14ac:dyDescent="0.2">
      <c r="A205" s="2"/>
      <c r="B205" s="6"/>
      <c r="C205" s="4"/>
      <c r="D205" s="4"/>
      <c r="E205" s="4"/>
      <c r="F205" s="27"/>
      <c r="G205" s="4"/>
      <c r="H205" s="4"/>
      <c r="I205" s="1"/>
      <c r="J205" s="1"/>
      <c r="K205" s="1"/>
      <c r="L205" s="1"/>
      <c r="M205" s="1"/>
      <c r="N205" s="4"/>
    </row>
    <row r="206" spans="1:14" s="5" customFormat="1" x14ac:dyDescent="0.2">
      <c r="A206" s="2"/>
      <c r="B206" s="6"/>
      <c r="C206" s="4"/>
      <c r="D206" s="4"/>
      <c r="E206" s="4"/>
      <c r="F206" s="27"/>
      <c r="G206" s="4"/>
      <c r="H206" s="4"/>
      <c r="I206" s="1"/>
      <c r="J206" s="1"/>
      <c r="K206" s="1"/>
      <c r="L206" s="1"/>
      <c r="M206" s="1"/>
      <c r="N206" s="4"/>
    </row>
    <row r="207" spans="1:14" s="5" customFormat="1" x14ac:dyDescent="0.2">
      <c r="A207" s="2"/>
      <c r="B207" s="6"/>
      <c r="C207" s="4"/>
      <c r="D207" s="4"/>
      <c r="E207" s="4"/>
      <c r="F207" s="27"/>
      <c r="G207" s="4"/>
      <c r="H207" s="4"/>
      <c r="I207" s="1"/>
      <c r="J207" s="1"/>
      <c r="K207" s="1"/>
      <c r="L207" s="1"/>
      <c r="M207" s="1"/>
      <c r="N207" s="4"/>
    </row>
    <row r="208" spans="1:14" s="5" customFormat="1" x14ac:dyDescent="0.2">
      <c r="A208" s="2"/>
      <c r="B208" s="6"/>
      <c r="C208" s="4"/>
      <c r="D208" s="4"/>
      <c r="E208" s="4"/>
      <c r="F208" s="27"/>
      <c r="G208" s="4"/>
      <c r="H208" s="4"/>
      <c r="I208" s="1"/>
      <c r="J208" s="1"/>
      <c r="K208" s="1"/>
      <c r="L208" s="1"/>
      <c r="M208" s="1"/>
      <c r="N208" s="4"/>
    </row>
    <row r="209" spans="1:14" s="5" customFormat="1" x14ac:dyDescent="0.2">
      <c r="A209" s="2"/>
      <c r="B209" s="6"/>
      <c r="C209" s="4"/>
      <c r="D209" s="4"/>
      <c r="E209" s="4"/>
      <c r="F209" s="27"/>
      <c r="G209" s="4"/>
      <c r="H209" s="4"/>
      <c r="I209" s="1"/>
      <c r="J209" s="1"/>
      <c r="K209" s="1"/>
      <c r="L209" s="1"/>
      <c r="M209" s="1"/>
      <c r="N209" s="4"/>
    </row>
    <row r="210" spans="1:14" s="5" customFormat="1" x14ac:dyDescent="0.2">
      <c r="A210" s="2"/>
      <c r="B210" s="6"/>
      <c r="C210" s="4"/>
      <c r="D210" s="4"/>
      <c r="E210" s="4"/>
      <c r="F210" s="27"/>
      <c r="G210" s="4"/>
      <c r="H210" s="4"/>
      <c r="I210" s="1"/>
      <c r="J210" s="1"/>
      <c r="K210" s="1"/>
      <c r="L210" s="1"/>
      <c r="M210" s="1"/>
      <c r="N210" s="4"/>
    </row>
    <row r="211" spans="1:14" s="5" customFormat="1" x14ac:dyDescent="0.2">
      <c r="A211" s="2"/>
      <c r="B211" s="6"/>
      <c r="C211" s="4"/>
      <c r="D211" s="4"/>
      <c r="E211" s="4"/>
      <c r="F211" s="27"/>
      <c r="G211" s="4"/>
      <c r="H211" s="4"/>
      <c r="I211" s="1"/>
      <c r="J211" s="1"/>
      <c r="K211" s="1"/>
      <c r="L211" s="1"/>
      <c r="M211" s="1"/>
      <c r="N211" s="4"/>
    </row>
    <row r="212" spans="1:14" s="5" customFormat="1" x14ac:dyDescent="0.2">
      <c r="A212" s="2"/>
      <c r="B212" s="6"/>
      <c r="C212" s="4"/>
      <c r="D212" s="4"/>
      <c r="E212" s="4"/>
      <c r="F212" s="27"/>
      <c r="G212" s="4"/>
      <c r="H212" s="4"/>
      <c r="I212" s="1"/>
      <c r="J212" s="1"/>
      <c r="K212" s="1"/>
      <c r="L212" s="1"/>
      <c r="M212" s="1"/>
      <c r="N212" s="4"/>
    </row>
    <row r="213" spans="1:14" s="5" customFormat="1" x14ac:dyDescent="0.2">
      <c r="A213" s="2"/>
      <c r="B213" s="6"/>
      <c r="C213" s="4"/>
      <c r="D213" s="4"/>
      <c r="E213" s="4"/>
      <c r="F213" s="27"/>
      <c r="G213" s="4"/>
      <c r="H213" s="4"/>
      <c r="I213" s="1"/>
      <c r="J213" s="1"/>
      <c r="K213" s="1"/>
      <c r="L213" s="1"/>
      <c r="M213" s="1"/>
      <c r="N213" s="4"/>
    </row>
    <row r="214" spans="1:14" s="5" customFormat="1" x14ac:dyDescent="0.2">
      <c r="A214" s="2"/>
      <c r="B214" s="6"/>
      <c r="C214" s="4"/>
      <c r="D214" s="4"/>
      <c r="E214" s="4"/>
      <c r="F214" s="27"/>
      <c r="G214" s="4"/>
      <c r="H214" s="4"/>
      <c r="I214" s="1"/>
      <c r="J214" s="1"/>
      <c r="K214" s="1"/>
      <c r="L214" s="1"/>
      <c r="M214" s="1"/>
      <c r="N214" s="4"/>
    </row>
    <row r="215" spans="1:14" s="5" customFormat="1" x14ac:dyDescent="0.2">
      <c r="A215" s="2"/>
      <c r="B215" s="6"/>
      <c r="C215" s="4"/>
      <c r="D215" s="4"/>
      <c r="E215" s="4"/>
      <c r="F215" s="27"/>
      <c r="G215" s="4"/>
      <c r="H215" s="4"/>
      <c r="I215" s="1"/>
      <c r="J215" s="1"/>
      <c r="K215" s="1"/>
      <c r="L215" s="1"/>
      <c r="M215" s="1"/>
      <c r="N215" s="4"/>
    </row>
    <row r="216" spans="1:14" s="5" customFormat="1" x14ac:dyDescent="0.2">
      <c r="A216" s="2"/>
      <c r="B216" s="6"/>
      <c r="C216" s="4"/>
      <c r="D216" s="4"/>
      <c r="E216" s="4"/>
      <c r="F216" s="27"/>
      <c r="G216" s="4"/>
      <c r="H216" s="4"/>
      <c r="I216" s="1"/>
      <c r="J216" s="1"/>
      <c r="K216" s="1"/>
      <c r="L216" s="1"/>
      <c r="M216" s="1"/>
      <c r="N216" s="4"/>
    </row>
    <row r="217" spans="1:14" s="5" customFormat="1" x14ac:dyDescent="0.2">
      <c r="A217" s="2"/>
      <c r="B217" s="6"/>
      <c r="C217" s="4"/>
      <c r="D217" s="4"/>
      <c r="E217" s="4"/>
      <c r="F217" s="27"/>
      <c r="G217" s="4"/>
      <c r="H217" s="4"/>
      <c r="I217" s="1"/>
      <c r="J217" s="1"/>
      <c r="K217" s="1"/>
      <c r="L217" s="1"/>
      <c r="M217" s="1"/>
      <c r="N217" s="4"/>
    </row>
    <row r="218" spans="1:14" s="5" customFormat="1" x14ac:dyDescent="0.2">
      <c r="A218" s="2"/>
      <c r="B218" s="6"/>
      <c r="C218" s="4"/>
      <c r="D218" s="4"/>
      <c r="E218" s="4"/>
      <c r="F218" s="27"/>
      <c r="G218" s="4"/>
      <c r="H218" s="4"/>
      <c r="I218" s="1"/>
      <c r="J218" s="1"/>
      <c r="K218" s="1"/>
      <c r="L218" s="1"/>
      <c r="M218" s="1"/>
      <c r="N218" s="4"/>
    </row>
    <row r="219" spans="1:14" s="5" customFormat="1" x14ac:dyDescent="0.2">
      <c r="A219" s="2"/>
      <c r="B219" s="6"/>
      <c r="C219" s="4"/>
      <c r="D219" s="4"/>
      <c r="E219" s="4"/>
      <c r="F219" s="27"/>
      <c r="G219" s="4"/>
      <c r="H219" s="4"/>
      <c r="I219" s="1"/>
      <c r="J219" s="1"/>
      <c r="K219" s="1"/>
      <c r="L219" s="1"/>
      <c r="M219" s="1"/>
      <c r="N219" s="4"/>
    </row>
    <row r="220" spans="1:14" s="5" customFormat="1" x14ac:dyDescent="0.2">
      <c r="A220" s="2"/>
      <c r="B220" s="6"/>
      <c r="C220" s="4"/>
      <c r="D220" s="4"/>
      <c r="E220" s="4"/>
      <c r="F220" s="27"/>
      <c r="G220" s="4"/>
      <c r="H220" s="4"/>
      <c r="I220" s="1"/>
      <c r="J220" s="1"/>
      <c r="K220" s="1"/>
      <c r="L220" s="1"/>
      <c r="M220" s="1"/>
      <c r="N220" s="4"/>
    </row>
    <row r="221" spans="1:14" s="5" customFormat="1" x14ac:dyDescent="0.2">
      <c r="A221" s="2"/>
      <c r="B221" s="6"/>
      <c r="C221" s="4"/>
      <c r="D221" s="4"/>
      <c r="E221" s="4"/>
      <c r="F221" s="27"/>
      <c r="G221" s="4"/>
      <c r="H221" s="4"/>
      <c r="I221" s="1"/>
      <c r="J221" s="1"/>
      <c r="K221" s="1"/>
      <c r="L221" s="1"/>
      <c r="M221" s="1"/>
      <c r="N221" s="4"/>
    </row>
    <row r="222" spans="1:14" s="5" customFormat="1" x14ac:dyDescent="0.2">
      <c r="A222" s="2"/>
      <c r="B222" s="6"/>
      <c r="C222" s="4"/>
      <c r="D222" s="4"/>
      <c r="E222" s="4"/>
      <c r="F222" s="27"/>
      <c r="G222" s="4"/>
      <c r="H222" s="4"/>
      <c r="I222" s="1"/>
      <c r="J222" s="1"/>
      <c r="K222" s="1"/>
      <c r="L222" s="1"/>
      <c r="M222" s="1"/>
      <c r="N222" s="4"/>
    </row>
    <row r="223" spans="1:14" s="5" customFormat="1" x14ac:dyDescent="0.2">
      <c r="A223" s="2"/>
      <c r="B223" s="6"/>
      <c r="C223" s="4"/>
      <c r="D223" s="4"/>
      <c r="E223" s="4"/>
      <c r="F223" s="27"/>
      <c r="G223" s="4"/>
      <c r="H223" s="4"/>
      <c r="I223" s="1"/>
      <c r="J223" s="1"/>
      <c r="K223" s="1"/>
      <c r="L223" s="1"/>
      <c r="M223" s="1"/>
      <c r="N223" s="4"/>
    </row>
    <row r="224" spans="1:14" s="5" customFormat="1" x14ac:dyDescent="0.2">
      <c r="A224" s="2"/>
      <c r="B224" s="6"/>
      <c r="C224" s="4"/>
      <c r="D224" s="4"/>
      <c r="E224" s="4"/>
      <c r="F224" s="27"/>
      <c r="G224" s="4"/>
      <c r="H224" s="4"/>
      <c r="I224" s="1"/>
      <c r="J224" s="1"/>
      <c r="K224" s="1"/>
      <c r="L224" s="1"/>
      <c r="M224" s="1"/>
      <c r="N224" s="4"/>
    </row>
    <row r="225" spans="1:14" s="5" customFormat="1" x14ac:dyDescent="0.2">
      <c r="A225" s="2"/>
      <c r="B225" s="6"/>
      <c r="C225" s="4"/>
      <c r="D225" s="4"/>
      <c r="E225" s="4"/>
      <c r="F225" s="27"/>
      <c r="G225" s="4"/>
      <c r="H225" s="4"/>
      <c r="I225" s="1"/>
      <c r="J225" s="1"/>
      <c r="K225" s="1"/>
      <c r="L225" s="1"/>
      <c r="M225" s="1"/>
      <c r="N225" s="4"/>
    </row>
    <row r="226" spans="1:14" s="5" customFormat="1" x14ac:dyDescent="0.2">
      <c r="A226" s="2"/>
      <c r="B226" s="6"/>
      <c r="C226" s="4"/>
      <c r="D226" s="4"/>
      <c r="E226" s="4"/>
      <c r="F226" s="27"/>
      <c r="G226" s="4"/>
      <c r="H226" s="4"/>
      <c r="I226" s="1"/>
      <c r="J226" s="1"/>
      <c r="K226" s="1"/>
      <c r="L226" s="1"/>
      <c r="M226" s="1"/>
      <c r="N226" s="4"/>
    </row>
    <row r="227" spans="1:14" s="5" customFormat="1" x14ac:dyDescent="0.2">
      <c r="A227" s="2"/>
      <c r="B227" s="6"/>
      <c r="C227" s="4"/>
      <c r="D227" s="4"/>
      <c r="E227" s="4"/>
      <c r="F227" s="27"/>
      <c r="G227" s="4"/>
      <c r="H227" s="4"/>
      <c r="I227" s="1"/>
      <c r="J227" s="1"/>
      <c r="K227" s="1"/>
      <c r="L227" s="1"/>
      <c r="M227" s="1"/>
      <c r="N227" s="4"/>
    </row>
    <row r="228" spans="1:14" s="5" customFormat="1" x14ac:dyDescent="0.2">
      <c r="A228" s="2"/>
      <c r="B228" s="6"/>
      <c r="C228" s="4"/>
      <c r="D228" s="4"/>
      <c r="E228" s="4"/>
      <c r="F228" s="27"/>
      <c r="G228" s="4"/>
      <c r="H228" s="4"/>
      <c r="I228" s="1"/>
      <c r="J228" s="1"/>
      <c r="K228" s="1"/>
      <c r="L228" s="1"/>
      <c r="M228" s="1"/>
      <c r="N228" s="4"/>
    </row>
    <row r="229" spans="1:14" s="5" customFormat="1" x14ac:dyDescent="0.2">
      <c r="A229" s="2"/>
      <c r="B229" s="6"/>
      <c r="C229" s="4"/>
      <c r="D229" s="4"/>
      <c r="E229" s="4"/>
      <c r="F229" s="27"/>
      <c r="G229" s="4"/>
      <c r="H229" s="4"/>
      <c r="I229" s="1"/>
      <c r="J229" s="1"/>
      <c r="K229" s="1"/>
      <c r="L229" s="1"/>
      <c r="M229" s="1"/>
      <c r="N229" s="4"/>
    </row>
    <row r="230" spans="1:14" s="5" customFormat="1" x14ac:dyDescent="0.2">
      <c r="A230" s="2"/>
      <c r="B230" s="6"/>
      <c r="C230" s="4"/>
      <c r="D230" s="4"/>
      <c r="E230" s="4"/>
      <c r="F230" s="27"/>
      <c r="G230" s="4"/>
      <c r="H230" s="4"/>
      <c r="I230" s="1"/>
      <c r="J230" s="1"/>
      <c r="K230" s="1"/>
      <c r="L230" s="1"/>
      <c r="M230" s="1"/>
      <c r="N230" s="4"/>
    </row>
    <row r="231" spans="1:14" s="5" customFormat="1" x14ac:dyDescent="0.2">
      <c r="A231" s="2"/>
      <c r="B231" s="6"/>
      <c r="C231" s="4"/>
      <c r="D231" s="4"/>
      <c r="E231" s="4"/>
      <c r="F231" s="27"/>
      <c r="G231" s="4"/>
      <c r="H231" s="4"/>
      <c r="I231" s="1"/>
      <c r="J231" s="1"/>
      <c r="K231" s="1"/>
      <c r="L231" s="1"/>
      <c r="M231" s="1"/>
      <c r="N231" s="4"/>
    </row>
    <row r="232" spans="1:14" s="5" customFormat="1" x14ac:dyDescent="0.2">
      <c r="A232" s="2"/>
      <c r="B232" s="6"/>
      <c r="C232" s="4"/>
      <c r="D232" s="4"/>
      <c r="E232" s="4"/>
      <c r="F232" s="27"/>
      <c r="G232" s="4"/>
      <c r="H232" s="4"/>
      <c r="I232" s="1"/>
      <c r="J232" s="1"/>
      <c r="K232" s="1"/>
      <c r="L232" s="1"/>
      <c r="M232" s="1"/>
      <c r="N232" s="4"/>
    </row>
  </sheetData>
  <hyperlinks>
    <hyperlink ref="F11" location="EN_A0200" display="EN_A0200" xr:uid="{00000000-0004-0000-0000-000000000000}"/>
    <hyperlink ref="F12" location="EN_02001" display="EN_02001" xr:uid="{00000000-0004-0000-0000-000001000000}"/>
    <hyperlink ref="F17" location="EN_02006" display="EN_02006" xr:uid="{00000000-0004-0000-0000-000002000000}"/>
    <hyperlink ref="F15" location="EN_02004" display="EN_02004" xr:uid="{00000000-0004-0000-0000-000003000000}"/>
    <hyperlink ref="F13" location="EN_02002" display="EN_02002" xr:uid="{00000000-0004-0000-0000-000004000000}"/>
    <hyperlink ref="F14" location="EN_02003" display="EN_02003" xr:uid="{00000000-0004-0000-0000-000005000000}"/>
    <hyperlink ref="F16" location="EN_02005" display="EN_02005" xr:uid="{00000000-0004-0000-0000-000006000000}"/>
    <hyperlink ref="F18" location="EN_02007" display="EN_02007" xr:uid="{00000000-0004-0000-0000-000007000000}"/>
    <hyperlink ref="F19" location="EN_02008" display="EN_02008" xr:uid="{00000000-0004-0000-0000-000008000000}"/>
    <hyperlink ref="F20" location="EN_02009" display="EN_02009" xr:uid="{00000000-0004-0000-0000-000009000000}"/>
    <hyperlink ref="F21" location="EN_02010" display="EN_02010" xr:uid="{00000000-0004-0000-0000-00000A000000}"/>
    <hyperlink ref="F22" location="EN_A0300" display="EN_A0300" xr:uid="{00000000-0004-0000-0000-00000B000000}"/>
    <hyperlink ref="F23" location="EN_0300_001" display="EN_0300_001" xr:uid="{00000000-0004-0000-0000-00000C000000}"/>
    <hyperlink ref="F24" location="EN_0300_002" display="EN_0300_002" xr:uid="{00000000-0004-0000-0000-00000D000000}"/>
    <hyperlink ref="F25" location="EN_0300_003" display="EN_0300_003" xr:uid="{00000000-0004-0000-0000-00000E000000}"/>
    <hyperlink ref="F26" location="EN_0300_004" display="EN_0300_004" xr:uid="{00000000-0004-0000-0000-00000F000000}"/>
    <hyperlink ref="F27" location="EN_0300_005" display="EN_0300_005" xr:uid="{00000000-0004-0000-0000-000010000000}"/>
    <hyperlink ref="F28" location="EN_0300_006" display="EN_0300_006" xr:uid="{00000000-0004-0000-0000-000011000000}"/>
    <hyperlink ref="F29" location="EN_0300_007" display="EN_0300_007" xr:uid="{00000000-0004-0000-0000-000012000000}"/>
    <hyperlink ref="F30" location="EN_0300_008" display="EN_0300_008" xr:uid="{00000000-0004-0000-0000-000013000000}"/>
    <hyperlink ref="F31" location="EN_A0400" display="EN_A0400" xr:uid="{00000000-0004-0000-0000-000014000000}"/>
    <hyperlink ref="F32" location="EN_0400_001" display="EN_0400_001" xr:uid="{00000000-0004-0000-0000-000015000000}"/>
    <hyperlink ref="F33:F40" location="BR_01001" display="BR_01001" xr:uid="{00000000-0004-0000-0000-000016000000}"/>
    <hyperlink ref="F33" location="EN_0400_002" display="EN_0400_002" xr:uid="{00000000-0004-0000-0000-000017000000}"/>
    <hyperlink ref="F34" location="EN_0400_003" display="EN_0400_003" xr:uid="{00000000-0004-0000-0000-000018000000}"/>
    <hyperlink ref="F35" location="EN_0400_004" display="EN_0400_004" xr:uid="{00000000-0004-0000-0000-000019000000}"/>
    <hyperlink ref="F36" location="EN_0400_005" display="EN_0400_005" xr:uid="{00000000-0004-0000-0000-00001A000000}"/>
    <hyperlink ref="F38" location="EN_0400_007" display="EN_0400_007" xr:uid="{00000000-0004-0000-0000-00001B000000}"/>
    <hyperlink ref="F39" location="EN_0400_008" display="EN_0400_008" xr:uid="{00000000-0004-0000-0000-00001C000000}"/>
    <hyperlink ref="F40" location="EN_0400_009" display="EN_0400_009" xr:uid="{00000000-0004-0000-0000-00001D000000}"/>
    <hyperlink ref="F37" location="EN_0400_006" display="EN_0400_006" xr:uid="{00000000-0004-0000-0000-00001E000000}"/>
    <hyperlink ref="F64" location="EN_A0900" display="EN_A0900" xr:uid="{00000000-0004-0000-0000-00001F000000}"/>
    <hyperlink ref="F65" location="EN_0900_001" display="EN_0900_001" xr:uid="{00000000-0004-0000-0000-000020000000}"/>
    <hyperlink ref="F66" location="EN_0900_002" display="EN_0900_002" xr:uid="{00000000-0004-0000-0000-000021000000}"/>
    <hyperlink ref="F67" location="EN_0900_003" display="EN_0900_003" xr:uid="{00000000-0004-0000-0000-000022000000}"/>
    <hyperlink ref="F68" location="EN_0900_004" display="EN_0900_004" xr:uid="{00000000-0004-0000-0000-000023000000}"/>
    <hyperlink ref="F69" location="EN_0900_005" display="EN_0900_005" xr:uid="{00000000-0004-0000-0000-000024000000}"/>
    <hyperlink ref="F70" location="EN_0900_006" display="EN_0900_006" xr:uid="{00000000-0004-0000-0000-000025000000}"/>
    <hyperlink ref="F71" location="EN_0900_007" display="EN_0900_007" xr:uid="{00000000-0004-0000-0000-000026000000}"/>
    <hyperlink ref="F72" location="EN_0900_008" display="EN_0900_008" xr:uid="{00000000-0004-0000-0000-000027000000}"/>
    <hyperlink ref="F73" location="EN_0900_009" display="EN_0900_009" xr:uid="{00000000-0004-0000-0000-000028000000}"/>
    <hyperlink ref="F74" location="EN_A1000" display="EN_A1000" xr:uid="{00000000-0004-0000-0000-000029000000}"/>
    <hyperlink ref="F75" location="EN_1000_001" display="EN_1000_001" xr:uid="{00000000-0004-0000-0000-00002A000000}"/>
    <hyperlink ref="F76" location="EN_1000_002" display="EN_1000_002" xr:uid="{00000000-0004-0000-0000-00002B000000}"/>
    <hyperlink ref="F77" location="EN_1000_003" display="EN_1000_003" xr:uid="{00000000-0004-0000-0000-00002C000000}"/>
    <hyperlink ref="F78" location="EN_1000_004" display="EN_1000_004" xr:uid="{00000000-0004-0000-0000-00002D000000}"/>
    <hyperlink ref="F79" location="EN_A1100" display="EN_A1100" xr:uid="{00000000-0004-0000-0000-00002E000000}"/>
    <hyperlink ref="F80" location="EN_1100_001" display="EN_1100_001" xr:uid="{00000000-0004-0000-0000-00002F000000}"/>
    <hyperlink ref="F82" location="EN_1100_003" display="EN_1100_003" xr:uid="{00000000-0004-0000-0000-000030000000}"/>
    <hyperlink ref="F83" location="EN_1100_004" display="EN_1100_004" xr:uid="{00000000-0004-0000-0000-000031000000}"/>
    <hyperlink ref="F81" location="EN_1100_002" display="EN_1100_002" xr:uid="{00000000-0004-0000-0000-000032000000}"/>
    <hyperlink ref="F84" location="EN_1100_005" display="EN_1100_005" xr:uid="{00000000-0004-0000-0000-000033000000}"/>
    <hyperlink ref="F85" location="EN_1100_006" display="EN_1100_006" xr:uid="{00000000-0004-0000-0000-000034000000}"/>
    <hyperlink ref="F7" location="EN_A0100" display="EN_A0100" xr:uid="{2E113DBF-C83F-4B27-935E-331435904404}"/>
    <hyperlink ref="F8" location="EN_01001" display="EN_01001" xr:uid="{F17EBAB9-7779-437D-A568-200AFAF8C061}"/>
    <hyperlink ref="F9" location="EN_01002" display="EN_01002" xr:uid="{FF1C512C-E2F6-47B2-9A71-C37C3C8F722A}"/>
    <hyperlink ref="F10" location="EN_01003" display="EN_01003" xr:uid="{E8C11BB6-D174-4613-85AE-0E367789E77D}"/>
    <hyperlink ref="F41" location="EN_A0500" display="EN_A0500" xr:uid="{58B02D6A-D048-4B81-9CD7-256D66F3196B}"/>
    <hyperlink ref="F42" location="EN_05001" display="EN_05001" xr:uid="{31705DA0-6C74-4869-A4D6-2E2BC76B792D}"/>
    <hyperlink ref="F43" location="EN_05002" display="EN_05002" xr:uid="{011F5717-72BA-4217-83FA-B286A253D754}"/>
    <hyperlink ref="F44" location="EN_05003" display="EN_05003" xr:uid="{8E2C4AEB-61FE-434C-AA73-E5ADA4729F83}"/>
    <hyperlink ref="F45" location="EN_05004" display="EN_05004" xr:uid="{D5892EC0-3B1D-47D9-8304-4EB15B1794E2}"/>
    <hyperlink ref="F46" location="EN_05005" display="EN_05005" xr:uid="{301E9832-F376-423C-A686-A31AC30F83C8}"/>
    <hyperlink ref="F47" location="EN_A0600" display="EN_A0600" xr:uid="{DE81B1FD-1E25-48F3-9DB0-D581D0C94DA5}"/>
    <hyperlink ref="F48" location="EN_06001" display="EN_06001" xr:uid="{A3EA5D03-0980-4B83-9ADA-117CEDC1E3B7}"/>
    <hyperlink ref="F49" location="EN_06002" display="EN_06002" xr:uid="{A8EC579C-34C3-4A3F-AAF5-DF6348E97E40}"/>
    <hyperlink ref="F50" location="EN_06003" display="EN_06003" xr:uid="{C74B80F3-52B7-41FB-A7E3-6CF6D64FDCDE}"/>
    <hyperlink ref="F51" location="EN_06004" display="EN_06004" xr:uid="{CC806110-FA78-4A0B-98AF-2F0CBD72EB01}"/>
    <hyperlink ref="F52" location="EN_A0700" display="EN_A0700" xr:uid="{8DE3E7A7-311E-460F-8DCE-1D37DD6530B6}"/>
    <hyperlink ref="F53" location="EN_A0800" display="EN_A0800" xr:uid="{8BEC0BB5-E665-48B8-AC83-FC5313350B92}"/>
    <hyperlink ref="F54" location="EN_08001" display="EN_08001" xr:uid="{C603A1B9-AE14-4098-9792-83980B1B919B}"/>
    <hyperlink ref="F55" location="EN_08002" display="EN_08002" xr:uid="{649BC270-E087-43E3-B49D-3F3A5F6ABECB}"/>
    <hyperlink ref="F56" location="EN_08003" display="EN_08003" xr:uid="{68B52D9A-235F-4294-AD56-1F572D4F2944}"/>
    <hyperlink ref="F57" location="EN_08004" display="EN_08004" xr:uid="{DC5C8116-5465-4DAA-B1E0-E62E453F316E}"/>
    <hyperlink ref="F58" location="EN_08005" display="EN_08005" xr:uid="{E83B6E60-C77B-4AAA-8498-E8A691B0B3C0}"/>
    <hyperlink ref="F59" location="EN_08006" display="EN_08006" xr:uid="{63B87F95-747E-418D-AEA5-3E6EA2C4A286}"/>
    <hyperlink ref="F60" location="EN_08007" display="EN_08007" xr:uid="{344CD7D2-B63C-485F-8F94-408EAAC8EC2A}"/>
    <hyperlink ref="F61" location="EN_08008" display="EN_08008" xr:uid="{250CCA92-6943-43C2-9DCE-3F45F4C6F22F}"/>
    <hyperlink ref="F62" location="EN_08009" display="EN_08009" xr:uid="{9B9BF44C-4449-4749-9967-BA1A9A6D8DA7}"/>
    <hyperlink ref="F63" location="EN_08010" display="EN_08010" xr:uid="{2C037EA4-A187-495F-9064-D41F9BA884D9}"/>
  </hyperlinks>
  <pageMargins left="0.41" right="0.22" top="0.72" bottom="0.57999999999999996" header="0.5" footer="0.26"/>
  <pageSetup scale="58" fitToHeight="99" orientation="landscape" r:id="rId1"/>
  <headerFooter alignWithMargins="0"/>
  <ignoredErrors>
    <ignoredError sqref="H12 H13:H21 H11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  <pageSetUpPr fitToPage="1"/>
  </sheetPr>
  <dimension ref="A1:B1"/>
  <sheetViews>
    <sheetView zoomScale="85" zoomScaleNormal="85" workbookViewId="0">
      <selection activeCell="N3" sqref="N3"/>
    </sheetView>
  </sheetViews>
  <sheetFormatPr baseColWidth="10" defaultRowHeight="15" x14ac:dyDescent="0.25"/>
  <cols>
    <col min="1" max="1" width="14" customWidth="1"/>
  </cols>
  <sheetData>
    <row r="1" spans="1:2" x14ac:dyDescent="0.25">
      <c r="A1" s="69" t="s">
        <v>66</v>
      </c>
      <c r="B1" s="69" t="str">
        <f>EN_02001</f>
        <v>EN 02001</v>
      </c>
    </row>
  </sheetData>
  <hyperlinks>
    <hyperlink ref="B1" location="EN_02001" display="EN_02001" xr:uid="{00000000-0004-0000-0300-000000000000}"/>
    <hyperlink ref="A1" location="EL_01001" display="Drawing part :" xr:uid="{00000000-0004-0000-0300-000001000000}"/>
    <hyperlink ref="A1:B1" location="EN_02001" display="Drawing part :" xr:uid="{00000000-0004-0000-0300-000002000000}"/>
  </hyperlinks>
  <pageMargins left="0.7" right="0.7" top="0.75" bottom="0.75" header="0.3" footer="0.3"/>
  <pageSetup paperSize="9" fitToHeight="0" orientation="portrait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6" tint="0.39997558519241921"/>
  </sheetPr>
  <dimension ref="A1:O34"/>
  <sheetViews>
    <sheetView zoomScale="55" zoomScaleNormal="55" workbookViewId="0">
      <selection activeCell="G2" sqref="G2"/>
    </sheetView>
  </sheetViews>
  <sheetFormatPr baseColWidth="10" defaultRowHeight="15" x14ac:dyDescent="0.25"/>
  <cols>
    <col min="2" max="2" width="45.42578125" customWidth="1"/>
    <col min="3" max="3" width="54" customWidth="1"/>
    <col min="4" max="4" width="9.140625" customWidth="1"/>
    <col min="6" max="6" width="12.28515625" bestFit="1" customWidth="1"/>
    <col min="7" max="7" width="24.28515625" customWidth="1"/>
    <col min="9" max="9" width="20.140625" bestFit="1" customWidth="1"/>
  </cols>
  <sheetData>
    <row r="1" spans="1:15" x14ac:dyDescent="0.2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25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EN_1000_001_m+EN_1000_001_p</f>
        <v>66.549787154500507</v>
      </c>
      <c r="O2" s="166"/>
    </row>
    <row r="3" spans="1:15" x14ac:dyDescent="0.25">
      <c r="A3" s="262" t="s">
        <v>3</v>
      </c>
      <c r="B3" s="258" t="s">
        <v>279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166"/>
    </row>
    <row r="4" spans="1:15" x14ac:dyDescent="0.25">
      <c r="A4" s="241" t="s">
        <v>5</v>
      </c>
      <c r="B4" s="306" t="s">
        <v>350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25">
      <c r="A5" s="241" t="s">
        <v>15</v>
      </c>
      <c r="B5" s="305" t="s">
        <v>349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133.09957430900101</v>
      </c>
      <c r="O5" s="166"/>
    </row>
    <row r="6" spans="1:15" x14ac:dyDescent="0.25">
      <c r="A6" s="241" t="s">
        <v>7</v>
      </c>
      <c r="B6" s="260" t="s">
        <v>546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25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25">
      <c r="A8" s="257" t="s">
        <v>13</v>
      </c>
      <c r="B8" s="176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25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25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25">
      <c r="A11" s="254">
        <v>10</v>
      </c>
      <c r="B11" s="194" t="s">
        <v>359</v>
      </c>
      <c r="C11" s="215" t="s">
        <v>358</v>
      </c>
      <c r="D11" s="216">
        <v>2.25</v>
      </c>
      <c r="E11" s="225">
        <f>J11*K11*L11</f>
        <v>4.0999054020002239</v>
      </c>
      <c r="F11" s="215" t="s">
        <v>78</v>
      </c>
      <c r="G11" s="215"/>
      <c r="H11" s="223"/>
      <c r="I11" s="224" t="s">
        <v>357</v>
      </c>
      <c r="J11" s="224">
        <f>PI()*65.5*65.5/4/1000000</f>
        <v>3.3695544705159026E-3</v>
      </c>
      <c r="K11" s="220">
        <v>0.155</v>
      </c>
      <c r="L11" s="219">
        <v>7850</v>
      </c>
      <c r="M11" s="219">
        <v>1</v>
      </c>
      <c r="N11" s="216">
        <f>D11*J11*K11*L11*M11</f>
        <v>9.224787154500504</v>
      </c>
      <c r="O11" s="195"/>
    </row>
    <row r="12" spans="1:15" x14ac:dyDescent="0.25">
      <c r="A12" s="252"/>
      <c r="B12" s="251"/>
      <c r="C12" s="249"/>
      <c r="D12" s="250"/>
      <c r="E12" s="249"/>
      <c r="F12" s="249"/>
      <c r="G12" s="249"/>
      <c r="H12" s="248"/>
      <c r="I12" s="247"/>
      <c r="J12" s="246"/>
      <c r="K12" s="245"/>
      <c r="L12" s="244"/>
      <c r="M12" s="243"/>
      <c r="N12" s="242"/>
      <c r="O12" s="195"/>
    </row>
    <row r="13" spans="1:15" x14ac:dyDescent="0.25">
      <c r="A13" s="169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8" t="s">
        <v>18</v>
      </c>
      <c r="N13" s="103">
        <f>SUM(N11:N11)</f>
        <v>9.224787154500504</v>
      </c>
      <c r="O13" s="166"/>
    </row>
    <row r="14" spans="1:15" x14ac:dyDescent="0.25">
      <c r="A14" s="173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6"/>
    </row>
    <row r="15" spans="1:15" x14ac:dyDescent="0.25">
      <c r="A15" s="241" t="s">
        <v>14</v>
      </c>
      <c r="B15" s="212" t="s">
        <v>31</v>
      </c>
      <c r="C15" s="212" t="s">
        <v>20</v>
      </c>
      <c r="D15" s="212" t="s">
        <v>21</v>
      </c>
      <c r="E15" s="212" t="s">
        <v>32</v>
      </c>
      <c r="F15" s="212" t="s">
        <v>17</v>
      </c>
      <c r="G15" s="212" t="s">
        <v>33</v>
      </c>
      <c r="H15" s="212" t="s">
        <v>34</v>
      </c>
      <c r="I15" s="212" t="s">
        <v>18</v>
      </c>
      <c r="J15" s="15"/>
      <c r="K15" s="15"/>
      <c r="L15" s="15"/>
      <c r="M15" s="15"/>
      <c r="N15" s="15"/>
      <c r="O15" s="166"/>
    </row>
    <row r="16" spans="1:15" x14ac:dyDescent="0.25">
      <c r="A16" s="302">
        <v>10</v>
      </c>
      <c r="B16" s="240" t="s">
        <v>45</v>
      </c>
      <c r="C16" s="264" t="s">
        <v>356</v>
      </c>
      <c r="D16" s="294">
        <v>1.3</v>
      </c>
      <c r="E16" s="240" t="s">
        <v>32</v>
      </c>
      <c r="F16" s="295">
        <v>1</v>
      </c>
      <c r="G16" s="295"/>
      <c r="H16" s="295"/>
      <c r="I16" s="263">
        <f t="shared" ref="I16:I21" si="0">IF(H16="",D16*F16,D16*F16*H16)</f>
        <v>1.3</v>
      </c>
      <c r="J16" s="15"/>
      <c r="K16" s="15"/>
      <c r="L16" s="15"/>
      <c r="M16" s="15"/>
      <c r="N16" s="15"/>
      <c r="O16" s="166"/>
    </row>
    <row r="17" spans="1:15" x14ac:dyDescent="0.25">
      <c r="A17" s="272">
        <v>20</v>
      </c>
      <c r="B17" s="264" t="s">
        <v>79</v>
      </c>
      <c r="C17" s="264" t="s">
        <v>355</v>
      </c>
      <c r="D17" s="294">
        <v>0.04</v>
      </c>
      <c r="E17" s="304" t="s">
        <v>81</v>
      </c>
      <c r="F17" s="232">
        <v>269.89999999999998</v>
      </c>
      <c r="G17" s="297" t="s">
        <v>82</v>
      </c>
      <c r="H17" s="303">
        <v>3</v>
      </c>
      <c r="I17" s="263">
        <f t="shared" si="0"/>
        <v>32.387999999999998</v>
      </c>
      <c r="J17" s="41"/>
      <c r="K17" s="41"/>
      <c r="L17" s="41"/>
      <c r="M17" s="41"/>
      <c r="N17" s="41"/>
      <c r="O17" s="166"/>
    </row>
    <row r="18" spans="1:15" x14ac:dyDescent="0.25">
      <c r="A18" s="302">
        <v>30</v>
      </c>
      <c r="B18" s="240" t="s">
        <v>80</v>
      </c>
      <c r="C18" s="264" t="s">
        <v>354</v>
      </c>
      <c r="D18" s="294">
        <v>0.65</v>
      </c>
      <c r="E18" s="240" t="s">
        <v>32</v>
      </c>
      <c r="F18" s="295">
        <v>1</v>
      </c>
      <c r="G18" s="295"/>
      <c r="H18" s="295"/>
      <c r="I18" s="263">
        <f t="shared" si="0"/>
        <v>0.65</v>
      </c>
      <c r="J18" s="41"/>
      <c r="K18" s="41"/>
      <c r="L18" s="41"/>
      <c r="M18" s="41"/>
      <c r="N18" s="41"/>
      <c r="O18" s="166"/>
    </row>
    <row r="19" spans="1:15" x14ac:dyDescent="0.25">
      <c r="A19" s="301">
        <v>40</v>
      </c>
      <c r="B19" s="300" t="s">
        <v>79</v>
      </c>
      <c r="C19" s="300" t="s">
        <v>353</v>
      </c>
      <c r="D19" s="294">
        <v>0.04</v>
      </c>
      <c r="E19" s="299" t="s">
        <v>81</v>
      </c>
      <c r="F19" s="298">
        <v>175.85</v>
      </c>
      <c r="G19" s="297" t="s">
        <v>82</v>
      </c>
      <c r="H19" s="296">
        <v>3</v>
      </c>
      <c r="I19" s="292">
        <f t="shared" si="0"/>
        <v>21.102</v>
      </c>
      <c r="J19" s="41"/>
      <c r="K19" s="41"/>
      <c r="L19" s="41"/>
      <c r="M19" s="41"/>
      <c r="N19" s="41"/>
      <c r="O19" s="166"/>
    </row>
    <row r="20" spans="1:15" x14ac:dyDescent="0.25">
      <c r="A20" s="236">
        <v>50</v>
      </c>
      <c r="B20" s="240" t="s">
        <v>80</v>
      </c>
      <c r="C20" s="264" t="s">
        <v>352</v>
      </c>
      <c r="D20" s="294">
        <v>0.65</v>
      </c>
      <c r="E20" s="240" t="s">
        <v>32</v>
      </c>
      <c r="F20" s="295">
        <v>1</v>
      </c>
      <c r="G20" s="186"/>
      <c r="H20" s="293"/>
      <c r="I20" s="292">
        <f t="shared" si="0"/>
        <v>0.65</v>
      </c>
      <c r="J20" s="41"/>
      <c r="K20" s="41"/>
      <c r="L20" s="41"/>
      <c r="M20" s="41"/>
      <c r="N20" s="41"/>
      <c r="O20" s="166"/>
    </row>
    <row r="21" spans="1:15" x14ac:dyDescent="0.25">
      <c r="A21" s="236">
        <v>60</v>
      </c>
      <c r="B21" s="264" t="s">
        <v>293</v>
      </c>
      <c r="C21" s="264" t="s">
        <v>351</v>
      </c>
      <c r="D21" s="294">
        <v>0.5</v>
      </c>
      <c r="E21" s="186" t="s">
        <v>46</v>
      </c>
      <c r="F21" s="232">
        <v>2.4700000000000002</v>
      </c>
      <c r="G21" s="186"/>
      <c r="H21" s="293"/>
      <c r="I21" s="292">
        <f t="shared" si="0"/>
        <v>1.2350000000000001</v>
      </c>
      <c r="J21" s="41"/>
      <c r="K21" s="41"/>
      <c r="L21" s="41"/>
      <c r="M21" s="41"/>
      <c r="N21" s="41"/>
      <c r="O21" s="166"/>
    </row>
    <row r="22" spans="1:15" x14ac:dyDescent="0.25">
      <c r="A22" s="169"/>
      <c r="B22" s="15"/>
      <c r="C22" s="15"/>
      <c r="D22" s="15"/>
      <c r="E22" s="15"/>
      <c r="F22" s="15"/>
      <c r="G22" s="15"/>
      <c r="H22" s="106" t="s">
        <v>18</v>
      </c>
      <c r="I22" s="291">
        <f>SUM(I16:I21)</f>
        <v>57.324999999999996</v>
      </c>
      <c r="J22" s="41"/>
      <c r="K22" s="41"/>
      <c r="L22" s="41"/>
      <c r="M22" s="41"/>
      <c r="N22" s="41"/>
      <c r="O22" s="166"/>
    </row>
    <row r="23" spans="1:15" x14ac:dyDescent="0.25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x14ac:dyDescent="0.25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</row>
    <row r="25" spans="1:15" x14ac:dyDescent="0.25">
      <c r="A25" s="173"/>
      <c r="B25" s="41"/>
      <c r="C25" s="41"/>
      <c r="D25" s="41"/>
      <c r="E25" s="41"/>
      <c r="F25" s="228"/>
      <c r="G25" s="41"/>
      <c r="H25" s="41"/>
      <c r="I25" s="41"/>
      <c r="J25" s="41"/>
      <c r="K25" s="41"/>
      <c r="L25" s="41"/>
      <c r="M25" s="41"/>
      <c r="N25" s="41"/>
      <c r="O25" s="166"/>
    </row>
    <row r="26" spans="1:15" x14ac:dyDescent="0.25">
      <c r="A26" s="173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66"/>
    </row>
    <row r="27" spans="1:15" x14ac:dyDescent="0.25">
      <c r="A27" s="173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166"/>
    </row>
    <row r="28" spans="1:15" x14ac:dyDescent="0.25">
      <c r="A28" s="173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166"/>
    </row>
    <row r="29" spans="1:15" ht="15.75" thickBot="1" x14ac:dyDescent="0.3">
      <c r="A29" s="165"/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3"/>
    </row>
    <row r="31" spans="1:15" x14ac:dyDescent="0.25">
      <c r="I31" s="290"/>
    </row>
    <row r="32" spans="1:15" x14ac:dyDescent="0.25">
      <c r="H32" s="108"/>
      <c r="J32" s="108"/>
    </row>
    <row r="33" spans="6:11" x14ac:dyDescent="0.25">
      <c r="K33" s="108"/>
    </row>
    <row r="34" spans="6:11" x14ac:dyDescent="0.25">
      <c r="F34" s="290"/>
      <c r="G34" s="108"/>
      <c r="H34" s="108"/>
      <c r="J34" s="289"/>
      <c r="K34" s="289"/>
    </row>
  </sheetData>
  <hyperlinks>
    <hyperlink ref="B4" location="EN_A1000!A1" display="Driveshaft" xr:uid="{00000000-0004-0000-3A00-000000000000}"/>
    <hyperlink ref="G2" location="EN_A1000_BOM" display="Back to BOM" xr:uid="{00000000-0004-0000-3A00-000001000000}"/>
  </hyperlinks>
  <pageMargins left="0.7" right="0.7" top="0.75" bottom="0.75" header="0.3" footer="0.3"/>
  <pageSetup paperSize="9" orientation="portrait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6" tint="0.39997558519241921"/>
  </sheetPr>
  <dimension ref="A1:O24"/>
  <sheetViews>
    <sheetView zoomScale="55" zoomScaleNormal="55"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53" bestFit="1" customWidth="1"/>
    <col min="7" max="7" width="14.5703125" bestFit="1" customWidth="1"/>
    <col min="9" max="9" width="20.140625" bestFit="1" customWidth="1"/>
    <col min="12" max="13" width="12" bestFit="1" customWidth="1"/>
  </cols>
  <sheetData>
    <row r="1" spans="1:15" x14ac:dyDescent="0.2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25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EN_1000_002_m+EN_1000_002_p</f>
        <v>72.275200595774251</v>
      </c>
      <c r="O2" s="166"/>
    </row>
    <row r="3" spans="1:15" x14ac:dyDescent="0.25">
      <c r="A3" s="262" t="s">
        <v>3</v>
      </c>
      <c r="B3" s="258" t="s">
        <v>279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166"/>
    </row>
    <row r="4" spans="1:15" x14ac:dyDescent="0.25">
      <c r="A4" s="346" t="s">
        <v>5</v>
      </c>
      <c r="B4" s="306" t="s">
        <v>350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25">
      <c r="A5" s="346" t="s">
        <v>15</v>
      </c>
      <c r="B5" s="307" t="s">
        <v>348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144.5504011915485</v>
      </c>
      <c r="O5" s="166"/>
    </row>
    <row r="6" spans="1:15" x14ac:dyDescent="0.25">
      <c r="A6" s="346" t="s">
        <v>7</v>
      </c>
      <c r="B6" s="260" t="s">
        <v>547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25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25">
      <c r="A8" s="257" t="s">
        <v>13</v>
      </c>
      <c r="B8" s="176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25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25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9" t="s">
        <v>23</v>
      </c>
      <c r="G10" s="469" t="s">
        <v>24</v>
      </c>
      <c r="H10" s="469" t="s">
        <v>25</v>
      </c>
      <c r="I10" s="469" t="s">
        <v>26</v>
      </c>
      <c r="J10" s="469" t="s">
        <v>27</v>
      </c>
      <c r="K10" s="469" t="s">
        <v>28</v>
      </c>
      <c r="L10" s="469" t="s">
        <v>29</v>
      </c>
      <c r="M10" s="469" t="s">
        <v>17</v>
      </c>
      <c r="N10" s="469" t="s">
        <v>18</v>
      </c>
      <c r="O10" s="166"/>
    </row>
    <row r="11" spans="1:15" x14ac:dyDescent="0.25">
      <c r="A11" s="254">
        <v>10</v>
      </c>
      <c r="B11" s="430" t="s">
        <v>359</v>
      </c>
      <c r="C11" s="215" t="s">
        <v>358</v>
      </c>
      <c r="D11" s="216">
        <v>2.25</v>
      </c>
      <c r="E11" s="225">
        <f>J11*K11*L11</f>
        <v>4.2790580425663371</v>
      </c>
      <c r="F11" s="215" t="s">
        <v>78</v>
      </c>
      <c r="G11" s="215"/>
      <c r="H11" s="223"/>
      <c r="I11" s="224" t="s">
        <v>357</v>
      </c>
      <c r="J11" s="224">
        <f>PI()*65.5*65.5/4/1000000</f>
        <v>3.3695544705159026E-3</v>
      </c>
      <c r="K11" s="220">
        <v>0.161773</v>
      </c>
      <c r="L11" s="219">
        <v>7850</v>
      </c>
      <c r="M11" s="219">
        <v>1</v>
      </c>
      <c r="N11" s="216">
        <f>D11*J11*K11*L11*M11</f>
        <v>9.6278805957742595</v>
      </c>
      <c r="O11" s="195"/>
    </row>
    <row r="12" spans="1:15" x14ac:dyDescent="0.25">
      <c r="A12" s="16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1" t="s">
        <v>18</v>
      </c>
      <c r="N12" s="103">
        <f>SUM(N11:N11)</f>
        <v>9.6278805957742595</v>
      </c>
      <c r="O12" s="166"/>
    </row>
    <row r="13" spans="1:15" x14ac:dyDescent="0.25">
      <c r="A13" s="17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6"/>
    </row>
    <row r="14" spans="1:15" x14ac:dyDescent="0.25">
      <c r="A14" s="346" t="s">
        <v>14</v>
      </c>
      <c r="B14" s="469" t="s">
        <v>31</v>
      </c>
      <c r="C14" s="469" t="s">
        <v>20</v>
      </c>
      <c r="D14" s="469" t="s">
        <v>21</v>
      </c>
      <c r="E14" s="469" t="s">
        <v>32</v>
      </c>
      <c r="F14" s="469" t="s">
        <v>17</v>
      </c>
      <c r="G14" s="469" t="s">
        <v>33</v>
      </c>
      <c r="H14" s="469" t="s">
        <v>34</v>
      </c>
      <c r="I14" s="469" t="s">
        <v>18</v>
      </c>
      <c r="J14" s="15"/>
      <c r="K14" s="15"/>
      <c r="L14" s="15"/>
      <c r="M14" s="15"/>
      <c r="N14" s="15"/>
      <c r="O14" s="166"/>
    </row>
    <row r="15" spans="1:15" ht="30" x14ac:dyDescent="0.25">
      <c r="A15" s="622">
        <v>10</v>
      </c>
      <c r="B15" s="409" t="s">
        <v>45</v>
      </c>
      <c r="C15" s="623" t="s">
        <v>356</v>
      </c>
      <c r="D15" s="624">
        <v>1.3</v>
      </c>
      <c r="E15" s="409" t="s">
        <v>32</v>
      </c>
      <c r="F15" s="625">
        <v>1</v>
      </c>
      <c r="G15" s="625"/>
      <c r="H15" s="625"/>
      <c r="I15" s="626">
        <f t="shared" ref="I15:I22" si="0">IF(H15="",D15*F15,D15*F15*H15)</f>
        <v>1.3</v>
      </c>
      <c r="J15" s="15"/>
      <c r="K15" s="15"/>
      <c r="L15" s="15"/>
      <c r="M15" s="15"/>
      <c r="N15" s="15"/>
      <c r="O15" s="166"/>
    </row>
    <row r="16" spans="1:15" ht="30" x14ac:dyDescent="0.25">
      <c r="A16" s="627">
        <v>20</v>
      </c>
      <c r="B16" s="623" t="s">
        <v>79</v>
      </c>
      <c r="C16" s="623" t="s">
        <v>355</v>
      </c>
      <c r="D16" s="624">
        <v>0.04</v>
      </c>
      <c r="E16" s="628" t="s">
        <v>81</v>
      </c>
      <c r="F16" s="629">
        <v>313.90100000000001</v>
      </c>
      <c r="G16" s="297" t="s">
        <v>82</v>
      </c>
      <c r="H16" s="630">
        <v>3</v>
      </c>
      <c r="I16" s="626">
        <f t="shared" si="0"/>
        <v>37.668120000000002</v>
      </c>
      <c r="J16" s="41"/>
      <c r="K16" s="41"/>
      <c r="L16" s="41"/>
      <c r="M16" s="41"/>
      <c r="N16" s="41"/>
      <c r="O16" s="166"/>
    </row>
    <row r="17" spans="1:15" x14ac:dyDescent="0.25">
      <c r="A17" s="622">
        <v>30</v>
      </c>
      <c r="B17" s="409" t="s">
        <v>80</v>
      </c>
      <c r="C17" s="623" t="s">
        <v>354</v>
      </c>
      <c r="D17" s="624">
        <v>0.65</v>
      </c>
      <c r="E17" s="409" t="s">
        <v>32</v>
      </c>
      <c r="F17" s="625">
        <v>1</v>
      </c>
      <c r="G17" s="625"/>
      <c r="H17" s="625"/>
      <c r="I17" s="626">
        <f t="shared" si="0"/>
        <v>0.65</v>
      </c>
      <c r="J17" s="41"/>
      <c r="K17" s="41"/>
      <c r="L17" s="41"/>
      <c r="M17" s="41"/>
      <c r="N17" s="41"/>
      <c r="O17" s="166"/>
    </row>
    <row r="18" spans="1:15" ht="30" x14ac:dyDescent="0.25">
      <c r="A18" s="301">
        <v>40</v>
      </c>
      <c r="B18" s="300" t="s">
        <v>79</v>
      </c>
      <c r="C18" s="300" t="s">
        <v>353</v>
      </c>
      <c r="D18" s="624">
        <v>0.04</v>
      </c>
      <c r="E18" s="631" t="s">
        <v>81</v>
      </c>
      <c r="F18" s="298">
        <v>161.94</v>
      </c>
      <c r="G18" s="297" t="s">
        <v>82</v>
      </c>
      <c r="H18" s="632">
        <v>3</v>
      </c>
      <c r="I18" s="292">
        <f t="shared" si="0"/>
        <v>19.4328</v>
      </c>
      <c r="J18" s="41"/>
      <c r="K18" s="41"/>
      <c r="L18" s="41"/>
      <c r="M18" s="41"/>
      <c r="N18" s="41"/>
      <c r="O18" s="166"/>
    </row>
    <row r="19" spans="1:15" x14ac:dyDescent="0.25">
      <c r="A19" s="627">
        <v>50</v>
      </c>
      <c r="B19" s="409" t="s">
        <v>80</v>
      </c>
      <c r="C19" s="623" t="s">
        <v>352</v>
      </c>
      <c r="D19" s="624">
        <v>0.65</v>
      </c>
      <c r="E19" s="409" t="s">
        <v>32</v>
      </c>
      <c r="F19" s="625">
        <v>1</v>
      </c>
      <c r="G19" s="633"/>
      <c r="H19" s="450"/>
      <c r="I19" s="292">
        <f t="shared" si="0"/>
        <v>0.65</v>
      </c>
      <c r="J19" s="41"/>
      <c r="K19" s="41"/>
      <c r="L19" s="41"/>
      <c r="M19" s="41"/>
      <c r="N19" s="41"/>
      <c r="O19" s="166"/>
    </row>
    <row r="20" spans="1:15" x14ac:dyDescent="0.25">
      <c r="A20" s="627">
        <v>60</v>
      </c>
      <c r="B20" s="623" t="s">
        <v>293</v>
      </c>
      <c r="C20" s="623" t="s">
        <v>351</v>
      </c>
      <c r="D20" s="624">
        <v>0.5</v>
      </c>
      <c r="E20" s="633" t="s">
        <v>46</v>
      </c>
      <c r="F20" s="629">
        <v>5.8928000000000003</v>
      </c>
      <c r="G20" s="633"/>
      <c r="H20" s="450"/>
      <c r="I20" s="292">
        <f t="shared" si="0"/>
        <v>2.9464000000000001</v>
      </c>
      <c r="J20" s="41"/>
      <c r="K20" s="41"/>
      <c r="L20" s="41"/>
      <c r="M20" s="41"/>
      <c r="N20" s="41"/>
      <c r="O20" s="166"/>
    </row>
    <row r="21" spans="1:15" ht="30" x14ac:dyDescent="0.25">
      <c r="A21" s="634">
        <v>70</v>
      </c>
      <c r="B21" s="623" t="s">
        <v>80</v>
      </c>
      <c r="C21" s="623" t="s">
        <v>362</v>
      </c>
      <c r="D21" s="635">
        <v>0.65</v>
      </c>
      <c r="E21" s="636" t="s">
        <v>32</v>
      </c>
      <c r="F21" s="637">
        <v>1</v>
      </c>
      <c r="G21" s="638"/>
      <c r="H21" s="638"/>
      <c r="I21" s="626">
        <f t="shared" si="0"/>
        <v>0.65</v>
      </c>
      <c r="J21" s="41"/>
      <c r="K21" s="41"/>
      <c r="L21" s="41"/>
      <c r="M21" s="41"/>
      <c r="N21" s="41"/>
      <c r="O21" s="166"/>
    </row>
    <row r="22" spans="1:15" x14ac:dyDescent="0.25">
      <c r="A22" s="301">
        <v>80</v>
      </c>
      <c r="B22" s="623" t="s">
        <v>361</v>
      </c>
      <c r="C22" s="623" t="s">
        <v>360</v>
      </c>
      <c r="D22" s="635">
        <v>0.1</v>
      </c>
      <c r="E22" s="636" t="s">
        <v>46</v>
      </c>
      <c r="F22" s="637">
        <v>1.8452999999999999</v>
      </c>
      <c r="G22" s="638"/>
      <c r="H22" s="638"/>
      <c r="I22" s="626">
        <f t="shared" si="0"/>
        <v>0.18453</v>
      </c>
      <c r="J22" s="41"/>
      <c r="K22" s="41"/>
      <c r="L22" s="228"/>
      <c r="M22" s="274"/>
      <c r="N22" s="41"/>
      <c r="O22" s="166"/>
    </row>
    <row r="23" spans="1:15" x14ac:dyDescent="0.25">
      <c r="A23" s="640"/>
      <c r="B23" s="15"/>
      <c r="C23" s="15"/>
      <c r="D23" s="15"/>
      <c r="E23" s="15"/>
      <c r="F23" s="15"/>
      <c r="G23" s="15"/>
      <c r="H23" s="106" t="s">
        <v>18</v>
      </c>
      <c r="I23" s="639">
        <f>SUM(I15:I20)</f>
        <v>62.647319999999993</v>
      </c>
      <c r="J23" s="41"/>
      <c r="K23" s="41"/>
      <c r="L23" s="41"/>
      <c r="M23" s="41"/>
      <c r="N23" s="41"/>
      <c r="O23" s="166"/>
    </row>
    <row r="24" spans="1:15" ht="15.75" thickBot="1" x14ac:dyDescent="0.3">
      <c r="A24" s="165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3"/>
    </row>
  </sheetData>
  <hyperlinks>
    <hyperlink ref="B4" location="EN_A1000!A1" display="Driveshaft" xr:uid="{00000000-0004-0000-3B00-000000000000}"/>
    <hyperlink ref="G2" location="EN_A1000_BOM" display="Back to BOM" xr:uid="{00000000-0004-0000-3B00-000001000000}"/>
  </hyperlinks>
  <pageMargins left="0.7" right="0.7" top="0.75" bottom="0.75" header="0.3" footer="0.3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6" tint="0.39997558519241921"/>
  </sheetPr>
  <dimension ref="A1:O30"/>
  <sheetViews>
    <sheetView zoomScale="70" zoomScaleNormal="70"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25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EN_1000_003_m+EN_1000_003_p</f>
        <v>16.43313830045987</v>
      </c>
      <c r="O2" s="166"/>
    </row>
    <row r="3" spans="1:15" x14ac:dyDescent="0.25">
      <c r="A3" s="262" t="s">
        <v>3</v>
      </c>
      <c r="B3" s="258" t="s">
        <v>279</v>
      </c>
      <c r="C3" s="41"/>
      <c r="D3" s="100" t="s">
        <v>6</v>
      </c>
      <c r="E3" s="68" t="s">
        <v>372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25">
      <c r="A4" s="241" t="s">
        <v>5</v>
      </c>
      <c r="B4" s="306" t="s">
        <v>350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25">
      <c r="A5" s="241" t="s">
        <v>15</v>
      </c>
      <c r="B5" s="307" t="s">
        <v>371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16.43313830045987</v>
      </c>
      <c r="O5" s="166"/>
    </row>
    <row r="6" spans="1:15" x14ac:dyDescent="0.25">
      <c r="A6" s="241" t="s">
        <v>7</v>
      </c>
      <c r="B6" s="260" t="s">
        <v>548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25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25">
      <c r="A8" s="257" t="s">
        <v>13</v>
      </c>
      <c r="B8" s="176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25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25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25">
      <c r="A11" s="254">
        <v>10</v>
      </c>
      <c r="B11" s="194" t="s">
        <v>359</v>
      </c>
      <c r="C11" s="215" t="s">
        <v>370</v>
      </c>
      <c r="D11" s="216">
        <v>2.25</v>
      </c>
      <c r="E11" s="225">
        <f>J11*K11*L11</f>
        <v>1.1472790446544314</v>
      </c>
      <c r="F11" s="215" t="s">
        <v>78</v>
      </c>
      <c r="G11" s="215"/>
      <c r="H11" s="223"/>
      <c r="I11" s="224" t="s">
        <v>369</v>
      </c>
      <c r="J11" s="224">
        <f>PI()*22.1*22.1/4/1000000</f>
        <v>3.8359631698494783E-4</v>
      </c>
      <c r="K11" s="220">
        <v>0.38100000000000001</v>
      </c>
      <c r="L11" s="219">
        <v>7850</v>
      </c>
      <c r="M11" s="219">
        <v>1</v>
      </c>
      <c r="N11" s="216">
        <f>D11*J11*K11*L11*M11</f>
        <v>2.58137785047247</v>
      </c>
      <c r="O11" s="195"/>
    </row>
    <row r="12" spans="1:15" x14ac:dyDescent="0.25">
      <c r="A12" s="16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8" t="s">
        <v>18</v>
      </c>
      <c r="N12" s="103">
        <f>SUM(N11:N11)</f>
        <v>2.58137785047247</v>
      </c>
      <c r="O12" s="166"/>
    </row>
    <row r="13" spans="1:15" x14ac:dyDescent="0.25">
      <c r="A13" s="17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6"/>
    </row>
    <row r="14" spans="1:15" x14ac:dyDescent="0.25">
      <c r="A14" s="241" t="s">
        <v>14</v>
      </c>
      <c r="B14" s="212" t="s">
        <v>31</v>
      </c>
      <c r="C14" s="212" t="s">
        <v>20</v>
      </c>
      <c r="D14" s="212" t="s">
        <v>21</v>
      </c>
      <c r="E14" s="212" t="s">
        <v>32</v>
      </c>
      <c r="F14" s="212" t="s">
        <v>17</v>
      </c>
      <c r="G14" s="212" t="s">
        <v>33</v>
      </c>
      <c r="H14" s="212" t="s">
        <v>34</v>
      </c>
      <c r="I14" s="212" t="s">
        <v>18</v>
      </c>
      <c r="J14" s="15"/>
      <c r="K14" s="15"/>
      <c r="L14" s="15"/>
      <c r="M14" s="15"/>
      <c r="N14" s="15"/>
      <c r="O14" s="166"/>
    </row>
    <row r="15" spans="1:15" ht="30" x14ac:dyDescent="0.25">
      <c r="A15" s="311">
        <v>10</v>
      </c>
      <c r="B15" s="264" t="s">
        <v>45</v>
      </c>
      <c r="C15" s="264" t="s">
        <v>368</v>
      </c>
      <c r="D15" s="310">
        <v>1.3</v>
      </c>
      <c r="E15" s="233" t="s">
        <v>32</v>
      </c>
      <c r="F15" s="309">
        <v>1</v>
      </c>
      <c r="G15" s="237"/>
      <c r="H15" s="237"/>
      <c r="I15" s="263">
        <f t="shared" ref="I15:I20" si="0">IF(H15="",D15*F15,D15*F15*H15)</f>
        <v>1.3</v>
      </c>
      <c r="J15" s="41"/>
      <c r="K15" s="41"/>
      <c r="L15" s="41"/>
      <c r="M15" s="41"/>
      <c r="N15" s="41"/>
      <c r="O15" s="166"/>
    </row>
    <row r="16" spans="1:15" ht="30" x14ac:dyDescent="0.25">
      <c r="A16" s="311">
        <v>20</v>
      </c>
      <c r="B16" s="264" t="s">
        <v>79</v>
      </c>
      <c r="C16" s="264" t="s">
        <v>367</v>
      </c>
      <c r="D16" s="310">
        <v>0.04</v>
      </c>
      <c r="E16" s="233" t="s">
        <v>81</v>
      </c>
      <c r="F16" s="313">
        <f>J11*0.009896*2*1000000</f>
        <v>7.5921383057660883</v>
      </c>
      <c r="G16" s="312" t="s">
        <v>365</v>
      </c>
      <c r="H16" s="308">
        <v>3</v>
      </c>
      <c r="I16" s="263">
        <f t="shared" si="0"/>
        <v>0.91105659669193062</v>
      </c>
      <c r="J16" s="41"/>
      <c r="K16" s="41"/>
      <c r="L16" s="41"/>
      <c r="M16" s="41"/>
      <c r="N16" s="41"/>
      <c r="O16" s="166"/>
    </row>
    <row r="17" spans="1:15" x14ac:dyDescent="0.25">
      <c r="A17" s="311">
        <v>30</v>
      </c>
      <c r="B17" s="264" t="s">
        <v>80</v>
      </c>
      <c r="C17" s="264" t="s">
        <v>364</v>
      </c>
      <c r="D17" s="310">
        <v>0.65</v>
      </c>
      <c r="E17" s="233" t="s">
        <v>32</v>
      </c>
      <c r="F17" s="309">
        <v>1</v>
      </c>
      <c r="G17" s="237"/>
      <c r="H17" s="237"/>
      <c r="I17" s="263">
        <f t="shared" si="0"/>
        <v>0.65</v>
      </c>
      <c r="J17" s="41"/>
      <c r="K17" s="41"/>
      <c r="L17" s="41"/>
      <c r="M17" s="41"/>
      <c r="N17" s="41"/>
      <c r="O17" s="166"/>
    </row>
    <row r="18" spans="1:15" ht="30" x14ac:dyDescent="0.25">
      <c r="A18" s="311">
        <v>40</v>
      </c>
      <c r="B18" s="264" t="s">
        <v>79</v>
      </c>
      <c r="C18" s="264" t="s">
        <v>366</v>
      </c>
      <c r="D18" s="310">
        <v>0.04</v>
      </c>
      <c r="E18" s="233" t="s">
        <v>81</v>
      </c>
      <c r="F18" s="313">
        <f>(K11-2*0.009896)*PI()*0.00635*0.00635*1000000</f>
        <v>45.756698777462248</v>
      </c>
      <c r="G18" s="312" t="s">
        <v>365</v>
      </c>
      <c r="H18" s="308">
        <v>3</v>
      </c>
      <c r="I18" s="263">
        <f t="shared" si="0"/>
        <v>5.4908038532954695</v>
      </c>
      <c r="J18" s="41"/>
      <c r="K18" s="41"/>
      <c r="L18" s="41"/>
      <c r="M18" s="41"/>
      <c r="N18" s="41"/>
      <c r="O18" s="166"/>
    </row>
    <row r="19" spans="1:15" x14ac:dyDescent="0.25">
      <c r="A19" s="311">
        <v>50</v>
      </c>
      <c r="B19" s="264" t="s">
        <v>80</v>
      </c>
      <c r="C19" s="264" t="s">
        <v>364</v>
      </c>
      <c r="D19" s="310">
        <v>0.65</v>
      </c>
      <c r="E19" s="233" t="s">
        <v>32</v>
      </c>
      <c r="F19" s="309">
        <v>1</v>
      </c>
      <c r="G19" s="237"/>
      <c r="H19" s="237"/>
      <c r="I19" s="263">
        <f t="shared" si="0"/>
        <v>0.65</v>
      </c>
      <c r="J19" s="41"/>
      <c r="K19" s="41"/>
      <c r="L19" s="41"/>
      <c r="M19" s="41"/>
      <c r="N19" s="41"/>
      <c r="O19" s="166"/>
    </row>
    <row r="20" spans="1:15" x14ac:dyDescent="0.25">
      <c r="A20" s="311">
        <v>60</v>
      </c>
      <c r="B20" s="264" t="s">
        <v>293</v>
      </c>
      <c r="C20" s="264" t="s">
        <v>363</v>
      </c>
      <c r="D20" s="310">
        <v>0.5</v>
      </c>
      <c r="E20" s="233" t="s">
        <v>46</v>
      </c>
      <c r="F20" s="309">
        <f>(58.395-9.896)*2/10</f>
        <v>9.6997999999999998</v>
      </c>
      <c r="G20" s="237"/>
      <c r="H20" s="237"/>
      <c r="I20" s="263">
        <f t="shared" si="0"/>
        <v>4.8498999999999999</v>
      </c>
      <c r="J20" s="41"/>
      <c r="K20" s="41"/>
      <c r="L20" s="41"/>
      <c r="M20" s="41"/>
      <c r="N20" s="41"/>
      <c r="O20" s="166"/>
    </row>
    <row r="21" spans="1:15" x14ac:dyDescent="0.25">
      <c r="A21" s="173"/>
      <c r="B21" s="15"/>
      <c r="C21" s="15"/>
      <c r="D21" s="15"/>
      <c r="E21" s="15"/>
      <c r="F21" s="15"/>
      <c r="G21" s="15"/>
      <c r="H21" s="106" t="s">
        <v>18</v>
      </c>
      <c r="I21" s="291">
        <f>SUM(I15:I20)</f>
        <v>13.851760449987401</v>
      </c>
      <c r="J21" s="41"/>
      <c r="K21" s="41"/>
      <c r="L21" s="41"/>
      <c r="M21" s="41"/>
      <c r="N21" s="41"/>
      <c r="O21" s="166"/>
    </row>
    <row r="22" spans="1:15" x14ac:dyDescent="0.25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25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ht="15.75" thickBot="1" x14ac:dyDescent="0.3">
      <c r="A24" s="165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3"/>
    </row>
    <row r="25" spans="1:15" x14ac:dyDescent="0.25">
      <c r="B25" s="41"/>
      <c r="C25" s="41"/>
      <c r="D25" s="41"/>
      <c r="E25" s="41"/>
      <c r="F25" s="41"/>
      <c r="G25" s="41"/>
      <c r="H25" s="41"/>
      <c r="I25" s="41"/>
    </row>
    <row r="26" spans="1:15" x14ac:dyDescent="0.25">
      <c r="B26" s="41"/>
      <c r="C26" s="41"/>
      <c r="D26" s="41"/>
      <c r="E26" s="41"/>
      <c r="F26" s="41"/>
      <c r="G26" s="41"/>
      <c r="H26" s="41"/>
      <c r="I26" s="41"/>
    </row>
    <row r="27" spans="1:15" x14ac:dyDescent="0.25">
      <c r="B27" s="41"/>
      <c r="C27" s="41"/>
      <c r="D27" s="41"/>
      <c r="E27" s="41"/>
      <c r="F27" s="41"/>
      <c r="G27" s="41"/>
      <c r="H27" s="41"/>
      <c r="I27" s="41"/>
    </row>
    <row r="28" spans="1:15" x14ac:dyDescent="0.25">
      <c r="B28" s="41"/>
      <c r="C28" s="41"/>
      <c r="D28" s="41"/>
      <c r="E28" s="41"/>
      <c r="F28" s="41"/>
      <c r="G28" s="41"/>
      <c r="H28" s="41"/>
      <c r="I28" s="41"/>
    </row>
    <row r="29" spans="1:15" x14ac:dyDescent="0.25">
      <c r="B29" s="41"/>
      <c r="C29" s="41"/>
      <c r="D29" s="41"/>
      <c r="E29" s="41"/>
      <c r="F29" s="41"/>
      <c r="G29" s="41"/>
      <c r="H29" s="41"/>
      <c r="I29" s="41"/>
    </row>
    <row r="30" spans="1:15" x14ac:dyDescent="0.25">
      <c r="B30" s="41"/>
      <c r="C30" s="41"/>
      <c r="D30" s="41"/>
      <c r="E30" s="41"/>
      <c r="F30" s="41"/>
      <c r="G30" s="41"/>
      <c r="H30" s="41"/>
      <c r="I30" s="41"/>
    </row>
  </sheetData>
  <hyperlinks>
    <hyperlink ref="B4" location="EN_A1000!A1" display="Driveshaft" xr:uid="{00000000-0004-0000-3C00-000000000000}"/>
    <hyperlink ref="E3" location="dEN_10003!A1" display="Drawing of the cut" xr:uid="{00000000-0004-0000-3C00-000001000000}"/>
    <hyperlink ref="G2" location="EN_A1000_BOM" display="Back to BOM" xr:uid="{00000000-0004-0000-3C00-000002000000}"/>
  </hyperlinks>
  <pageMargins left="0.7" right="0.7" top="0.75" bottom="0.75" header="0.3" footer="0.3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6" tint="0.39997558519241921"/>
  </sheetPr>
  <dimension ref="A1"/>
  <sheetViews>
    <sheetView workbookViewId="0"/>
  </sheetViews>
  <sheetFormatPr baseColWidth="10" defaultRowHeight="15" x14ac:dyDescent="0.25"/>
  <cols>
    <col min="1" max="1" width="13.5703125" customWidth="1"/>
  </cols>
  <sheetData>
    <row r="1" spans="1:1" x14ac:dyDescent="0.25">
      <c r="A1" s="285" t="str">
        <f>EN_1000_003</f>
        <v>EN 10003</v>
      </c>
    </row>
  </sheetData>
  <hyperlinks>
    <hyperlink ref="A1" location="EN_1000_003" display="EN_1000_003" xr:uid="{00000000-0004-0000-3D00-000000000000}"/>
  </hyperlinks>
  <pageMargins left="0.7" right="0.7" top="0.75" bottom="0.75" header="0.3" footer="0.3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6" tint="0.39997558519241921"/>
  </sheetPr>
  <dimension ref="A1:O32"/>
  <sheetViews>
    <sheetView zoomScale="55" zoomScaleNormal="55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25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EN_1000_004_m+EN_1000_004_p</f>
        <v>17.337133082722115</v>
      </c>
      <c r="O2" s="166"/>
    </row>
    <row r="3" spans="1:15" x14ac:dyDescent="0.25">
      <c r="A3" s="262" t="s">
        <v>3</v>
      </c>
      <c r="B3" s="258" t="s">
        <v>279</v>
      </c>
      <c r="C3" s="41"/>
      <c r="D3" s="100" t="s">
        <v>6</v>
      </c>
      <c r="E3" s="68" t="s">
        <v>372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25">
      <c r="A4" s="241" t="s">
        <v>5</v>
      </c>
      <c r="B4" s="306" t="s">
        <v>350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25">
      <c r="A5" s="241" t="s">
        <v>15</v>
      </c>
      <c r="B5" s="307" t="s">
        <v>373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17.337133082722115</v>
      </c>
      <c r="O5" s="166"/>
    </row>
    <row r="6" spans="1:15" x14ac:dyDescent="0.25">
      <c r="A6" s="241" t="s">
        <v>7</v>
      </c>
      <c r="B6" s="260" t="s">
        <v>549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25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25">
      <c r="A8" s="257" t="s">
        <v>13</v>
      </c>
      <c r="B8" s="176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25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25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25">
      <c r="A11" s="254">
        <v>10</v>
      </c>
      <c r="B11" s="194" t="s">
        <v>359</v>
      </c>
      <c r="C11" s="215" t="s">
        <v>370</v>
      </c>
      <c r="D11" s="216">
        <v>2.25</v>
      </c>
      <c r="E11" s="225">
        <f>J11*K11*L11</f>
        <v>1.3002495839416888</v>
      </c>
      <c r="F11" s="215" t="s">
        <v>78</v>
      </c>
      <c r="G11" s="215"/>
      <c r="H11" s="223"/>
      <c r="I11" s="224" t="s">
        <v>369</v>
      </c>
      <c r="J11" s="224">
        <f>PI()*22.1*22.1/4/1000000</f>
        <v>3.8359631698494783E-4</v>
      </c>
      <c r="K11" s="220">
        <v>0.43180000000000002</v>
      </c>
      <c r="L11" s="219">
        <v>7850</v>
      </c>
      <c r="M11" s="219">
        <v>1</v>
      </c>
      <c r="N11" s="216">
        <f>D11*J11*K11*L11*M11</f>
        <v>2.9255615638687997</v>
      </c>
      <c r="O11" s="195"/>
    </row>
    <row r="12" spans="1:15" x14ac:dyDescent="0.25">
      <c r="A12" s="16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8" t="s">
        <v>18</v>
      </c>
      <c r="N12" s="103">
        <f>SUM(N11:N11)</f>
        <v>2.9255615638687997</v>
      </c>
      <c r="O12" s="166"/>
    </row>
    <row r="13" spans="1:15" x14ac:dyDescent="0.25">
      <c r="A13" s="17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6"/>
    </row>
    <row r="14" spans="1:15" x14ac:dyDescent="0.25">
      <c r="A14" s="241" t="s">
        <v>14</v>
      </c>
      <c r="B14" s="212" t="s">
        <v>31</v>
      </c>
      <c r="C14" s="212" t="s">
        <v>20</v>
      </c>
      <c r="D14" s="212" t="s">
        <v>21</v>
      </c>
      <c r="E14" s="212" t="s">
        <v>32</v>
      </c>
      <c r="F14" s="212" t="s">
        <v>17</v>
      </c>
      <c r="G14" s="212" t="s">
        <v>33</v>
      </c>
      <c r="H14" s="212" t="s">
        <v>34</v>
      </c>
      <c r="I14" s="212" t="s">
        <v>18</v>
      </c>
      <c r="J14" s="15"/>
      <c r="K14" s="15"/>
      <c r="L14" s="15"/>
      <c r="M14" s="15"/>
      <c r="N14" s="15"/>
      <c r="O14" s="166"/>
    </row>
    <row r="15" spans="1:15" ht="30" x14ac:dyDescent="0.25">
      <c r="A15" s="311">
        <v>10</v>
      </c>
      <c r="B15" s="264" t="s">
        <v>45</v>
      </c>
      <c r="C15" s="264" t="s">
        <v>368</v>
      </c>
      <c r="D15" s="310">
        <v>1.3</v>
      </c>
      <c r="E15" s="233" t="s">
        <v>32</v>
      </c>
      <c r="F15" s="309">
        <v>1</v>
      </c>
      <c r="G15" s="237"/>
      <c r="H15" s="237"/>
      <c r="I15" s="263">
        <f t="shared" ref="I15:I20" si="0">IF(H15="",D15*F15,D15*F15*H15)</f>
        <v>1.3</v>
      </c>
      <c r="J15" s="41"/>
      <c r="K15" s="41"/>
      <c r="L15" s="41"/>
      <c r="M15" s="41"/>
      <c r="N15" s="41"/>
      <c r="O15" s="166"/>
    </row>
    <row r="16" spans="1:15" ht="30" x14ac:dyDescent="0.25">
      <c r="A16" s="311">
        <v>20</v>
      </c>
      <c r="B16" s="264" t="s">
        <v>79</v>
      </c>
      <c r="C16" s="264" t="s">
        <v>367</v>
      </c>
      <c r="D16" s="310">
        <v>0.04</v>
      </c>
      <c r="E16" s="233" t="s">
        <v>81</v>
      </c>
      <c r="F16" s="313">
        <f>J11*0.0155015*2*1000000</f>
        <v>11.892636615484337</v>
      </c>
      <c r="G16" s="312" t="s">
        <v>365</v>
      </c>
      <c r="H16" s="308">
        <v>3</v>
      </c>
      <c r="I16" s="263">
        <f t="shared" si="0"/>
        <v>1.4271163938581204</v>
      </c>
      <c r="J16" s="41"/>
      <c r="K16" s="41"/>
      <c r="L16" s="41"/>
      <c r="M16" s="41"/>
      <c r="N16" s="41"/>
      <c r="O16" s="166"/>
    </row>
    <row r="17" spans="1:15" x14ac:dyDescent="0.25">
      <c r="A17" s="311">
        <v>30</v>
      </c>
      <c r="B17" s="264" t="s">
        <v>80</v>
      </c>
      <c r="C17" s="264" t="s">
        <v>364</v>
      </c>
      <c r="D17" s="310">
        <v>0.65</v>
      </c>
      <c r="E17" s="233" t="s">
        <v>32</v>
      </c>
      <c r="F17" s="309">
        <v>1</v>
      </c>
      <c r="G17" s="237"/>
      <c r="H17" s="237"/>
      <c r="I17" s="263">
        <f t="shared" si="0"/>
        <v>0.65</v>
      </c>
      <c r="J17" s="41"/>
      <c r="K17" s="41"/>
      <c r="L17" s="41"/>
      <c r="M17" s="41"/>
      <c r="N17" s="41"/>
      <c r="O17" s="166"/>
    </row>
    <row r="18" spans="1:15" ht="30" x14ac:dyDescent="0.25">
      <c r="A18" s="311">
        <v>40</v>
      </c>
      <c r="B18" s="264" t="s">
        <v>79</v>
      </c>
      <c r="C18" s="264" t="s">
        <v>366</v>
      </c>
      <c r="D18" s="310">
        <v>0.04</v>
      </c>
      <c r="E18" s="233" t="s">
        <v>81</v>
      </c>
      <c r="F18" s="313">
        <f>(K11-2*0.0155015)*PI()*0.00635*0.00635*1000000</f>
        <v>50.771709374959947</v>
      </c>
      <c r="G18" s="312" t="s">
        <v>365</v>
      </c>
      <c r="H18" s="308">
        <v>3</v>
      </c>
      <c r="I18" s="263">
        <f t="shared" si="0"/>
        <v>6.0926051249951936</v>
      </c>
      <c r="J18" s="41"/>
      <c r="K18" s="41"/>
      <c r="L18" s="41"/>
      <c r="M18" s="41"/>
      <c r="N18" s="41"/>
      <c r="O18" s="166"/>
    </row>
    <row r="19" spans="1:15" x14ac:dyDescent="0.25">
      <c r="A19" s="311">
        <v>50</v>
      </c>
      <c r="B19" s="264" t="s">
        <v>80</v>
      </c>
      <c r="C19" s="264" t="s">
        <v>364</v>
      </c>
      <c r="D19" s="310">
        <v>0.65</v>
      </c>
      <c r="E19" s="233" t="s">
        <v>32</v>
      </c>
      <c r="F19" s="309">
        <v>1</v>
      </c>
      <c r="G19" s="237"/>
      <c r="H19" s="237"/>
      <c r="I19" s="263">
        <f t="shared" si="0"/>
        <v>0.65</v>
      </c>
      <c r="J19" s="41"/>
      <c r="K19" s="41"/>
      <c r="L19" s="41"/>
      <c r="M19" s="41"/>
      <c r="N19" s="41"/>
      <c r="O19" s="166"/>
    </row>
    <row r="20" spans="1:15" x14ac:dyDescent="0.25">
      <c r="A20" s="311">
        <v>60</v>
      </c>
      <c r="B20" s="264" t="s">
        <v>293</v>
      </c>
      <c r="C20" s="264" t="s">
        <v>363</v>
      </c>
      <c r="D20" s="310">
        <v>0.5</v>
      </c>
      <c r="E20" s="233" t="s">
        <v>46</v>
      </c>
      <c r="F20" s="309">
        <f>(58.42-15.5015)*2/10</f>
        <v>8.5837000000000003</v>
      </c>
      <c r="G20" s="237"/>
      <c r="H20" s="237"/>
      <c r="I20" s="263">
        <f t="shared" si="0"/>
        <v>4.2918500000000002</v>
      </c>
      <c r="J20" s="41"/>
      <c r="K20" s="41"/>
      <c r="L20" s="41"/>
      <c r="M20" s="41"/>
      <c r="N20" s="41"/>
      <c r="O20" s="166"/>
    </row>
    <row r="21" spans="1:15" x14ac:dyDescent="0.25">
      <c r="A21" s="173"/>
      <c r="B21" s="15"/>
      <c r="C21" s="15"/>
      <c r="D21" s="15"/>
      <c r="E21" s="15"/>
      <c r="F21" s="15"/>
      <c r="G21" s="15"/>
      <c r="H21" s="106" t="s">
        <v>18</v>
      </c>
      <c r="I21" s="291">
        <f>SUM(I15:I20)</f>
        <v>14.411571518853314</v>
      </c>
      <c r="J21" s="41"/>
      <c r="K21" s="41"/>
      <c r="L21" s="41"/>
      <c r="M21" s="41"/>
      <c r="N21" s="41"/>
      <c r="O21" s="166"/>
    </row>
    <row r="22" spans="1:15" x14ac:dyDescent="0.25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25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x14ac:dyDescent="0.25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</row>
    <row r="25" spans="1:15" x14ac:dyDescent="0.25">
      <c r="A25" s="173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6"/>
    </row>
    <row r="26" spans="1:15" ht="15.75" thickBot="1" x14ac:dyDescent="0.3">
      <c r="A26" s="165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3"/>
    </row>
    <row r="27" spans="1:15" x14ac:dyDescent="0.25">
      <c r="B27" s="41"/>
      <c r="C27" s="41"/>
      <c r="D27" s="41"/>
      <c r="E27" s="41"/>
      <c r="F27" s="41"/>
      <c r="G27" s="41"/>
      <c r="H27" s="41"/>
      <c r="I27" s="41"/>
    </row>
    <row r="28" spans="1:15" x14ac:dyDescent="0.25">
      <c r="B28" s="41"/>
      <c r="C28" s="41"/>
      <c r="D28" s="41"/>
      <c r="E28" s="41"/>
      <c r="F28" s="41"/>
      <c r="G28" s="41"/>
      <c r="H28" s="41"/>
      <c r="I28" s="41"/>
    </row>
    <row r="29" spans="1:15" x14ac:dyDescent="0.25">
      <c r="B29" s="41"/>
      <c r="C29" s="41"/>
      <c r="D29" s="41"/>
      <c r="E29" s="41"/>
      <c r="F29" s="41"/>
      <c r="G29" s="41"/>
      <c r="H29" s="41"/>
      <c r="I29" s="41"/>
    </row>
    <row r="30" spans="1:15" x14ac:dyDescent="0.25">
      <c r="A30" s="41"/>
      <c r="B30" s="41"/>
      <c r="C30" s="41"/>
      <c r="D30" s="41"/>
      <c r="E30" s="41"/>
      <c r="F30" s="41"/>
      <c r="G30" s="41"/>
      <c r="H30" s="41"/>
      <c r="I30" s="41"/>
    </row>
    <row r="31" spans="1:15" x14ac:dyDescent="0.25">
      <c r="A31" s="41"/>
      <c r="B31" s="41"/>
      <c r="C31" s="41"/>
      <c r="D31" s="41"/>
      <c r="E31" s="41"/>
      <c r="F31" s="41"/>
      <c r="G31" s="41"/>
      <c r="H31" s="41"/>
      <c r="I31" s="41"/>
    </row>
    <row r="32" spans="1:15" x14ac:dyDescent="0.25">
      <c r="A32" s="41"/>
      <c r="B32" s="41"/>
      <c r="C32" s="41"/>
      <c r="D32" s="41"/>
      <c r="E32" s="41"/>
      <c r="F32" s="41"/>
      <c r="G32" s="41"/>
      <c r="H32" s="41"/>
      <c r="I32" s="41"/>
    </row>
  </sheetData>
  <hyperlinks>
    <hyperlink ref="B4" location="EN_A1000!A1" display="Driveshaft" xr:uid="{00000000-0004-0000-3E00-000000000000}"/>
    <hyperlink ref="E3" location="dEN_10004!A1" display="Drawing of the cut" xr:uid="{00000000-0004-0000-3E00-000001000000}"/>
    <hyperlink ref="G2" location="EN_A1000_BOM" display="Back to BOM" xr:uid="{00000000-0004-0000-3E00-000002000000}"/>
  </hyperlinks>
  <pageMargins left="0.7" right="0.7" top="0.75" bottom="0.75" header="0.3" footer="0.3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9" t="s">
        <v>549</v>
      </c>
    </row>
  </sheetData>
  <hyperlinks>
    <hyperlink ref="A1" location="EN_1000_004" display="EN_1000_004" xr:uid="{00000000-0004-0000-3F00-000000000000}"/>
  </hyperlinks>
  <pageMargins left="0.7" right="0.7" top="0.75" bottom="0.75" header="0.3" footer="0.3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6" tint="-0.249977111117893"/>
  </sheetPr>
  <dimension ref="A1:O61"/>
  <sheetViews>
    <sheetView zoomScale="70" zoomScaleNormal="70" workbookViewId="0">
      <selection activeCell="B5" sqref="B5"/>
    </sheetView>
  </sheetViews>
  <sheetFormatPr baseColWidth="10" defaultRowHeight="15" x14ac:dyDescent="0.25"/>
  <cols>
    <col min="2" max="2" width="28.42578125" bestFit="1" customWidth="1"/>
    <col min="3" max="3" width="43.5703125" bestFit="1" customWidth="1"/>
  </cols>
  <sheetData>
    <row r="1" spans="1:15" x14ac:dyDescent="0.2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25">
      <c r="A2" s="172" t="s">
        <v>0</v>
      </c>
      <c r="B2" s="176" t="s">
        <v>44</v>
      </c>
      <c r="C2" s="41"/>
      <c r="D2" s="41"/>
      <c r="E2" s="68" t="s">
        <v>69</v>
      </c>
      <c r="F2" s="41"/>
      <c r="G2" s="41"/>
      <c r="H2" s="41"/>
      <c r="I2" s="41"/>
      <c r="J2" s="171" t="s">
        <v>1</v>
      </c>
      <c r="K2" s="65">
        <v>81</v>
      </c>
      <c r="L2" s="41"/>
      <c r="M2" s="171" t="s">
        <v>2</v>
      </c>
      <c r="N2" s="73">
        <f>EN_A1100_pa+EN_A1100_m+EN_A1100_p+EN_A1100_f+EN_A1100_t</f>
        <v>133.38135203617514</v>
      </c>
      <c r="O2" s="166"/>
    </row>
    <row r="3" spans="1:15" x14ac:dyDescent="0.25">
      <c r="A3" s="172" t="s">
        <v>3</v>
      </c>
      <c r="B3" s="176" t="s">
        <v>279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171" t="s">
        <v>4</v>
      </c>
      <c r="N3" s="64">
        <v>1</v>
      </c>
      <c r="O3" s="166"/>
    </row>
    <row r="4" spans="1:15" x14ac:dyDescent="0.25">
      <c r="A4" s="172" t="s">
        <v>5</v>
      </c>
      <c r="B4" s="176" t="s">
        <v>402</v>
      </c>
      <c r="C4" s="41"/>
      <c r="D4" s="41"/>
      <c r="E4" s="41"/>
      <c r="F4" s="41"/>
      <c r="G4" s="41"/>
      <c r="H4" s="41"/>
      <c r="I4" s="41"/>
      <c r="J4" s="202" t="s">
        <v>6</v>
      </c>
      <c r="K4" s="41"/>
      <c r="L4" s="41"/>
      <c r="M4" s="41"/>
      <c r="N4" s="41"/>
      <c r="O4" s="166"/>
    </row>
    <row r="5" spans="1:15" x14ac:dyDescent="0.25">
      <c r="A5" s="172" t="s">
        <v>7</v>
      </c>
      <c r="B5" s="203" t="s">
        <v>550</v>
      </c>
      <c r="C5" s="41"/>
      <c r="D5" s="41"/>
      <c r="E5" s="41"/>
      <c r="F5" s="41"/>
      <c r="G5" s="41"/>
      <c r="H5" s="41"/>
      <c r="I5" s="41"/>
      <c r="J5" s="202" t="s">
        <v>8</v>
      </c>
      <c r="K5" s="41"/>
      <c r="L5" s="41"/>
      <c r="M5" s="171" t="s">
        <v>9</v>
      </c>
      <c r="N5" s="58">
        <f>N2*N3</f>
        <v>133.38135203617514</v>
      </c>
      <c r="O5" s="166"/>
    </row>
    <row r="6" spans="1:15" x14ac:dyDescent="0.25">
      <c r="A6" s="172" t="s">
        <v>10</v>
      </c>
      <c r="B6" s="176" t="s">
        <v>11</v>
      </c>
      <c r="C6" s="41"/>
      <c r="D6" s="41"/>
      <c r="E6" s="41"/>
      <c r="F6" s="41"/>
      <c r="G6" s="41"/>
      <c r="H6" s="41"/>
      <c r="I6" s="41"/>
      <c r="J6" s="202" t="s">
        <v>12</v>
      </c>
      <c r="K6" s="41"/>
      <c r="L6" s="41"/>
      <c r="M6" s="41"/>
      <c r="N6" s="41"/>
      <c r="O6" s="166"/>
    </row>
    <row r="7" spans="1:15" x14ac:dyDescent="0.25">
      <c r="A7" s="172" t="s">
        <v>13</v>
      </c>
      <c r="B7" s="176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25">
      <c r="A8" s="173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25">
      <c r="A9" s="288" t="s">
        <v>14</v>
      </c>
      <c r="B9" s="287" t="s">
        <v>15</v>
      </c>
      <c r="C9" s="286" t="s">
        <v>16</v>
      </c>
      <c r="D9" s="171" t="s">
        <v>17</v>
      </c>
      <c r="E9" s="171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25">
      <c r="A10" s="284">
        <v>10</v>
      </c>
      <c r="B10" s="283" t="s">
        <v>401</v>
      </c>
      <c r="C10" s="282">
        <f>EN_11001!N$2</f>
        <v>24.754258243942196</v>
      </c>
      <c r="D10" s="180">
        <f>EN_1100_001_q</f>
        <v>1</v>
      </c>
      <c r="E10" s="281">
        <f t="shared" ref="E10:E15" si="0">C10*D10</f>
        <v>24.754258243942196</v>
      </c>
      <c r="F10" s="176"/>
      <c r="G10" s="176"/>
      <c r="H10" s="176"/>
      <c r="I10" s="176"/>
      <c r="J10" s="176"/>
      <c r="K10" s="176"/>
      <c r="L10" s="176"/>
      <c r="M10" s="176"/>
      <c r="N10" s="176"/>
      <c r="O10" s="166"/>
    </row>
    <row r="11" spans="1:15" x14ac:dyDescent="0.25">
      <c r="A11" s="284">
        <v>20</v>
      </c>
      <c r="B11" s="285" t="s">
        <v>400</v>
      </c>
      <c r="C11" s="282">
        <f>EN_11002!N$2</f>
        <v>41.802269960952131</v>
      </c>
      <c r="D11" s="180">
        <f>EN_1100_002_q</f>
        <v>1</v>
      </c>
      <c r="E11" s="281">
        <f t="shared" si="0"/>
        <v>41.802269960952131</v>
      </c>
      <c r="F11" s="176"/>
      <c r="G11" s="176"/>
      <c r="H11" s="176"/>
      <c r="I11" s="176"/>
      <c r="J11" s="176"/>
      <c r="K11" s="176"/>
      <c r="L11" s="176"/>
      <c r="M11" s="176"/>
      <c r="N11" s="176"/>
      <c r="O11" s="166"/>
    </row>
    <row r="12" spans="1:15" x14ac:dyDescent="0.25">
      <c r="A12" s="284">
        <v>30</v>
      </c>
      <c r="B12" s="283" t="s">
        <v>399</v>
      </c>
      <c r="C12" s="282">
        <f>EN_11003!N$2</f>
        <v>29.160865459581132</v>
      </c>
      <c r="D12" s="180">
        <f>EN_1100_003_q</f>
        <v>1</v>
      </c>
      <c r="E12" s="281">
        <f t="shared" si="0"/>
        <v>29.160865459581132</v>
      </c>
      <c r="F12" s="176"/>
      <c r="G12" s="176"/>
      <c r="H12" s="176"/>
      <c r="I12" s="176"/>
      <c r="J12" s="176"/>
      <c r="K12" s="176"/>
      <c r="L12" s="176"/>
      <c r="M12" s="176"/>
      <c r="N12" s="176"/>
      <c r="O12" s="195"/>
    </row>
    <row r="13" spans="1:15" x14ac:dyDescent="0.25">
      <c r="A13" s="284">
        <v>40</v>
      </c>
      <c r="B13" s="283" t="s">
        <v>398</v>
      </c>
      <c r="C13" s="282">
        <f>EN_11004!N$2</f>
        <v>9.0978820921659498</v>
      </c>
      <c r="D13" s="180">
        <f>EN_1100_004_q</f>
        <v>1</v>
      </c>
      <c r="E13" s="281">
        <f t="shared" si="0"/>
        <v>9.0978820921659498</v>
      </c>
      <c r="F13" s="176"/>
      <c r="G13" s="176"/>
      <c r="H13" s="176"/>
      <c r="I13" s="176"/>
      <c r="J13" s="176"/>
      <c r="K13" s="176"/>
      <c r="L13" s="176"/>
      <c r="M13" s="176"/>
      <c r="N13" s="176"/>
      <c r="O13" s="166"/>
    </row>
    <row r="14" spans="1:15" x14ac:dyDescent="0.25">
      <c r="A14" s="184">
        <v>50</v>
      </c>
      <c r="B14" s="283" t="s">
        <v>397</v>
      </c>
      <c r="C14" s="282">
        <f>EN_11005!N$2</f>
        <v>1.7144014375000001</v>
      </c>
      <c r="D14" s="180">
        <f>EN_1100_005_q</f>
        <v>1</v>
      </c>
      <c r="E14" s="281">
        <f t="shared" si="0"/>
        <v>1.7144014375000001</v>
      </c>
      <c r="F14" s="176"/>
      <c r="G14" s="176"/>
      <c r="H14" s="176"/>
      <c r="I14" s="176"/>
      <c r="J14" s="176"/>
      <c r="K14" s="176"/>
      <c r="L14" s="176"/>
      <c r="M14" s="176"/>
      <c r="N14" s="176"/>
      <c r="O14" s="166"/>
    </row>
    <row r="15" spans="1:15" x14ac:dyDescent="0.25">
      <c r="A15" s="184">
        <v>60</v>
      </c>
      <c r="B15" s="283" t="s">
        <v>396</v>
      </c>
      <c r="C15" s="282">
        <f>EN_11006!N$2</f>
        <v>1.7139456024999999</v>
      </c>
      <c r="D15" s="180">
        <f>EN_1100_006_q</f>
        <v>1</v>
      </c>
      <c r="E15" s="281">
        <f t="shared" si="0"/>
        <v>1.7139456024999999</v>
      </c>
      <c r="F15" s="176"/>
      <c r="G15" s="176"/>
      <c r="H15" s="176"/>
      <c r="I15" s="176"/>
      <c r="J15" s="176"/>
      <c r="K15" s="176"/>
      <c r="L15" s="176"/>
      <c r="M15" s="176"/>
      <c r="N15" s="176"/>
      <c r="O15" s="166"/>
    </row>
    <row r="16" spans="1:15" x14ac:dyDescent="0.25">
      <c r="A16" s="173"/>
      <c r="B16" s="41"/>
      <c r="C16" s="41"/>
      <c r="D16" s="168" t="s">
        <v>18</v>
      </c>
      <c r="E16" s="167">
        <f>SUM(E10:E15)</f>
        <v>108.24362279664142</v>
      </c>
      <c r="F16" s="42"/>
      <c r="G16" s="42"/>
      <c r="H16" s="42"/>
      <c r="I16" s="42"/>
      <c r="J16" s="42"/>
      <c r="K16" s="42"/>
      <c r="L16" s="42"/>
      <c r="M16" s="42"/>
      <c r="N16" s="42"/>
      <c r="O16" s="166"/>
    </row>
    <row r="17" spans="1:15" x14ac:dyDescent="0.25">
      <c r="A17" s="173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195"/>
    </row>
    <row r="18" spans="1:15" x14ac:dyDescent="0.25">
      <c r="A18" s="172" t="s">
        <v>14</v>
      </c>
      <c r="B18" s="171" t="s">
        <v>19</v>
      </c>
      <c r="C18" s="171" t="s">
        <v>20</v>
      </c>
      <c r="D18" s="171" t="s">
        <v>21</v>
      </c>
      <c r="E18" s="171" t="s">
        <v>22</v>
      </c>
      <c r="F18" s="171" t="s">
        <v>23</v>
      </c>
      <c r="G18" s="171" t="s">
        <v>24</v>
      </c>
      <c r="H18" s="171" t="s">
        <v>25</v>
      </c>
      <c r="I18" s="171" t="s">
        <v>26</v>
      </c>
      <c r="J18" s="171" t="s">
        <v>27</v>
      </c>
      <c r="K18" s="171" t="s">
        <v>28</v>
      </c>
      <c r="L18" s="171" t="s">
        <v>29</v>
      </c>
      <c r="M18" s="171" t="s">
        <v>17</v>
      </c>
      <c r="N18" s="171" t="s">
        <v>18</v>
      </c>
      <c r="O18" s="195"/>
    </row>
    <row r="19" spans="1:15" x14ac:dyDescent="0.25">
      <c r="A19" s="184">
        <v>10</v>
      </c>
      <c r="B19" s="181" t="s">
        <v>395</v>
      </c>
      <c r="C19" s="181"/>
      <c r="D19" s="275">
        <v>0.05</v>
      </c>
      <c r="E19" s="181">
        <v>20</v>
      </c>
      <c r="F19" s="181" t="s">
        <v>30</v>
      </c>
      <c r="G19" s="181"/>
      <c r="H19" s="191"/>
      <c r="I19" s="196"/>
      <c r="J19" s="192"/>
      <c r="K19" s="191"/>
      <c r="L19" s="191"/>
      <c r="M19" s="192">
        <v>1</v>
      </c>
      <c r="N19" s="280">
        <f>IF(J19="",D19*M19*E19,D19*J19*K19*L19*M19)</f>
        <v>1</v>
      </c>
      <c r="O19" s="185"/>
    </row>
    <row r="20" spans="1:15" x14ac:dyDescent="0.25">
      <c r="A20" s="184">
        <v>20</v>
      </c>
      <c r="B20" s="181" t="s">
        <v>264</v>
      </c>
      <c r="C20" s="181" t="s">
        <v>394</v>
      </c>
      <c r="D20" s="275">
        <v>10</v>
      </c>
      <c r="E20" s="181">
        <f>0.001*2+0.116</f>
        <v>0.11800000000000001</v>
      </c>
      <c r="F20" s="181" t="s">
        <v>89</v>
      </c>
      <c r="G20" s="181"/>
      <c r="H20" s="191"/>
      <c r="I20" s="196"/>
      <c r="J20" s="192"/>
      <c r="K20" s="191"/>
      <c r="L20" s="191"/>
      <c r="M20" s="192">
        <v>1</v>
      </c>
      <c r="N20" s="280">
        <f>IF(J20="",D20*M20*E20,D20*J20*K20*L20*M20)</f>
        <v>1.1800000000000002</v>
      </c>
      <c r="O20" s="166"/>
    </row>
    <row r="21" spans="1:15" x14ac:dyDescent="0.25">
      <c r="A21" s="169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71" t="s">
        <v>18</v>
      </c>
      <c r="N21" s="174">
        <f>SUM(N19:N20)</f>
        <v>2.1800000000000002</v>
      </c>
      <c r="O21" s="166"/>
    </row>
    <row r="22" spans="1:15" x14ac:dyDescent="0.25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25">
      <c r="A23" s="172" t="s">
        <v>14</v>
      </c>
      <c r="B23" s="171" t="s">
        <v>31</v>
      </c>
      <c r="C23" s="171" t="s">
        <v>20</v>
      </c>
      <c r="D23" s="171" t="s">
        <v>21</v>
      </c>
      <c r="E23" s="171" t="s">
        <v>32</v>
      </c>
      <c r="F23" s="171" t="s">
        <v>17</v>
      </c>
      <c r="G23" s="171" t="s">
        <v>33</v>
      </c>
      <c r="H23" s="171" t="s">
        <v>34</v>
      </c>
      <c r="I23" s="171" t="s">
        <v>18</v>
      </c>
      <c r="J23" s="15"/>
      <c r="K23" s="15"/>
      <c r="L23" s="15"/>
      <c r="M23" s="15"/>
      <c r="N23" s="15"/>
      <c r="O23" s="166"/>
    </row>
    <row r="24" spans="1:15" x14ac:dyDescent="0.25">
      <c r="A24" s="311">
        <v>10</v>
      </c>
      <c r="B24" s="264" t="s">
        <v>72</v>
      </c>
      <c r="C24" s="264" t="s">
        <v>393</v>
      </c>
      <c r="D24" s="310">
        <v>0.15</v>
      </c>
      <c r="E24" s="233" t="s">
        <v>46</v>
      </c>
      <c r="F24" s="323">
        <v>2</v>
      </c>
      <c r="G24" s="231"/>
      <c r="H24" s="231"/>
      <c r="I24" s="316">
        <f t="shared" ref="I24:I41" si="1">IF(H24="",D24*F24,D24*F24*H24)</f>
        <v>0.3</v>
      </c>
      <c r="J24" s="176"/>
      <c r="K24" s="176"/>
      <c r="L24" s="176"/>
      <c r="M24" s="41"/>
      <c r="N24" s="41"/>
      <c r="O24" s="166"/>
    </row>
    <row r="25" spans="1:15" x14ac:dyDescent="0.25">
      <c r="A25" s="311">
        <v>20</v>
      </c>
      <c r="B25" s="264" t="s">
        <v>258</v>
      </c>
      <c r="C25" s="181" t="s">
        <v>392</v>
      </c>
      <c r="D25" s="310">
        <v>5.25</v>
      </c>
      <c r="E25" s="233" t="s">
        <v>89</v>
      </c>
      <c r="F25" s="181">
        <f>0.001*2+0.116</f>
        <v>0.11800000000000001</v>
      </c>
      <c r="G25" s="231"/>
      <c r="H25" s="231"/>
      <c r="I25" s="316">
        <f t="shared" si="1"/>
        <v>0.61950000000000005</v>
      </c>
      <c r="J25" s="176"/>
      <c r="K25" s="176"/>
      <c r="L25" s="176"/>
      <c r="M25" s="41"/>
      <c r="N25" s="41"/>
      <c r="O25" s="166"/>
    </row>
    <row r="26" spans="1:15" ht="30" x14ac:dyDescent="0.25">
      <c r="A26" s="311">
        <v>30</v>
      </c>
      <c r="B26" s="264" t="s">
        <v>252</v>
      </c>
      <c r="C26" s="264" t="s">
        <v>391</v>
      </c>
      <c r="D26" s="310">
        <v>0.19</v>
      </c>
      <c r="E26" s="233" t="s">
        <v>32</v>
      </c>
      <c r="F26" s="323">
        <v>1</v>
      </c>
      <c r="G26" s="236"/>
      <c r="H26" s="236"/>
      <c r="I26" s="316">
        <f t="shared" si="1"/>
        <v>0.19</v>
      </c>
      <c r="J26" s="176"/>
      <c r="K26" s="176"/>
      <c r="L26" s="176"/>
      <c r="M26" s="41"/>
      <c r="N26" s="41"/>
      <c r="O26" s="166"/>
    </row>
    <row r="27" spans="1:15" ht="30" x14ac:dyDescent="0.25">
      <c r="A27" s="311">
        <v>40</v>
      </c>
      <c r="B27" s="264" t="s">
        <v>252</v>
      </c>
      <c r="C27" s="264" t="s">
        <v>390</v>
      </c>
      <c r="D27" s="310">
        <v>0.19</v>
      </c>
      <c r="E27" s="233" t="s">
        <v>32</v>
      </c>
      <c r="F27" s="323">
        <v>6</v>
      </c>
      <c r="G27" s="236"/>
      <c r="H27" s="236"/>
      <c r="I27" s="316">
        <f t="shared" si="1"/>
        <v>1.1400000000000001</v>
      </c>
      <c r="J27" s="176"/>
      <c r="K27" s="176"/>
      <c r="L27" s="176"/>
      <c r="M27" s="41"/>
      <c r="N27" s="41"/>
      <c r="O27" s="166"/>
    </row>
    <row r="28" spans="1:15" x14ac:dyDescent="0.25">
      <c r="A28" s="311">
        <v>50</v>
      </c>
      <c r="B28" s="264" t="s">
        <v>88</v>
      </c>
      <c r="C28" s="264" t="s">
        <v>389</v>
      </c>
      <c r="D28" s="310">
        <v>0.13</v>
      </c>
      <c r="E28" s="233" t="s">
        <v>32</v>
      </c>
      <c r="F28" s="323">
        <v>1</v>
      </c>
      <c r="G28" s="236"/>
      <c r="H28" s="236"/>
      <c r="I28" s="316">
        <f t="shared" si="1"/>
        <v>0.13</v>
      </c>
      <c r="J28" s="176"/>
      <c r="K28" s="176"/>
      <c r="L28" s="176"/>
      <c r="M28" s="41"/>
      <c r="N28" s="41"/>
      <c r="O28" s="166"/>
    </row>
    <row r="29" spans="1:15" x14ac:dyDescent="0.25">
      <c r="A29" s="311">
        <v>60</v>
      </c>
      <c r="B29" s="264" t="s">
        <v>73</v>
      </c>
      <c r="C29" s="264" t="s">
        <v>381</v>
      </c>
      <c r="D29" s="310">
        <v>0.06</v>
      </c>
      <c r="E29" s="233" t="s">
        <v>32</v>
      </c>
      <c r="F29" s="323">
        <v>15</v>
      </c>
      <c r="G29" s="236"/>
      <c r="H29" s="236"/>
      <c r="I29" s="316">
        <f t="shared" si="1"/>
        <v>0.89999999999999991</v>
      </c>
      <c r="J29" s="176"/>
      <c r="K29" s="176"/>
      <c r="L29" s="176"/>
      <c r="M29" s="41"/>
      <c r="N29" s="41"/>
      <c r="O29" s="166"/>
    </row>
    <row r="30" spans="1:15" x14ac:dyDescent="0.25">
      <c r="A30" s="311">
        <v>70</v>
      </c>
      <c r="B30" s="264" t="s">
        <v>286</v>
      </c>
      <c r="C30" s="264" t="s">
        <v>388</v>
      </c>
      <c r="D30" s="310">
        <v>0.75</v>
      </c>
      <c r="E30" s="233" t="s">
        <v>32</v>
      </c>
      <c r="F30" s="323">
        <v>6</v>
      </c>
      <c r="G30" s="236"/>
      <c r="H30" s="236"/>
      <c r="I30" s="316">
        <f t="shared" si="1"/>
        <v>4.5</v>
      </c>
      <c r="J30" s="176"/>
      <c r="K30" s="176"/>
      <c r="L30" s="176"/>
      <c r="M30" s="41"/>
      <c r="N30" s="41"/>
      <c r="O30" s="166"/>
    </row>
    <row r="31" spans="1:15" x14ac:dyDescent="0.25">
      <c r="A31" s="311">
        <v>80</v>
      </c>
      <c r="B31" s="264" t="s">
        <v>380</v>
      </c>
      <c r="C31" s="264" t="s">
        <v>388</v>
      </c>
      <c r="D31" s="310">
        <v>0.25</v>
      </c>
      <c r="E31" s="233" t="s">
        <v>32</v>
      </c>
      <c r="F31" s="323">
        <v>6</v>
      </c>
      <c r="G31" s="236"/>
      <c r="H31" s="236"/>
      <c r="I31" s="316">
        <f t="shared" si="1"/>
        <v>1.5</v>
      </c>
      <c r="J31" s="176"/>
      <c r="K31" s="176"/>
      <c r="L31" s="176"/>
      <c r="M31" s="41"/>
      <c r="N31" s="41"/>
      <c r="O31" s="166"/>
    </row>
    <row r="32" spans="1:15" x14ac:dyDescent="0.25">
      <c r="A32" s="311">
        <v>90</v>
      </c>
      <c r="B32" s="264" t="s">
        <v>252</v>
      </c>
      <c r="C32" s="264" t="s">
        <v>387</v>
      </c>
      <c r="D32" s="310">
        <v>0.19</v>
      </c>
      <c r="E32" s="233" t="s">
        <v>32</v>
      </c>
      <c r="F32" s="323">
        <v>1</v>
      </c>
      <c r="G32" s="236"/>
      <c r="H32" s="236"/>
      <c r="I32" s="316">
        <f t="shared" si="1"/>
        <v>0.19</v>
      </c>
      <c r="J32" s="176"/>
      <c r="K32" s="176"/>
      <c r="L32" s="176"/>
      <c r="M32" s="41"/>
      <c r="N32" s="41"/>
      <c r="O32" s="166"/>
    </row>
    <row r="33" spans="1:15" x14ac:dyDescent="0.25">
      <c r="A33" s="311">
        <v>100</v>
      </c>
      <c r="B33" s="264" t="s">
        <v>286</v>
      </c>
      <c r="C33" s="264" t="s">
        <v>386</v>
      </c>
      <c r="D33" s="310">
        <v>0.75</v>
      </c>
      <c r="E33" s="233" t="s">
        <v>32</v>
      </c>
      <c r="F33" s="323">
        <v>1</v>
      </c>
      <c r="G33" s="236"/>
      <c r="H33" s="236"/>
      <c r="I33" s="316">
        <f t="shared" si="1"/>
        <v>0.75</v>
      </c>
      <c r="J33" s="177"/>
      <c r="K33" s="177"/>
      <c r="L33" s="177"/>
      <c r="M33" s="41"/>
      <c r="N33" s="41"/>
      <c r="O33" s="166"/>
    </row>
    <row r="34" spans="1:15" x14ac:dyDescent="0.25">
      <c r="A34" s="311">
        <v>110</v>
      </c>
      <c r="B34" s="264" t="s">
        <v>88</v>
      </c>
      <c r="C34" s="264" t="s">
        <v>385</v>
      </c>
      <c r="D34" s="310">
        <v>0.13</v>
      </c>
      <c r="E34" s="233" t="s">
        <v>32</v>
      </c>
      <c r="F34" s="323">
        <v>1</v>
      </c>
      <c r="G34" s="236"/>
      <c r="H34" s="236"/>
      <c r="I34" s="316">
        <f t="shared" si="1"/>
        <v>0.13</v>
      </c>
      <c r="J34" s="176"/>
      <c r="K34" s="176"/>
      <c r="L34" s="176"/>
      <c r="M34" s="41"/>
      <c r="N34" s="41"/>
      <c r="O34" s="166"/>
    </row>
    <row r="35" spans="1:15" x14ac:dyDescent="0.25">
      <c r="A35" s="311">
        <v>120</v>
      </c>
      <c r="B35" s="264" t="s">
        <v>384</v>
      </c>
      <c r="C35" s="264" t="s">
        <v>383</v>
      </c>
      <c r="D35" s="310">
        <v>5</v>
      </c>
      <c r="E35" s="233" t="s">
        <v>32</v>
      </c>
      <c r="F35" s="323">
        <v>1</v>
      </c>
      <c r="G35" s="236"/>
      <c r="H35" s="236"/>
      <c r="I35" s="316">
        <f t="shared" si="1"/>
        <v>5</v>
      </c>
      <c r="J35" s="177"/>
      <c r="K35" s="177"/>
      <c r="L35" s="177"/>
      <c r="M35" s="41"/>
      <c r="N35" s="41"/>
      <c r="O35" s="166"/>
    </row>
    <row r="36" spans="1:15" x14ac:dyDescent="0.25">
      <c r="A36" s="311">
        <v>130</v>
      </c>
      <c r="B36" s="264" t="s">
        <v>73</v>
      </c>
      <c r="C36" s="264" t="s">
        <v>381</v>
      </c>
      <c r="D36" s="310">
        <v>0.06</v>
      </c>
      <c r="E36" s="233" t="s">
        <v>32</v>
      </c>
      <c r="F36" s="323">
        <v>3</v>
      </c>
      <c r="G36" s="236"/>
      <c r="H36" s="236"/>
      <c r="I36" s="316">
        <f t="shared" si="1"/>
        <v>0.18</v>
      </c>
      <c r="J36" s="176"/>
      <c r="K36" s="176"/>
      <c r="L36" s="176"/>
      <c r="M36" s="41"/>
      <c r="N36" s="41"/>
      <c r="O36" s="166"/>
    </row>
    <row r="37" spans="1:15" x14ac:dyDescent="0.25">
      <c r="A37" s="311">
        <v>140</v>
      </c>
      <c r="B37" s="264" t="s">
        <v>286</v>
      </c>
      <c r="C37" s="264" t="s">
        <v>382</v>
      </c>
      <c r="D37" s="310">
        <v>0.75</v>
      </c>
      <c r="E37" s="233" t="s">
        <v>32</v>
      </c>
      <c r="F37" s="323">
        <v>1</v>
      </c>
      <c r="G37" s="236"/>
      <c r="H37" s="236"/>
      <c r="I37" s="316">
        <f t="shared" si="1"/>
        <v>0.75</v>
      </c>
      <c r="J37" s="176"/>
      <c r="K37" s="176"/>
      <c r="L37" s="176"/>
      <c r="M37" s="41"/>
      <c r="N37" s="41"/>
      <c r="O37" s="166"/>
    </row>
    <row r="38" spans="1:15" x14ac:dyDescent="0.25">
      <c r="A38" s="311">
        <v>150</v>
      </c>
      <c r="B38" s="264" t="s">
        <v>380</v>
      </c>
      <c r="C38" s="264" t="s">
        <v>382</v>
      </c>
      <c r="D38" s="310">
        <v>0.25</v>
      </c>
      <c r="E38" s="233" t="s">
        <v>32</v>
      </c>
      <c r="F38" s="323">
        <v>1</v>
      </c>
      <c r="G38" s="236"/>
      <c r="H38" s="236"/>
      <c r="I38" s="316">
        <f t="shared" si="1"/>
        <v>0.25</v>
      </c>
      <c r="J38" s="176"/>
      <c r="K38" s="176"/>
      <c r="L38" s="176"/>
      <c r="M38" s="41"/>
      <c r="N38" s="41"/>
      <c r="O38" s="166"/>
    </row>
    <row r="39" spans="1:15" x14ac:dyDescent="0.25">
      <c r="A39" s="311">
        <v>160</v>
      </c>
      <c r="B39" s="264" t="s">
        <v>73</v>
      </c>
      <c r="C39" s="264" t="s">
        <v>381</v>
      </c>
      <c r="D39" s="310">
        <v>0.06</v>
      </c>
      <c r="E39" s="233" t="s">
        <v>32</v>
      </c>
      <c r="F39" s="323">
        <v>3</v>
      </c>
      <c r="G39" s="236"/>
      <c r="H39" s="236"/>
      <c r="I39" s="316">
        <f t="shared" si="1"/>
        <v>0.18</v>
      </c>
      <c r="J39" s="176"/>
      <c r="K39" s="176"/>
      <c r="L39" s="176"/>
      <c r="M39" s="41"/>
      <c r="N39" s="41"/>
      <c r="O39" s="166"/>
    </row>
    <row r="40" spans="1:15" x14ac:dyDescent="0.25">
      <c r="A40" s="311">
        <v>170</v>
      </c>
      <c r="B40" s="264" t="s">
        <v>286</v>
      </c>
      <c r="C40" s="264" t="s">
        <v>379</v>
      </c>
      <c r="D40" s="310">
        <v>0.75</v>
      </c>
      <c r="E40" s="233" t="s">
        <v>32</v>
      </c>
      <c r="F40" s="323">
        <v>1</v>
      </c>
      <c r="G40" s="236"/>
      <c r="H40" s="236"/>
      <c r="I40" s="316">
        <f t="shared" si="1"/>
        <v>0.75</v>
      </c>
      <c r="J40" s="176"/>
      <c r="K40" s="176"/>
      <c r="L40" s="176"/>
      <c r="M40" s="41"/>
      <c r="N40" s="41"/>
      <c r="O40" s="166"/>
    </row>
    <row r="41" spans="1:15" x14ac:dyDescent="0.25">
      <c r="A41" s="311">
        <v>180</v>
      </c>
      <c r="B41" s="264" t="s">
        <v>380</v>
      </c>
      <c r="C41" s="264" t="s">
        <v>379</v>
      </c>
      <c r="D41" s="310">
        <v>0.25</v>
      </c>
      <c r="E41" s="233" t="s">
        <v>32</v>
      </c>
      <c r="F41" s="323">
        <v>1</v>
      </c>
      <c r="G41" s="236"/>
      <c r="H41" s="236"/>
      <c r="I41" s="316">
        <f t="shared" si="1"/>
        <v>0.25</v>
      </c>
      <c r="J41" s="176"/>
      <c r="K41" s="176"/>
      <c r="L41" s="176"/>
      <c r="M41" s="41"/>
      <c r="N41" s="41"/>
      <c r="O41" s="166"/>
    </row>
    <row r="42" spans="1:15" x14ac:dyDescent="0.25">
      <c r="A42" s="169"/>
      <c r="B42" s="15"/>
      <c r="C42" s="15"/>
      <c r="D42" s="15"/>
      <c r="E42" s="15"/>
      <c r="F42" s="15"/>
      <c r="G42" s="15"/>
      <c r="H42" s="175" t="s">
        <v>18</v>
      </c>
      <c r="I42" s="174">
        <f>SUM(I24:I41)</f>
        <v>17.709499999999998</v>
      </c>
      <c r="J42" s="41"/>
      <c r="K42" s="41"/>
      <c r="L42" s="41"/>
      <c r="M42" s="41"/>
      <c r="N42" s="41"/>
      <c r="O42" s="166"/>
    </row>
    <row r="43" spans="1:15" x14ac:dyDescent="0.25">
      <c r="A43" s="173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166"/>
    </row>
    <row r="44" spans="1:15" x14ac:dyDescent="0.25">
      <c r="A44" s="172" t="s">
        <v>14</v>
      </c>
      <c r="B44" s="171" t="s">
        <v>36</v>
      </c>
      <c r="C44" s="171" t="s">
        <v>20</v>
      </c>
      <c r="D44" s="171" t="s">
        <v>21</v>
      </c>
      <c r="E44" s="171" t="s">
        <v>22</v>
      </c>
      <c r="F44" s="171" t="s">
        <v>23</v>
      </c>
      <c r="G44" s="171" t="s">
        <v>24</v>
      </c>
      <c r="H44" s="171" t="s">
        <v>25</v>
      </c>
      <c r="I44" s="171" t="s">
        <v>17</v>
      </c>
      <c r="J44" s="171" t="s">
        <v>18</v>
      </c>
      <c r="K44" s="41"/>
      <c r="L44" s="41"/>
      <c r="M44" s="41"/>
      <c r="N44" s="41"/>
      <c r="O44" s="166"/>
    </row>
    <row r="45" spans="1:15" x14ac:dyDescent="0.25">
      <c r="A45" s="184">
        <v>10</v>
      </c>
      <c r="B45" s="181" t="s">
        <v>239</v>
      </c>
      <c r="C45" s="181" t="s">
        <v>378</v>
      </c>
      <c r="D45" s="320">
        <f>0.8/105154*E45*E45*G45*SQRT(G45)+(0.003*EXP(0.319*E45))</f>
        <v>0.19787566120335398</v>
      </c>
      <c r="E45" s="309">
        <v>10</v>
      </c>
      <c r="F45" s="319" t="s">
        <v>30</v>
      </c>
      <c r="G45" s="309">
        <v>30</v>
      </c>
      <c r="H45" s="318" t="s">
        <v>30</v>
      </c>
      <c r="I45" s="317">
        <v>6</v>
      </c>
      <c r="J45" s="316">
        <f t="shared" ref="J45:J55" si="2">I45*D45</f>
        <v>1.1872539672201239</v>
      </c>
      <c r="K45" s="41"/>
      <c r="L45" s="41"/>
      <c r="M45" s="41"/>
      <c r="N45" s="41"/>
      <c r="O45" s="166"/>
    </row>
    <row r="46" spans="1:15" x14ac:dyDescent="0.25">
      <c r="A46" s="184">
        <v>20</v>
      </c>
      <c r="B46" s="181" t="s">
        <v>238</v>
      </c>
      <c r="C46" s="181" t="s">
        <v>378</v>
      </c>
      <c r="D46" s="320">
        <f>0.009*EXP(0.2*E46)</f>
        <v>6.6501504890375845E-2</v>
      </c>
      <c r="E46" s="309">
        <v>10</v>
      </c>
      <c r="F46" s="319" t="s">
        <v>30</v>
      </c>
      <c r="G46" s="309"/>
      <c r="H46" s="318"/>
      <c r="I46" s="317">
        <v>6</v>
      </c>
      <c r="J46" s="316">
        <f t="shared" si="2"/>
        <v>0.39900902934225507</v>
      </c>
      <c r="K46" s="41"/>
      <c r="L46" s="41"/>
      <c r="M46" s="41"/>
      <c r="N46" s="41"/>
      <c r="O46" s="166"/>
    </row>
    <row r="47" spans="1:15" x14ac:dyDescent="0.25">
      <c r="A47" s="184">
        <v>30</v>
      </c>
      <c r="B47" s="181" t="s">
        <v>93</v>
      </c>
      <c r="C47" s="181" t="s">
        <v>378</v>
      </c>
      <c r="D47" s="320">
        <v>0.01</v>
      </c>
      <c r="E47" s="309"/>
      <c r="F47" s="319" t="s">
        <v>32</v>
      </c>
      <c r="G47" s="309"/>
      <c r="H47" s="318"/>
      <c r="I47" s="317">
        <v>12</v>
      </c>
      <c r="J47" s="322">
        <f t="shared" si="2"/>
        <v>0.12</v>
      </c>
      <c r="K47" s="41"/>
      <c r="L47" s="41"/>
      <c r="M47" s="41"/>
      <c r="N47" s="41"/>
      <c r="O47" s="166"/>
    </row>
    <row r="48" spans="1:15" x14ac:dyDescent="0.25">
      <c r="A48" s="184">
        <v>40</v>
      </c>
      <c r="B48" s="181" t="s">
        <v>239</v>
      </c>
      <c r="C48" s="181" t="s">
        <v>377</v>
      </c>
      <c r="D48" s="320">
        <f>0.8/105154*E48*E48*G48*SQRT(G48)+(0.003*EXP(0.319*E48))</f>
        <v>8.2048330888522564E-2</v>
      </c>
      <c r="E48" s="309">
        <v>8</v>
      </c>
      <c r="F48" s="319" t="s">
        <v>30</v>
      </c>
      <c r="G48" s="309">
        <v>20</v>
      </c>
      <c r="H48" s="318" t="s">
        <v>30</v>
      </c>
      <c r="I48" s="317">
        <v>1</v>
      </c>
      <c r="J48" s="263">
        <f t="shared" si="2"/>
        <v>8.2048330888522564E-2</v>
      </c>
      <c r="K48" s="41"/>
      <c r="L48" s="41"/>
      <c r="M48" s="41"/>
      <c r="N48" s="41"/>
      <c r="O48" s="166"/>
    </row>
    <row r="49" spans="1:15" x14ac:dyDescent="0.25">
      <c r="A49" s="184">
        <v>50</v>
      </c>
      <c r="B49" s="181" t="s">
        <v>238</v>
      </c>
      <c r="C49" s="181" t="s">
        <v>377</v>
      </c>
      <c r="D49" s="320">
        <f>0.009*EXP(0.2*E49)</f>
        <v>4.4577291819556032E-2</v>
      </c>
      <c r="E49" s="309">
        <v>8</v>
      </c>
      <c r="F49" s="319" t="s">
        <v>30</v>
      </c>
      <c r="G49" s="309"/>
      <c r="H49" s="318"/>
      <c r="I49" s="317">
        <v>1</v>
      </c>
      <c r="J49" s="321">
        <f t="shared" si="2"/>
        <v>4.4577291819556032E-2</v>
      </c>
      <c r="K49" s="41"/>
      <c r="L49" s="41"/>
      <c r="M49" s="41"/>
      <c r="N49" s="41"/>
      <c r="O49" s="166"/>
    </row>
    <row r="50" spans="1:15" x14ac:dyDescent="0.25">
      <c r="A50" s="184">
        <v>60</v>
      </c>
      <c r="B50" s="181" t="s">
        <v>93</v>
      </c>
      <c r="C50" s="181" t="s">
        <v>377</v>
      </c>
      <c r="D50" s="320">
        <v>0.01</v>
      </c>
      <c r="E50" s="309"/>
      <c r="F50" s="319" t="s">
        <v>32</v>
      </c>
      <c r="G50" s="309"/>
      <c r="H50" s="318"/>
      <c r="I50" s="317">
        <v>2</v>
      </c>
      <c r="J50" s="316">
        <f t="shared" si="2"/>
        <v>0.02</v>
      </c>
      <c r="K50" s="41"/>
      <c r="L50" s="41"/>
      <c r="M50" s="41"/>
      <c r="N50" s="41"/>
      <c r="O50" s="166"/>
    </row>
    <row r="51" spans="1:15" x14ac:dyDescent="0.25">
      <c r="A51" s="184">
        <v>70</v>
      </c>
      <c r="B51" s="181" t="s">
        <v>239</v>
      </c>
      <c r="C51" s="181" t="s">
        <v>377</v>
      </c>
      <c r="D51" s="320">
        <f>0.8/105154*E51*E51*G51*SQRT(G51)+(0.003*EXP(0.319*E51))</f>
        <v>8.2048330888522564E-2</v>
      </c>
      <c r="E51" s="309">
        <v>8</v>
      </c>
      <c r="F51" s="319" t="s">
        <v>30</v>
      </c>
      <c r="G51" s="309">
        <v>20</v>
      </c>
      <c r="H51" s="318" t="s">
        <v>30</v>
      </c>
      <c r="I51" s="317">
        <v>1</v>
      </c>
      <c r="J51" s="316">
        <f t="shared" si="2"/>
        <v>8.2048330888522564E-2</v>
      </c>
      <c r="K51" s="41"/>
      <c r="L51" s="41"/>
      <c r="M51" s="41"/>
      <c r="N51" s="41"/>
      <c r="O51" s="166"/>
    </row>
    <row r="52" spans="1:15" x14ac:dyDescent="0.25">
      <c r="A52" s="184">
        <v>80</v>
      </c>
      <c r="B52" s="181" t="s">
        <v>238</v>
      </c>
      <c r="C52" s="181" t="s">
        <v>377</v>
      </c>
      <c r="D52" s="320">
        <f>0.009*EXP(0.2*E52)</f>
        <v>4.4577291819556032E-2</v>
      </c>
      <c r="E52" s="309">
        <v>8</v>
      </c>
      <c r="F52" s="319" t="s">
        <v>30</v>
      </c>
      <c r="G52" s="309"/>
      <c r="H52" s="318"/>
      <c r="I52" s="317">
        <v>1</v>
      </c>
      <c r="J52" s="316">
        <f t="shared" si="2"/>
        <v>4.4577291819556032E-2</v>
      </c>
      <c r="K52" s="41"/>
      <c r="L52" s="41"/>
      <c r="M52" s="41"/>
      <c r="N52" s="41"/>
      <c r="O52" s="166"/>
    </row>
    <row r="53" spans="1:15" x14ac:dyDescent="0.25">
      <c r="A53" s="184">
        <v>90</v>
      </c>
      <c r="B53" s="181" t="s">
        <v>93</v>
      </c>
      <c r="C53" s="181" t="s">
        <v>377</v>
      </c>
      <c r="D53" s="320">
        <v>0.01</v>
      </c>
      <c r="E53" s="309"/>
      <c r="F53" s="319" t="s">
        <v>32</v>
      </c>
      <c r="G53" s="309"/>
      <c r="H53" s="318"/>
      <c r="I53" s="317">
        <v>2</v>
      </c>
      <c r="J53" s="316">
        <f t="shared" si="2"/>
        <v>0.02</v>
      </c>
      <c r="K53" s="41"/>
      <c r="L53" s="41"/>
      <c r="M53" s="41"/>
      <c r="N53" s="41"/>
      <c r="O53" s="166"/>
    </row>
    <row r="54" spans="1:15" x14ac:dyDescent="0.25">
      <c r="A54" s="184">
        <v>100</v>
      </c>
      <c r="B54" s="181" t="s">
        <v>239</v>
      </c>
      <c r="C54" s="181" t="s">
        <v>376</v>
      </c>
      <c r="D54" s="320">
        <f>0.8/105154*E54*E54*G54*SQRT(G54)+(0.003*EXP(0.319*E54))</f>
        <v>8.2048330888522564E-2</v>
      </c>
      <c r="E54" s="309">
        <v>8</v>
      </c>
      <c r="F54" s="319" t="s">
        <v>30</v>
      </c>
      <c r="G54" s="309">
        <v>20</v>
      </c>
      <c r="H54" s="318" t="s">
        <v>30</v>
      </c>
      <c r="I54" s="317">
        <v>1</v>
      </c>
      <c r="J54" s="316">
        <f t="shared" si="2"/>
        <v>8.2048330888522564E-2</v>
      </c>
      <c r="K54" s="41"/>
      <c r="L54" s="41"/>
      <c r="M54" s="41"/>
      <c r="N54" s="41"/>
      <c r="O54" s="166"/>
    </row>
    <row r="55" spans="1:15" x14ac:dyDescent="0.25">
      <c r="A55" s="184">
        <v>110</v>
      </c>
      <c r="B55" s="181" t="s">
        <v>375</v>
      </c>
      <c r="C55" s="181" t="s">
        <v>374</v>
      </c>
      <c r="D55" s="320">
        <v>0.5</v>
      </c>
      <c r="E55" s="309">
        <v>52</v>
      </c>
      <c r="F55" s="319" t="s">
        <v>30</v>
      </c>
      <c r="G55" s="309"/>
      <c r="H55" s="318"/>
      <c r="I55" s="317">
        <v>1</v>
      </c>
      <c r="J55" s="316">
        <f t="shared" si="2"/>
        <v>0.5</v>
      </c>
      <c r="K55" s="41"/>
      <c r="L55" s="41"/>
      <c r="M55" s="41"/>
      <c r="N55" s="41"/>
      <c r="O55" s="166"/>
    </row>
    <row r="56" spans="1:15" x14ac:dyDescent="0.25">
      <c r="A56" s="169"/>
      <c r="B56" s="15"/>
      <c r="C56" s="15"/>
      <c r="D56" s="15"/>
      <c r="E56" s="15"/>
      <c r="F56" s="15"/>
      <c r="G56" s="15"/>
      <c r="H56" s="15"/>
      <c r="I56" s="175" t="s">
        <v>18</v>
      </c>
      <c r="J56" s="174">
        <f>SUM(J45:J55)</f>
        <v>2.5815625728670586</v>
      </c>
      <c r="K56" s="41"/>
      <c r="L56" s="41"/>
      <c r="M56" s="41"/>
      <c r="N56" s="41"/>
      <c r="O56" s="166"/>
    </row>
    <row r="57" spans="1:15" x14ac:dyDescent="0.25">
      <c r="A57" s="173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166"/>
    </row>
    <row r="58" spans="1:15" x14ac:dyDescent="0.25">
      <c r="A58" s="172" t="s">
        <v>14</v>
      </c>
      <c r="B58" s="171" t="s">
        <v>39</v>
      </c>
      <c r="C58" s="171" t="s">
        <v>20</v>
      </c>
      <c r="D58" s="171" t="s">
        <v>21</v>
      </c>
      <c r="E58" s="171" t="s">
        <v>32</v>
      </c>
      <c r="F58" s="171" t="s">
        <v>17</v>
      </c>
      <c r="G58" s="171" t="s">
        <v>40</v>
      </c>
      <c r="H58" s="315" t="s">
        <v>41</v>
      </c>
      <c r="I58" s="287" t="s">
        <v>18</v>
      </c>
      <c r="J58" s="41"/>
      <c r="K58" s="41"/>
      <c r="L58" s="41"/>
      <c r="M58" s="41"/>
      <c r="N58" s="41"/>
      <c r="O58" s="166"/>
    </row>
    <row r="59" spans="1:15" x14ac:dyDescent="0.25">
      <c r="A59" s="170">
        <v>10</v>
      </c>
      <c r="B59" s="57" t="s">
        <v>42</v>
      </c>
      <c r="C59" s="57" t="s">
        <v>236</v>
      </c>
      <c r="D59" s="58">
        <v>500</v>
      </c>
      <c r="E59" s="57" t="s">
        <v>43</v>
      </c>
      <c r="F59" s="57">
        <v>16</v>
      </c>
      <c r="G59" s="57">
        <v>3000</v>
      </c>
      <c r="H59" s="109">
        <v>1</v>
      </c>
      <c r="I59" s="314">
        <f>D59*F59/G59*H59</f>
        <v>2.6666666666666665</v>
      </c>
      <c r="J59" s="41"/>
      <c r="K59" s="41"/>
      <c r="L59" s="41"/>
      <c r="M59" s="41"/>
      <c r="N59" s="41"/>
      <c r="O59" s="166"/>
    </row>
    <row r="60" spans="1:15" x14ac:dyDescent="0.25">
      <c r="A60" s="169"/>
      <c r="B60" s="15"/>
      <c r="C60" s="15"/>
      <c r="D60" s="15"/>
      <c r="E60" s="15"/>
      <c r="F60" s="15"/>
      <c r="G60" s="15"/>
      <c r="H60" s="168" t="s">
        <v>18</v>
      </c>
      <c r="I60" s="167">
        <f>SUM(I59:I59)</f>
        <v>2.6666666666666665</v>
      </c>
      <c r="J60" s="41"/>
      <c r="K60" s="41"/>
      <c r="L60" s="41"/>
      <c r="M60" s="41"/>
      <c r="N60" s="41"/>
      <c r="O60" s="166"/>
    </row>
    <row r="61" spans="1:15" ht="15.75" thickBot="1" x14ac:dyDescent="0.3">
      <c r="A61" s="165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3"/>
    </row>
  </sheetData>
  <hyperlinks>
    <hyperlink ref="B10" location="EN_1100_001" display="Front sprocket" xr:uid="{00000000-0004-0000-4000-000000000000}"/>
    <hyperlink ref="B11" location="EN_1100_002" display="rear sprocket" xr:uid="{00000000-0004-0000-4000-000001000000}"/>
    <hyperlink ref="B12" location="EN_1100_003" display="Rear sprocket adaptor" xr:uid="{00000000-0004-0000-4000-000002000000}"/>
    <hyperlink ref="B13" location="EN_1100_004" display="Chain shield" xr:uid="{00000000-0004-0000-4000-000003000000}"/>
    <hyperlink ref="B14" location="EN_1100_005" display="Upper chainshield bracket" xr:uid="{00000000-0004-0000-4000-000004000000}"/>
    <hyperlink ref="B15" location="EN_1100_006" display="Lower chainshield bracket" xr:uid="{00000000-0004-0000-4000-000005000000}"/>
    <hyperlink ref="E2" location="EN_A1100_BOM" display="Back to BOM" xr:uid="{00000000-0004-0000-4000-000006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6" tint="0.39997558519241921"/>
  </sheetPr>
  <dimension ref="A1:O26"/>
  <sheetViews>
    <sheetView zoomScale="70" zoomScaleNormal="70"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47.5703125" bestFit="1" customWidth="1"/>
    <col min="7" max="7" width="13.5703125" bestFit="1" customWidth="1"/>
    <col min="9" max="9" width="18.140625" bestFit="1" customWidth="1"/>
  </cols>
  <sheetData>
    <row r="1" spans="1:15" x14ac:dyDescent="0.2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25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EN_1100_001_m+EN_1100_001_p</f>
        <v>24.754258243942196</v>
      </c>
      <c r="O2" s="166"/>
    </row>
    <row r="3" spans="1:15" x14ac:dyDescent="0.25">
      <c r="A3" s="262" t="s">
        <v>3</v>
      </c>
      <c r="B3" s="258" t="s">
        <v>279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25">
      <c r="A4" s="343" t="s">
        <v>5</v>
      </c>
      <c r="B4" s="285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25">
      <c r="A5" s="343" t="s">
        <v>15</v>
      </c>
      <c r="B5" s="307" t="s">
        <v>401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24.754258243942196</v>
      </c>
      <c r="O5" s="166"/>
    </row>
    <row r="6" spans="1:15" x14ac:dyDescent="0.25">
      <c r="A6" s="343" t="s">
        <v>7</v>
      </c>
      <c r="B6" s="260" t="s">
        <v>551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25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25">
      <c r="A8" s="257" t="s">
        <v>13</v>
      </c>
      <c r="B8" s="176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25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25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166"/>
    </row>
    <row r="11" spans="1:15" ht="30" x14ac:dyDescent="0.25">
      <c r="A11" s="358">
        <v>10</v>
      </c>
      <c r="B11" s="378" t="s">
        <v>163</v>
      </c>
      <c r="C11" s="377" t="s">
        <v>430</v>
      </c>
      <c r="D11" s="356">
        <v>2.25</v>
      </c>
      <c r="E11" s="376">
        <f>J11*K11*L11</f>
        <v>0.67553218760489098</v>
      </c>
      <c r="F11" s="375" t="s">
        <v>78</v>
      </c>
      <c r="G11" s="375"/>
      <c r="H11" s="374"/>
      <c r="I11" s="373" t="s">
        <v>429</v>
      </c>
      <c r="J11" s="372">
        <f>PI()*(0.081/2)^2</f>
        <v>5.152997350050658E-3</v>
      </c>
      <c r="K11" s="371">
        <v>1.67E-2</v>
      </c>
      <c r="L11" s="370">
        <v>7850</v>
      </c>
      <c r="M11" s="369">
        <v>1</v>
      </c>
      <c r="N11" s="351">
        <f>IF(J11="",D11*M11,D11*J11*K11*L11*M11)</f>
        <v>1.519947422111005</v>
      </c>
      <c r="O11" s="195"/>
    </row>
    <row r="12" spans="1:15" x14ac:dyDescent="0.25">
      <c r="A12" s="16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1.519947422111005</v>
      </c>
      <c r="O12" s="166"/>
    </row>
    <row r="13" spans="1:15" x14ac:dyDescent="0.25">
      <c r="A13" s="17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6"/>
    </row>
    <row r="14" spans="1:15" x14ac:dyDescent="0.25">
      <c r="A14" s="343" t="s">
        <v>14</v>
      </c>
      <c r="B14" s="368" t="s">
        <v>31</v>
      </c>
      <c r="C14" s="368" t="s">
        <v>20</v>
      </c>
      <c r="D14" s="368" t="s">
        <v>21</v>
      </c>
      <c r="E14" s="368" t="s">
        <v>32</v>
      </c>
      <c r="F14" s="368" t="s">
        <v>17</v>
      </c>
      <c r="G14" s="368" t="s">
        <v>33</v>
      </c>
      <c r="H14" s="368" t="s">
        <v>34</v>
      </c>
      <c r="I14" s="368" t="s">
        <v>18</v>
      </c>
      <c r="J14" s="15"/>
      <c r="K14" s="15"/>
      <c r="L14" s="15"/>
      <c r="M14" s="15"/>
      <c r="N14" s="15"/>
      <c r="O14" s="166"/>
    </row>
    <row r="15" spans="1:15" ht="30" x14ac:dyDescent="0.25">
      <c r="A15" s="359">
        <v>10</v>
      </c>
      <c r="B15" s="364" t="s">
        <v>45</v>
      </c>
      <c r="C15" s="364" t="s">
        <v>407</v>
      </c>
      <c r="D15" s="363">
        <v>1.3</v>
      </c>
      <c r="E15" s="362" t="s">
        <v>32</v>
      </c>
      <c r="F15" s="361">
        <v>1</v>
      </c>
      <c r="G15" s="361"/>
      <c r="H15" s="361"/>
      <c r="I15" s="360">
        <f t="shared" ref="I15:I20" si="0">IF(H15="",D15*F15,D15*F15*H15)</f>
        <v>1.3</v>
      </c>
      <c r="J15" s="41"/>
      <c r="K15" s="41"/>
      <c r="L15" s="41"/>
      <c r="M15" s="41"/>
      <c r="N15" s="41"/>
      <c r="O15" s="166"/>
    </row>
    <row r="16" spans="1:15" ht="30" x14ac:dyDescent="0.25">
      <c r="A16" s="359">
        <v>20</v>
      </c>
      <c r="B16" s="364" t="s">
        <v>79</v>
      </c>
      <c r="C16" s="364" t="s">
        <v>428</v>
      </c>
      <c r="D16" s="363">
        <v>0.04</v>
      </c>
      <c r="E16" s="362" t="s">
        <v>81</v>
      </c>
      <c r="F16" s="367">
        <f>PI()*((0.081/2)^2-(0.034/2)^2)*0.0048*2*100^3+PI()*0.013^2*0.0167*100^3</f>
        <v>49.61925684859326</v>
      </c>
      <c r="G16" s="366" t="s">
        <v>405</v>
      </c>
      <c r="H16" s="365">
        <v>3</v>
      </c>
      <c r="I16" s="360">
        <f t="shared" si="0"/>
        <v>5.9543108218311911</v>
      </c>
      <c r="J16" s="41"/>
      <c r="K16" s="41"/>
      <c r="L16" s="41"/>
      <c r="M16" s="41"/>
      <c r="N16" s="41"/>
      <c r="O16" s="166"/>
    </row>
    <row r="17" spans="1:15" x14ac:dyDescent="0.25">
      <c r="A17" s="359">
        <v>30</v>
      </c>
      <c r="B17" s="364" t="s">
        <v>80</v>
      </c>
      <c r="C17" s="364" t="s">
        <v>427</v>
      </c>
      <c r="D17" s="363">
        <v>0.65</v>
      </c>
      <c r="E17" s="362" t="s">
        <v>32</v>
      </c>
      <c r="F17" s="361">
        <v>1</v>
      </c>
      <c r="G17" s="361"/>
      <c r="H17" s="361"/>
      <c r="I17" s="360">
        <f t="shared" si="0"/>
        <v>0.65</v>
      </c>
      <c r="J17" s="41"/>
      <c r="K17" s="41"/>
      <c r="L17" s="41"/>
      <c r="M17" s="41"/>
      <c r="N17" s="41"/>
      <c r="O17" s="166"/>
    </row>
    <row r="18" spans="1:15" ht="30" x14ac:dyDescent="0.25">
      <c r="A18" s="359">
        <v>40</v>
      </c>
      <c r="B18" s="345" t="s">
        <v>406</v>
      </c>
      <c r="C18" s="357" t="s">
        <v>426</v>
      </c>
      <c r="D18" s="356">
        <v>0.5</v>
      </c>
      <c r="E18" s="355" t="s">
        <v>46</v>
      </c>
      <c r="F18" s="354">
        <f>0.71*13</f>
        <v>9.23</v>
      </c>
      <c r="G18" s="353" t="s">
        <v>405</v>
      </c>
      <c r="H18" s="352">
        <v>3</v>
      </c>
      <c r="I18" s="351">
        <f t="shared" si="0"/>
        <v>13.845000000000001</v>
      </c>
      <c r="J18" s="41"/>
      <c r="K18" s="41"/>
      <c r="L18" s="41"/>
      <c r="M18" s="41"/>
      <c r="N18" s="41"/>
      <c r="O18" s="166"/>
    </row>
    <row r="19" spans="1:15" x14ac:dyDescent="0.25">
      <c r="A19" s="358">
        <v>50</v>
      </c>
      <c r="B19" s="357" t="s">
        <v>80</v>
      </c>
      <c r="C19" s="357" t="s">
        <v>425</v>
      </c>
      <c r="D19" s="356">
        <v>0.65</v>
      </c>
      <c r="E19" s="355" t="s">
        <v>32</v>
      </c>
      <c r="F19" s="352">
        <v>1</v>
      </c>
      <c r="G19" s="352"/>
      <c r="H19" s="352"/>
      <c r="I19" s="351">
        <f t="shared" si="0"/>
        <v>0.65</v>
      </c>
      <c r="J19" s="41"/>
      <c r="K19" s="41"/>
      <c r="L19" s="41"/>
      <c r="M19" s="41"/>
      <c r="N19" s="41"/>
      <c r="O19" s="166"/>
    </row>
    <row r="20" spans="1:15" x14ac:dyDescent="0.25">
      <c r="A20" s="358">
        <v>60</v>
      </c>
      <c r="B20" s="357" t="s">
        <v>412</v>
      </c>
      <c r="C20" s="357" t="s">
        <v>424</v>
      </c>
      <c r="D20" s="356">
        <v>0.5</v>
      </c>
      <c r="E20" s="355" t="s">
        <v>46</v>
      </c>
      <c r="F20" s="354">
        <v>1.67</v>
      </c>
      <c r="G20" s="353"/>
      <c r="H20" s="352"/>
      <c r="I20" s="351">
        <f t="shared" si="0"/>
        <v>0.83499999999999996</v>
      </c>
      <c r="J20" s="41"/>
      <c r="K20" s="41"/>
      <c r="L20" s="41"/>
      <c r="M20" s="41"/>
      <c r="N20" s="41"/>
      <c r="O20" s="166"/>
    </row>
    <row r="21" spans="1:15" x14ac:dyDescent="0.25">
      <c r="A21" s="173"/>
      <c r="B21" s="15"/>
      <c r="C21" s="15"/>
      <c r="D21" s="15"/>
      <c r="E21" s="15"/>
      <c r="F21" s="15"/>
      <c r="G21" s="15"/>
      <c r="H21" s="106" t="s">
        <v>18</v>
      </c>
      <c r="I21" s="350">
        <f>SUM(I15:I20)</f>
        <v>23.23431082183119</v>
      </c>
      <c r="J21" s="41"/>
      <c r="K21" s="41"/>
      <c r="L21" s="41"/>
      <c r="M21" s="41"/>
      <c r="N21" s="41"/>
      <c r="O21" s="166"/>
    </row>
    <row r="22" spans="1:15" x14ac:dyDescent="0.25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25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x14ac:dyDescent="0.25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</row>
    <row r="25" spans="1:15" x14ac:dyDescent="0.25">
      <c r="A25" s="173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6"/>
    </row>
    <row r="26" spans="1:15" ht="15.75" thickBot="1" x14ac:dyDescent="0.3">
      <c r="A26" s="165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3"/>
    </row>
  </sheetData>
  <hyperlinks>
    <hyperlink ref="B4" location="EN_A1100" display="Driveshaft" xr:uid="{00000000-0004-0000-4100-000000000000}"/>
    <hyperlink ref="G2" location="EN_A1100_BOM" display="Back to BOM" xr:uid="{00000000-0004-0000-4100-000001000000}"/>
  </hyperlinks>
  <pageMargins left="0.7" right="0.7" top="0.75" bottom="0.75" header="0.3" footer="0.3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6" tint="0.39997558519241921"/>
  </sheetPr>
  <dimension ref="A1:P26"/>
  <sheetViews>
    <sheetView zoomScale="70" zoomScaleNormal="70" workbookViewId="0">
      <selection activeCell="B4" sqref="B4"/>
    </sheetView>
  </sheetViews>
  <sheetFormatPr baseColWidth="10" defaultRowHeight="15" x14ac:dyDescent="0.25"/>
  <cols>
    <col min="2" max="2" width="35.85546875" bestFit="1" customWidth="1"/>
    <col min="3" max="3" width="50.5703125" bestFit="1" customWidth="1"/>
    <col min="7" max="7" width="14.5703125" bestFit="1" customWidth="1"/>
    <col min="9" max="9" width="20.28515625" bestFit="1" customWidth="1"/>
  </cols>
  <sheetData>
    <row r="1" spans="1:15" x14ac:dyDescent="0.2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25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EN_1100_002_m+EN_1100_002_p</f>
        <v>41.802269960952131</v>
      </c>
      <c r="O2" s="166"/>
    </row>
    <row r="3" spans="1:15" x14ac:dyDescent="0.25">
      <c r="A3" s="262" t="s">
        <v>3</v>
      </c>
      <c r="B3" s="258" t="s">
        <v>279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25">
      <c r="A4" s="241" t="s">
        <v>5</v>
      </c>
      <c r="B4" s="306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25">
      <c r="A5" s="241" t="s">
        <v>15</v>
      </c>
      <c r="B5" s="307" t="s">
        <v>410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41.802269960952131</v>
      </c>
      <c r="O5" s="166"/>
    </row>
    <row r="6" spans="1:15" x14ac:dyDescent="0.25">
      <c r="A6" s="241" t="s">
        <v>7</v>
      </c>
      <c r="B6" s="260" t="s">
        <v>552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25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25">
      <c r="A8" s="257" t="s">
        <v>13</v>
      </c>
      <c r="B8" s="176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25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25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25">
      <c r="A11" s="311">
        <v>10</v>
      </c>
      <c r="B11" s="334" t="s">
        <v>163</v>
      </c>
      <c r="C11" s="270" t="s">
        <v>409</v>
      </c>
      <c r="D11" s="310">
        <v>2.25</v>
      </c>
      <c r="E11" s="333">
        <f>J11*K11*L11</f>
        <v>1.3594653159787282</v>
      </c>
      <c r="F11" s="332" t="s">
        <v>78</v>
      </c>
      <c r="G11" s="332"/>
      <c r="H11" s="331"/>
      <c r="I11" s="268" t="s">
        <v>408</v>
      </c>
      <c r="J11" s="330">
        <f>0.105^2*PI()</f>
        <v>3.4636059005827467E-2</v>
      </c>
      <c r="K11" s="329">
        <v>5.0000000000000001E-3</v>
      </c>
      <c r="L11" s="328">
        <v>7850</v>
      </c>
      <c r="M11" s="327">
        <v>1</v>
      </c>
      <c r="N11" s="263">
        <f>IF(J11="",D11*M11,D11*J11*K11*L11*M11)</f>
        <v>3.0587969609521379</v>
      </c>
      <c r="O11" s="195"/>
    </row>
    <row r="12" spans="1:15" x14ac:dyDescent="0.25">
      <c r="A12" s="16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8" t="s">
        <v>18</v>
      </c>
      <c r="N12" s="103">
        <f>SUM(N11:N11)</f>
        <v>3.0587969609521379</v>
      </c>
      <c r="O12" s="166"/>
    </row>
    <row r="13" spans="1:15" x14ac:dyDescent="0.25">
      <c r="A13" s="17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6"/>
    </row>
    <row r="14" spans="1:15" x14ac:dyDescent="0.25">
      <c r="A14" s="241" t="s">
        <v>14</v>
      </c>
      <c r="B14" s="212" t="s">
        <v>31</v>
      </c>
      <c r="C14" s="212" t="s">
        <v>20</v>
      </c>
      <c r="D14" s="212" t="s">
        <v>21</v>
      </c>
      <c r="E14" s="212" t="s">
        <v>32</v>
      </c>
      <c r="F14" s="212" t="s">
        <v>17</v>
      </c>
      <c r="G14" s="212" t="s">
        <v>33</v>
      </c>
      <c r="H14" s="212" t="s">
        <v>34</v>
      </c>
      <c r="I14" s="212" t="s">
        <v>18</v>
      </c>
      <c r="J14" s="15"/>
      <c r="K14" s="15"/>
      <c r="L14" s="15"/>
      <c r="M14" s="15"/>
      <c r="N14" s="15"/>
      <c r="O14" s="166"/>
    </row>
    <row r="15" spans="1:15" x14ac:dyDescent="0.25">
      <c r="A15" s="311">
        <v>10</v>
      </c>
      <c r="B15" s="264" t="s">
        <v>45</v>
      </c>
      <c r="C15" s="264" t="s">
        <v>407</v>
      </c>
      <c r="D15" s="325">
        <v>1.3</v>
      </c>
      <c r="E15" s="233" t="s">
        <v>32</v>
      </c>
      <c r="F15" s="309">
        <v>1</v>
      </c>
      <c r="G15" s="237"/>
      <c r="H15" s="237"/>
      <c r="I15" s="263">
        <f>IF(H15="",D15*F15,D15*F15*H15)</f>
        <v>1.3</v>
      </c>
      <c r="J15" s="41"/>
      <c r="K15" s="41"/>
      <c r="L15" s="41"/>
      <c r="M15" s="41"/>
      <c r="N15" s="41"/>
      <c r="O15" s="166"/>
    </row>
    <row r="16" spans="1:15" x14ac:dyDescent="0.25">
      <c r="A16" s="311">
        <v>20</v>
      </c>
      <c r="B16" s="240" t="s">
        <v>406</v>
      </c>
      <c r="C16" s="264"/>
      <c r="D16" s="325">
        <v>0.5</v>
      </c>
      <c r="E16" s="233" t="s">
        <v>46</v>
      </c>
      <c r="F16" s="232">
        <f>44*0.5</f>
        <v>22</v>
      </c>
      <c r="G16" s="240" t="s">
        <v>405</v>
      </c>
      <c r="H16" s="265">
        <v>3</v>
      </c>
      <c r="I16" s="263">
        <f>IF(H16="",D16*F16,D16*F16*H16)</f>
        <v>33</v>
      </c>
      <c r="J16" s="41"/>
      <c r="K16" s="41"/>
      <c r="L16" s="41"/>
      <c r="M16" s="41"/>
      <c r="N16" s="41"/>
      <c r="O16" s="166"/>
    </row>
    <row r="17" spans="1:16" x14ac:dyDescent="0.25">
      <c r="A17" s="311">
        <v>30</v>
      </c>
      <c r="B17" s="264" t="s">
        <v>80</v>
      </c>
      <c r="C17" s="264" t="s">
        <v>404</v>
      </c>
      <c r="D17" s="325">
        <v>0.65</v>
      </c>
      <c r="E17" s="233" t="s">
        <v>32</v>
      </c>
      <c r="F17" s="309">
        <v>1</v>
      </c>
      <c r="G17" s="270"/>
      <c r="H17" s="324">
        <v>1</v>
      </c>
      <c r="I17" s="263">
        <f>IF(H17="",D17*F17,D17*F17*H17)</f>
        <v>0.65</v>
      </c>
      <c r="J17" s="41"/>
      <c r="K17" s="41"/>
      <c r="L17" s="41"/>
      <c r="M17" s="41"/>
      <c r="N17" s="41"/>
      <c r="O17" s="166"/>
    </row>
    <row r="18" spans="1:16" x14ac:dyDescent="0.25">
      <c r="A18" s="326">
        <v>40</v>
      </c>
      <c r="B18" s="264" t="s">
        <v>231</v>
      </c>
      <c r="C18" s="264" t="s">
        <v>403</v>
      </c>
      <c r="D18" s="325">
        <v>0.01</v>
      </c>
      <c r="E18" s="233" t="s">
        <v>46</v>
      </c>
      <c r="F18" s="313">
        <v>126.4491</v>
      </c>
      <c r="G18" s="270" t="s">
        <v>365</v>
      </c>
      <c r="H18" s="324">
        <v>3</v>
      </c>
      <c r="I18" s="263">
        <f>IF(H18="",D18*F18,D18*F18*H18)</f>
        <v>3.7934730000000001</v>
      </c>
      <c r="J18" s="41"/>
      <c r="K18" s="41"/>
      <c r="L18" s="41"/>
      <c r="M18" s="41"/>
      <c r="N18" s="41"/>
      <c r="O18" s="166"/>
    </row>
    <row r="19" spans="1:16" x14ac:dyDescent="0.25">
      <c r="A19" s="173"/>
      <c r="B19" s="15"/>
      <c r="C19" s="15"/>
      <c r="D19" s="15"/>
      <c r="E19" s="15"/>
      <c r="F19" s="15"/>
      <c r="G19" s="15"/>
      <c r="H19" s="106" t="s">
        <v>18</v>
      </c>
      <c r="I19" s="291">
        <f>SUM(I15:I18)</f>
        <v>38.743472999999994</v>
      </c>
      <c r="J19" s="41"/>
      <c r="K19" s="41"/>
      <c r="L19" s="41"/>
      <c r="M19" s="41"/>
      <c r="N19" s="41"/>
      <c r="O19" s="166"/>
    </row>
    <row r="20" spans="1:16" x14ac:dyDescent="0.25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  <c r="P20" s="41"/>
    </row>
    <row r="21" spans="1:16" x14ac:dyDescent="0.25">
      <c r="A21" s="173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6"/>
      <c r="P21" s="41"/>
    </row>
    <row r="22" spans="1:16" x14ac:dyDescent="0.25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  <c r="P22" s="41"/>
    </row>
    <row r="23" spans="1:16" x14ac:dyDescent="0.25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  <c r="P23" s="41"/>
    </row>
    <row r="24" spans="1:16" x14ac:dyDescent="0.25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  <c r="P24" s="41"/>
    </row>
    <row r="25" spans="1:16" ht="15.75" thickBot="1" x14ac:dyDescent="0.3">
      <c r="A25" s="165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3"/>
    </row>
    <row r="26" spans="1:16" x14ac:dyDescent="0.25">
      <c r="A26" s="41"/>
      <c r="B26" s="41"/>
      <c r="C26" s="41"/>
      <c r="D26" s="41"/>
      <c r="E26" s="41"/>
      <c r="F26" s="41"/>
      <c r="G26" s="41"/>
      <c r="H26" s="41"/>
      <c r="I26" s="41"/>
    </row>
  </sheetData>
  <hyperlinks>
    <hyperlink ref="B4" location="EN_A1100" display="Driveshaft" xr:uid="{00000000-0004-0000-4200-000000000000}"/>
    <hyperlink ref="G2" location="EN_A1100_BOM" display="Back to BOM" xr:uid="{00000000-0004-0000-4200-000001000000}"/>
  </hyperlinks>
  <pageMargins left="0.7" right="0.7" top="0.75" bottom="0.75" header="0.3" footer="0.3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6" tint="0.39997558519241921"/>
  </sheetPr>
  <dimension ref="A1:O24"/>
  <sheetViews>
    <sheetView zoomScale="55" zoomScaleNormal="55" workbookViewId="0">
      <selection activeCell="G2" sqref="G2"/>
    </sheetView>
  </sheetViews>
  <sheetFormatPr baseColWidth="10" defaultRowHeight="15" x14ac:dyDescent="0.25"/>
  <sheetData>
    <row r="1" spans="1:15" x14ac:dyDescent="0.2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25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EN_1100_003_m+EN_1100_003_p</f>
        <v>29.160865459581132</v>
      </c>
      <c r="O2" s="166"/>
    </row>
    <row r="3" spans="1:15" x14ac:dyDescent="0.25">
      <c r="A3" s="262" t="s">
        <v>3</v>
      </c>
      <c r="B3" s="258" t="s">
        <v>279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25">
      <c r="A4" s="241" t="s">
        <v>5</v>
      </c>
      <c r="B4" s="306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25">
      <c r="A5" s="241" t="s">
        <v>15</v>
      </c>
      <c r="B5" s="307" t="s">
        <v>399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29.160865459581132</v>
      </c>
      <c r="O5" s="166"/>
    </row>
    <row r="6" spans="1:15" x14ac:dyDescent="0.25">
      <c r="A6" s="241" t="s">
        <v>7</v>
      </c>
      <c r="B6" s="260" t="s">
        <v>553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25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25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25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25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ht="45" x14ac:dyDescent="0.25">
      <c r="A11" s="308">
        <v>10</v>
      </c>
      <c r="B11" s="334" t="s">
        <v>300</v>
      </c>
      <c r="C11" s="270" t="s">
        <v>416</v>
      </c>
      <c r="D11" s="310">
        <v>4.2</v>
      </c>
      <c r="E11" s="269">
        <f>J11*K11*L11</f>
        <v>2.0761108237097923</v>
      </c>
      <c r="F11" s="236" t="s">
        <v>78</v>
      </c>
      <c r="G11" s="236"/>
      <c r="H11" s="191"/>
      <c r="I11" s="339" t="s">
        <v>415</v>
      </c>
      <c r="J11" s="338">
        <f>PI()*0.19^2/4</f>
        <v>2.8352873698647883E-2</v>
      </c>
      <c r="K11" s="337">
        <v>2.7E-2</v>
      </c>
      <c r="L11" s="336">
        <v>2712</v>
      </c>
      <c r="M11" s="336">
        <v>1</v>
      </c>
      <c r="N11" s="263">
        <f>IF(J11="",D11*M11,D11*J11*K11*L11*M11)</f>
        <v>8.7196654595811296</v>
      </c>
      <c r="O11" s="195"/>
    </row>
    <row r="12" spans="1:15" x14ac:dyDescent="0.25">
      <c r="A12" s="16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8" t="s">
        <v>18</v>
      </c>
      <c r="N12" s="103">
        <f>SUM(N11:N11)</f>
        <v>8.7196654595811296</v>
      </c>
      <c r="O12" s="166"/>
    </row>
    <row r="13" spans="1:15" x14ac:dyDescent="0.25">
      <c r="A13" s="17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6"/>
    </row>
    <row r="14" spans="1:15" x14ac:dyDescent="0.25">
      <c r="A14" s="241" t="s">
        <v>14</v>
      </c>
      <c r="B14" s="212" t="s">
        <v>31</v>
      </c>
      <c r="C14" s="212" t="s">
        <v>20</v>
      </c>
      <c r="D14" s="212" t="s">
        <v>21</v>
      </c>
      <c r="E14" s="212" t="s">
        <v>32</v>
      </c>
      <c r="F14" s="212" t="s">
        <v>17</v>
      </c>
      <c r="G14" s="212" t="s">
        <v>33</v>
      </c>
      <c r="H14" s="212" t="s">
        <v>34</v>
      </c>
      <c r="I14" s="212" t="s">
        <v>18</v>
      </c>
      <c r="J14" s="15"/>
      <c r="K14" s="15"/>
      <c r="L14" s="15"/>
      <c r="M14" s="15"/>
      <c r="N14" s="15"/>
      <c r="O14" s="166"/>
    </row>
    <row r="15" spans="1:15" ht="90" x14ac:dyDescent="0.25">
      <c r="A15" s="231">
        <v>10</v>
      </c>
      <c r="B15" s="264" t="s">
        <v>45</v>
      </c>
      <c r="C15" s="264" t="s">
        <v>414</v>
      </c>
      <c r="D15" s="310">
        <v>1.3</v>
      </c>
      <c r="E15" s="270" t="s">
        <v>32</v>
      </c>
      <c r="F15" s="335">
        <v>1</v>
      </c>
      <c r="G15" s="231"/>
      <c r="H15" s="231"/>
      <c r="I15" s="263">
        <f>IF(H15="",D15*F15,D15*F15*H15)</f>
        <v>1.3</v>
      </c>
      <c r="J15" s="41"/>
      <c r="K15" s="41"/>
      <c r="L15" s="41"/>
      <c r="M15" s="41"/>
      <c r="N15" s="41"/>
      <c r="O15" s="166"/>
    </row>
    <row r="16" spans="1:15" ht="30" x14ac:dyDescent="0.25">
      <c r="A16" s="231">
        <v>20</v>
      </c>
      <c r="B16" s="264" t="s">
        <v>79</v>
      </c>
      <c r="C16" s="264" t="s">
        <v>413</v>
      </c>
      <c r="D16" s="310">
        <v>0.04</v>
      </c>
      <c r="E16" s="270" t="s">
        <v>81</v>
      </c>
      <c r="F16" s="335">
        <v>444.78</v>
      </c>
      <c r="G16" s="231"/>
      <c r="H16" s="231"/>
      <c r="I16" s="263">
        <f>IF(H16="",D16*F16,D16*F16*H16)</f>
        <v>17.7912</v>
      </c>
      <c r="J16" s="41"/>
      <c r="K16" s="41"/>
      <c r="L16" s="41"/>
      <c r="M16" s="41"/>
      <c r="N16" s="41"/>
      <c r="O16" s="166"/>
    </row>
    <row r="17" spans="1:15" ht="30" x14ac:dyDescent="0.25">
      <c r="A17" s="231">
        <v>30</v>
      </c>
      <c r="B17" s="264" t="s">
        <v>412</v>
      </c>
      <c r="C17" s="264" t="s">
        <v>411</v>
      </c>
      <c r="D17" s="310">
        <v>0.5</v>
      </c>
      <c r="E17" s="270" t="s">
        <v>46</v>
      </c>
      <c r="F17" s="335">
        <v>2.7</v>
      </c>
      <c r="G17" s="231"/>
      <c r="H17" s="231"/>
      <c r="I17" s="263">
        <f>IF(H17="",D17*F17,D17*F17*H17)</f>
        <v>1.35</v>
      </c>
      <c r="J17" s="41"/>
      <c r="K17" s="41"/>
      <c r="L17" s="41"/>
      <c r="M17" s="41"/>
      <c r="N17" s="41"/>
      <c r="O17" s="166"/>
    </row>
    <row r="18" spans="1:15" x14ac:dyDescent="0.25">
      <c r="A18" s="173"/>
      <c r="B18" s="15"/>
      <c r="C18" s="15"/>
      <c r="D18" s="15"/>
      <c r="E18" s="15"/>
      <c r="F18" s="15"/>
      <c r="G18" s="15"/>
      <c r="H18" s="106" t="s">
        <v>18</v>
      </c>
      <c r="I18" s="291">
        <f>SUM(I15:I17)</f>
        <v>20.441200000000002</v>
      </c>
      <c r="J18" s="41"/>
      <c r="K18" s="41"/>
      <c r="L18" s="41"/>
      <c r="M18" s="41"/>
      <c r="N18" s="41"/>
      <c r="O18" s="166"/>
    </row>
    <row r="19" spans="1:15" x14ac:dyDescent="0.25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5" x14ac:dyDescent="0.25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25">
      <c r="A21" s="173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6"/>
    </row>
    <row r="22" spans="1:15" x14ac:dyDescent="0.25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25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ht="15.75" thickBot="1" x14ac:dyDescent="0.3">
      <c r="A24" s="165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3"/>
    </row>
  </sheetData>
  <hyperlinks>
    <hyperlink ref="B4" location="EN_A1100" display="Driveshaft" xr:uid="{00000000-0004-0000-4300-000000000000}"/>
    <hyperlink ref="E3" location="dEN_11003!A1" display="Drawing" xr:uid="{00000000-0004-0000-4300-000001000000}"/>
    <hyperlink ref="G2" location="EN_A1100_BOM" display="Back to BOM" xr:uid="{00000000-0004-0000-4300-000002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  <pageSetUpPr fitToPage="1"/>
  </sheetPr>
  <dimension ref="A1:O18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10.42578125" customWidth="1"/>
    <col min="2" max="2" width="21.42578125" customWidth="1"/>
    <col min="3" max="3" width="13.28515625" customWidth="1"/>
    <col min="5" max="5" width="6.28515625" customWidth="1"/>
    <col min="7" max="7" width="21.85546875" customWidth="1"/>
    <col min="8" max="8" width="9.7109375" customWidth="1"/>
    <col min="9" max="9" width="26.2851562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EN_02002_m+EN_02002_p</f>
        <v>1.75075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47"/>
    </row>
    <row r="4" spans="1:15" x14ac:dyDescent="0.25">
      <c r="A4" s="100" t="s">
        <v>5</v>
      </c>
      <c r="B4" s="69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475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7.0030000000000001</v>
      </c>
      <c r="O5" s="47"/>
    </row>
    <row r="6" spans="1:15" x14ac:dyDescent="0.25">
      <c r="A6" s="100" t="s">
        <v>7</v>
      </c>
      <c r="B6" s="17" t="s">
        <v>474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9" t="s">
        <v>23</v>
      </c>
      <c r="G10" s="469" t="s">
        <v>24</v>
      </c>
      <c r="H10" s="469" t="s">
        <v>25</v>
      </c>
      <c r="I10" s="469" t="s">
        <v>26</v>
      </c>
      <c r="J10" s="469" t="s">
        <v>27</v>
      </c>
      <c r="K10" s="469" t="s">
        <v>28</v>
      </c>
      <c r="L10" s="469" t="s">
        <v>29</v>
      </c>
      <c r="M10" s="469" t="s">
        <v>17</v>
      </c>
      <c r="N10" s="469" t="s">
        <v>18</v>
      </c>
      <c r="O10" s="47"/>
    </row>
    <row r="11" spans="1:15" s="14" customFormat="1" x14ac:dyDescent="0.25">
      <c r="A11" s="487">
        <v>10</v>
      </c>
      <c r="B11" s="481" t="s">
        <v>469</v>
      </c>
      <c r="C11" s="480" t="s">
        <v>468</v>
      </c>
      <c r="D11" s="472">
        <v>2.25</v>
      </c>
      <c r="E11" s="479">
        <f>PRODUCT(L11,J11,K11)</f>
        <v>0.157</v>
      </c>
      <c r="F11" s="478" t="s">
        <v>78</v>
      </c>
      <c r="G11" s="478"/>
      <c r="H11" s="477"/>
      <c r="I11" s="486" t="s">
        <v>473</v>
      </c>
      <c r="J11" s="485">
        <f>0.08*0.05</f>
        <v>4.0000000000000001E-3</v>
      </c>
      <c r="K11" s="474">
        <v>5.0000000000000001E-3</v>
      </c>
      <c r="L11" s="473">
        <v>7850</v>
      </c>
      <c r="M11" s="473">
        <v>1</v>
      </c>
      <c r="N11" s="472">
        <f>PRODUCT(D11,E11)</f>
        <v>0.35325000000000001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1" t="s">
        <v>18</v>
      </c>
      <c r="N12" s="103">
        <f>SUM(N11:N11)</f>
        <v>0.35325000000000001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0" t="s">
        <v>14</v>
      </c>
      <c r="B14" s="469" t="s">
        <v>31</v>
      </c>
      <c r="C14" s="469" t="s">
        <v>20</v>
      </c>
      <c r="D14" s="469" t="s">
        <v>21</v>
      </c>
      <c r="E14" s="469" t="s">
        <v>32</v>
      </c>
      <c r="F14" s="469" t="s">
        <v>17</v>
      </c>
      <c r="G14" s="469" t="s">
        <v>33</v>
      </c>
      <c r="H14" s="469" t="s">
        <v>34</v>
      </c>
      <c r="I14" s="469" t="s">
        <v>18</v>
      </c>
      <c r="J14" s="15"/>
      <c r="K14" s="15"/>
      <c r="L14" s="15"/>
      <c r="M14" s="15"/>
      <c r="N14" s="15"/>
      <c r="O14" s="47"/>
    </row>
    <row r="15" spans="1:15" s="14" customFormat="1" ht="30" x14ac:dyDescent="0.25">
      <c r="A15" s="468">
        <v>10</v>
      </c>
      <c r="B15" s="451" t="s">
        <v>45</v>
      </c>
      <c r="C15" s="466"/>
      <c r="D15" s="432">
        <v>1.3</v>
      </c>
      <c r="E15" s="467" t="s">
        <v>35</v>
      </c>
      <c r="F15" s="466">
        <v>0.25</v>
      </c>
      <c r="G15" s="457" t="s">
        <v>466</v>
      </c>
      <c r="H15" s="466"/>
      <c r="I15" s="432">
        <f>IF(H15="",D15*F15,D15*F15*H15)</f>
        <v>0.32500000000000001</v>
      </c>
      <c r="J15" s="465"/>
      <c r="K15" s="465"/>
      <c r="L15" s="465"/>
      <c r="M15" s="465"/>
      <c r="N15" s="465"/>
      <c r="O15" s="51"/>
    </row>
    <row r="16" spans="1:15" x14ac:dyDescent="0.25">
      <c r="A16" s="456">
        <v>20</v>
      </c>
      <c r="B16" s="451" t="s">
        <v>83</v>
      </c>
      <c r="C16" s="411" t="s">
        <v>472</v>
      </c>
      <c r="D16" s="432">
        <v>0.01</v>
      </c>
      <c r="E16" s="411" t="s">
        <v>46</v>
      </c>
      <c r="F16" s="484">
        <v>35.75</v>
      </c>
      <c r="G16" s="451" t="s">
        <v>82</v>
      </c>
      <c r="H16" s="450">
        <v>3</v>
      </c>
      <c r="I16" s="432">
        <f>IF(H16="",D16*F16,D16*F16*H16)</f>
        <v>1.0725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1.3975</v>
      </c>
      <c r="J17" s="15"/>
      <c r="K17" s="15"/>
      <c r="L17" s="15"/>
      <c r="M17" s="15"/>
      <c r="N17" s="15"/>
      <c r="O17" s="47"/>
    </row>
    <row r="18" spans="1:15" ht="15.75" thickBot="1" x14ac:dyDescent="0.3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6"/>
    </row>
  </sheetData>
  <hyperlinks>
    <hyperlink ref="E3" location="dEN_02002!A1" display="Drawing" xr:uid="{00000000-0004-0000-0400-000000000000}"/>
    <hyperlink ref="B4" location="EN_A0200" display="EN_A0200" xr:uid="{00000000-0004-0000-0400-000001000000}"/>
    <hyperlink ref="G2" location="EN_A0200_BOM" display="Back to BOM" xr:uid="{00000000-0004-0000-04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285" t="str">
        <f>EN_1100_003</f>
        <v>EN 11003</v>
      </c>
    </row>
  </sheetData>
  <hyperlinks>
    <hyperlink ref="A1" location="EN_1100_003" display="EN_1100_003" xr:uid="{00000000-0004-0000-4400-000000000000}"/>
  </hyperlinks>
  <pageMargins left="0.7" right="0.7" top="0.75" bottom="0.75" header="0.3" footer="0.3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6" tint="0.39997558519241921"/>
  </sheetPr>
  <dimension ref="A1:O24"/>
  <sheetViews>
    <sheetView zoomScale="70" zoomScaleNormal="70"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45.28515625" bestFit="1" customWidth="1"/>
    <col min="7" max="7" width="13.7109375" bestFit="1" customWidth="1"/>
    <col min="9" max="9" width="28.28515625" bestFit="1" customWidth="1"/>
  </cols>
  <sheetData>
    <row r="1" spans="1:15" x14ac:dyDescent="0.2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25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EN_1100_004_m+EN_1100_004_p</f>
        <v>9.0978820921659498</v>
      </c>
      <c r="O2" s="166"/>
    </row>
    <row r="3" spans="1:15" x14ac:dyDescent="0.25">
      <c r="A3" s="262" t="s">
        <v>3</v>
      </c>
      <c r="B3" s="258" t="s">
        <v>279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25">
      <c r="A4" s="241" t="s">
        <v>5</v>
      </c>
      <c r="B4" s="306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25">
      <c r="A5" s="241" t="s">
        <v>15</v>
      </c>
      <c r="B5" s="307" t="s">
        <v>398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9.0978820921659498</v>
      </c>
      <c r="O5" s="166"/>
    </row>
    <row r="6" spans="1:15" x14ac:dyDescent="0.25">
      <c r="A6" s="241" t="s">
        <v>7</v>
      </c>
      <c r="B6" s="260" t="s">
        <v>554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25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25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25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25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ht="30" x14ac:dyDescent="0.25">
      <c r="A11" s="308">
        <v>10</v>
      </c>
      <c r="B11" s="334" t="s">
        <v>163</v>
      </c>
      <c r="C11" s="270" t="s">
        <v>421</v>
      </c>
      <c r="D11" s="310">
        <v>2.25</v>
      </c>
      <c r="E11" s="342">
        <f>J11*K11*L11</f>
        <v>1.4725155965181997</v>
      </c>
      <c r="F11" s="236" t="s">
        <v>78</v>
      </c>
      <c r="G11" s="236"/>
      <c r="H11" s="191"/>
      <c r="I11" s="341" t="s">
        <v>420</v>
      </c>
      <c r="J11" s="190">
        <f>100.841*930.086/1000000</f>
        <v>9.3790802325999983E-2</v>
      </c>
      <c r="K11" s="266">
        <f>2/1000</f>
        <v>2E-3</v>
      </c>
      <c r="L11" s="189">
        <v>7850</v>
      </c>
      <c r="M11" s="340">
        <v>1</v>
      </c>
      <c r="N11" s="263">
        <f>IF(J11="",D11*M11,D11*J11*K11*L11*M11)</f>
        <v>3.3131600921659494</v>
      </c>
      <c r="O11" s="195"/>
    </row>
    <row r="12" spans="1:15" x14ac:dyDescent="0.25">
      <c r="A12" s="16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8" t="s">
        <v>18</v>
      </c>
      <c r="N12" s="103">
        <f>SUM(N11:N11)</f>
        <v>3.3131600921659494</v>
      </c>
      <c r="O12" s="166"/>
    </row>
    <row r="13" spans="1:15" x14ac:dyDescent="0.25">
      <c r="A13" s="17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6"/>
    </row>
    <row r="14" spans="1:15" x14ac:dyDescent="0.25">
      <c r="A14" s="241" t="s">
        <v>14</v>
      </c>
      <c r="B14" s="212" t="s">
        <v>31</v>
      </c>
      <c r="C14" s="212" t="s">
        <v>20</v>
      </c>
      <c r="D14" s="212" t="s">
        <v>21</v>
      </c>
      <c r="E14" s="212" t="s">
        <v>32</v>
      </c>
      <c r="F14" s="212" t="s">
        <v>17</v>
      </c>
      <c r="G14" s="212" t="s">
        <v>33</v>
      </c>
      <c r="H14" s="212" t="s">
        <v>34</v>
      </c>
      <c r="I14" s="212" t="s">
        <v>18</v>
      </c>
      <c r="J14" s="15"/>
      <c r="K14" s="15"/>
      <c r="L14" s="15"/>
      <c r="M14" s="15"/>
      <c r="N14" s="15"/>
      <c r="O14" s="166"/>
    </row>
    <row r="15" spans="1:15" ht="30" x14ac:dyDescent="0.25">
      <c r="A15" s="308">
        <v>10</v>
      </c>
      <c r="B15" s="264" t="s">
        <v>45</v>
      </c>
      <c r="C15" s="264" t="s">
        <v>419</v>
      </c>
      <c r="D15" s="310">
        <v>1.3</v>
      </c>
      <c r="E15" s="233" t="s">
        <v>32</v>
      </c>
      <c r="F15" s="309">
        <v>1</v>
      </c>
      <c r="G15" s="237"/>
      <c r="H15" s="237"/>
      <c r="I15" s="263">
        <f>IF(H15="",D15*F15,D15*F15*H15)</f>
        <v>1.3</v>
      </c>
      <c r="J15" s="41"/>
      <c r="K15" s="41"/>
      <c r="L15" s="41"/>
      <c r="M15" s="41"/>
      <c r="N15" s="41"/>
      <c r="O15" s="166"/>
    </row>
    <row r="16" spans="1:15" ht="30" x14ac:dyDescent="0.25">
      <c r="A16" s="308">
        <v>20</v>
      </c>
      <c r="B16" s="264" t="s">
        <v>83</v>
      </c>
      <c r="C16" s="264" t="s">
        <v>418</v>
      </c>
      <c r="D16" s="310">
        <v>0.01</v>
      </c>
      <c r="E16" s="233" t="s">
        <v>46</v>
      </c>
      <c r="F16" s="309">
        <f>(11+7.541*2+13*2+31.416+19+533.083+63.5+7.541*2+27.3*2+31.416+138.488+110.764+14.251+18.85*2+60.192)/10</f>
        <v>116.15740000000001</v>
      </c>
      <c r="G16" s="270" t="s">
        <v>365</v>
      </c>
      <c r="H16" s="335">
        <v>3</v>
      </c>
      <c r="I16" s="263">
        <f>IF(H16="",D16*F16,D16*F16*H16)</f>
        <v>3.4847220000000005</v>
      </c>
      <c r="J16" s="41"/>
      <c r="K16" s="41"/>
      <c r="L16" s="41"/>
      <c r="M16" s="41"/>
      <c r="N16" s="41"/>
      <c r="O16" s="166"/>
    </row>
    <row r="17" spans="1:15" x14ac:dyDescent="0.25">
      <c r="A17" s="308">
        <v>30</v>
      </c>
      <c r="B17" s="264" t="s">
        <v>86</v>
      </c>
      <c r="C17" s="264" t="s">
        <v>417</v>
      </c>
      <c r="D17" s="310">
        <v>0.25</v>
      </c>
      <c r="E17" s="233" t="s">
        <v>84</v>
      </c>
      <c r="F17" s="309">
        <v>4</v>
      </c>
      <c r="G17" s="237"/>
      <c r="H17" s="237"/>
      <c r="I17" s="263">
        <f>IF(H17="",D17*F17,D17*F17*H17)</f>
        <v>1</v>
      </c>
      <c r="J17" s="41"/>
      <c r="K17" s="41"/>
      <c r="L17" s="41"/>
      <c r="M17" s="41"/>
      <c r="N17" s="41"/>
      <c r="O17" s="166"/>
    </row>
    <row r="18" spans="1:15" x14ac:dyDescent="0.25">
      <c r="A18" s="173"/>
      <c r="B18" s="15"/>
      <c r="C18" s="15"/>
      <c r="D18" s="15"/>
      <c r="E18" s="15"/>
      <c r="F18" s="15"/>
      <c r="G18" s="15"/>
      <c r="H18" s="106" t="s">
        <v>18</v>
      </c>
      <c r="I18" s="291">
        <f>SUM(I15:I17)</f>
        <v>5.7847220000000004</v>
      </c>
      <c r="J18" s="41"/>
      <c r="K18" s="41"/>
      <c r="L18" s="41"/>
      <c r="M18" s="41"/>
      <c r="N18" s="41"/>
      <c r="O18" s="166"/>
    </row>
    <row r="19" spans="1:15" x14ac:dyDescent="0.25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5" x14ac:dyDescent="0.25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25">
      <c r="A21" s="173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6"/>
    </row>
    <row r="22" spans="1:15" x14ac:dyDescent="0.25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25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ht="15.75" thickBot="1" x14ac:dyDescent="0.3">
      <c r="A24" s="165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3"/>
    </row>
  </sheetData>
  <hyperlinks>
    <hyperlink ref="B4" location="EN_A1100" display="Driveshaft" xr:uid="{00000000-0004-0000-4500-000000000000}"/>
    <hyperlink ref="E3" location="dEN_11004!A1" display="Drawing" xr:uid="{00000000-0004-0000-4500-000001000000}"/>
    <hyperlink ref="G2" location="EN_A1100_BOM" display="Back to BOM" xr:uid="{00000000-0004-0000-4500-000002000000}"/>
  </hyperlinks>
  <pageMargins left="0.7" right="0.7" top="0.75" bottom="0.75" header="0.3" footer="0.3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9" t="str">
        <f>EN_1100_004</f>
        <v>EN 11004</v>
      </c>
    </row>
  </sheetData>
  <hyperlinks>
    <hyperlink ref="A1" location="EN_1100_004" display="EN_1100_004" xr:uid="{00000000-0004-0000-4600-000000000000}"/>
  </hyperlinks>
  <pageMargins left="0.7" right="0.7" top="0.75" bottom="0.75" header="0.3" footer="0.3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6" tint="0.39997558519241921"/>
  </sheetPr>
  <dimension ref="A1:Q23"/>
  <sheetViews>
    <sheetView zoomScale="70" zoomScaleNormal="70" workbookViewId="0">
      <selection activeCell="B4" sqref="B4"/>
    </sheetView>
  </sheetViews>
  <sheetFormatPr baseColWidth="10" defaultRowHeight="15" x14ac:dyDescent="0.25"/>
  <cols>
    <col min="2" max="2" width="35.42578125" bestFit="1" customWidth="1"/>
    <col min="3" max="3" width="33.140625" bestFit="1" customWidth="1"/>
    <col min="7" max="7" width="12" bestFit="1" customWidth="1"/>
    <col min="9" max="9" width="28" bestFit="1" customWidth="1"/>
  </cols>
  <sheetData>
    <row r="1" spans="1:17" x14ac:dyDescent="0.2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7" x14ac:dyDescent="0.25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EN_1100_005_m+EN_1100_005_p</f>
        <v>1.7144014375000001</v>
      </c>
      <c r="O2" s="166"/>
    </row>
    <row r="3" spans="1:17" x14ac:dyDescent="0.25">
      <c r="A3" s="262" t="s">
        <v>3</v>
      </c>
      <c r="B3" s="258" t="s">
        <v>279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7" x14ac:dyDescent="0.25">
      <c r="A4" s="343" t="s">
        <v>5</v>
      </c>
      <c r="B4" s="306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7" x14ac:dyDescent="0.25">
      <c r="A5" s="343" t="s">
        <v>15</v>
      </c>
      <c r="B5" s="307" t="s">
        <v>397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1.7144014375000001</v>
      </c>
      <c r="O5" s="166"/>
    </row>
    <row r="6" spans="1:17" x14ac:dyDescent="0.25">
      <c r="A6" s="343" t="s">
        <v>7</v>
      </c>
      <c r="B6" s="260" t="s">
        <v>555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7" x14ac:dyDescent="0.25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7" x14ac:dyDescent="0.25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7" x14ac:dyDescent="0.25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7" x14ac:dyDescent="0.25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7" x14ac:dyDescent="0.25">
      <c r="A11" s="235">
        <v>10</v>
      </c>
      <c r="B11" s="194" t="s">
        <v>163</v>
      </c>
      <c r="C11" s="209" t="s">
        <v>320</v>
      </c>
      <c r="D11" s="216">
        <v>2.25</v>
      </c>
      <c r="E11" s="225">
        <f>J11*K11*L11</f>
        <v>1.8015750000000001E-2</v>
      </c>
      <c r="F11" s="215" t="s">
        <v>78</v>
      </c>
      <c r="G11" s="215"/>
      <c r="H11" s="223"/>
      <c r="I11" s="224" t="s">
        <v>422</v>
      </c>
      <c r="J11" s="224">
        <f>30.6*25/1000000</f>
        <v>7.6499999999999995E-4</v>
      </c>
      <c r="K11" s="220">
        <f>3/1000</f>
        <v>3.0000000000000001E-3</v>
      </c>
      <c r="L11" s="219">
        <v>7850</v>
      </c>
      <c r="M11" s="219">
        <v>1</v>
      </c>
      <c r="N11" s="216">
        <f>M11*L11*J11*K11*D11</f>
        <v>4.0535437499999993E-2</v>
      </c>
      <c r="O11" s="195"/>
    </row>
    <row r="12" spans="1:17" x14ac:dyDescent="0.25">
      <c r="A12" s="16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8" t="s">
        <v>18</v>
      </c>
      <c r="N12" s="103">
        <f>SUM(N11:N11)</f>
        <v>4.0535437499999993E-2</v>
      </c>
      <c r="O12" s="166"/>
    </row>
    <row r="13" spans="1:17" x14ac:dyDescent="0.25">
      <c r="A13" s="17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6"/>
    </row>
    <row r="14" spans="1:17" x14ac:dyDescent="0.25">
      <c r="A14" s="241" t="s">
        <v>14</v>
      </c>
      <c r="B14" s="212" t="s">
        <v>31</v>
      </c>
      <c r="C14" s="212" t="s">
        <v>20</v>
      </c>
      <c r="D14" s="212" t="s">
        <v>21</v>
      </c>
      <c r="E14" s="212" t="s">
        <v>32</v>
      </c>
      <c r="F14" s="212" t="s">
        <v>17</v>
      </c>
      <c r="G14" s="212" t="s">
        <v>33</v>
      </c>
      <c r="H14" s="212" t="s">
        <v>34</v>
      </c>
      <c r="I14" s="212" t="s">
        <v>18</v>
      </c>
      <c r="J14" s="15"/>
      <c r="K14" s="15"/>
      <c r="L14" s="15"/>
      <c r="M14" s="15"/>
      <c r="N14" s="15"/>
      <c r="O14" s="166"/>
    </row>
    <row r="15" spans="1:17" x14ac:dyDescent="0.25">
      <c r="A15" s="254">
        <v>10</v>
      </c>
      <c r="B15" s="276" t="s">
        <v>45</v>
      </c>
      <c r="C15" s="239" t="s">
        <v>304</v>
      </c>
      <c r="D15" s="275">
        <v>1.3</v>
      </c>
      <c r="E15" s="236" t="s">
        <v>32</v>
      </c>
      <c r="F15" s="236">
        <v>1</v>
      </c>
      <c r="G15" s="270"/>
      <c r="H15" s="239"/>
      <c r="I15" s="216">
        <f>IF(H15="",D15*F15,D15*F15*H15)</f>
        <v>1.3</v>
      </c>
      <c r="J15" s="43"/>
      <c r="K15" s="43"/>
      <c r="L15" s="43"/>
      <c r="M15" s="43"/>
      <c r="N15" s="43"/>
      <c r="O15" s="166"/>
      <c r="Q15" s="108"/>
    </row>
    <row r="16" spans="1:17" x14ac:dyDescent="0.25">
      <c r="A16" s="272">
        <v>20</v>
      </c>
      <c r="B16" s="239" t="s">
        <v>83</v>
      </c>
      <c r="C16" s="264" t="s">
        <v>317</v>
      </c>
      <c r="D16" s="275">
        <v>0.01</v>
      </c>
      <c r="E16" s="236" t="s">
        <v>46</v>
      </c>
      <c r="F16" s="236">
        <f>124.622/10</f>
        <v>12.462199999999999</v>
      </c>
      <c r="G16" s="236" t="s">
        <v>316</v>
      </c>
      <c r="H16" s="236">
        <v>3</v>
      </c>
      <c r="I16" s="216">
        <f>IF(H16="",D16*F16,D16*F16*H16)</f>
        <v>0.37386599999999998</v>
      </c>
      <c r="J16" s="43"/>
      <c r="K16" s="43"/>
      <c r="L16" s="43"/>
      <c r="M16" s="43"/>
      <c r="N16" s="43"/>
      <c r="O16" s="166"/>
    </row>
    <row r="17" spans="1:15" x14ac:dyDescent="0.25">
      <c r="A17" s="169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1.6738660000000001</v>
      </c>
      <c r="J17" s="15"/>
      <c r="K17" s="15"/>
      <c r="L17" s="15"/>
      <c r="M17" s="15"/>
      <c r="N17" s="15"/>
      <c r="O17" s="166"/>
    </row>
    <row r="18" spans="1:15" x14ac:dyDescent="0.25">
      <c r="A18" s="173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6"/>
    </row>
    <row r="19" spans="1:15" x14ac:dyDescent="0.25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5" x14ac:dyDescent="0.25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25">
      <c r="A21" s="173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6"/>
    </row>
    <row r="22" spans="1:15" x14ac:dyDescent="0.25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ht="15.75" thickBot="1" x14ac:dyDescent="0.3">
      <c r="A23" s="165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3"/>
    </row>
  </sheetData>
  <hyperlinks>
    <hyperlink ref="B4" location="EN_A1100" display="Driveshaft" xr:uid="{00000000-0004-0000-4700-000000000000}"/>
    <hyperlink ref="E3" location="dEN_11005!A1" display="Drawing" xr:uid="{00000000-0004-0000-4700-000001000000}"/>
    <hyperlink ref="G2" location="EN_A1100_BOM" display="Back to BOM" xr:uid="{00000000-0004-0000-4700-000002000000}"/>
  </hyperlinks>
  <pageMargins left="0.7" right="0.7" top="0.75" bottom="0.75" header="0.3" footer="0.3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9" t="str">
        <f>EN_1100_005</f>
        <v>EN 11005</v>
      </c>
    </row>
  </sheetData>
  <hyperlinks>
    <hyperlink ref="A1" location="EN_1100_005" display="EN_1100_005" xr:uid="{00000000-0004-0000-4800-000000000000}"/>
  </hyperlinks>
  <pageMargins left="0.7" right="0.7" top="0.75" bottom="0.75" header="0.3" footer="0.3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6" tint="0.39997558519241921"/>
  </sheetPr>
  <dimension ref="A1:O23"/>
  <sheetViews>
    <sheetView zoomScale="85" zoomScaleNormal="85"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14" bestFit="1" customWidth="1"/>
    <col min="9" max="9" width="27" bestFit="1" customWidth="1"/>
  </cols>
  <sheetData>
    <row r="1" spans="1:15" x14ac:dyDescent="0.2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25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EN_1100_006_m+EN_1100_006_p</f>
        <v>1.7139456024999999</v>
      </c>
      <c r="O2" s="166"/>
    </row>
    <row r="3" spans="1:15" x14ac:dyDescent="0.25">
      <c r="A3" s="262" t="s">
        <v>3</v>
      </c>
      <c r="B3" s="258" t="s">
        <v>279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25">
      <c r="A4" s="343" t="s">
        <v>5</v>
      </c>
      <c r="B4" s="306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25">
      <c r="A5" s="343" t="s">
        <v>15</v>
      </c>
      <c r="B5" s="307" t="s">
        <v>396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1.7139456024999999</v>
      </c>
      <c r="O5" s="166"/>
    </row>
    <row r="6" spans="1:15" x14ac:dyDescent="0.25">
      <c r="A6" s="343" t="s">
        <v>7</v>
      </c>
      <c r="B6" s="260" t="s">
        <v>556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25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25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25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25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166"/>
    </row>
    <row r="11" spans="1:15" x14ac:dyDescent="0.25">
      <c r="A11" s="349">
        <v>10</v>
      </c>
      <c r="B11" s="348" t="s">
        <v>163</v>
      </c>
      <c r="C11" s="347" t="s">
        <v>320</v>
      </c>
      <c r="D11" s="216">
        <v>2.25</v>
      </c>
      <c r="E11" s="225">
        <f>J11*K11*L11</f>
        <v>1.6574490000000001E-2</v>
      </c>
      <c r="F11" s="215" t="s">
        <v>78</v>
      </c>
      <c r="G11" s="215"/>
      <c r="H11" s="223"/>
      <c r="I11" s="224" t="s">
        <v>423</v>
      </c>
      <c r="J11" s="224">
        <f>30.6*23/1000000</f>
        <v>7.0380000000000009E-4</v>
      </c>
      <c r="K11" s="220">
        <f>3/1000</f>
        <v>3.0000000000000001E-3</v>
      </c>
      <c r="L11" s="219">
        <v>7850</v>
      </c>
      <c r="M11" s="219">
        <v>1</v>
      </c>
      <c r="N11" s="216">
        <f>M11*L11*J11*K11*D11</f>
        <v>3.7292602500000001E-2</v>
      </c>
      <c r="O11" s="195"/>
    </row>
    <row r="12" spans="1:15" x14ac:dyDescent="0.25">
      <c r="A12" s="16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3.7292602500000001E-2</v>
      </c>
      <c r="O12" s="166"/>
    </row>
    <row r="13" spans="1:15" x14ac:dyDescent="0.25">
      <c r="A13" s="17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6"/>
    </row>
    <row r="14" spans="1:15" x14ac:dyDescent="0.25">
      <c r="A14" s="346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166"/>
    </row>
    <row r="15" spans="1:15" ht="30" x14ac:dyDescent="0.25">
      <c r="A15" s="254">
        <v>10</v>
      </c>
      <c r="B15" s="345" t="s">
        <v>45</v>
      </c>
      <c r="C15" s="239" t="s">
        <v>304</v>
      </c>
      <c r="D15" s="275">
        <v>1.3</v>
      </c>
      <c r="E15" s="236" t="s">
        <v>32</v>
      </c>
      <c r="F15" s="236">
        <v>1</v>
      </c>
      <c r="G15" s="270"/>
      <c r="H15" s="239"/>
      <c r="I15" s="216">
        <f>IF(H15="",D15*F15,D15*F15*H15)</f>
        <v>1.3</v>
      </c>
      <c r="J15" s="43"/>
      <c r="K15" s="43"/>
      <c r="L15" s="43"/>
      <c r="M15" s="43"/>
      <c r="N15" s="43"/>
      <c r="O15" s="166"/>
    </row>
    <row r="16" spans="1:15" ht="30" x14ac:dyDescent="0.25">
      <c r="A16" s="344">
        <v>20</v>
      </c>
      <c r="B16" s="239" t="s">
        <v>83</v>
      </c>
      <c r="C16" s="264" t="s">
        <v>317</v>
      </c>
      <c r="D16" s="275">
        <v>0.01</v>
      </c>
      <c r="E16" s="236" t="s">
        <v>46</v>
      </c>
      <c r="F16" s="236">
        <f>125.551/10</f>
        <v>12.555099999999999</v>
      </c>
      <c r="G16" s="236" t="s">
        <v>316</v>
      </c>
      <c r="H16" s="236">
        <v>3</v>
      </c>
      <c r="I16" s="216">
        <f>IF(H16="",D16*F16,D16*F16*H16)</f>
        <v>0.37665300000000002</v>
      </c>
      <c r="J16" s="43"/>
      <c r="K16" s="43"/>
      <c r="L16" s="43"/>
      <c r="M16" s="43"/>
      <c r="N16" s="43"/>
      <c r="O16" s="166"/>
    </row>
    <row r="17" spans="1:15" x14ac:dyDescent="0.25">
      <c r="A17" s="169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1.6766529999999999</v>
      </c>
      <c r="J17" s="15"/>
      <c r="K17" s="15"/>
      <c r="L17" s="15"/>
      <c r="M17" s="15"/>
      <c r="N17" s="15"/>
      <c r="O17" s="166"/>
    </row>
    <row r="18" spans="1:15" x14ac:dyDescent="0.25">
      <c r="A18" s="173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6"/>
    </row>
    <row r="19" spans="1:15" x14ac:dyDescent="0.25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5" x14ac:dyDescent="0.25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25">
      <c r="A21" s="173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6"/>
    </row>
    <row r="22" spans="1:15" x14ac:dyDescent="0.25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ht="15.75" thickBot="1" x14ac:dyDescent="0.3">
      <c r="A23" s="165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3"/>
    </row>
  </sheetData>
  <hyperlinks>
    <hyperlink ref="B4" location="EN_A1100" display="Driveshaft" xr:uid="{00000000-0004-0000-4900-000000000000}"/>
    <hyperlink ref="E3" location="dEN_11006!A1" display="Drawing" xr:uid="{00000000-0004-0000-4900-000001000000}"/>
    <hyperlink ref="G2" location="EN_A1100_BOM" display="Back to BOM" xr:uid="{00000000-0004-0000-4900-000002000000}"/>
  </hyperlinks>
  <pageMargins left="0.7" right="0.7" top="0.75" bottom="0.75" header="0.3" footer="0.3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9" t="str">
        <f>EN_1100_006</f>
        <v>EN 11006</v>
      </c>
    </row>
  </sheetData>
  <hyperlinks>
    <hyperlink ref="A1" location="EN_1100_006" display="EN_1100_006" xr:uid="{00000000-0004-0000-4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B1"/>
  <sheetViews>
    <sheetView workbookViewId="0"/>
  </sheetViews>
  <sheetFormatPr baseColWidth="10" defaultRowHeight="15" x14ac:dyDescent="0.25"/>
  <cols>
    <col min="1" max="1" width="13.5703125" customWidth="1"/>
  </cols>
  <sheetData>
    <row r="1" spans="1:2" x14ac:dyDescent="0.25">
      <c r="A1" s="69" t="s">
        <v>66</v>
      </c>
      <c r="B1" s="69" t="str">
        <f>EN_02002</f>
        <v>EN 02002</v>
      </c>
    </row>
  </sheetData>
  <hyperlinks>
    <hyperlink ref="A1:B1" location="EN_02002" display="Drawing part :" xr:uid="{00000000-0004-0000-05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0.39997558519241921"/>
    <pageSetUpPr fitToPage="1"/>
  </sheetPr>
  <dimension ref="A1:O25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7.85546875" customWidth="1"/>
    <col min="5" max="5" width="8.28515625" customWidth="1"/>
    <col min="6" max="6" width="10" customWidth="1"/>
    <col min="7" max="7" width="8.85546875" customWidth="1"/>
    <col min="8" max="8" width="9.85546875" customWidth="1"/>
    <col min="9" max="9" width="20.140625" customWidth="1"/>
    <col min="10" max="10" width="9.28515625" customWidth="1"/>
    <col min="12" max="12" width="8.5703125" customWidth="1"/>
    <col min="14" max="14" width="11.570312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EN_02003_m+EN_02003_p+EN_02003_t</f>
        <v>109.43393911329514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484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109.43393911329514</v>
      </c>
      <c r="O5" s="47"/>
    </row>
    <row r="6" spans="1:15" x14ac:dyDescent="0.25">
      <c r="A6" s="100" t="s">
        <v>7</v>
      </c>
      <c r="B6" s="17" t="s">
        <v>483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482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9" t="s">
        <v>23</v>
      </c>
      <c r="G10" s="469" t="s">
        <v>24</v>
      </c>
      <c r="H10" s="469" t="s">
        <v>25</v>
      </c>
      <c r="I10" s="469" t="s">
        <v>26</v>
      </c>
      <c r="J10" s="469" t="s">
        <v>27</v>
      </c>
      <c r="K10" s="469" t="s">
        <v>28</v>
      </c>
      <c r="L10" s="469" t="s">
        <v>29</v>
      </c>
      <c r="M10" s="469" t="s">
        <v>17</v>
      </c>
      <c r="N10" s="469" t="s">
        <v>18</v>
      </c>
      <c r="O10" s="47"/>
    </row>
    <row r="11" spans="1:15" s="14" customFormat="1" x14ac:dyDescent="0.25">
      <c r="A11" s="502">
        <v>10</v>
      </c>
      <c r="B11" s="506" t="s">
        <v>481</v>
      </c>
      <c r="C11" s="505" t="s">
        <v>480</v>
      </c>
      <c r="D11" s="504">
        <v>2.25</v>
      </c>
      <c r="E11" s="503"/>
      <c r="F11" s="502" t="s">
        <v>78</v>
      </c>
      <c r="G11" s="502"/>
      <c r="H11" s="501"/>
      <c r="I11" s="500" t="s">
        <v>479</v>
      </c>
      <c r="J11" s="499">
        <f>PI()*((0.034+0.0012)*(0.034+0.0012)-0.034*0.034)/4</f>
        <v>6.521946348852405E-5</v>
      </c>
      <c r="K11" s="498">
        <v>1.43</v>
      </c>
      <c r="L11" s="497">
        <v>7850</v>
      </c>
      <c r="M11" s="496">
        <v>1</v>
      </c>
      <c r="N11" s="432">
        <f>IF(J11="",D11*M11,D11*J11*K11*L11*M11)</f>
        <v>1.6472724466284603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1" t="s">
        <v>18</v>
      </c>
      <c r="N12" s="103">
        <f>SUM(N11:N11)</f>
        <v>1.6472724466284603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0" t="s">
        <v>14</v>
      </c>
      <c r="B14" s="469" t="s">
        <v>31</v>
      </c>
      <c r="C14" s="469" t="s">
        <v>20</v>
      </c>
      <c r="D14" s="469" t="s">
        <v>21</v>
      </c>
      <c r="E14" s="469" t="s">
        <v>32</v>
      </c>
      <c r="F14" s="469" t="s">
        <v>17</v>
      </c>
      <c r="G14" s="469" t="s">
        <v>33</v>
      </c>
      <c r="H14" s="469" t="s">
        <v>34</v>
      </c>
      <c r="I14" s="469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494">
        <v>10</v>
      </c>
      <c r="B15" s="409" t="s">
        <v>478</v>
      </c>
      <c r="C15" s="419"/>
      <c r="D15" s="423">
        <v>0.15</v>
      </c>
      <c r="E15" s="419" t="s">
        <v>46</v>
      </c>
      <c r="F15" s="495">
        <f>27*3.4</f>
        <v>91.8</v>
      </c>
      <c r="G15" s="451"/>
      <c r="H15" s="450"/>
      <c r="I15" s="432">
        <f>IF(H15="",D15*F15,D15*F15*H15)</f>
        <v>13.77</v>
      </c>
      <c r="J15" s="43"/>
      <c r="K15" s="43"/>
      <c r="L15" s="43"/>
      <c r="M15" s="43"/>
      <c r="N15" s="43"/>
      <c r="O15" s="53"/>
    </row>
    <row r="16" spans="1:15" x14ac:dyDescent="0.25">
      <c r="A16" s="493">
        <v>20</v>
      </c>
      <c r="B16" s="409" t="s">
        <v>477</v>
      </c>
      <c r="C16" s="420"/>
      <c r="D16" s="423">
        <v>0.75</v>
      </c>
      <c r="E16" s="409" t="s">
        <v>84</v>
      </c>
      <c r="F16" s="420">
        <v>17</v>
      </c>
      <c r="G16" s="459"/>
      <c r="H16" s="459"/>
      <c r="I16" s="399">
        <f>IF(H16="",D16*F16,D16*F16*H16)</f>
        <v>12.75</v>
      </c>
      <c r="J16" s="41"/>
      <c r="K16" s="41"/>
      <c r="L16" s="41"/>
      <c r="M16" s="41"/>
      <c r="N16" s="41"/>
      <c r="O16" s="47"/>
    </row>
    <row r="17" spans="1:15" s="12" customFormat="1" ht="30" x14ac:dyDescent="0.25">
      <c r="A17" s="494">
        <v>30</v>
      </c>
      <c r="B17" s="409" t="s">
        <v>451</v>
      </c>
      <c r="C17" s="420"/>
      <c r="D17" s="423">
        <v>0.75</v>
      </c>
      <c r="E17" s="409" t="s">
        <v>449</v>
      </c>
      <c r="F17" s="420">
        <v>46</v>
      </c>
      <c r="G17" s="450"/>
      <c r="H17" s="450"/>
      <c r="I17" s="432">
        <f>IF(H17="",D17*F17,D17*F17*H17)</f>
        <v>34.5</v>
      </c>
      <c r="J17" s="42"/>
      <c r="K17" s="42"/>
      <c r="L17" s="42"/>
      <c r="M17" s="42"/>
      <c r="N17" s="42"/>
      <c r="O17" s="50"/>
    </row>
    <row r="18" spans="1:15" x14ac:dyDescent="0.25">
      <c r="A18" s="493">
        <v>40</v>
      </c>
      <c r="B18" s="409" t="s">
        <v>448</v>
      </c>
      <c r="C18" s="420"/>
      <c r="D18" s="423">
        <v>0.5</v>
      </c>
      <c r="E18" s="409" t="s">
        <v>46</v>
      </c>
      <c r="F18" s="420">
        <f>23*3.4</f>
        <v>78.2</v>
      </c>
      <c r="G18" s="451"/>
      <c r="H18" s="450"/>
      <c r="I18" s="432">
        <f>IF(H18="",D18*F18,D18*F18*H18)</f>
        <v>39.1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100.12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92"/>
      <c r="B21" s="42"/>
      <c r="C21" s="42"/>
      <c r="D21" s="42"/>
      <c r="E21" s="42"/>
      <c r="F21" s="42"/>
      <c r="G21" s="42"/>
      <c r="H21" s="491"/>
      <c r="I21" s="490"/>
      <c r="J21" s="42"/>
      <c r="K21" s="41"/>
      <c r="L21" s="41"/>
      <c r="M21" s="41"/>
      <c r="N21" s="41"/>
      <c r="O21" s="47"/>
    </row>
    <row r="22" spans="1:15" x14ac:dyDescent="0.25">
      <c r="A22" s="470" t="s">
        <v>14</v>
      </c>
      <c r="B22" s="469" t="s">
        <v>39</v>
      </c>
      <c r="C22" s="469" t="s">
        <v>20</v>
      </c>
      <c r="D22" s="469" t="s">
        <v>21</v>
      </c>
      <c r="E22" s="469" t="s">
        <v>32</v>
      </c>
      <c r="F22" s="469" t="s">
        <v>17</v>
      </c>
      <c r="G22" s="469" t="s">
        <v>40</v>
      </c>
      <c r="H22" s="469" t="s">
        <v>476</v>
      </c>
      <c r="I22" s="469" t="s">
        <v>18</v>
      </c>
      <c r="J22" s="15"/>
      <c r="K22" s="41"/>
      <c r="L22" s="41"/>
      <c r="M22" s="41"/>
      <c r="N22" s="41"/>
      <c r="O22" s="47"/>
    </row>
    <row r="23" spans="1:15" s="12" customFormat="1" x14ac:dyDescent="0.25">
      <c r="A23" s="419">
        <v>10</v>
      </c>
      <c r="B23" s="489" t="s">
        <v>42</v>
      </c>
      <c r="C23" s="419"/>
      <c r="D23" s="488">
        <v>500</v>
      </c>
      <c r="E23" s="419" t="s">
        <v>43</v>
      </c>
      <c r="F23" s="419">
        <v>46</v>
      </c>
      <c r="G23" s="419">
        <v>3000</v>
      </c>
      <c r="H23" s="419">
        <v>1</v>
      </c>
      <c r="I23" s="432">
        <f>D23*F23/G23*H23</f>
        <v>7.666666666666667</v>
      </c>
      <c r="J23" s="42"/>
      <c r="K23" s="42"/>
      <c r="L23" s="42"/>
      <c r="M23" s="42"/>
      <c r="N23" s="42"/>
      <c r="O23" s="50"/>
    </row>
    <row r="24" spans="1:15" x14ac:dyDescent="0.25">
      <c r="A24" s="52"/>
      <c r="B24" s="15"/>
      <c r="C24" s="15"/>
      <c r="D24" s="15"/>
      <c r="E24" s="15"/>
      <c r="F24" s="15"/>
      <c r="G24" s="15"/>
      <c r="H24" s="106" t="s">
        <v>18</v>
      </c>
      <c r="I24" s="103">
        <f>SUM(I23:I23)</f>
        <v>7.666666666666667</v>
      </c>
      <c r="J24" s="15"/>
      <c r="K24" s="41"/>
      <c r="L24" s="41"/>
      <c r="M24" s="41"/>
      <c r="N24" s="41"/>
      <c r="O24" s="47"/>
    </row>
    <row r="25" spans="1:15" ht="15.75" thickBot="1" x14ac:dyDescent="0.3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6"/>
    </row>
  </sheetData>
  <hyperlinks>
    <hyperlink ref="B4" location="EN_A0200" display="EN_A0200" xr:uid="{00000000-0004-0000-0600-000000000000}"/>
    <hyperlink ref="G2" location="EN_A0200_BOM" display="Back to BOM" xr:uid="{00000000-0004-0000-06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5" max="16383" man="1"/>
    <brk id="59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39997558519241921"/>
    <pageSetUpPr fitToPage="1"/>
  </sheetPr>
  <dimension ref="A1:O24"/>
  <sheetViews>
    <sheetView zoomScale="85" zoomScaleNormal="8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7109375" customWidth="1"/>
    <col min="3" max="3" width="17.28515625" customWidth="1"/>
    <col min="5" max="5" width="7" customWidth="1"/>
    <col min="6" max="6" width="8.42578125" customWidth="1"/>
    <col min="7" max="7" width="5.140625" customWidth="1"/>
    <col min="8" max="8" width="9" customWidth="1"/>
    <col min="9" max="9" width="21.140625" customWidth="1"/>
    <col min="10" max="10" width="9.28515625" customWidth="1"/>
    <col min="12" max="12" width="7.8554687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EN_02004_m+EN_02004_p+EN_02004_t</f>
        <v>20.228377789788073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489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40.456755579576146</v>
      </c>
      <c r="O5" s="47"/>
    </row>
    <row r="6" spans="1:15" x14ac:dyDescent="0.25">
      <c r="A6" s="100" t="s">
        <v>7</v>
      </c>
      <c r="B6" s="17" t="s">
        <v>488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487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9" t="s">
        <v>23</v>
      </c>
      <c r="G10" s="469" t="s">
        <v>24</v>
      </c>
      <c r="H10" s="469" t="s">
        <v>25</v>
      </c>
      <c r="I10" s="469" t="s">
        <v>26</v>
      </c>
      <c r="J10" s="469" t="s">
        <v>27</v>
      </c>
      <c r="K10" s="469" t="s">
        <v>28</v>
      </c>
      <c r="L10" s="469" t="s">
        <v>29</v>
      </c>
      <c r="M10" s="469" t="s">
        <v>17</v>
      </c>
      <c r="N10" s="469" t="s">
        <v>18</v>
      </c>
      <c r="O10" s="47"/>
    </row>
    <row r="11" spans="1:15" s="16" customFormat="1" x14ac:dyDescent="0.25">
      <c r="A11" s="464">
        <v>10</v>
      </c>
      <c r="B11" s="481" t="s">
        <v>481</v>
      </c>
      <c r="C11" s="516" t="s">
        <v>486</v>
      </c>
      <c r="D11" s="515">
        <v>2.25</v>
      </c>
      <c r="E11" s="514"/>
      <c r="F11" s="514" t="s">
        <v>78</v>
      </c>
      <c r="G11" s="514"/>
      <c r="H11" s="513"/>
      <c r="I11" s="512" t="s">
        <v>479</v>
      </c>
      <c r="J11" s="499">
        <f>PI()*((0.034+0.0012)*(0.034+0.0012)-0.034*0.034)/4</f>
        <v>6.521946348852405E-5</v>
      </c>
      <c r="K11" s="517">
        <f>2*(0.0825+0.02)</f>
        <v>0.20500000000000002</v>
      </c>
      <c r="L11" s="510">
        <v>7850</v>
      </c>
      <c r="M11" s="509">
        <v>1</v>
      </c>
      <c r="N11" s="399">
        <f>IF(J11="",D11*M11,D11*J11*K11*L11*M11)</f>
        <v>0.23614744864254153</v>
      </c>
      <c r="O11" s="53"/>
    </row>
    <row r="12" spans="1:15" s="16" customFormat="1" ht="14.25" customHeight="1" x14ac:dyDescent="0.25">
      <c r="A12" s="462">
        <v>20</v>
      </c>
      <c r="B12" s="481" t="s">
        <v>481</v>
      </c>
      <c r="C12" s="516" t="s">
        <v>486</v>
      </c>
      <c r="D12" s="515">
        <v>2.25</v>
      </c>
      <c r="E12" s="514"/>
      <c r="F12" s="514" t="s">
        <v>78</v>
      </c>
      <c r="G12" s="514"/>
      <c r="H12" s="513"/>
      <c r="I12" s="512" t="s">
        <v>485</v>
      </c>
      <c r="J12" s="499">
        <f>PI()*((0.0421+0.0015)*(0.0421+0.0015)-0.0421*0.0421)/4</f>
        <v>1.0096293390474202E-4</v>
      </c>
      <c r="K12" s="511">
        <v>0.03</v>
      </c>
      <c r="L12" s="510">
        <v>7850</v>
      </c>
      <c r="M12" s="509">
        <v>1</v>
      </c>
      <c r="N12" s="399">
        <f>IF(J12="",D12*M12,D12*J12*K12*L12*M12)</f>
        <v>5.3497734602775175E-2</v>
      </c>
      <c r="O12" s="53"/>
    </row>
    <row r="13" spans="1:15" x14ac:dyDescent="0.25">
      <c r="A13" s="52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471" t="s">
        <v>18</v>
      </c>
      <c r="N13" s="103">
        <f>SUM(N11:N12)</f>
        <v>0.28964518324531668</v>
      </c>
      <c r="O13" s="47"/>
    </row>
    <row r="14" spans="1:15" x14ac:dyDescent="0.25">
      <c r="A14" s="48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7"/>
    </row>
    <row r="15" spans="1:15" x14ac:dyDescent="0.25">
      <c r="A15" s="470" t="s">
        <v>14</v>
      </c>
      <c r="B15" s="469" t="s">
        <v>31</v>
      </c>
      <c r="C15" s="469" t="s">
        <v>20</v>
      </c>
      <c r="D15" s="469" t="s">
        <v>21</v>
      </c>
      <c r="E15" s="469" t="s">
        <v>32</v>
      </c>
      <c r="F15" s="469" t="s">
        <v>17</v>
      </c>
      <c r="G15" s="469" t="s">
        <v>33</v>
      </c>
      <c r="H15" s="469" t="s">
        <v>34</v>
      </c>
      <c r="I15" s="469" t="s">
        <v>18</v>
      </c>
      <c r="J15" s="15"/>
      <c r="K15" s="15"/>
      <c r="L15" s="15"/>
      <c r="M15" s="15"/>
      <c r="N15" s="15"/>
      <c r="O15" s="47"/>
    </row>
    <row r="16" spans="1:15" s="16" customFormat="1" x14ac:dyDescent="0.25">
      <c r="A16" s="508">
        <v>10</v>
      </c>
      <c r="B16" s="409" t="s">
        <v>478</v>
      </c>
      <c r="C16" s="419"/>
      <c r="D16" s="423">
        <v>0.15</v>
      </c>
      <c r="E16" s="419" t="s">
        <v>46</v>
      </c>
      <c r="F16" s="495">
        <f>6*3.4+1*4.2</f>
        <v>24.599999999999998</v>
      </c>
      <c r="G16" s="459"/>
      <c r="H16" s="459"/>
      <c r="I16" s="399">
        <f>IF(H16="",D16*F16,D16*F16*H16)</f>
        <v>3.6899999999999995</v>
      </c>
      <c r="J16" s="43"/>
      <c r="K16" s="43"/>
      <c r="L16" s="43"/>
      <c r="M16" s="43"/>
      <c r="N16" s="43"/>
      <c r="O16" s="53"/>
    </row>
    <row r="17" spans="1:15" ht="30" x14ac:dyDescent="0.25">
      <c r="A17" s="456">
        <v>20</v>
      </c>
      <c r="B17" s="409" t="s">
        <v>451</v>
      </c>
      <c r="C17" s="420"/>
      <c r="D17" s="423">
        <v>0.75</v>
      </c>
      <c r="E17" s="409" t="s">
        <v>449</v>
      </c>
      <c r="F17" s="420">
        <v>9</v>
      </c>
      <c r="G17" s="451"/>
      <c r="H17" s="450"/>
      <c r="I17" s="432">
        <f>IF(H17="",D17*F17,D17*F17*H17)</f>
        <v>6.75</v>
      </c>
      <c r="J17" s="41"/>
      <c r="K17" s="41"/>
      <c r="L17" s="41"/>
      <c r="M17" s="41"/>
      <c r="N17" s="41"/>
      <c r="O17" s="47"/>
    </row>
    <row r="18" spans="1:15" s="12" customFormat="1" x14ac:dyDescent="0.25">
      <c r="A18" s="458">
        <v>30</v>
      </c>
      <c r="B18" s="409" t="s">
        <v>448</v>
      </c>
      <c r="C18" s="420"/>
      <c r="D18" s="423">
        <v>0.5</v>
      </c>
      <c r="E18" s="409" t="s">
        <v>46</v>
      </c>
      <c r="F18" s="507">
        <f>2*3.4+1*4.2+15.7/PI()</f>
        <v>15.997465213085514</v>
      </c>
      <c r="G18" s="450"/>
      <c r="H18" s="450"/>
      <c r="I18" s="432">
        <f>IF(H18="",D18*F18,D18*F18*H18)</f>
        <v>7.9987326065427569</v>
      </c>
      <c r="J18" s="42"/>
      <c r="K18" s="42"/>
      <c r="L18" s="42"/>
      <c r="M18" s="42"/>
      <c r="N18" s="42"/>
      <c r="O18" s="50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SUM(I16:I18)</f>
        <v>18.438732606542757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70" t="s">
        <v>14</v>
      </c>
      <c r="B21" s="469" t="s">
        <v>39</v>
      </c>
      <c r="C21" s="469" t="s">
        <v>20</v>
      </c>
      <c r="D21" s="469" t="s">
        <v>21</v>
      </c>
      <c r="E21" s="469" t="s">
        <v>32</v>
      </c>
      <c r="F21" s="469" t="s">
        <v>17</v>
      </c>
      <c r="G21" s="469" t="s">
        <v>40</v>
      </c>
      <c r="H21" s="469" t="s">
        <v>476</v>
      </c>
      <c r="I21" s="469" t="s">
        <v>18</v>
      </c>
      <c r="J21" s="15"/>
      <c r="K21" s="41"/>
      <c r="L21" s="41"/>
      <c r="M21" s="41"/>
      <c r="N21" s="41"/>
      <c r="O21" s="47"/>
    </row>
    <row r="22" spans="1:15" s="12" customFormat="1" x14ac:dyDescent="0.25">
      <c r="A22" s="456">
        <v>10</v>
      </c>
      <c r="B22" s="411" t="s">
        <v>42</v>
      </c>
      <c r="C22" s="411"/>
      <c r="D22" s="432">
        <v>500</v>
      </c>
      <c r="E22" s="411" t="s">
        <v>43</v>
      </c>
      <c r="F22" s="411">
        <v>9</v>
      </c>
      <c r="G22" s="411">
        <v>3000</v>
      </c>
      <c r="H22" s="411">
        <v>1</v>
      </c>
      <c r="I22" s="432">
        <f>D22*F22/G22*H22</f>
        <v>1.5</v>
      </c>
      <c r="J22" s="42"/>
      <c r="K22" s="42"/>
      <c r="L22" s="42"/>
      <c r="M22" s="42"/>
      <c r="N22" s="42"/>
      <c r="O22" s="50"/>
    </row>
    <row r="23" spans="1:15" x14ac:dyDescent="0.25">
      <c r="A23" s="52"/>
      <c r="B23" s="15"/>
      <c r="C23" s="15"/>
      <c r="D23" s="15"/>
      <c r="E23" s="15"/>
      <c r="F23" s="15"/>
      <c r="G23" s="15"/>
      <c r="H23" s="106" t="s">
        <v>18</v>
      </c>
      <c r="I23" s="103">
        <f>SUM(I22:I22)</f>
        <v>1.5</v>
      </c>
      <c r="J23" s="15"/>
      <c r="K23" s="41"/>
      <c r="L23" s="41"/>
      <c r="M23" s="41"/>
      <c r="N23" s="41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200" display="EN_A0200" xr:uid="{00000000-0004-0000-0700-000000000000}"/>
    <hyperlink ref="G2" location="EN_A0200_BOM" display="Back to BOM" xr:uid="{00000000-0004-0000-07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0.39997558519241921"/>
    <pageSetUpPr fitToPage="1"/>
  </sheetPr>
  <dimension ref="A1:O17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10.42578125" customWidth="1"/>
    <col min="2" max="2" width="23.42578125" customWidth="1"/>
    <col min="3" max="3" width="15" customWidth="1"/>
    <col min="4" max="4" width="10.28515625" customWidth="1"/>
    <col min="5" max="5" width="5.85546875" customWidth="1"/>
    <col min="6" max="6" width="8" customWidth="1"/>
    <col min="7" max="7" width="5.5703125" customWidth="1"/>
    <col min="8" max="8" width="9.85546875" customWidth="1"/>
    <col min="9" max="9" width="21.7109375" customWidth="1"/>
    <col min="10" max="10" width="9.7109375" customWidth="1"/>
    <col min="12" max="12" width="9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EN_02005_m+EN_02005_p</f>
        <v>1.2217583384506194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493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2.4435166769012389</v>
      </c>
      <c r="O5" s="47"/>
    </row>
    <row r="6" spans="1:15" x14ac:dyDescent="0.25">
      <c r="A6" s="100" t="s">
        <v>7</v>
      </c>
      <c r="B6" s="17" t="s">
        <v>492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525" t="s">
        <v>491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9" t="s">
        <v>23</v>
      </c>
      <c r="G10" s="469" t="s">
        <v>24</v>
      </c>
      <c r="H10" s="469" t="s">
        <v>25</v>
      </c>
      <c r="I10" s="469" t="s">
        <v>26</v>
      </c>
      <c r="J10" s="469" t="s">
        <v>27</v>
      </c>
      <c r="K10" s="469" t="s">
        <v>28</v>
      </c>
      <c r="L10" s="469" t="s">
        <v>29</v>
      </c>
      <c r="M10" s="469" t="s">
        <v>17</v>
      </c>
      <c r="N10" s="469" t="s">
        <v>18</v>
      </c>
      <c r="O10" s="47"/>
    </row>
    <row r="11" spans="1:15" s="14" customFormat="1" x14ac:dyDescent="0.25">
      <c r="A11" s="487">
        <v>10</v>
      </c>
      <c r="B11" s="524" t="s">
        <v>481</v>
      </c>
      <c r="C11" s="505" t="s">
        <v>490</v>
      </c>
      <c r="D11" s="504">
        <v>2.25</v>
      </c>
      <c r="E11" s="502"/>
      <c r="F11" s="502" t="s">
        <v>78</v>
      </c>
      <c r="G11" s="502"/>
      <c r="H11" s="501"/>
      <c r="I11" s="500" t="s">
        <v>485</v>
      </c>
      <c r="J11" s="499">
        <f>PI()*((0.0421+0.0015)*(0.0421+0.0015)-0.0421*0.0421)/4</f>
        <v>1.0096293390474202E-4</v>
      </c>
      <c r="K11" s="501">
        <f>0.331</f>
        <v>0.33100000000000002</v>
      </c>
      <c r="L11" s="523">
        <v>7850</v>
      </c>
      <c r="M11" s="522">
        <v>1</v>
      </c>
      <c r="N11" s="432">
        <f>IF(J11="",D11*M11,D11*J11*K11*L11*M11)</f>
        <v>0.59025833845061948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1" t="s">
        <v>18</v>
      </c>
      <c r="N12" s="103">
        <f>SUM(N11:N11)</f>
        <v>0.59025833845061948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0" t="s">
        <v>14</v>
      </c>
      <c r="B14" s="469" t="s">
        <v>31</v>
      </c>
      <c r="C14" s="469" t="s">
        <v>20</v>
      </c>
      <c r="D14" s="469" t="s">
        <v>21</v>
      </c>
      <c r="E14" s="469" t="s">
        <v>32</v>
      </c>
      <c r="F14" s="469" t="s">
        <v>17</v>
      </c>
      <c r="G14" s="469" t="s">
        <v>33</v>
      </c>
      <c r="H14" s="469" t="s">
        <v>34</v>
      </c>
      <c r="I14" s="469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08">
        <v>10</v>
      </c>
      <c r="B15" s="521" t="s">
        <v>478</v>
      </c>
      <c r="C15" s="519"/>
      <c r="D15" s="520">
        <v>0.15</v>
      </c>
      <c r="E15" s="519" t="s">
        <v>46</v>
      </c>
      <c r="F15" s="518">
        <f>4.21</f>
        <v>4.21</v>
      </c>
      <c r="G15" s="451"/>
      <c r="H15" s="450"/>
      <c r="I15" s="432">
        <f>IF(H15="",D15*F15,D15*F15*H15)</f>
        <v>0.63149999999999995</v>
      </c>
      <c r="J15" s="43"/>
      <c r="K15" s="43"/>
      <c r="L15" s="43"/>
      <c r="M15" s="43"/>
      <c r="N15" s="43"/>
      <c r="O15" s="53"/>
    </row>
    <row r="16" spans="1:15" x14ac:dyDescent="0.25">
      <c r="A16" s="52"/>
      <c r="B16" s="15"/>
      <c r="C16" s="15"/>
      <c r="D16" s="15"/>
      <c r="E16" s="15"/>
      <c r="F16" s="15"/>
      <c r="G16" s="15"/>
      <c r="H16" s="106" t="s">
        <v>18</v>
      </c>
      <c r="I16" s="103">
        <f>I15</f>
        <v>0.63149999999999995</v>
      </c>
      <c r="J16" s="15"/>
      <c r="K16" s="15"/>
      <c r="L16" s="15"/>
      <c r="M16" s="15"/>
      <c r="N16" s="15"/>
      <c r="O16" s="47"/>
    </row>
    <row r="17" spans="1:15" ht="15.75" thickBot="1" x14ac:dyDescent="0.3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6"/>
    </row>
  </sheetData>
  <hyperlinks>
    <hyperlink ref="B4" location="EN_A0200" display="EN_A0200" xr:uid="{00000000-0004-0000-0800-000000000000}"/>
    <hyperlink ref="G2" location="EN_A0200_BOM" display="Back to BOM" xr:uid="{00000000-0004-0000-08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7" max="16383" man="1"/>
    <brk id="51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39997558519241921"/>
    <pageSetUpPr fitToPage="1"/>
  </sheetPr>
  <dimension ref="A1:O24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7.5703125" customWidth="1"/>
    <col min="4" max="4" width="10.28515625" customWidth="1"/>
    <col min="5" max="5" width="5.85546875" customWidth="1"/>
    <col min="6" max="6" width="8.85546875" customWidth="1"/>
    <col min="7" max="7" width="5.85546875" customWidth="1"/>
    <col min="8" max="8" width="8.85546875" customWidth="1"/>
    <col min="9" max="9" width="21.7109375" customWidth="1"/>
    <col min="10" max="10" width="9.140625" customWidth="1"/>
    <col min="12" max="12" width="9.570312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EN_02006_m+EN_02006_p+EN_02006_t</f>
        <v>22.466496278906856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496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22.466496278906856</v>
      </c>
      <c r="O5" s="47"/>
    </row>
    <row r="6" spans="1:15" x14ac:dyDescent="0.25">
      <c r="A6" s="100" t="s">
        <v>7</v>
      </c>
      <c r="B6" s="17" t="s">
        <v>495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9" t="s">
        <v>23</v>
      </c>
      <c r="G10" s="469" t="s">
        <v>24</v>
      </c>
      <c r="H10" s="469" t="s">
        <v>25</v>
      </c>
      <c r="I10" s="469" t="s">
        <v>26</v>
      </c>
      <c r="J10" s="469" t="s">
        <v>27</v>
      </c>
      <c r="K10" s="469" t="s">
        <v>28</v>
      </c>
      <c r="L10" s="469" t="s">
        <v>29</v>
      </c>
      <c r="M10" s="469" t="s">
        <v>17</v>
      </c>
      <c r="N10" s="469" t="s">
        <v>18</v>
      </c>
      <c r="O10" s="47"/>
    </row>
    <row r="11" spans="1:15" s="14" customFormat="1" x14ac:dyDescent="0.25">
      <c r="A11" s="487">
        <v>10</v>
      </c>
      <c r="B11" s="506" t="s">
        <v>481</v>
      </c>
      <c r="C11" s="505" t="s">
        <v>486</v>
      </c>
      <c r="D11" s="504">
        <v>2.25</v>
      </c>
      <c r="E11" s="502"/>
      <c r="F11" s="502" t="s">
        <v>78</v>
      </c>
      <c r="G11" s="502"/>
      <c r="H11" s="501"/>
      <c r="I11" s="500" t="s">
        <v>485</v>
      </c>
      <c r="J11" s="499">
        <f>PI()*((0.0421+0.0015)*(0.0421+0.0015)-0.0421*0.0421)/4</f>
        <v>1.0096293390474202E-4</v>
      </c>
      <c r="K11" s="498">
        <f>2*(0.0836+0.02)</f>
        <v>0.2072</v>
      </c>
      <c r="L11" s="523">
        <v>7850</v>
      </c>
      <c r="M11" s="522">
        <v>1</v>
      </c>
      <c r="N11" s="432">
        <f>IF(J11="",D11*M11,D11*J11*K11*L11*M11)</f>
        <v>0.36949102032316722</v>
      </c>
      <c r="O11" s="51"/>
    </row>
    <row r="12" spans="1:15" s="16" customFormat="1" x14ac:dyDescent="0.25">
      <c r="A12" s="462">
        <v>20</v>
      </c>
      <c r="B12" s="481" t="s">
        <v>481</v>
      </c>
      <c r="C12" s="505" t="s">
        <v>486</v>
      </c>
      <c r="D12" s="515">
        <v>2.25</v>
      </c>
      <c r="E12" s="514"/>
      <c r="F12" s="514" t="s">
        <v>78</v>
      </c>
      <c r="G12" s="514"/>
      <c r="H12" s="513"/>
      <c r="I12" s="512" t="s">
        <v>494</v>
      </c>
      <c r="J12" s="499">
        <f>PI()*(0.051*0.051-0.0498*0.0498)/4</f>
        <v>9.5001761844555195E-5</v>
      </c>
      <c r="K12" s="511">
        <v>0.01</v>
      </c>
      <c r="L12" s="510">
        <v>7850</v>
      </c>
      <c r="M12" s="527">
        <v>1</v>
      </c>
      <c r="N12" s="432">
        <f>IF(J12="",D12*M12,D12*J12*K12*L12*M12)</f>
        <v>1.6779686185794559E-2</v>
      </c>
      <c r="O12" s="53"/>
    </row>
    <row r="13" spans="1:15" x14ac:dyDescent="0.25">
      <c r="A13" s="52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471" t="s">
        <v>18</v>
      </c>
      <c r="N13" s="103">
        <f>SUM(N11:N12)</f>
        <v>0.38627070650896178</v>
      </c>
      <c r="O13" s="47"/>
    </row>
    <row r="14" spans="1:15" x14ac:dyDescent="0.25">
      <c r="A14" s="48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7"/>
    </row>
    <row r="15" spans="1:15" x14ac:dyDescent="0.25">
      <c r="A15" s="470" t="s">
        <v>14</v>
      </c>
      <c r="B15" s="469" t="s">
        <v>31</v>
      </c>
      <c r="C15" s="469" t="s">
        <v>20</v>
      </c>
      <c r="D15" s="469" t="s">
        <v>21</v>
      </c>
      <c r="E15" s="469" t="s">
        <v>32</v>
      </c>
      <c r="F15" s="469" t="s">
        <v>17</v>
      </c>
      <c r="G15" s="469" t="s">
        <v>33</v>
      </c>
      <c r="H15" s="469" t="s">
        <v>34</v>
      </c>
      <c r="I15" s="469" t="s">
        <v>18</v>
      </c>
      <c r="J15" s="15"/>
      <c r="K15" s="15"/>
      <c r="L15" s="526"/>
      <c r="M15" s="15"/>
      <c r="N15" s="15"/>
      <c r="O15" s="47"/>
    </row>
    <row r="16" spans="1:15" s="16" customFormat="1" x14ac:dyDescent="0.25">
      <c r="A16" s="508">
        <v>10</v>
      </c>
      <c r="B16" s="409" t="s">
        <v>478</v>
      </c>
      <c r="C16" s="419"/>
      <c r="D16" s="423">
        <v>0.15</v>
      </c>
      <c r="E16" s="419" t="s">
        <v>46</v>
      </c>
      <c r="F16" s="495">
        <f>6*4.21+1*4.98</f>
        <v>30.24</v>
      </c>
      <c r="G16" s="459"/>
      <c r="H16" s="459"/>
      <c r="I16" s="399">
        <f>IF(H16="",D16*F16,D16*F16*H16)</f>
        <v>4.5359999999999996</v>
      </c>
      <c r="J16" s="43"/>
      <c r="K16" s="43"/>
      <c r="L16" s="43"/>
      <c r="M16" s="43"/>
      <c r="N16" s="43"/>
      <c r="O16" s="53"/>
    </row>
    <row r="17" spans="1:15" ht="30" x14ac:dyDescent="0.25">
      <c r="A17" s="456">
        <v>20</v>
      </c>
      <c r="B17" s="409" t="s">
        <v>451</v>
      </c>
      <c r="C17" s="420"/>
      <c r="D17" s="423">
        <v>0.75</v>
      </c>
      <c r="E17" s="409" t="s">
        <v>449</v>
      </c>
      <c r="F17" s="420">
        <v>9</v>
      </c>
      <c r="G17" s="451"/>
      <c r="H17" s="450"/>
      <c r="I17" s="432">
        <f>IF(H17="",D17*F17,D17*F17*H17)</f>
        <v>6.75</v>
      </c>
      <c r="J17" s="41"/>
      <c r="K17" s="41"/>
      <c r="L17" s="41"/>
      <c r="M17" s="41"/>
      <c r="N17" s="41"/>
      <c r="O17" s="47"/>
    </row>
    <row r="18" spans="1:15" s="12" customFormat="1" x14ac:dyDescent="0.25">
      <c r="A18" s="458">
        <v>30</v>
      </c>
      <c r="B18" s="409" t="s">
        <v>448</v>
      </c>
      <c r="C18" s="420"/>
      <c r="D18" s="423">
        <v>0.5</v>
      </c>
      <c r="E18" s="409" t="s">
        <v>46</v>
      </c>
      <c r="F18" s="507">
        <f>2*4.21+1*4.98+16.3/PI()</f>
        <v>18.588451144795791</v>
      </c>
      <c r="G18" s="450"/>
      <c r="H18" s="450"/>
      <c r="I18" s="432">
        <f>IF(H18="",D18*F18,D18*F18*H18)</f>
        <v>9.2942255723978953</v>
      </c>
      <c r="J18" s="42"/>
      <c r="K18" s="42"/>
      <c r="L18" s="42"/>
      <c r="M18" s="42"/>
      <c r="N18" s="42"/>
      <c r="O18" s="50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SUM(I16:I18)</f>
        <v>20.580225572397893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70" t="s">
        <v>14</v>
      </c>
      <c r="B21" s="469" t="s">
        <v>39</v>
      </c>
      <c r="C21" s="469" t="s">
        <v>20</v>
      </c>
      <c r="D21" s="469" t="s">
        <v>21</v>
      </c>
      <c r="E21" s="469" t="s">
        <v>32</v>
      </c>
      <c r="F21" s="469" t="s">
        <v>17</v>
      </c>
      <c r="G21" s="469" t="s">
        <v>40</v>
      </c>
      <c r="H21" s="469" t="s">
        <v>476</v>
      </c>
      <c r="I21" s="469" t="s">
        <v>18</v>
      </c>
      <c r="J21" s="15"/>
      <c r="K21" s="41"/>
      <c r="L21" s="41"/>
      <c r="M21" s="41"/>
      <c r="N21" s="41"/>
      <c r="O21" s="47"/>
    </row>
    <row r="22" spans="1:15" s="12" customFormat="1" x14ac:dyDescent="0.25">
      <c r="A22" s="456">
        <v>10</v>
      </c>
      <c r="B22" s="411" t="s">
        <v>42</v>
      </c>
      <c r="C22" s="411"/>
      <c r="D22" s="432">
        <v>500</v>
      </c>
      <c r="E22" s="411" t="s">
        <v>43</v>
      </c>
      <c r="F22" s="411">
        <v>9</v>
      </c>
      <c r="G22" s="411">
        <v>3000</v>
      </c>
      <c r="H22" s="411">
        <v>1</v>
      </c>
      <c r="I22" s="432">
        <f>D22*F22/G22*H22</f>
        <v>1.5</v>
      </c>
      <c r="J22" s="42"/>
      <c r="K22" s="42"/>
      <c r="L22" s="42"/>
      <c r="M22" s="42"/>
      <c r="N22" s="42"/>
      <c r="O22" s="50"/>
    </row>
    <row r="23" spans="1:15" x14ac:dyDescent="0.25">
      <c r="A23" s="52"/>
      <c r="B23" s="15"/>
      <c r="C23" s="15"/>
      <c r="D23" s="15"/>
      <c r="E23" s="15"/>
      <c r="F23" s="15"/>
      <c r="G23" s="15"/>
      <c r="H23" s="106" t="s">
        <v>18</v>
      </c>
      <c r="I23" s="103">
        <f>SUM(I22:I22)</f>
        <v>1.5</v>
      </c>
      <c r="J23" s="15"/>
      <c r="K23" s="41"/>
      <c r="L23" s="41"/>
      <c r="M23" s="41"/>
      <c r="N23" s="41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200" display="EN_A0200" xr:uid="{00000000-0004-0000-0900-000000000000}"/>
    <hyperlink ref="G2" location="EN_A0200_BOM" display="Back to BOM" xr:uid="{00000000-0004-0000-09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39997558519241921"/>
    <pageSetUpPr fitToPage="1"/>
  </sheetPr>
  <dimension ref="A1:O24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5.140625" customWidth="1"/>
    <col min="4" max="4" width="10.42578125" customWidth="1"/>
    <col min="5" max="5" width="5.5703125" customWidth="1"/>
    <col min="6" max="6" width="5.85546875" customWidth="1"/>
    <col min="7" max="7" width="5.5703125" customWidth="1"/>
    <col min="8" max="8" width="9.42578125" customWidth="1"/>
    <col min="9" max="9" width="22.140625" customWidth="1"/>
    <col min="10" max="10" width="8.85546875" customWidth="1"/>
    <col min="11" max="12" width="9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EN_02007_m+EN_02007_p+EN_02007_t</f>
        <v>12.90112506395198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498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12.90112506395198</v>
      </c>
      <c r="O5" s="47"/>
    </row>
    <row r="6" spans="1:15" x14ac:dyDescent="0.25">
      <c r="A6" s="100" t="s">
        <v>7</v>
      </c>
      <c r="B6" s="17" t="s">
        <v>497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9" t="s">
        <v>23</v>
      </c>
      <c r="G10" s="469" t="s">
        <v>24</v>
      </c>
      <c r="H10" s="469" t="s">
        <v>25</v>
      </c>
      <c r="I10" s="469" t="s">
        <v>26</v>
      </c>
      <c r="J10" s="469" t="s">
        <v>27</v>
      </c>
      <c r="K10" s="469" t="s">
        <v>28</v>
      </c>
      <c r="L10" s="469" t="s">
        <v>29</v>
      </c>
      <c r="M10" s="469" t="s">
        <v>17</v>
      </c>
      <c r="N10" s="469" t="s">
        <v>18</v>
      </c>
      <c r="O10" s="47"/>
    </row>
    <row r="11" spans="1:15" s="14" customFormat="1" x14ac:dyDescent="0.25">
      <c r="A11" s="487">
        <v>10</v>
      </c>
      <c r="B11" s="524" t="s">
        <v>481</v>
      </c>
      <c r="C11" s="505" t="s">
        <v>490</v>
      </c>
      <c r="D11" s="534">
        <v>2.25</v>
      </c>
      <c r="E11" s="533"/>
      <c r="F11" s="533" t="s">
        <v>78</v>
      </c>
      <c r="G11" s="533"/>
      <c r="H11" s="532"/>
      <c r="I11" s="531" t="s">
        <v>494</v>
      </c>
      <c r="J11" s="499">
        <f>PI()*(0.051*0.051-0.0498*0.0498)/4</f>
        <v>9.5001761844555195E-5</v>
      </c>
      <c r="K11" s="530">
        <v>0.30599999999999999</v>
      </c>
      <c r="L11" s="497">
        <v>7850</v>
      </c>
      <c r="M11" s="522">
        <v>1</v>
      </c>
      <c r="N11" s="432">
        <f>IF(J11="",D11*M11,D11*J11*K11*L11*M11)</f>
        <v>0.51345839728531351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1" t="s">
        <v>18</v>
      </c>
      <c r="N12" s="103">
        <f>SUM(N11:N11)</f>
        <v>0.51345839728531351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0" t="s">
        <v>14</v>
      </c>
      <c r="B14" s="469" t="s">
        <v>31</v>
      </c>
      <c r="C14" s="469" t="s">
        <v>20</v>
      </c>
      <c r="D14" s="469" t="s">
        <v>21</v>
      </c>
      <c r="E14" s="469" t="s">
        <v>32</v>
      </c>
      <c r="F14" s="469" t="s">
        <v>17</v>
      </c>
      <c r="G14" s="469" t="s">
        <v>33</v>
      </c>
      <c r="H14" s="469" t="s">
        <v>34</v>
      </c>
      <c r="I14" s="469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08">
        <v>10</v>
      </c>
      <c r="B15" s="521" t="s">
        <v>478</v>
      </c>
      <c r="C15" s="519"/>
      <c r="D15" s="520">
        <v>0.15</v>
      </c>
      <c r="E15" s="519" t="s">
        <v>85</v>
      </c>
      <c r="F15" s="529">
        <f>4.98*3</f>
        <v>14.940000000000001</v>
      </c>
      <c r="G15" s="459"/>
      <c r="H15" s="459"/>
      <c r="I15" s="432">
        <f>IF(H15="",D15*F15,D15*F15*H15)</f>
        <v>2.2410000000000001</v>
      </c>
      <c r="J15" s="43"/>
      <c r="K15" s="43"/>
      <c r="L15" s="43"/>
      <c r="M15" s="43"/>
      <c r="N15" s="43"/>
      <c r="O15" s="53"/>
    </row>
    <row r="16" spans="1:15" x14ac:dyDescent="0.25">
      <c r="A16" s="456">
        <v>20</v>
      </c>
      <c r="B16" s="521" t="s">
        <v>477</v>
      </c>
      <c r="C16" s="528"/>
      <c r="D16" s="520">
        <v>0.75</v>
      </c>
      <c r="E16" s="521" t="s">
        <v>84</v>
      </c>
      <c r="F16" s="528">
        <v>2</v>
      </c>
      <c r="G16" s="451"/>
      <c r="H16" s="450"/>
      <c r="I16" s="432">
        <f>IF(H16="",D16*F16,D16*F16*H16)</f>
        <v>1.5</v>
      </c>
      <c r="J16" s="41"/>
      <c r="K16" s="41"/>
      <c r="L16" s="41"/>
      <c r="M16" s="41"/>
      <c r="N16" s="41"/>
      <c r="O16" s="47"/>
    </row>
    <row r="17" spans="1:15" s="12" customFormat="1" ht="30" x14ac:dyDescent="0.25">
      <c r="A17" s="458">
        <v>30</v>
      </c>
      <c r="B17" s="521" t="s">
        <v>451</v>
      </c>
      <c r="C17" s="528"/>
      <c r="D17" s="520">
        <v>0.75</v>
      </c>
      <c r="E17" s="521" t="s">
        <v>449</v>
      </c>
      <c r="F17" s="528">
        <v>4</v>
      </c>
      <c r="G17" s="450"/>
      <c r="H17" s="450"/>
      <c r="I17" s="432">
        <f>IF(H17="",D17*F17,D17*F17*H17)</f>
        <v>3</v>
      </c>
      <c r="J17" s="42"/>
      <c r="K17" s="42"/>
      <c r="L17" s="42"/>
      <c r="M17" s="42"/>
      <c r="N17" s="42"/>
      <c r="O17" s="50"/>
    </row>
    <row r="18" spans="1:15" x14ac:dyDescent="0.25">
      <c r="A18" s="456">
        <v>40</v>
      </c>
      <c r="B18" s="521" t="s">
        <v>448</v>
      </c>
      <c r="C18" s="528"/>
      <c r="D18" s="520">
        <v>0.5</v>
      </c>
      <c r="E18" s="521" t="s">
        <v>46</v>
      </c>
      <c r="F18" s="528">
        <f>4.98*2</f>
        <v>9.9600000000000009</v>
      </c>
      <c r="G18" s="451"/>
      <c r="H18" s="450"/>
      <c r="I18" s="432">
        <f>IF(H18="",D18*F18,D18*F18*H18)</f>
        <v>4.9800000000000004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11.721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70" t="s">
        <v>14</v>
      </c>
      <c r="B21" s="469" t="s">
        <v>39</v>
      </c>
      <c r="C21" s="469" t="s">
        <v>20</v>
      </c>
      <c r="D21" s="469" t="s">
        <v>21</v>
      </c>
      <c r="E21" s="469" t="s">
        <v>32</v>
      </c>
      <c r="F21" s="469" t="s">
        <v>17</v>
      </c>
      <c r="G21" s="469" t="s">
        <v>40</v>
      </c>
      <c r="H21" s="469" t="s">
        <v>476</v>
      </c>
      <c r="I21" s="469" t="s">
        <v>18</v>
      </c>
      <c r="J21" s="15"/>
      <c r="K21" s="41"/>
      <c r="L21" s="41"/>
      <c r="M21" s="41"/>
      <c r="N21" s="41"/>
      <c r="O21" s="47"/>
    </row>
    <row r="22" spans="1:15" s="12" customFormat="1" x14ac:dyDescent="0.25">
      <c r="A22" s="456">
        <v>10</v>
      </c>
      <c r="B22" s="411" t="s">
        <v>42</v>
      </c>
      <c r="C22" s="411"/>
      <c r="D22" s="432">
        <v>500</v>
      </c>
      <c r="E22" s="411" t="s">
        <v>43</v>
      </c>
      <c r="F22" s="411">
        <v>4</v>
      </c>
      <c r="G22" s="411">
        <v>3000</v>
      </c>
      <c r="H22" s="411">
        <v>1</v>
      </c>
      <c r="I22" s="432">
        <f>D22*F22/G22*H22</f>
        <v>0.66666666666666663</v>
      </c>
      <c r="J22" s="42"/>
      <c r="K22" s="42"/>
      <c r="L22" s="42"/>
      <c r="M22" s="42"/>
      <c r="N22" s="42"/>
      <c r="O22" s="50"/>
    </row>
    <row r="23" spans="1:15" x14ac:dyDescent="0.25">
      <c r="A23" s="52"/>
      <c r="B23" s="15"/>
      <c r="C23" s="15"/>
      <c r="D23" s="15"/>
      <c r="E23" s="15"/>
      <c r="F23" s="15"/>
      <c r="G23" s="15"/>
      <c r="H23" s="106" t="s">
        <v>18</v>
      </c>
      <c r="I23" s="103">
        <f>SUM(I22:I22)</f>
        <v>0.66666666666666663</v>
      </c>
      <c r="J23" s="15"/>
      <c r="K23" s="41"/>
      <c r="L23" s="41"/>
      <c r="M23" s="41"/>
      <c r="N23" s="41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200" display="EN_A0200" xr:uid="{00000000-0004-0000-0A00-000000000000}"/>
    <hyperlink ref="G2" location="EN_A0200_BOM" display="Back to BOM" xr:uid="{00000000-0004-0000-0A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39997558519241921"/>
    <pageSetUpPr fitToPage="1"/>
  </sheetPr>
  <dimension ref="A1:O23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6" customWidth="1"/>
    <col min="3" max="3" width="24" customWidth="1"/>
    <col min="4" max="4" width="9.42578125" customWidth="1"/>
    <col min="5" max="5" width="7.85546875" customWidth="1"/>
    <col min="6" max="6" width="8.5703125" customWidth="1"/>
    <col min="7" max="7" width="5.5703125" customWidth="1"/>
    <col min="8" max="8" width="9.140625" customWidth="1"/>
    <col min="9" max="9" width="27.28515625" customWidth="1"/>
    <col min="10" max="10" width="9.140625" customWidth="1"/>
    <col min="11" max="11" width="6.85546875" customWidth="1"/>
    <col min="12" max="12" width="8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EN_02008_m+EN_02008_p</f>
        <v>40.144999999999996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509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40.144999999999996</v>
      </c>
      <c r="O5" s="47"/>
    </row>
    <row r="6" spans="1:15" x14ac:dyDescent="0.25">
      <c r="A6" s="100" t="s">
        <v>7</v>
      </c>
      <c r="B6" s="17" t="s">
        <v>508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555" t="s">
        <v>507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9" t="s">
        <v>23</v>
      </c>
      <c r="G10" s="469" t="s">
        <v>24</v>
      </c>
      <c r="H10" s="469" t="s">
        <v>25</v>
      </c>
      <c r="I10" s="469" t="s">
        <v>26</v>
      </c>
      <c r="J10" s="469" t="s">
        <v>27</v>
      </c>
      <c r="K10" s="469" t="s">
        <v>28</v>
      </c>
      <c r="L10" s="469" t="s">
        <v>29</v>
      </c>
      <c r="M10" s="469" t="s">
        <v>17</v>
      </c>
      <c r="N10" s="469" t="s">
        <v>18</v>
      </c>
      <c r="O10" s="47"/>
    </row>
    <row r="11" spans="1:15" s="16" customFormat="1" x14ac:dyDescent="0.25">
      <c r="A11" s="553">
        <v>10</v>
      </c>
      <c r="B11" s="548" t="s">
        <v>506</v>
      </c>
      <c r="C11" s="548" t="s">
        <v>505</v>
      </c>
      <c r="D11" s="398">
        <v>22</v>
      </c>
      <c r="E11" s="552">
        <v>0.5</v>
      </c>
      <c r="F11" s="548" t="s">
        <v>78</v>
      </c>
      <c r="G11" s="548"/>
      <c r="H11" s="547"/>
      <c r="I11" s="551" t="s">
        <v>504</v>
      </c>
      <c r="J11" s="554">
        <v>0.2</v>
      </c>
      <c r="K11" s="544"/>
      <c r="L11" s="544">
        <v>4500</v>
      </c>
      <c r="M11" s="544">
        <v>1</v>
      </c>
      <c r="N11" s="399">
        <f>D11*M11*E11</f>
        <v>11</v>
      </c>
      <c r="O11" s="53"/>
    </row>
    <row r="12" spans="1:15" s="16" customFormat="1" x14ac:dyDescent="0.25">
      <c r="A12" s="553">
        <v>20</v>
      </c>
      <c r="B12" s="548" t="s">
        <v>469</v>
      </c>
      <c r="C12" s="548"/>
      <c r="D12" s="398">
        <v>2.25</v>
      </c>
      <c r="E12" s="552">
        <v>0.5</v>
      </c>
      <c r="F12" s="548" t="s">
        <v>78</v>
      </c>
      <c r="G12" s="548"/>
      <c r="H12" s="547"/>
      <c r="I12" s="551" t="s">
        <v>503</v>
      </c>
      <c r="J12" s="550">
        <f>0.5*0.15</f>
        <v>7.4999999999999997E-2</v>
      </c>
      <c r="K12" s="544"/>
      <c r="L12" s="544">
        <v>7850</v>
      </c>
      <c r="M12" s="544">
        <v>1</v>
      </c>
      <c r="N12" s="399">
        <f>D12*M12*E12</f>
        <v>1.125</v>
      </c>
      <c r="O12" s="53"/>
    </row>
    <row r="13" spans="1:15" s="16" customFormat="1" x14ac:dyDescent="0.25">
      <c r="A13" s="514">
        <v>30</v>
      </c>
      <c r="B13" s="548" t="s">
        <v>502</v>
      </c>
      <c r="C13" s="548"/>
      <c r="D13" s="549">
        <v>3.0000000000000001E-3</v>
      </c>
      <c r="E13" s="548">
        <v>4000</v>
      </c>
      <c r="F13" s="548" t="s">
        <v>81</v>
      </c>
      <c r="G13" s="548"/>
      <c r="H13" s="547"/>
      <c r="I13" s="546"/>
      <c r="J13" s="545"/>
      <c r="K13" s="544"/>
      <c r="L13" s="544"/>
      <c r="M13" s="544">
        <v>1</v>
      </c>
      <c r="N13" s="399">
        <f>D13*M13*E13</f>
        <v>12</v>
      </c>
      <c r="O13" s="53"/>
    </row>
    <row r="14" spans="1:15" x14ac:dyDescent="0.25">
      <c r="A14" s="52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471" t="s">
        <v>18</v>
      </c>
      <c r="N14" s="103">
        <f>SUM(N11:N13)</f>
        <v>24.125</v>
      </c>
      <c r="O14" s="47"/>
    </row>
    <row r="15" spans="1:15" x14ac:dyDescent="0.25">
      <c r="A15" s="48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7"/>
    </row>
    <row r="16" spans="1:15" x14ac:dyDescent="0.25">
      <c r="A16" s="470" t="s">
        <v>14</v>
      </c>
      <c r="B16" s="469" t="s">
        <v>31</v>
      </c>
      <c r="C16" s="469" t="s">
        <v>20</v>
      </c>
      <c r="D16" s="469" t="s">
        <v>21</v>
      </c>
      <c r="E16" s="469" t="s">
        <v>32</v>
      </c>
      <c r="F16" s="469" t="s">
        <v>17</v>
      </c>
      <c r="G16" s="469" t="s">
        <v>33</v>
      </c>
      <c r="H16" s="469" t="s">
        <v>34</v>
      </c>
      <c r="I16" s="469" t="s">
        <v>18</v>
      </c>
      <c r="J16" s="15"/>
      <c r="K16" s="15"/>
      <c r="L16" s="15"/>
      <c r="M16" s="15"/>
      <c r="N16" s="15"/>
      <c r="O16" s="47"/>
    </row>
    <row r="17" spans="1:15" s="16" customFormat="1" x14ac:dyDescent="0.25">
      <c r="A17" s="508">
        <v>10</v>
      </c>
      <c r="B17" s="409" t="s">
        <v>86</v>
      </c>
      <c r="C17" s="536"/>
      <c r="D17" s="398">
        <v>0.25</v>
      </c>
      <c r="E17" s="535" t="s">
        <v>84</v>
      </c>
      <c r="F17" s="535">
        <v>2</v>
      </c>
      <c r="G17" s="459"/>
      <c r="H17" s="459"/>
      <c r="I17" s="399">
        <f>IF(H17="",D17*F17,D17*F17*H17)</f>
        <v>0.5</v>
      </c>
      <c r="J17" s="43"/>
      <c r="K17" s="43"/>
      <c r="L17" s="43"/>
      <c r="M17" s="43"/>
      <c r="N17" s="43"/>
      <c r="O17" s="53"/>
    </row>
    <row r="18" spans="1:15" s="541" customFormat="1" x14ac:dyDescent="0.25">
      <c r="A18" s="508">
        <v>30</v>
      </c>
      <c r="B18" s="536" t="s">
        <v>501</v>
      </c>
      <c r="C18" s="536"/>
      <c r="D18" s="398">
        <v>0.03</v>
      </c>
      <c r="E18" s="535" t="s">
        <v>87</v>
      </c>
      <c r="F18" s="535">
        <v>300</v>
      </c>
      <c r="G18" s="459"/>
      <c r="H18" s="459"/>
      <c r="I18" s="399">
        <f>IF(H18="",D18*F18,D18*F18*H18)</f>
        <v>9</v>
      </c>
      <c r="J18" s="543"/>
      <c r="K18" s="543"/>
      <c r="L18" s="543"/>
      <c r="M18" s="543"/>
      <c r="N18" s="543"/>
      <c r="O18" s="542"/>
    </row>
    <row r="19" spans="1:15" s="16" customFormat="1" x14ac:dyDescent="0.25">
      <c r="A19" s="464">
        <v>40</v>
      </c>
      <c r="B19" s="536" t="s">
        <v>500</v>
      </c>
      <c r="C19" s="536"/>
      <c r="D19" s="398">
        <v>0.03</v>
      </c>
      <c r="E19" s="535" t="s">
        <v>87</v>
      </c>
      <c r="F19" s="535">
        <v>100</v>
      </c>
      <c r="G19" s="451"/>
      <c r="H19" s="459"/>
      <c r="I19" s="399">
        <f>IF(H19="",D19*F19,D19*F19*H19)</f>
        <v>3</v>
      </c>
      <c r="J19" s="43"/>
      <c r="K19" s="43"/>
      <c r="L19" s="43"/>
      <c r="M19" s="43"/>
      <c r="N19" s="43"/>
      <c r="O19" s="53"/>
    </row>
    <row r="20" spans="1:15" s="14" customFormat="1" x14ac:dyDescent="0.25">
      <c r="A20" s="468">
        <v>50</v>
      </c>
      <c r="B20" s="540" t="s">
        <v>88</v>
      </c>
      <c r="C20" s="539"/>
      <c r="D20" s="538">
        <v>0.13</v>
      </c>
      <c r="E20" s="537" t="s">
        <v>35</v>
      </c>
      <c r="F20" s="537">
        <v>4</v>
      </c>
      <c r="G20" s="466"/>
      <c r="H20" s="466"/>
      <c r="I20" s="399">
        <f>IF(H20="",D20*F20,D20*F20*H20)</f>
        <v>0.52</v>
      </c>
      <c r="J20" s="465"/>
      <c r="K20" s="465"/>
      <c r="L20" s="465"/>
      <c r="M20" s="465"/>
      <c r="N20" s="465"/>
      <c r="O20" s="51"/>
    </row>
    <row r="21" spans="1:15" s="16" customFormat="1" x14ac:dyDescent="0.25">
      <c r="A21" s="464">
        <v>60</v>
      </c>
      <c r="B21" s="409" t="s">
        <v>499</v>
      </c>
      <c r="C21" s="536"/>
      <c r="D21" s="398">
        <v>0.25</v>
      </c>
      <c r="E21" s="535" t="s">
        <v>35</v>
      </c>
      <c r="F21" s="535">
        <v>12</v>
      </c>
      <c r="G21" s="451"/>
      <c r="H21" s="459"/>
      <c r="I21" s="399">
        <f>IF(H21="",D21*F21,D21*F21*H21)</f>
        <v>3</v>
      </c>
      <c r="J21" s="43"/>
      <c r="K21" s="43"/>
      <c r="L21" s="43"/>
      <c r="M21" s="43"/>
      <c r="N21" s="43"/>
      <c r="O21" s="53"/>
    </row>
    <row r="22" spans="1:15" x14ac:dyDescent="0.25">
      <c r="A22" s="52"/>
      <c r="B22" s="15"/>
      <c r="C22" s="15"/>
      <c r="D22" s="15"/>
      <c r="E22" s="15"/>
      <c r="F22" s="15"/>
      <c r="G22" s="15"/>
      <c r="H22" s="106" t="s">
        <v>18</v>
      </c>
      <c r="I22" s="103">
        <f>SUM(I17:I21)</f>
        <v>16.02</v>
      </c>
      <c r="J22" s="15"/>
      <c r="K22" s="15"/>
      <c r="L22" s="15"/>
      <c r="M22" s="15"/>
      <c r="N22" s="15"/>
      <c r="O22" s="47"/>
    </row>
    <row r="23" spans="1:15" ht="15.75" thickBot="1" x14ac:dyDescent="0.3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</sheetData>
  <hyperlinks>
    <hyperlink ref="B4" location="EN_A0200" display="EN_A0200" xr:uid="{00000000-0004-0000-0B00-000000000000}"/>
    <hyperlink ref="G2" location="EN_A0200_BOM" display="Back to BOM" xr:uid="{00000000-0004-0000-0B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 tint="0.39997558519241921"/>
    <pageSetUpPr fitToPage="1"/>
  </sheetPr>
  <dimension ref="A1:R22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2" max="2" width="26.42578125" customWidth="1"/>
    <col min="3" max="3" width="14.5703125" customWidth="1"/>
    <col min="7" max="7" width="6.140625" customWidth="1"/>
    <col min="8" max="8" width="9.140625" customWidth="1"/>
    <col min="9" max="9" width="10.140625" customWidth="1"/>
    <col min="10" max="10" width="5.140625" customWidth="1"/>
    <col min="11" max="11" width="6.85546875" customWidth="1"/>
    <col min="12" max="12" width="10.5703125" bestFit="1" customWidth="1"/>
    <col min="14" max="14" width="11.28515625" customWidth="1"/>
    <col min="15" max="15" width="3.140625" customWidth="1"/>
  </cols>
  <sheetData>
    <row r="1" spans="1:18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8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EN_02009_m+EN_02009_p+EN_02009_t</f>
        <v>6.208613333333334</v>
      </c>
      <c r="O2" s="47"/>
    </row>
    <row r="3" spans="1:18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8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8" x14ac:dyDescent="0.25">
      <c r="A5" s="100" t="s">
        <v>15</v>
      </c>
      <c r="B5" s="13" t="s">
        <v>516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6.208613333333334</v>
      </c>
      <c r="O5" s="47"/>
    </row>
    <row r="6" spans="1:18" x14ac:dyDescent="0.25">
      <c r="A6" s="100" t="s">
        <v>7</v>
      </c>
      <c r="B6" s="17" t="s">
        <v>515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8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8" x14ac:dyDescent="0.25">
      <c r="A8" s="100" t="s">
        <v>13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8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8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9" t="s">
        <v>23</v>
      </c>
      <c r="G10" s="469" t="s">
        <v>24</v>
      </c>
      <c r="H10" s="469" t="s">
        <v>25</v>
      </c>
      <c r="I10" s="469" t="s">
        <v>26</v>
      </c>
      <c r="J10" s="469" t="s">
        <v>27</v>
      </c>
      <c r="K10" s="469" t="s">
        <v>28</v>
      </c>
      <c r="L10" s="469" t="s">
        <v>29</v>
      </c>
      <c r="M10" s="469" t="s">
        <v>17</v>
      </c>
      <c r="N10" s="469" t="s">
        <v>18</v>
      </c>
      <c r="O10" s="47"/>
    </row>
    <row r="11" spans="1:18" s="14" customFormat="1" x14ac:dyDescent="0.25">
      <c r="A11" s="487">
        <v>10</v>
      </c>
      <c r="B11" s="566" t="s">
        <v>514</v>
      </c>
      <c r="C11" s="563" t="s">
        <v>513</v>
      </c>
      <c r="D11" s="565">
        <v>200</v>
      </c>
      <c r="E11" s="564">
        <v>2.7776400000000003E-2</v>
      </c>
      <c r="F11" s="563" t="s">
        <v>78</v>
      </c>
      <c r="G11" s="563"/>
      <c r="H11" s="560"/>
      <c r="I11" s="562"/>
      <c r="J11" s="561"/>
      <c r="K11" s="560"/>
      <c r="L11" s="559">
        <v>1580</v>
      </c>
      <c r="M11" s="558">
        <v>1</v>
      </c>
      <c r="N11" s="432">
        <f>D11*E11</f>
        <v>5.5552800000000007</v>
      </c>
      <c r="O11" s="51"/>
    </row>
    <row r="12" spans="1:18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1" t="s">
        <v>18</v>
      </c>
      <c r="N12" s="103">
        <f>SUM(N11:N11)</f>
        <v>5.5552800000000007</v>
      </c>
      <c r="O12" s="47"/>
      <c r="R12" s="108"/>
    </row>
    <row r="13" spans="1:18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8" x14ac:dyDescent="0.25">
      <c r="A14" s="470" t="s">
        <v>14</v>
      </c>
      <c r="B14" s="469" t="s">
        <v>31</v>
      </c>
      <c r="C14" s="469" t="s">
        <v>20</v>
      </c>
      <c r="D14" s="469" t="s">
        <v>21</v>
      </c>
      <c r="E14" s="469" t="s">
        <v>32</v>
      </c>
      <c r="F14" s="469" t="s">
        <v>17</v>
      </c>
      <c r="G14" s="469" t="s">
        <v>33</v>
      </c>
      <c r="H14" s="469" t="s">
        <v>34</v>
      </c>
      <c r="I14" s="469" t="s">
        <v>18</v>
      </c>
      <c r="J14" s="15"/>
      <c r="K14" s="15"/>
      <c r="L14" s="15"/>
      <c r="M14" s="15"/>
      <c r="N14" s="15"/>
      <c r="O14" s="47"/>
    </row>
    <row r="15" spans="1:18" s="16" customFormat="1" x14ac:dyDescent="0.25">
      <c r="A15" s="508">
        <v>10</v>
      </c>
      <c r="B15" s="416" t="s">
        <v>512</v>
      </c>
      <c r="C15" s="401"/>
      <c r="D15" s="404">
        <v>35</v>
      </c>
      <c r="E15" s="402" t="s">
        <v>89</v>
      </c>
      <c r="F15" s="402">
        <v>1.12E-2</v>
      </c>
      <c r="G15" s="459"/>
      <c r="H15" s="459"/>
      <c r="I15" s="399">
        <f>IF(H15="",D15*F15,D15*F15*H15)</f>
        <v>0.39200000000000002</v>
      </c>
      <c r="J15" s="43"/>
      <c r="K15" s="43"/>
      <c r="L15" s="43"/>
      <c r="M15" s="43"/>
      <c r="N15" s="43"/>
      <c r="O15" s="53"/>
    </row>
    <row r="16" spans="1:18" x14ac:dyDescent="0.25">
      <c r="A16" s="456">
        <v>20</v>
      </c>
      <c r="B16" s="416" t="s">
        <v>511</v>
      </c>
      <c r="C16" s="401"/>
      <c r="D16" s="404">
        <v>20</v>
      </c>
      <c r="E16" s="402" t="s">
        <v>89</v>
      </c>
      <c r="F16" s="402">
        <v>1.12E-2</v>
      </c>
      <c r="G16" s="451"/>
      <c r="H16" s="450"/>
      <c r="I16" s="432">
        <f>IF(H16="",D16*F16,D16*F16*H16)</f>
        <v>0.224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0.61599999999999999</v>
      </c>
      <c r="J17" s="15"/>
      <c r="K17" s="15"/>
      <c r="L17" s="15"/>
      <c r="M17" s="15"/>
      <c r="N17" s="15"/>
      <c r="O17" s="47"/>
    </row>
    <row r="18" spans="1:15" x14ac:dyDescent="0.25">
      <c r="A18" s="48"/>
      <c r="B18" s="41"/>
      <c r="C18" s="41"/>
      <c r="D18" s="41"/>
      <c r="E18" s="41"/>
      <c r="F18" s="41"/>
      <c r="G18" s="41"/>
      <c r="H18" s="41"/>
      <c r="I18" s="42"/>
      <c r="J18" s="41"/>
      <c r="K18" s="41"/>
      <c r="L18" s="41"/>
      <c r="M18" s="41"/>
      <c r="N18" s="41"/>
      <c r="O18" s="47"/>
    </row>
    <row r="19" spans="1:15" x14ac:dyDescent="0.25">
      <c r="A19" s="470" t="s">
        <v>14</v>
      </c>
      <c r="B19" s="469" t="s">
        <v>39</v>
      </c>
      <c r="C19" s="469" t="s">
        <v>20</v>
      </c>
      <c r="D19" s="469" t="s">
        <v>21</v>
      </c>
      <c r="E19" s="469" t="s">
        <v>32</v>
      </c>
      <c r="F19" s="469" t="s">
        <v>17</v>
      </c>
      <c r="G19" s="469" t="s">
        <v>40</v>
      </c>
      <c r="H19" s="469" t="s">
        <v>476</v>
      </c>
      <c r="I19" s="469" t="s">
        <v>18</v>
      </c>
      <c r="J19" s="15"/>
      <c r="K19" s="41"/>
      <c r="L19" s="41"/>
      <c r="M19" s="41"/>
      <c r="N19" s="41"/>
      <c r="O19" s="47"/>
    </row>
    <row r="20" spans="1:15" s="12" customFormat="1" ht="15" customHeight="1" x14ac:dyDescent="0.25">
      <c r="A20" s="456">
        <v>10</v>
      </c>
      <c r="B20" s="557" t="s">
        <v>510</v>
      </c>
      <c r="C20" s="557"/>
      <c r="D20" s="556">
        <v>10000</v>
      </c>
      <c r="E20" s="416" t="s">
        <v>89</v>
      </c>
      <c r="F20" s="402">
        <v>1.12E-2</v>
      </c>
      <c r="G20" s="402">
        <v>3000</v>
      </c>
      <c r="H20" s="402">
        <v>1</v>
      </c>
      <c r="I20" s="432">
        <f>D20*F20/G20*H20</f>
        <v>3.7333333333333336E-2</v>
      </c>
      <c r="J20" s="42"/>
      <c r="K20" s="42"/>
      <c r="L20" s="42"/>
      <c r="M20" s="42"/>
      <c r="N20" s="42"/>
      <c r="O20" s="50"/>
    </row>
    <row r="21" spans="1:15" x14ac:dyDescent="0.25">
      <c r="A21" s="52"/>
      <c r="B21" s="15"/>
      <c r="C21" s="15"/>
      <c r="D21" s="15"/>
      <c r="E21" s="15"/>
      <c r="F21" s="15"/>
      <c r="G21" s="15"/>
      <c r="H21" s="106" t="s">
        <v>18</v>
      </c>
      <c r="I21" s="103">
        <f>SUM(I20:I20)</f>
        <v>3.7333333333333336E-2</v>
      </c>
      <c r="J21" s="15"/>
      <c r="K21" s="41"/>
      <c r="L21" s="41"/>
      <c r="M21" s="41"/>
      <c r="N21" s="41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200" display="EN_A0200" xr:uid="{00000000-0004-0000-0C00-000000000000}"/>
    <hyperlink ref="G2" location="EN_A0200_BOM" display="Back to BOM" xr:uid="{00000000-0004-0000-0C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98E3-4102-4863-9571-7F02B19A6725}">
  <sheetPr>
    <tabColor rgb="FF76933C"/>
    <pageSetUpPr fitToPage="1"/>
  </sheetPr>
  <dimension ref="A1:O48"/>
  <sheetViews>
    <sheetView zoomScale="70" zoomScaleNormal="70" workbookViewId="0">
      <selection activeCell="B4" sqref="B4"/>
    </sheetView>
  </sheetViews>
  <sheetFormatPr baseColWidth="10" defaultColWidth="9.140625" defaultRowHeight="15" x14ac:dyDescent="0.25"/>
  <cols>
    <col min="1" max="1" width="10.28515625" style="645" bestFit="1" customWidth="1"/>
    <col min="2" max="2" width="62.42578125" style="645" customWidth="1"/>
    <col min="3" max="3" width="32.5703125" style="645" customWidth="1"/>
    <col min="4" max="4" width="11.5703125" style="645" customWidth="1"/>
    <col min="5" max="5" width="12.140625" style="645" customWidth="1"/>
    <col min="6" max="6" width="8.7109375" style="645" bestFit="1" customWidth="1"/>
    <col min="7" max="7" width="10" style="645" bestFit="1" customWidth="1"/>
    <col min="8" max="9" width="12" style="645" customWidth="1"/>
    <col min="10" max="10" width="11.5703125" style="645" customWidth="1"/>
    <col min="11" max="11" width="7" style="645" bestFit="1" customWidth="1"/>
    <col min="12" max="12" width="9.140625" style="645" bestFit="1" customWidth="1"/>
    <col min="13" max="13" width="18.7109375" style="645" customWidth="1"/>
    <col min="14" max="14" width="15.28515625" style="645" customWidth="1"/>
    <col min="15" max="16384" width="9.140625" style="645"/>
  </cols>
  <sheetData>
    <row r="1" spans="1:15" x14ac:dyDescent="0.25">
      <c r="A1" s="654" t="s">
        <v>0</v>
      </c>
      <c r="B1" s="708" t="s">
        <v>44</v>
      </c>
      <c r="C1" s="708"/>
      <c r="D1" s="709" t="s">
        <v>69</v>
      </c>
      <c r="E1" s="708"/>
      <c r="F1" s="708"/>
      <c r="G1" s="708"/>
      <c r="H1" s="708"/>
      <c r="I1" s="708"/>
      <c r="J1" s="654" t="s">
        <v>1</v>
      </c>
      <c r="K1" s="741">
        <v>81</v>
      </c>
      <c r="L1" s="708"/>
      <c r="M1" s="654" t="s">
        <v>2</v>
      </c>
      <c r="N1" s="649">
        <f>E12+N19+I33+J43+I47</f>
        <v>1626.555635972878</v>
      </c>
      <c r="O1" s="710"/>
    </row>
    <row r="2" spans="1:15" x14ac:dyDescent="0.25">
      <c r="A2" s="654" t="s">
        <v>3</v>
      </c>
      <c r="B2" s="645" t="s">
        <v>279</v>
      </c>
      <c r="M2" s="654" t="s">
        <v>4</v>
      </c>
      <c r="N2" s="740">
        <v>1</v>
      </c>
      <c r="O2" s="711"/>
    </row>
    <row r="3" spans="1:15" x14ac:dyDescent="0.25">
      <c r="A3" s="654" t="s">
        <v>5</v>
      </c>
      <c r="B3" s="645" t="s">
        <v>617</v>
      </c>
      <c r="J3" s="654" t="s">
        <v>6</v>
      </c>
      <c r="O3" s="711"/>
    </row>
    <row r="4" spans="1:15" x14ac:dyDescent="0.25">
      <c r="A4" s="654" t="s">
        <v>7</v>
      </c>
      <c r="B4" s="684" t="s">
        <v>653</v>
      </c>
      <c r="J4" s="654" t="s">
        <v>8</v>
      </c>
      <c r="M4" s="654" t="s">
        <v>9</v>
      </c>
      <c r="N4" s="649">
        <f>N1*N2</f>
        <v>1626.555635972878</v>
      </c>
      <c r="O4" s="711"/>
    </row>
    <row r="5" spans="1:15" x14ac:dyDescent="0.25">
      <c r="A5" s="654" t="s">
        <v>10</v>
      </c>
      <c r="B5" s="645" t="s">
        <v>11</v>
      </c>
      <c r="J5" s="654" t="s">
        <v>12</v>
      </c>
      <c r="O5" s="711"/>
    </row>
    <row r="6" spans="1:15" x14ac:dyDescent="0.25">
      <c r="A6" s="654" t="s">
        <v>13</v>
      </c>
      <c r="B6" s="645" t="s">
        <v>616</v>
      </c>
      <c r="O6" s="711"/>
    </row>
    <row r="7" spans="1:15" x14ac:dyDescent="0.25">
      <c r="A7" s="712"/>
      <c r="O7" s="711"/>
    </row>
    <row r="8" spans="1:15" x14ac:dyDescent="0.25">
      <c r="A8" s="713" t="s">
        <v>14</v>
      </c>
      <c r="B8" s="654" t="s">
        <v>15</v>
      </c>
      <c r="C8" s="654" t="s">
        <v>16</v>
      </c>
      <c r="D8" s="654" t="s">
        <v>17</v>
      </c>
      <c r="E8" s="654" t="s">
        <v>18</v>
      </c>
      <c r="O8" s="711"/>
    </row>
    <row r="9" spans="1:15" x14ac:dyDescent="0.25">
      <c r="A9" s="714">
        <v>10</v>
      </c>
      <c r="B9" s="683" t="s">
        <v>615</v>
      </c>
      <c r="C9" s="651">
        <f>'EN 01001'!N1</f>
        <v>38.781627930666666</v>
      </c>
      <c r="D9" s="659">
        <v>1</v>
      </c>
      <c r="E9" s="649">
        <f>C9*D9</f>
        <v>38.781627930666666</v>
      </c>
      <c r="O9" s="711"/>
    </row>
    <row r="10" spans="1:15" x14ac:dyDescent="0.25">
      <c r="A10" s="714">
        <v>20</v>
      </c>
      <c r="B10" s="683" t="s">
        <v>614</v>
      </c>
      <c r="C10" s="651">
        <f>'EN 01002'!N1</f>
        <v>1.4174720000000001</v>
      </c>
      <c r="D10" s="659">
        <v>2</v>
      </c>
      <c r="E10" s="649">
        <f>C10*D10</f>
        <v>2.8349440000000001</v>
      </c>
      <c r="O10" s="711"/>
    </row>
    <row r="11" spans="1:15" x14ac:dyDescent="0.25">
      <c r="A11" s="714">
        <v>30</v>
      </c>
      <c r="B11" s="683" t="s">
        <v>613</v>
      </c>
      <c r="C11" s="651">
        <f>'EN 01003'!N1</f>
        <v>1.9460502534247164</v>
      </c>
      <c r="D11" s="659">
        <v>1</v>
      </c>
      <c r="E11" s="649">
        <f>C11*D11</f>
        <v>1.9460502534247164</v>
      </c>
      <c r="O11" s="711"/>
    </row>
    <row r="12" spans="1:15" x14ac:dyDescent="0.25">
      <c r="A12" s="712"/>
      <c r="D12" s="648" t="s">
        <v>18</v>
      </c>
      <c r="E12" s="657">
        <f>SUM(E9:E11)</f>
        <v>43.562622184091381</v>
      </c>
      <c r="O12" s="711"/>
    </row>
    <row r="13" spans="1:15" x14ac:dyDescent="0.25">
      <c r="A13" s="712"/>
      <c r="O13" s="711"/>
    </row>
    <row r="14" spans="1:15" x14ac:dyDescent="0.25">
      <c r="A14" s="713" t="s">
        <v>14</v>
      </c>
      <c r="B14" s="654" t="s">
        <v>19</v>
      </c>
      <c r="C14" s="654" t="s">
        <v>20</v>
      </c>
      <c r="D14" s="654" t="s">
        <v>21</v>
      </c>
      <c r="E14" s="654" t="s">
        <v>22</v>
      </c>
      <c r="F14" s="654" t="s">
        <v>23</v>
      </c>
      <c r="G14" s="654" t="s">
        <v>24</v>
      </c>
      <c r="H14" s="654" t="s">
        <v>25</v>
      </c>
      <c r="I14" s="654" t="s">
        <v>26</v>
      </c>
      <c r="J14" s="654" t="s">
        <v>27</v>
      </c>
      <c r="K14" s="654" t="s">
        <v>28</v>
      </c>
      <c r="L14" s="654" t="s">
        <v>29</v>
      </c>
      <c r="M14" s="654" t="s">
        <v>17</v>
      </c>
      <c r="N14" s="654" t="s">
        <v>18</v>
      </c>
      <c r="O14" s="711"/>
    </row>
    <row r="15" spans="1:15" x14ac:dyDescent="0.25">
      <c r="A15" s="714">
        <v>10</v>
      </c>
      <c r="B15" s="682" t="s">
        <v>612</v>
      </c>
      <c r="C15" s="650" t="s">
        <v>611</v>
      </c>
      <c r="D15" s="651">
        <v>2.5</v>
      </c>
      <c r="E15" s="650">
        <v>599</v>
      </c>
      <c r="F15" s="650" t="s">
        <v>610</v>
      </c>
      <c r="G15" s="650"/>
      <c r="H15" s="650"/>
      <c r="I15" s="650"/>
      <c r="J15" s="650"/>
      <c r="K15" s="650"/>
      <c r="L15" s="650"/>
      <c r="M15" s="650">
        <v>1</v>
      </c>
      <c r="N15" s="681">
        <f>E15*D15*M15</f>
        <v>1497.5</v>
      </c>
      <c r="O15" s="711"/>
    </row>
    <row r="16" spans="1:15" x14ac:dyDescent="0.25">
      <c r="A16" s="714">
        <v>20</v>
      </c>
      <c r="B16" s="650" t="s">
        <v>609</v>
      </c>
      <c r="C16" s="650" t="s">
        <v>608</v>
      </c>
      <c r="D16" s="651">
        <v>0.75</v>
      </c>
      <c r="E16" s="650">
        <v>3.5</v>
      </c>
      <c r="F16" s="650" t="s">
        <v>607</v>
      </c>
      <c r="G16" s="650"/>
      <c r="H16" s="678"/>
      <c r="I16" s="677"/>
      <c r="J16" s="675"/>
      <c r="K16" s="678"/>
      <c r="L16" s="678"/>
      <c r="M16" s="674">
        <v>3.5</v>
      </c>
      <c r="N16" s="649">
        <f>IF(J16="",D16*M16,D16*J16*K16*L16*M16)</f>
        <v>2.625</v>
      </c>
      <c r="O16" s="711"/>
    </row>
    <row r="17" spans="1:15" x14ac:dyDescent="0.25">
      <c r="A17" s="714">
        <v>30</v>
      </c>
      <c r="B17" s="650" t="s">
        <v>264</v>
      </c>
      <c r="C17" s="650" t="s">
        <v>603</v>
      </c>
      <c r="D17" s="651">
        <v>10</v>
      </c>
      <c r="E17" s="673">
        <f>26.634/10000</f>
        <v>2.6634000000000002E-3</v>
      </c>
      <c r="F17" s="650" t="s">
        <v>89</v>
      </c>
      <c r="G17" s="650"/>
      <c r="H17" s="678"/>
      <c r="I17" s="677"/>
      <c r="J17" s="675"/>
      <c r="K17" s="678"/>
      <c r="L17" s="678"/>
      <c r="M17" s="673">
        <f>26.634/10000</f>
        <v>2.6634000000000002E-3</v>
      </c>
      <c r="N17" s="649">
        <f>IF(J17="",D17*M17,D17*J17*K17*L17*M17)</f>
        <v>2.6634000000000001E-2</v>
      </c>
      <c r="O17" s="711"/>
    </row>
    <row r="18" spans="1:15" ht="30" x14ac:dyDescent="0.25">
      <c r="A18" s="714">
        <v>40</v>
      </c>
      <c r="B18" s="650" t="s">
        <v>606</v>
      </c>
      <c r="C18" s="680" t="s">
        <v>605</v>
      </c>
      <c r="D18" s="651">
        <v>3.3</v>
      </c>
      <c r="E18" s="679">
        <f>L18*K18*J18</f>
        <v>1.8700000000000001E-2</v>
      </c>
      <c r="F18" s="650" t="s">
        <v>78</v>
      </c>
      <c r="G18" s="650"/>
      <c r="H18" s="678"/>
      <c r="I18" s="677"/>
      <c r="J18" s="676">
        <v>1.7000000000000001E-2</v>
      </c>
      <c r="K18" s="676">
        <v>1E-3</v>
      </c>
      <c r="L18" s="675">
        <v>1100</v>
      </c>
      <c r="M18" s="674">
        <v>1</v>
      </c>
      <c r="N18" s="649">
        <f>M18*E18*D18</f>
        <v>6.1710000000000001E-2</v>
      </c>
      <c r="O18" s="711"/>
    </row>
    <row r="19" spans="1:15" s="646" customFormat="1" x14ac:dyDescent="0.25">
      <c r="A19" s="715"/>
      <c r="M19" s="648" t="s">
        <v>18</v>
      </c>
      <c r="N19" s="657">
        <f>SUM(N15:N18)</f>
        <v>1500.213344</v>
      </c>
      <c r="O19" s="716"/>
    </row>
    <row r="20" spans="1:15" x14ac:dyDescent="0.25">
      <c r="A20" s="712"/>
      <c r="O20" s="711"/>
    </row>
    <row r="21" spans="1:15" s="646" customFormat="1" x14ac:dyDescent="0.25">
      <c r="A21" s="713" t="s">
        <v>14</v>
      </c>
      <c r="B21" s="654" t="s">
        <v>31</v>
      </c>
      <c r="C21" s="654" t="s">
        <v>20</v>
      </c>
      <c r="D21" s="654" t="s">
        <v>21</v>
      </c>
      <c r="E21" s="654" t="s">
        <v>32</v>
      </c>
      <c r="F21" s="654" t="s">
        <v>17</v>
      </c>
      <c r="G21" s="654" t="s">
        <v>33</v>
      </c>
      <c r="H21" s="654" t="s">
        <v>34</v>
      </c>
      <c r="I21" s="654" t="s">
        <v>18</v>
      </c>
      <c r="O21" s="716"/>
    </row>
    <row r="22" spans="1:15" x14ac:dyDescent="0.25">
      <c r="A22" s="714">
        <v>10</v>
      </c>
      <c r="B22" s="650" t="s">
        <v>72</v>
      </c>
      <c r="C22" s="650" t="s">
        <v>604</v>
      </c>
      <c r="D22" s="661">
        <v>0.15</v>
      </c>
      <c r="E22" s="650" t="s">
        <v>46</v>
      </c>
      <c r="F22" s="650">
        <v>5.96</v>
      </c>
      <c r="G22" s="650"/>
      <c r="H22" s="650">
        <v>1</v>
      </c>
      <c r="I22" s="661">
        <f>H22*F22*D22</f>
        <v>0.89400000000000002</v>
      </c>
      <c r="O22" s="711"/>
    </row>
    <row r="23" spans="1:15" x14ac:dyDescent="0.25">
      <c r="A23" s="714">
        <v>20</v>
      </c>
      <c r="B23" s="650" t="s">
        <v>258</v>
      </c>
      <c r="C23" s="650" t="s">
        <v>603</v>
      </c>
      <c r="D23" s="661">
        <v>5.25</v>
      </c>
      <c r="E23" s="650" t="s">
        <v>89</v>
      </c>
      <c r="F23" s="673">
        <f>26.634/10000</f>
        <v>2.6634000000000002E-3</v>
      </c>
      <c r="G23" s="650"/>
      <c r="H23" s="650">
        <v>1</v>
      </c>
      <c r="I23" s="661">
        <f>H23*F23*D23</f>
        <v>1.3982850000000002E-2</v>
      </c>
      <c r="O23" s="711"/>
    </row>
    <row r="24" spans="1:15" x14ac:dyDescent="0.25">
      <c r="A24" s="714"/>
      <c r="B24" s="650" t="s">
        <v>602</v>
      </c>
      <c r="C24" s="650" t="s">
        <v>601</v>
      </c>
      <c r="D24" s="661">
        <v>0.06</v>
      </c>
      <c r="E24" s="650" t="s">
        <v>46</v>
      </c>
      <c r="F24" s="672">
        <v>166</v>
      </c>
      <c r="G24" s="650"/>
      <c r="H24" s="650">
        <v>1</v>
      </c>
      <c r="I24" s="661">
        <f>F24*H24*D24</f>
        <v>9.9599999999999991</v>
      </c>
      <c r="O24" s="711"/>
    </row>
    <row r="25" spans="1:15" x14ac:dyDescent="0.25">
      <c r="A25" s="714">
        <v>30</v>
      </c>
      <c r="B25" s="671" t="s">
        <v>600</v>
      </c>
      <c r="C25" s="670" t="s">
        <v>599</v>
      </c>
      <c r="D25" s="651">
        <v>5.63</v>
      </c>
      <c r="E25" s="652" t="s">
        <v>32</v>
      </c>
      <c r="F25" s="652">
        <v>1</v>
      </c>
      <c r="G25" s="671"/>
      <c r="H25" s="652">
        <v>1</v>
      </c>
      <c r="I25" s="661">
        <f t="shared" ref="I25:I32" si="0">H25*F25*D25</f>
        <v>5.63</v>
      </c>
      <c r="O25" s="711"/>
    </row>
    <row r="26" spans="1:15" x14ac:dyDescent="0.25">
      <c r="A26" s="714">
        <v>40</v>
      </c>
      <c r="B26" s="671" t="s">
        <v>598</v>
      </c>
      <c r="C26" s="670" t="s">
        <v>597</v>
      </c>
      <c r="D26" s="651">
        <v>0.13</v>
      </c>
      <c r="E26" s="668" t="s">
        <v>32</v>
      </c>
      <c r="F26" s="668">
        <v>1</v>
      </c>
      <c r="G26" s="669"/>
      <c r="H26" s="668">
        <v>1</v>
      </c>
      <c r="I26" s="661">
        <f t="shared" si="0"/>
        <v>0.13</v>
      </c>
      <c r="O26" s="711"/>
    </row>
    <row r="27" spans="1:15" x14ac:dyDescent="0.25">
      <c r="A27" s="714">
        <v>50</v>
      </c>
      <c r="B27" s="671" t="s">
        <v>595</v>
      </c>
      <c r="C27" s="670" t="s">
        <v>596</v>
      </c>
      <c r="D27" s="651">
        <v>0.75</v>
      </c>
      <c r="E27" s="668" t="s">
        <v>32</v>
      </c>
      <c r="F27" s="668">
        <v>2</v>
      </c>
      <c r="G27" s="669"/>
      <c r="H27" s="668">
        <v>1</v>
      </c>
      <c r="I27" s="661">
        <f t="shared" si="0"/>
        <v>1.5</v>
      </c>
      <c r="O27" s="711"/>
    </row>
    <row r="28" spans="1:15" x14ac:dyDescent="0.25">
      <c r="A28" s="714">
        <v>60</v>
      </c>
      <c r="B28" s="671" t="s">
        <v>595</v>
      </c>
      <c r="C28" s="670" t="s">
        <v>593</v>
      </c>
      <c r="D28" s="651">
        <v>0.75</v>
      </c>
      <c r="E28" s="668" t="s">
        <v>32</v>
      </c>
      <c r="F28" s="668">
        <v>2</v>
      </c>
      <c r="G28" s="669"/>
      <c r="H28" s="668">
        <v>1</v>
      </c>
      <c r="I28" s="661">
        <f t="shared" si="0"/>
        <v>1.5</v>
      </c>
      <c r="O28" s="711"/>
    </row>
    <row r="29" spans="1:15" x14ac:dyDescent="0.25">
      <c r="A29" s="714">
        <v>70</v>
      </c>
      <c r="B29" s="671" t="s">
        <v>594</v>
      </c>
      <c r="C29" s="670" t="s">
        <v>593</v>
      </c>
      <c r="D29" s="651">
        <v>0.25</v>
      </c>
      <c r="E29" s="668" t="s">
        <v>32</v>
      </c>
      <c r="F29" s="668">
        <v>2</v>
      </c>
      <c r="G29" s="669"/>
      <c r="H29" s="668">
        <v>1</v>
      </c>
      <c r="I29" s="661">
        <f t="shared" si="0"/>
        <v>0.5</v>
      </c>
      <c r="O29" s="711"/>
    </row>
    <row r="30" spans="1:15" x14ac:dyDescent="0.25">
      <c r="A30" s="714">
        <v>80</v>
      </c>
      <c r="B30" s="659" t="s">
        <v>88</v>
      </c>
      <c r="C30" s="659" t="s">
        <v>592</v>
      </c>
      <c r="D30" s="667">
        <v>0.125</v>
      </c>
      <c r="E30" s="666" t="s">
        <v>35</v>
      </c>
      <c r="F30" s="666">
        <v>2</v>
      </c>
      <c r="G30" s="666"/>
      <c r="H30" s="666">
        <v>1</v>
      </c>
      <c r="I30" s="661">
        <f t="shared" si="0"/>
        <v>0.25</v>
      </c>
      <c r="O30" s="711"/>
    </row>
    <row r="31" spans="1:15" x14ac:dyDescent="0.25">
      <c r="A31" s="714">
        <v>90</v>
      </c>
      <c r="B31" s="665" t="s">
        <v>76</v>
      </c>
      <c r="C31" s="659" t="s">
        <v>591</v>
      </c>
      <c r="D31" s="664">
        <v>0.5</v>
      </c>
      <c r="E31" s="650" t="s">
        <v>35</v>
      </c>
      <c r="F31" s="650">
        <v>12</v>
      </c>
      <c r="G31" s="650"/>
      <c r="H31" s="650">
        <v>1</v>
      </c>
      <c r="I31" s="661">
        <f t="shared" si="0"/>
        <v>6</v>
      </c>
      <c r="O31" s="711"/>
    </row>
    <row r="32" spans="1:15" x14ac:dyDescent="0.25">
      <c r="A32" s="714">
        <v>100</v>
      </c>
      <c r="B32" s="659" t="s">
        <v>590</v>
      </c>
      <c r="C32" s="659"/>
      <c r="D32" s="664">
        <v>50</v>
      </c>
      <c r="E32" s="650" t="s">
        <v>35</v>
      </c>
      <c r="F32" s="650">
        <v>1</v>
      </c>
      <c r="G32" s="650"/>
      <c r="H32" s="650">
        <v>1</v>
      </c>
      <c r="I32" s="661">
        <f t="shared" si="0"/>
        <v>50</v>
      </c>
      <c r="O32" s="711"/>
    </row>
    <row r="33" spans="1:15" s="646" customFormat="1" x14ac:dyDescent="0.25">
      <c r="A33" s="715"/>
      <c r="H33" s="648" t="s">
        <v>18</v>
      </c>
      <c r="I33" s="647">
        <f>SUM(I22:I32)</f>
        <v>76.377982849999995</v>
      </c>
      <c r="O33" s="716"/>
    </row>
    <row r="34" spans="1:15" x14ac:dyDescent="0.25">
      <c r="A34" s="712"/>
      <c r="O34" s="711"/>
    </row>
    <row r="35" spans="1:15" s="646" customFormat="1" x14ac:dyDescent="0.25">
      <c r="A35" s="713" t="s">
        <v>14</v>
      </c>
      <c r="B35" s="654" t="s">
        <v>36</v>
      </c>
      <c r="C35" s="654" t="s">
        <v>20</v>
      </c>
      <c r="D35" s="654" t="s">
        <v>21</v>
      </c>
      <c r="E35" s="654" t="s">
        <v>22</v>
      </c>
      <c r="F35" s="654" t="s">
        <v>23</v>
      </c>
      <c r="G35" s="654" t="s">
        <v>24</v>
      </c>
      <c r="H35" s="654" t="s">
        <v>25</v>
      </c>
      <c r="I35" s="654" t="s">
        <v>17</v>
      </c>
      <c r="J35" s="654" t="s">
        <v>18</v>
      </c>
      <c r="O35" s="716"/>
    </row>
    <row r="36" spans="1:15" x14ac:dyDescent="0.25">
      <c r="A36" s="714">
        <v>10</v>
      </c>
      <c r="B36" s="663" t="s">
        <v>90</v>
      </c>
      <c r="C36" s="650" t="s">
        <v>589</v>
      </c>
      <c r="D36" s="661">
        <v>1.05</v>
      </c>
      <c r="E36" s="650">
        <v>12</v>
      </c>
      <c r="F36" s="660" t="s">
        <v>30</v>
      </c>
      <c r="G36" s="650">
        <v>80</v>
      </c>
      <c r="H36" s="659" t="s">
        <v>30</v>
      </c>
      <c r="I36" s="658">
        <v>2</v>
      </c>
      <c r="J36" s="651">
        <f t="shared" ref="J36:J42" si="1">D36*I36</f>
        <v>2.1</v>
      </c>
      <c r="O36" s="711"/>
    </row>
    <row r="37" spans="1:15" x14ac:dyDescent="0.25">
      <c r="A37" s="714">
        <v>20</v>
      </c>
      <c r="B37" s="662" t="s">
        <v>37</v>
      </c>
      <c r="C37" s="650" t="s">
        <v>589</v>
      </c>
      <c r="D37" s="661">
        <v>0.01</v>
      </c>
      <c r="E37" s="650"/>
      <c r="F37" s="660" t="s">
        <v>35</v>
      </c>
      <c r="G37" s="650"/>
      <c r="H37" s="659"/>
      <c r="I37" s="658">
        <v>2</v>
      </c>
      <c r="J37" s="651">
        <f t="shared" si="1"/>
        <v>0.02</v>
      </c>
      <c r="O37" s="711"/>
    </row>
    <row r="38" spans="1:15" x14ac:dyDescent="0.25">
      <c r="A38" s="714">
        <v>20</v>
      </c>
      <c r="B38" s="663" t="s">
        <v>90</v>
      </c>
      <c r="C38" s="650" t="s">
        <v>588</v>
      </c>
      <c r="D38" s="661">
        <v>1.4</v>
      </c>
      <c r="E38" s="650">
        <v>12</v>
      </c>
      <c r="F38" s="660" t="s">
        <v>30</v>
      </c>
      <c r="G38" s="650">
        <v>100</v>
      </c>
      <c r="H38" s="659" t="s">
        <v>30</v>
      </c>
      <c r="I38" s="658">
        <v>2</v>
      </c>
      <c r="J38" s="651">
        <f t="shared" si="1"/>
        <v>2.8</v>
      </c>
      <c r="O38" s="711"/>
    </row>
    <row r="39" spans="1:15" x14ac:dyDescent="0.25">
      <c r="A39" s="714">
        <v>30</v>
      </c>
      <c r="B39" s="662" t="s">
        <v>38</v>
      </c>
      <c r="C39" s="650" t="s">
        <v>588</v>
      </c>
      <c r="D39" s="661">
        <v>0.1</v>
      </c>
      <c r="E39" s="650">
        <v>12</v>
      </c>
      <c r="F39" s="660" t="s">
        <v>30</v>
      </c>
      <c r="G39" s="650"/>
      <c r="H39" s="659"/>
      <c r="I39" s="658">
        <v>2</v>
      </c>
      <c r="J39" s="651">
        <f t="shared" si="1"/>
        <v>0.2</v>
      </c>
      <c r="O39" s="711"/>
    </row>
    <row r="40" spans="1:15" x14ac:dyDescent="0.25">
      <c r="A40" s="714">
        <v>40</v>
      </c>
      <c r="B40" s="662" t="s">
        <v>37</v>
      </c>
      <c r="C40" s="650" t="s">
        <v>587</v>
      </c>
      <c r="D40" s="661">
        <v>0.01</v>
      </c>
      <c r="E40" s="650"/>
      <c r="F40" s="660" t="s">
        <v>35</v>
      </c>
      <c r="G40" s="650"/>
      <c r="H40" s="659"/>
      <c r="I40" s="658">
        <v>6</v>
      </c>
      <c r="J40" s="651">
        <f t="shared" si="1"/>
        <v>0.06</v>
      </c>
      <c r="O40" s="711"/>
    </row>
    <row r="41" spans="1:15" x14ac:dyDescent="0.25">
      <c r="A41" s="714">
        <v>50</v>
      </c>
      <c r="B41" s="663" t="s">
        <v>90</v>
      </c>
      <c r="C41" s="650" t="s">
        <v>586</v>
      </c>
      <c r="D41" s="661">
        <f>0.8/105154*E41^2*G41*SQRT(G41)+(0.003*EXP(0.319*E41))</f>
        <v>3.6251689343322346E-2</v>
      </c>
      <c r="E41" s="650">
        <v>6</v>
      </c>
      <c r="F41" s="660" t="s">
        <v>30</v>
      </c>
      <c r="G41" s="650">
        <v>15</v>
      </c>
      <c r="H41" s="659" t="s">
        <v>30</v>
      </c>
      <c r="I41" s="658">
        <v>12</v>
      </c>
      <c r="J41" s="651">
        <f t="shared" si="1"/>
        <v>0.43502027211986816</v>
      </c>
      <c r="O41" s="711"/>
    </row>
    <row r="42" spans="1:15" s="646" customFormat="1" x14ac:dyDescent="0.25">
      <c r="A42" s="714">
        <v>40</v>
      </c>
      <c r="B42" s="662" t="s">
        <v>37</v>
      </c>
      <c r="C42" s="650" t="s">
        <v>585</v>
      </c>
      <c r="D42" s="661">
        <v>0.01</v>
      </c>
      <c r="E42" s="650"/>
      <c r="F42" s="660" t="s">
        <v>35</v>
      </c>
      <c r="G42" s="650"/>
      <c r="H42" s="659"/>
      <c r="I42" s="658">
        <v>12</v>
      </c>
      <c r="J42" s="651">
        <f t="shared" si="1"/>
        <v>0.12</v>
      </c>
      <c r="O42" s="716"/>
    </row>
    <row r="43" spans="1:15" x14ac:dyDescent="0.25">
      <c r="A43" s="715"/>
      <c r="B43" s="646"/>
      <c r="C43" s="646"/>
      <c r="D43" s="646"/>
      <c r="E43" s="646"/>
      <c r="F43" s="646"/>
      <c r="G43" s="646"/>
      <c r="H43" s="646"/>
      <c r="I43" s="648" t="s">
        <v>18</v>
      </c>
      <c r="J43" s="657">
        <f>SUM(J36:J42)</f>
        <v>5.7350202721198675</v>
      </c>
      <c r="O43" s="711"/>
    </row>
    <row r="44" spans="1:15" s="646" customFormat="1" x14ac:dyDescent="0.25">
      <c r="A44" s="712"/>
      <c r="B44" s="645"/>
      <c r="C44" s="645"/>
      <c r="D44" s="645"/>
      <c r="E44" s="645"/>
      <c r="F44" s="645"/>
      <c r="G44" s="645"/>
      <c r="H44" s="656"/>
      <c r="I44" s="655"/>
      <c r="J44" s="645"/>
      <c r="O44" s="716"/>
    </row>
    <row r="45" spans="1:15" x14ac:dyDescent="0.25">
      <c r="A45" s="713" t="s">
        <v>14</v>
      </c>
      <c r="B45" s="654" t="s">
        <v>39</v>
      </c>
      <c r="C45" s="654" t="s">
        <v>20</v>
      </c>
      <c r="D45" s="654" t="s">
        <v>21</v>
      </c>
      <c r="E45" s="654" t="s">
        <v>32</v>
      </c>
      <c r="F45" s="654" t="s">
        <v>17</v>
      </c>
      <c r="G45" s="654" t="s">
        <v>40</v>
      </c>
      <c r="H45" s="654" t="s">
        <v>41</v>
      </c>
      <c r="I45" s="654" t="s">
        <v>18</v>
      </c>
      <c r="J45" s="646"/>
      <c r="O45" s="711"/>
    </row>
    <row r="46" spans="1:15" s="646" customFormat="1" x14ac:dyDescent="0.25">
      <c r="A46" s="714">
        <v>10</v>
      </c>
      <c r="B46" s="653" t="s">
        <v>42</v>
      </c>
      <c r="C46" s="652" t="s">
        <v>584</v>
      </c>
      <c r="D46" s="651">
        <v>500</v>
      </c>
      <c r="E46" s="650" t="s">
        <v>43</v>
      </c>
      <c r="F46" s="650">
        <v>4</v>
      </c>
      <c r="G46" s="650">
        <v>3000</v>
      </c>
      <c r="H46" s="650">
        <v>1</v>
      </c>
      <c r="I46" s="649">
        <f>D46*F46/G46*H46</f>
        <v>0.66666666666666663</v>
      </c>
      <c r="J46" s="645"/>
      <c r="O46" s="716"/>
    </row>
    <row r="47" spans="1:15" x14ac:dyDescent="0.25">
      <c r="A47" s="715"/>
      <c r="B47" s="646"/>
      <c r="C47" s="646"/>
      <c r="D47" s="646"/>
      <c r="E47" s="646"/>
      <c r="F47" s="646"/>
      <c r="G47" s="646"/>
      <c r="H47" s="648" t="s">
        <v>18</v>
      </c>
      <c r="I47" s="647">
        <f>SUM(I46:I46)</f>
        <v>0.66666666666666663</v>
      </c>
      <c r="J47" s="646"/>
      <c r="O47" s="711"/>
    </row>
    <row r="48" spans="1:15" ht="15.75" thickBot="1" x14ac:dyDescent="0.3">
      <c r="A48" s="717"/>
      <c r="B48" s="718"/>
      <c r="C48" s="718"/>
      <c r="D48" s="718"/>
      <c r="E48" s="718"/>
      <c r="F48" s="718"/>
      <c r="G48" s="718"/>
      <c r="H48" s="718"/>
      <c r="I48" s="718"/>
      <c r="J48" s="718"/>
      <c r="K48" s="718"/>
      <c r="L48" s="718"/>
      <c r="M48" s="718"/>
      <c r="N48" s="718"/>
      <c r="O48" s="719"/>
    </row>
  </sheetData>
  <hyperlinks>
    <hyperlink ref="D1" location="BOM!A1" display="Back to BOM" xr:uid="{00000000-0004-0000-0200-000000000000}"/>
    <hyperlink ref="B9" location="'EN 01001'!A1" display="Flat sump" xr:uid="{00000000-0004-0000-0200-000001000000}"/>
    <hyperlink ref="B10" location="'EN 01002'!A1" display="Rear tab" xr:uid="{00000000-0004-0000-0200-000002000000}"/>
    <hyperlink ref="B11" location="'EN 01003'!A1" display="Rear tube" xr:uid="{00000000-0004-0000-0200-000003000000}"/>
  </hyperlinks>
  <printOptions horizontalCentered="1"/>
  <pageMargins left="0.3" right="0.3" top="0.3" bottom="0.4" header="0.2" footer="0.2"/>
  <pageSetup paperSize="9" scale="63" orientation="landscape" r:id="rId1"/>
  <headerFooter>
    <oddFooter>Page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0.39997558519241921"/>
    <pageSetUpPr fitToPage="1"/>
  </sheetPr>
  <dimension ref="A1:R18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2" max="2" width="34.140625" customWidth="1"/>
    <col min="3" max="3" width="15.28515625" customWidth="1"/>
    <col min="6" max="6" width="8.85546875" customWidth="1"/>
    <col min="7" max="7" width="14.5703125" customWidth="1"/>
    <col min="8" max="8" width="9.140625" customWidth="1"/>
    <col min="9" max="9" width="22" customWidth="1"/>
    <col min="10" max="10" width="10.140625" customWidth="1"/>
    <col min="11" max="11" width="9.140625" customWidth="1"/>
    <col min="12" max="12" width="10.5703125" bestFit="1" customWidth="1"/>
    <col min="14" max="14" width="11.28515625" customWidth="1"/>
    <col min="15" max="15" width="3.140625" customWidth="1"/>
  </cols>
  <sheetData>
    <row r="1" spans="1:18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8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EN_02010_m+EN_02010_p</f>
        <v>2.2250004878264873</v>
      </c>
      <c r="O2" s="47"/>
    </row>
    <row r="3" spans="1:18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8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8" x14ac:dyDescent="0.25">
      <c r="A5" s="100" t="s">
        <v>15</v>
      </c>
      <c r="B5" s="13" t="s">
        <v>521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2.2250004878264873</v>
      </c>
      <c r="O5" s="47"/>
    </row>
    <row r="6" spans="1:18" x14ac:dyDescent="0.25">
      <c r="A6" s="100" t="s">
        <v>7</v>
      </c>
      <c r="B6" s="17" t="s">
        <v>520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8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8" x14ac:dyDescent="0.25">
      <c r="A8" s="100" t="s">
        <v>13</v>
      </c>
      <c r="B8" s="11" t="s">
        <v>519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8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8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9" t="s">
        <v>23</v>
      </c>
      <c r="G10" s="469" t="s">
        <v>24</v>
      </c>
      <c r="H10" s="469" t="s">
        <v>25</v>
      </c>
      <c r="I10" s="469" t="s">
        <v>26</v>
      </c>
      <c r="J10" s="469" t="s">
        <v>27</v>
      </c>
      <c r="K10" s="469" t="s">
        <v>28</v>
      </c>
      <c r="L10" s="469" t="s">
        <v>29</v>
      </c>
      <c r="M10" s="469" t="s">
        <v>17</v>
      </c>
      <c r="N10" s="469" t="s">
        <v>18</v>
      </c>
      <c r="O10" s="47"/>
    </row>
    <row r="11" spans="1:18" s="14" customFormat="1" x14ac:dyDescent="0.25">
      <c r="A11" s="487">
        <v>10</v>
      </c>
      <c r="B11" s="578" t="s">
        <v>163</v>
      </c>
      <c r="C11" s="575" t="s">
        <v>518</v>
      </c>
      <c r="D11" s="577">
        <v>2.25</v>
      </c>
      <c r="E11" s="576">
        <f>PRODUCT(J11,K11,L11)</f>
        <v>6.6290118264867498E-2</v>
      </c>
      <c r="F11" s="575" t="s">
        <v>78</v>
      </c>
      <c r="G11" s="575"/>
      <c r="H11" s="574"/>
      <c r="I11" s="573" t="s">
        <v>517</v>
      </c>
      <c r="J11" s="572">
        <f>PI()*((0.016*0.016)/4)</f>
        <v>2.0106192982974675E-4</v>
      </c>
      <c r="K11" s="571">
        <v>4.2000000000000003E-2</v>
      </c>
      <c r="L11" s="570">
        <v>7850</v>
      </c>
      <c r="M11" s="569">
        <v>1</v>
      </c>
      <c r="N11" s="432">
        <f>D11*E11</f>
        <v>0.14915276609595188</v>
      </c>
      <c r="O11" s="51"/>
    </row>
    <row r="12" spans="1:18" x14ac:dyDescent="0.25">
      <c r="A12" s="52"/>
      <c r="B12" s="15"/>
      <c r="C12" s="15"/>
      <c r="D12" s="15"/>
      <c r="E12" s="15"/>
      <c r="F12" s="15"/>
      <c r="G12" s="15"/>
      <c r="H12" s="15"/>
      <c r="I12" s="568"/>
      <c r="J12" s="15"/>
      <c r="K12" s="15"/>
      <c r="L12" s="15"/>
      <c r="M12" s="471" t="s">
        <v>18</v>
      </c>
      <c r="N12" s="103">
        <f>SUM(N11:N11)</f>
        <v>0.14915276609595188</v>
      </c>
      <c r="O12" s="47"/>
      <c r="R12" s="108"/>
    </row>
    <row r="13" spans="1:18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8" x14ac:dyDescent="0.25">
      <c r="A14" s="470" t="s">
        <v>14</v>
      </c>
      <c r="B14" s="469" t="s">
        <v>31</v>
      </c>
      <c r="C14" s="469" t="s">
        <v>20</v>
      </c>
      <c r="D14" s="469" t="s">
        <v>21</v>
      </c>
      <c r="E14" s="469" t="s">
        <v>32</v>
      </c>
      <c r="F14" s="469" t="s">
        <v>17</v>
      </c>
      <c r="G14" s="469" t="s">
        <v>33</v>
      </c>
      <c r="H14" s="469" t="s">
        <v>34</v>
      </c>
      <c r="I14" s="469" t="s">
        <v>18</v>
      </c>
      <c r="J14" s="15"/>
      <c r="K14" s="15"/>
      <c r="L14" s="15"/>
      <c r="M14" s="15"/>
      <c r="N14" s="15"/>
      <c r="O14" s="47"/>
    </row>
    <row r="15" spans="1:18" s="16" customFormat="1" x14ac:dyDescent="0.25">
      <c r="A15" s="508">
        <v>10</v>
      </c>
      <c r="B15" s="416" t="s">
        <v>45</v>
      </c>
      <c r="C15" s="401"/>
      <c r="D15" s="404">
        <v>1.3</v>
      </c>
      <c r="E15" s="402" t="s">
        <v>35</v>
      </c>
      <c r="F15" s="402">
        <v>1</v>
      </c>
      <c r="G15" s="459"/>
      <c r="H15" s="459"/>
      <c r="I15" s="399">
        <f>IF(H15="",D15*F15,D15*F15*H15)</f>
        <v>1.3</v>
      </c>
      <c r="J15" s="43"/>
      <c r="K15" s="43"/>
      <c r="L15" s="43"/>
      <c r="M15" s="43"/>
      <c r="N15" s="43"/>
      <c r="O15" s="53"/>
    </row>
    <row r="16" spans="1:18" s="16" customFormat="1" x14ac:dyDescent="0.25">
      <c r="A16" s="464">
        <v>20</v>
      </c>
      <c r="B16" s="416" t="s">
        <v>79</v>
      </c>
      <c r="C16" s="401"/>
      <c r="D16" s="404">
        <v>0.04</v>
      </c>
      <c r="E16" s="402" t="s">
        <v>81</v>
      </c>
      <c r="F16" s="567">
        <f>PI()*(1.4*1.4/4)*4.2</f>
        <v>6.4653976810877936</v>
      </c>
      <c r="G16" s="451" t="s">
        <v>82</v>
      </c>
      <c r="H16" s="459">
        <v>3</v>
      </c>
      <c r="I16" s="399">
        <f>IF(H16="",D16*F16,D16*F16*H16)</f>
        <v>0.77584772173053529</v>
      </c>
      <c r="J16" s="43"/>
      <c r="K16" s="43"/>
      <c r="L16" s="43"/>
      <c r="M16" s="43"/>
      <c r="N16" s="43"/>
      <c r="O16" s="53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2.0758477217305353</v>
      </c>
      <c r="J17" s="15"/>
      <c r="K17" s="15"/>
      <c r="L17" s="15"/>
      <c r="M17" s="15"/>
      <c r="N17" s="15"/>
      <c r="O17" s="47"/>
    </row>
    <row r="18" spans="1:15" ht="15.75" thickBot="1" x14ac:dyDescent="0.3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6"/>
    </row>
  </sheetData>
  <hyperlinks>
    <hyperlink ref="B4" location="EN_A0200" display="EN_A0200" xr:uid="{00000000-0004-0000-0D00-000000000000}"/>
    <hyperlink ref="G2" location="EN_A0200_BOM" display="Back to BOM" xr:uid="{00000000-0004-0000-0D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 tint="-0.249977111117893"/>
    <pageSetUpPr fitToPage="1"/>
  </sheetPr>
  <dimension ref="A1:O77"/>
  <sheetViews>
    <sheetView zoomScale="85" zoomScaleNormal="85" zoomScaleSheetLayoutView="80" workbookViewId="0">
      <selection activeCell="K28" sqref="K28"/>
    </sheetView>
  </sheetViews>
  <sheetFormatPr baseColWidth="10" defaultColWidth="9.140625" defaultRowHeight="15" x14ac:dyDescent="0.25"/>
  <cols>
    <col min="2" max="2" width="36.140625" customWidth="1"/>
    <col min="3" max="3" width="68.42578125" customWidth="1"/>
    <col min="4" max="4" width="11.42578125" customWidth="1"/>
    <col min="10" max="10" width="13.42578125" customWidth="1"/>
    <col min="15" max="15" width="5.28515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94" t="s">
        <v>0</v>
      </c>
      <c r="B2" s="11" t="s">
        <v>44</v>
      </c>
      <c r="C2" s="41"/>
      <c r="D2" s="41"/>
      <c r="E2" s="68" t="s">
        <v>69</v>
      </c>
      <c r="F2" s="41"/>
      <c r="G2" s="41"/>
      <c r="H2" s="41"/>
      <c r="I2" s="41"/>
      <c r="J2" s="94" t="s">
        <v>1</v>
      </c>
      <c r="K2" s="65">
        <v>81</v>
      </c>
      <c r="L2" s="41"/>
      <c r="M2" s="94" t="s">
        <v>2</v>
      </c>
      <c r="N2" s="73">
        <f>EN_A0300_pa+EN_A0300_m+EN_A0300_p+EN_A0300_f+EN_A0300_t</f>
        <v>143.89279884677399</v>
      </c>
      <c r="O2" s="47"/>
    </row>
    <row r="3" spans="1:15" x14ac:dyDescent="0.25">
      <c r="A3" s="94" t="s">
        <v>3</v>
      </c>
      <c r="B3" s="11" t="s">
        <v>70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94" t="s">
        <v>4</v>
      </c>
      <c r="N3" s="64">
        <v>1</v>
      </c>
      <c r="O3" s="47"/>
    </row>
    <row r="4" spans="1:15" x14ac:dyDescent="0.25">
      <c r="A4" s="94" t="s">
        <v>5</v>
      </c>
      <c r="B4" s="42" t="s">
        <v>131</v>
      </c>
      <c r="C4" s="41"/>
      <c r="D4" s="41"/>
      <c r="E4" s="41"/>
      <c r="F4" s="41"/>
      <c r="G4" s="41"/>
      <c r="H4" s="41"/>
      <c r="I4" s="41"/>
      <c r="J4" s="97" t="s">
        <v>6</v>
      </c>
      <c r="K4" s="41"/>
      <c r="L4" s="41"/>
      <c r="M4" s="41"/>
      <c r="N4" s="41"/>
      <c r="O4" s="47"/>
    </row>
    <row r="5" spans="1:15" x14ac:dyDescent="0.25">
      <c r="A5" s="94" t="s">
        <v>7</v>
      </c>
      <c r="B5" s="13" t="s">
        <v>522</v>
      </c>
      <c r="C5" s="41"/>
      <c r="D5" s="41"/>
      <c r="E5" s="41"/>
      <c r="F5" s="41"/>
      <c r="G5" s="41"/>
      <c r="H5" s="41"/>
      <c r="I5" s="41"/>
      <c r="J5" s="97" t="s">
        <v>8</v>
      </c>
      <c r="K5" s="41"/>
      <c r="L5" s="41"/>
      <c r="M5" s="94" t="s">
        <v>9</v>
      </c>
      <c r="N5" s="58">
        <f>N2*N3</f>
        <v>143.89279884677399</v>
      </c>
      <c r="O5" s="47"/>
    </row>
    <row r="6" spans="1:15" x14ac:dyDescent="0.25">
      <c r="A6" s="94" t="s">
        <v>10</v>
      </c>
      <c r="B6" s="11" t="s">
        <v>11</v>
      </c>
      <c r="C6" s="41"/>
      <c r="D6" s="41"/>
      <c r="E6" s="41"/>
      <c r="F6" s="41"/>
      <c r="G6" s="41"/>
      <c r="H6" s="41"/>
      <c r="I6" s="41"/>
      <c r="J6" s="97" t="s">
        <v>12</v>
      </c>
      <c r="K6" s="41"/>
      <c r="L6" s="41"/>
      <c r="M6" s="41"/>
      <c r="N6" s="41"/>
      <c r="O6" s="47"/>
    </row>
    <row r="7" spans="1:15" x14ac:dyDescent="0.25">
      <c r="A7" s="94" t="s">
        <v>13</v>
      </c>
      <c r="B7" s="11" t="s">
        <v>130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48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94" t="s">
        <v>14</v>
      </c>
      <c r="B9" s="94" t="s">
        <v>15</v>
      </c>
      <c r="C9" s="94" t="s">
        <v>16</v>
      </c>
      <c r="D9" s="94" t="s">
        <v>17</v>
      </c>
      <c r="E9" s="94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57">
        <v>10</v>
      </c>
      <c r="B10" s="67" t="str">
        <f>EN_0300_001</f>
        <v>Upper plenum</v>
      </c>
      <c r="C10" s="58">
        <f>EN_03001!N$2</f>
        <v>12.57225</v>
      </c>
      <c r="D10" s="114">
        <f>EN_03001!N$3</f>
        <v>1</v>
      </c>
      <c r="E10" s="58">
        <f t="shared" ref="E10:E17" si="0">C10*D10</f>
        <v>12.57225</v>
      </c>
      <c r="F10" s="41"/>
      <c r="G10" s="41"/>
      <c r="H10" s="41"/>
      <c r="I10" s="41"/>
      <c r="J10" s="41"/>
      <c r="K10" s="41"/>
      <c r="L10" s="41"/>
      <c r="M10" s="41"/>
      <c r="N10" s="41"/>
      <c r="O10" s="47"/>
    </row>
    <row r="11" spans="1:15" x14ac:dyDescent="0.25">
      <c r="A11" s="57">
        <v>20</v>
      </c>
      <c r="B11" s="69" t="str">
        <f>EN_0300_002</f>
        <v>Plenum plate</v>
      </c>
      <c r="C11" s="58">
        <f>EN_03002!N2</f>
        <v>3.6799999999999997</v>
      </c>
      <c r="D11" s="114">
        <f>EN_03002!N3</f>
        <v>1</v>
      </c>
      <c r="E11" s="58">
        <f t="shared" si="0"/>
        <v>3.6799999999999997</v>
      </c>
      <c r="F11" s="42"/>
      <c r="G11" s="42"/>
      <c r="H11" s="42"/>
      <c r="I11" s="42"/>
      <c r="J11" s="42"/>
      <c r="K11" s="42"/>
      <c r="L11" s="42"/>
      <c r="M11" s="42"/>
      <c r="N11" s="42"/>
      <c r="O11" s="47"/>
    </row>
    <row r="12" spans="1:15" x14ac:dyDescent="0.25">
      <c r="A12" s="57">
        <v>30</v>
      </c>
      <c r="B12" s="67" t="str">
        <f>EN_0300_003</f>
        <v>Intake manifold</v>
      </c>
      <c r="C12" s="58">
        <f>EN_03003!N2</f>
        <v>18.119250000000001</v>
      </c>
      <c r="D12" s="114">
        <f>EN_03003!N3</f>
        <v>1</v>
      </c>
      <c r="E12" s="58">
        <f t="shared" si="0"/>
        <v>18.119250000000001</v>
      </c>
      <c r="F12" s="42"/>
      <c r="G12" s="42"/>
      <c r="H12" s="42"/>
      <c r="I12" s="42"/>
      <c r="J12" s="42"/>
      <c r="K12" s="42"/>
      <c r="L12" s="42"/>
      <c r="M12" s="42"/>
      <c r="N12" s="42"/>
      <c r="O12" s="49"/>
    </row>
    <row r="13" spans="1:15" s="12" customFormat="1" x14ac:dyDescent="0.25">
      <c r="A13" s="57">
        <v>40</v>
      </c>
      <c r="B13" s="67" t="str">
        <f>EN_0300_004</f>
        <v>Left frame bracket</v>
      </c>
      <c r="C13" s="58">
        <f>EN_03004!N2</f>
        <v>1.6890000000000001</v>
      </c>
      <c r="D13" s="114">
        <f>EN_03004!N3</f>
        <v>1</v>
      </c>
      <c r="E13" s="58">
        <f t="shared" si="0"/>
        <v>1.6890000000000001</v>
      </c>
      <c r="F13" s="42"/>
      <c r="G13" s="42"/>
      <c r="H13" s="42"/>
      <c r="I13" s="42"/>
      <c r="J13" s="42"/>
      <c r="K13" s="42"/>
      <c r="L13" s="42"/>
      <c r="M13" s="42"/>
      <c r="N13" s="42"/>
      <c r="O13" s="49"/>
    </row>
    <row r="14" spans="1:15" s="12" customFormat="1" x14ac:dyDescent="0.25">
      <c r="A14" s="57">
        <v>50</v>
      </c>
      <c r="B14" s="107" t="str">
        <f>EN_0300_005</f>
        <v>Right frame bracket</v>
      </c>
      <c r="C14" s="58">
        <f>EN_03005!N2</f>
        <v>1.7614000000000001</v>
      </c>
      <c r="D14" s="114">
        <f>EN_03005!N3</f>
        <v>1</v>
      </c>
      <c r="E14" s="58">
        <f t="shared" si="0"/>
        <v>1.7614000000000001</v>
      </c>
      <c r="F14" s="42"/>
      <c r="G14" s="42"/>
      <c r="H14" s="42"/>
      <c r="I14" s="42"/>
      <c r="J14" s="42"/>
      <c r="K14" s="42"/>
      <c r="L14" s="42"/>
      <c r="M14" s="42"/>
      <c r="N14" s="42"/>
      <c r="O14" s="50"/>
    </row>
    <row r="15" spans="1:15" x14ac:dyDescent="0.25">
      <c r="A15" s="57">
        <v>60</v>
      </c>
      <c r="B15" s="107" t="str">
        <f>EN_0300_006</f>
        <v>PAIR plate</v>
      </c>
      <c r="C15" s="58">
        <f>EN_03006!N2</f>
        <v>1.9656000000000002</v>
      </c>
      <c r="D15" s="114">
        <f>EN_03006!N3</f>
        <v>2</v>
      </c>
      <c r="E15" s="58">
        <f t="shared" si="0"/>
        <v>3.9312000000000005</v>
      </c>
      <c r="F15" s="41"/>
      <c r="G15" s="41"/>
      <c r="H15" s="68"/>
      <c r="I15" s="41"/>
      <c r="J15" s="41"/>
      <c r="K15" s="41"/>
      <c r="L15" s="41"/>
      <c r="M15" s="41"/>
      <c r="N15" s="41"/>
      <c r="O15" s="47"/>
    </row>
    <row r="16" spans="1:15" x14ac:dyDescent="0.25">
      <c r="A16" s="57">
        <v>70</v>
      </c>
      <c r="B16" s="107" t="str">
        <f>EN_0300_007</f>
        <v>Motor bracket</v>
      </c>
      <c r="C16" s="58">
        <f>EN_03007!N2</f>
        <v>4.1755999999999993</v>
      </c>
      <c r="D16" s="114">
        <f>EN_03007!N3</f>
        <v>1</v>
      </c>
      <c r="E16" s="58">
        <f t="shared" si="0"/>
        <v>4.1755999999999993</v>
      </c>
      <c r="F16" s="41"/>
      <c r="G16" s="41"/>
      <c r="H16" s="41"/>
      <c r="I16" s="41"/>
      <c r="J16" s="41"/>
      <c r="K16" s="41"/>
      <c r="L16" s="41"/>
      <c r="M16" s="41"/>
      <c r="N16" s="41"/>
      <c r="O16" s="47"/>
    </row>
    <row r="17" spans="1:15" x14ac:dyDescent="0.25">
      <c r="A17" s="57">
        <v>80</v>
      </c>
      <c r="B17" s="107" t="str">
        <f>EN_0300_008</f>
        <v>Intake bracket</v>
      </c>
      <c r="C17" s="58">
        <f>EN_03008!N2</f>
        <v>1.38425</v>
      </c>
      <c r="D17" s="114">
        <f>EN_03008!N3</f>
        <v>2</v>
      </c>
      <c r="E17" s="58">
        <f t="shared" si="0"/>
        <v>2.7685</v>
      </c>
      <c r="F17" s="41"/>
      <c r="G17" s="41"/>
      <c r="H17" s="41"/>
      <c r="I17" s="41"/>
      <c r="J17" s="41"/>
      <c r="K17" s="41"/>
      <c r="L17" s="41"/>
      <c r="M17" s="41"/>
      <c r="N17" s="41"/>
      <c r="O17" s="47"/>
    </row>
    <row r="18" spans="1:15" x14ac:dyDescent="0.25">
      <c r="A18" s="48"/>
      <c r="B18" s="41"/>
      <c r="C18" s="41"/>
      <c r="D18" s="95" t="s">
        <v>18</v>
      </c>
      <c r="E18" s="96">
        <f>SUM(E10:E17)</f>
        <v>48.697200000000009</v>
      </c>
      <c r="F18" s="42"/>
      <c r="G18" s="42"/>
      <c r="H18" s="42"/>
      <c r="I18" s="42"/>
      <c r="J18" s="42"/>
      <c r="K18" s="42"/>
      <c r="L18" s="42"/>
      <c r="M18" s="42"/>
      <c r="N18" s="42"/>
      <c r="O18" s="47"/>
    </row>
    <row r="19" spans="1:15" x14ac:dyDescent="0.25">
      <c r="A19" s="48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7"/>
    </row>
    <row r="20" spans="1:15" x14ac:dyDescent="0.25">
      <c r="A20" s="94" t="s">
        <v>14</v>
      </c>
      <c r="B20" s="94" t="s">
        <v>19</v>
      </c>
      <c r="C20" s="94" t="s">
        <v>20</v>
      </c>
      <c r="D20" s="94" t="s">
        <v>21</v>
      </c>
      <c r="E20" s="94" t="s">
        <v>22</v>
      </c>
      <c r="F20" s="94" t="s">
        <v>23</v>
      </c>
      <c r="G20" s="94" t="s">
        <v>24</v>
      </c>
      <c r="H20" s="94" t="s">
        <v>25</v>
      </c>
      <c r="I20" s="94" t="s">
        <v>26</v>
      </c>
      <c r="J20" s="94" t="s">
        <v>27</v>
      </c>
      <c r="K20" s="94" t="s">
        <v>28</v>
      </c>
      <c r="L20" s="94" t="s">
        <v>29</v>
      </c>
      <c r="M20" s="94" t="s">
        <v>17</v>
      </c>
      <c r="N20" s="94" t="s">
        <v>18</v>
      </c>
      <c r="O20" s="47"/>
    </row>
    <row r="21" spans="1:15" x14ac:dyDescent="0.25">
      <c r="A21" s="57">
        <v>10</v>
      </c>
      <c r="B21" s="57" t="s">
        <v>129</v>
      </c>
      <c r="C21" s="57" t="s">
        <v>128</v>
      </c>
      <c r="D21" s="58">
        <v>8.1</v>
      </c>
      <c r="E21" s="57">
        <v>30</v>
      </c>
      <c r="F21" s="57" t="s">
        <v>30</v>
      </c>
      <c r="G21" s="57"/>
      <c r="H21" s="59"/>
      <c r="I21" s="112"/>
      <c r="J21" s="62"/>
      <c r="K21" s="59"/>
      <c r="L21" s="59"/>
      <c r="M21" s="59">
        <v>2</v>
      </c>
      <c r="N21" s="58">
        <f>M21*D21</f>
        <v>16.2</v>
      </c>
      <c r="O21" s="47"/>
    </row>
    <row r="22" spans="1:15" x14ac:dyDescent="0.25">
      <c r="A22" s="57">
        <v>20</v>
      </c>
      <c r="B22" s="643" t="s">
        <v>573</v>
      </c>
      <c r="C22" s="57" t="s">
        <v>574</v>
      </c>
      <c r="D22" s="58">
        <v>10</v>
      </c>
      <c r="E22" s="57"/>
      <c r="F22" s="57"/>
      <c r="G22" s="57"/>
      <c r="H22" s="59"/>
      <c r="I22" s="112"/>
      <c r="J22" s="62"/>
      <c r="K22" s="59"/>
      <c r="L22" s="59"/>
      <c r="M22" s="59">
        <v>1</v>
      </c>
      <c r="N22" s="58">
        <f>M22*D22</f>
        <v>10</v>
      </c>
      <c r="O22" s="47"/>
    </row>
    <row r="23" spans="1:15" x14ac:dyDescent="0.25">
      <c r="A23" s="109">
        <v>30</v>
      </c>
      <c r="B23" s="644" t="s">
        <v>264</v>
      </c>
      <c r="C23" s="429" t="s">
        <v>578</v>
      </c>
      <c r="D23" s="58">
        <v>10</v>
      </c>
      <c r="E23" s="57">
        <v>1.4999999999999999E-2</v>
      </c>
      <c r="F23" s="57" t="s">
        <v>89</v>
      </c>
      <c r="G23" s="57"/>
      <c r="H23" s="59"/>
      <c r="I23" s="112"/>
      <c r="J23" s="62"/>
      <c r="K23" s="59"/>
      <c r="L23" s="59"/>
      <c r="M23" s="59">
        <v>1</v>
      </c>
      <c r="N23" s="58">
        <f>D23*E23</f>
        <v>0.15</v>
      </c>
      <c r="O23" s="47"/>
    </row>
    <row r="24" spans="1:15" x14ac:dyDescent="0.25">
      <c r="A24" s="57">
        <v>30</v>
      </c>
      <c r="B24" s="441" t="s">
        <v>126</v>
      </c>
      <c r="C24" s="57" t="s">
        <v>127</v>
      </c>
      <c r="D24" s="58">
        <v>0.05</v>
      </c>
      <c r="E24" s="57"/>
      <c r="F24" s="57"/>
      <c r="G24" s="57"/>
      <c r="H24" s="59"/>
      <c r="I24" s="112"/>
      <c r="J24" s="62"/>
      <c r="K24" s="59"/>
      <c r="L24" s="113"/>
      <c r="M24" s="59">
        <v>1</v>
      </c>
      <c r="N24" s="58">
        <f>M24*D24</f>
        <v>0.05</v>
      </c>
      <c r="O24" s="47"/>
    </row>
    <row r="25" spans="1:15" x14ac:dyDescent="0.25">
      <c r="A25" s="57">
        <v>40</v>
      </c>
      <c r="B25" s="57" t="s">
        <v>126</v>
      </c>
      <c r="C25" s="57" t="s">
        <v>125</v>
      </c>
      <c r="D25" s="58">
        <v>0.05</v>
      </c>
      <c r="E25" s="57"/>
      <c r="F25" s="57"/>
      <c r="G25" s="57"/>
      <c r="H25" s="59"/>
      <c r="I25" s="112"/>
      <c r="J25" s="62"/>
      <c r="K25" s="59"/>
      <c r="L25" s="59"/>
      <c r="M25" s="59">
        <v>1</v>
      </c>
      <c r="N25" s="58">
        <f>M25*D25</f>
        <v>0.05</v>
      </c>
      <c r="O25" s="47"/>
    </row>
    <row r="26" spans="1:15" x14ac:dyDescent="0.25">
      <c r="A26" s="52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94" t="s">
        <v>18</v>
      </c>
      <c r="N26" s="96">
        <f>SUM(N21:N25)</f>
        <v>26.45</v>
      </c>
      <c r="O26" s="47"/>
    </row>
    <row r="27" spans="1:15" x14ac:dyDescent="0.25">
      <c r="A27" s="48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7"/>
    </row>
    <row r="28" spans="1:15" s="16" customFormat="1" x14ac:dyDescent="0.25">
      <c r="A28" s="94" t="s">
        <v>14</v>
      </c>
      <c r="B28" s="94" t="s">
        <v>31</v>
      </c>
      <c r="C28" s="94" t="s">
        <v>20</v>
      </c>
      <c r="D28" s="94" t="s">
        <v>21</v>
      </c>
      <c r="E28" s="94" t="s">
        <v>32</v>
      </c>
      <c r="F28" s="94" t="s">
        <v>17</v>
      </c>
      <c r="G28" s="94" t="s">
        <v>33</v>
      </c>
      <c r="H28" s="94" t="s">
        <v>34</v>
      </c>
      <c r="I28" s="94" t="s">
        <v>18</v>
      </c>
      <c r="J28" s="15"/>
      <c r="K28" s="15"/>
      <c r="L28" s="15"/>
      <c r="M28" s="15"/>
      <c r="N28" s="15"/>
      <c r="O28" s="53"/>
    </row>
    <row r="29" spans="1:15" s="16" customFormat="1" x14ac:dyDescent="0.25">
      <c r="A29" s="57">
        <v>10</v>
      </c>
      <c r="B29" s="57" t="s">
        <v>72</v>
      </c>
      <c r="C29" s="57" t="s">
        <v>124</v>
      </c>
      <c r="D29" s="58">
        <v>0.15</v>
      </c>
      <c r="E29" s="57" t="s">
        <v>46</v>
      </c>
      <c r="F29" s="63">
        <v>7.1</v>
      </c>
      <c r="G29" s="63"/>
      <c r="H29" s="63"/>
      <c r="I29" s="58">
        <f t="shared" ref="I29:I60" si="1">IF(H29="",D29*F29,D29*F29*H29)</f>
        <v>1.0649999999999999</v>
      </c>
      <c r="J29" s="42"/>
      <c r="K29" s="42"/>
      <c r="L29" s="42"/>
      <c r="M29" s="42"/>
      <c r="N29" s="42"/>
      <c r="O29" s="53"/>
    </row>
    <row r="30" spans="1:15" s="16" customFormat="1" x14ac:dyDescent="0.25">
      <c r="A30" s="184">
        <v>20</v>
      </c>
      <c r="B30" s="180" t="s">
        <v>258</v>
      </c>
      <c r="C30" s="180" t="s">
        <v>579</v>
      </c>
      <c r="D30" s="178">
        <v>5.25</v>
      </c>
      <c r="E30" s="181" t="s">
        <v>89</v>
      </c>
      <c r="F30" s="181">
        <v>1.4999999999999999E-2</v>
      </c>
      <c r="G30" s="181"/>
      <c r="H30" s="181"/>
      <c r="I30" s="178">
        <f>D30*F30</f>
        <v>7.8750000000000001E-2</v>
      </c>
      <c r="J30" s="42"/>
      <c r="K30" s="42"/>
      <c r="L30" s="42"/>
      <c r="M30" s="42"/>
      <c r="N30" s="42"/>
      <c r="O30" s="53"/>
    </row>
    <row r="31" spans="1:15" s="16" customFormat="1" x14ac:dyDescent="0.25">
      <c r="A31" s="57">
        <v>30</v>
      </c>
      <c r="B31" s="57" t="s">
        <v>73</v>
      </c>
      <c r="C31" s="57" t="s">
        <v>123</v>
      </c>
      <c r="D31" s="58">
        <v>0.06</v>
      </c>
      <c r="E31" s="57" t="s">
        <v>35</v>
      </c>
      <c r="F31" s="63">
        <v>1</v>
      </c>
      <c r="G31" s="63"/>
      <c r="H31" s="63"/>
      <c r="I31" s="58">
        <f t="shared" si="1"/>
        <v>0.06</v>
      </c>
      <c r="J31" s="42"/>
      <c r="K31" s="42"/>
      <c r="L31" s="42"/>
      <c r="M31" s="42"/>
      <c r="N31" s="42"/>
      <c r="O31" s="53"/>
    </row>
    <row r="32" spans="1:15" s="16" customFormat="1" x14ac:dyDescent="0.25">
      <c r="A32" s="184">
        <v>40</v>
      </c>
      <c r="B32" s="57" t="s">
        <v>73</v>
      </c>
      <c r="C32" s="57" t="s">
        <v>122</v>
      </c>
      <c r="D32" s="58">
        <v>0.06</v>
      </c>
      <c r="E32" s="57" t="s">
        <v>35</v>
      </c>
      <c r="F32" s="63">
        <v>1</v>
      </c>
      <c r="G32" s="63"/>
      <c r="H32" s="63"/>
      <c r="I32" s="58">
        <f t="shared" si="1"/>
        <v>0.06</v>
      </c>
      <c r="J32" s="42"/>
      <c r="K32" s="42"/>
      <c r="L32" s="42"/>
      <c r="M32" s="42"/>
      <c r="N32" s="42"/>
      <c r="O32" s="53"/>
    </row>
    <row r="33" spans="1:15" s="16" customFormat="1" x14ac:dyDescent="0.25">
      <c r="A33" s="57">
        <v>50</v>
      </c>
      <c r="B33" s="57" t="s">
        <v>118</v>
      </c>
      <c r="C33" s="57" t="s">
        <v>121</v>
      </c>
      <c r="D33" s="58">
        <v>1</v>
      </c>
      <c r="E33" s="57" t="s">
        <v>35</v>
      </c>
      <c r="F33" s="63">
        <v>12</v>
      </c>
      <c r="G33" s="63"/>
      <c r="H33" s="63"/>
      <c r="I33" s="58">
        <f t="shared" si="1"/>
        <v>12</v>
      </c>
      <c r="J33" s="42"/>
      <c r="K33" s="42"/>
      <c r="L33" s="42"/>
      <c r="M33" s="42"/>
      <c r="N33" s="42"/>
      <c r="O33" s="53"/>
    </row>
    <row r="34" spans="1:15" s="16" customFormat="1" x14ac:dyDescent="0.25">
      <c r="A34" s="184">
        <v>60</v>
      </c>
      <c r="B34" s="57" t="s">
        <v>117</v>
      </c>
      <c r="C34" s="57" t="s">
        <v>121</v>
      </c>
      <c r="D34" s="58">
        <v>0.25</v>
      </c>
      <c r="E34" s="57" t="s">
        <v>35</v>
      </c>
      <c r="F34" s="63">
        <v>12</v>
      </c>
      <c r="G34" s="63"/>
      <c r="H34" s="63"/>
      <c r="I34" s="58">
        <f t="shared" si="1"/>
        <v>3</v>
      </c>
      <c r="J34" s="42"/>
      <c r="K34" s="42"/>
      <c r="L34" s="42"/>
      <c r="M34" s="42"/>
      <c r="N34" s="42"/>
      <c r="O34" s="53"/>
    </row>
    <row r="35" spans="1:15" s="16" customFormat="1" x14ac:dyDescent="0.25">
      <c r="A35" s="57">
        <v>70</v>
      </c>
      <c r="B35" s="57" t="s">
        <v>73</v>
      </c>
      <c r="C35" s="57" t="s">
        <v>576</v>
      </c>
      <c r="D35" s="58">
        <v>6.0000000000000001E-3</v>
      </c>
      <c r="E35" s="57" t="s">
        <v>35</v>
      </c>
      <c r="F35" s="63">
        <v>1</v>
      </c>
      <c r="G35" s="63"/>
      <c r="H35" s="63"/>
      <c r="I35" s="58">
        <f t="shared" ref="I35" si="2">IF(H35="",D35*F35,D35*F35*H35)</f>
        <v>6.0000000000000001E-3</v>
      </c>
      <c r="J35" s="42"/>
      <c r="K35" s="42"/>
      <c r="L35" s="42"/>
      <c r="M35" s="42"/>
      <c r="N35" s="42"/>
      <c r="O35" s="53"/>
    </row>
    <row r="36" spans="1:15" s="16" customFormat="1" x14ac:dyDescent="0.25">
      <c r="A36" s="184">
        <v>80</v>
      </c>
      <c r="B36" s="57" t="s">
        <v>73</v>
      </c>
      <c r="C36" s="57" t="s">
        <v>120</v>
      </c>
      <c r="D36" s="58">
        <v>6.0000000000000001E-3</v>
      </c>
      <c r="E36" s="57" t="s">
        <v>35</v>
      </c>
      <c r="F36" s="63">
        <v>1</v>
      </c>
      <c r="G36" s="63"/>
      <c r="H36" s="63"/>
      <c r="I36" s="58">
        <f t="shared" si="1"/>
        <v>6.0000000000000001E-3</v>
      </c>
      <c r="J36" s="42"/>
      <c r="K36" s="42"/>
      <c r="L36" s="42"/>
      <c r="M36" s="42"/>
      <c r="N36" s="42"/>
      <c r="O36" s="53"/>
    </row>
    <row r="37" spans="1:15" s="16" customFormat="1" x14ac:dyDescent="0.25">
      <c r="A37" s="57">
        <v>90</v>
      </c>
      <c r="B37" s="57" t="s">
        <v>73</v>
      </c>
      <c r="C37" s="57" t="s">
        <v>119</v>
      </c>
      <c r="D37" s="58">
        <v>6.0000000000000001E-3</v>
      </c>
      <c r="E37" s="57" t="s">
        <v>35</v>
      </c>
      <c r="F37" s="63">
        <v>1</v>
      </c>
      <c r="G37" s="63"/>
      <c r="H37" s="63"/>
      <c r="I37" s="58">
        <f t="shared" si="1"/>
        <v>6.0000000000000001E-3</v>
      </c>
      <c r="J37" s="42"/>
      <c r="K37" s="42"/>
      <c r="L37" s="42"/>
      <c r="M37" s="42"/>
      <c r="N37" s="42"/>
      <c r="O37" s="53"/>
    </row>
    <row r="38" spans="1:15" s="16" customFormat="1" x14ac:dyDescent="0.25">
      <c r="A38" s="184">
        <v>100</v>
      </c>
      <c r="B38" s="57" t="s">
        <v>118</v>
      </c>
      <c r="C38" s="57" t="s">
        <v>116</v>
      </c>
      <c r="D38" s="58">
        <v>1.5</v>
      </c>
      <c r="E38" s="57" t="s">
        <v>35</v>
      </c>
      <c r="F38" s="63">
        <v>12</v>
      </c>
      <c r="G38" s="63"/>
      <c r="H38" s="63"/>
      <c r="I38" s="58">
        <f t="shared" si="1"/>
        <v>18</v>
      </c>
      <c r="J38" s="42"/>
      <c r="K38" s="42"/>
      <c r="L38" s="42"/>
      <c r="M38" s="42"/>
      <c r="N38" s="42"/>
      <c r="O38" s="53"/>
    </row>
    <row r="39" spans="1:15" s="16" customFormat="1" x14ac:dyDescent="0.25">
      <c r="A39" s="57">
        <v>110</v>
      </c>
      <c r="B39" s="57" t="s">
        <v>117</v>
      </c>
      <c r="C39" s="57" t="s">
        <v>116</v>
      </c>
      <c r="D39" s="58">
        <v>0.25</v>
      </c>
      <c r="E39" s="57" t="s">
        <v>35</v>
      </c>
      <c r="F39" s="63">
        <v>12</v>
      </c>
      <c r="G39" s="63"/>
      <c r="H39" s="63"/>
      <c r="I39" s="58">
        <f t="shared" si="1"/>
        <v>3</v>
      </c>
      <c r="J39" s="42"/>
      <c r="K39" s="42"/>
      <c r="L39" s="42"/>
      <c r="M39" s="42"/>
      <c r="N39" s="42"/>
      <c r="O39" s="53"/>
    </row>
    <row r="40" spans="1:15" s="16" customFormat="1" x14ac:dyDescent="0.25">
      <c r="A40" s="184">
        <v>120</v>
      </c>
      <c r="B40" s="57" t="s">
        <v>73</v>
      </c>
      <c r="C40" s="57" t="s">
        <v>115</v>
      </c>
      <c r="D40" s="58">
        <v>0.06</v>
      </c>
      <c r="E40" s="57" t="s">
        <v>35</v>
      </c>
      <c r="F40" s="63">
        <v>2</v>
      </c>
      <c r="G40" s="63"/>
      <c r="H40" s="63"/>
      <c r="I40" s="58">
        <f t="shared" si="1"/>
        <v>0.12</v>
      </c>
      <c r="J40" s="42"/>
      <c r="K40" s="42"/>
      <c r="L40" s="42"/>
      <c r="M40" s="42"/>
      <c r="N40" s="42"/>
      <c r="O40" s="53"/>
    </row>
    <row r="41" spans="1:15" s="16" customFormat="1" x14ac:dyDescent="0.25">
      <c r="A41" s="57">
        <v>130</v>
      </c>
      <c r="B41" s="57" t="s">
        <v>98</v>
      </c>
      <c r="C41" s="57" t="s">
        <v>114</v>
      </c>
      <c r="D41" s="58">
        <v>1.5</v>
      </c>
      <c r="E41" s="57" t="s">
        <v>35</v>
      </c>
      <c r="F41" s="63">
        <v>2</v>
      </c>
      <c r="G41" s="63"/>
      <c r="H41" s="63"/>
      <c r="I41" s="58">
        <f t="shared" si="1"/>
        <v>3</v>
      </c>
      <c r="J41" s="42"/>
      <c r="K41" s="42"/>
      <c r="L41" s="42"/>
      <c r="M41" s="42"/>
      <c r="N41" s="42"/>
      <c r="O41" s="53"/>
    </row>
    <row r="42" spans="1:15" s="16" customFormat="1" x14ac:dyDescent="0.25">
      <c r="A42" s="184">
        <v>140</v>
      </c>
      <c r="B42" s="57" t="s">
        <v>97</v>
      </c>
      <c r="C42" s="57" t="s">
        <v>114</v>
      </c>
      <c r="D42" s="58">
        <v>0.25</v>
      </c>
      <c r="E42" s="57" t="s">
        <v>35</v>
      </c>
      <c r="F42" s="63">
        <v>2</v>
      </c>
      <c r="G42" s="63"/>
      <c r="H42" s="63"/>
      <c r="I42" s="58">
        <f t="shared" si="1"/>
        <v>0.5</v>
      </c>
      <c r="J42" s="42"/>
      <c r="K42" s="42"/>
      <c r="L42" s="42"/>
      <c r="M42" s="42"/>
      <c r="N42" s="42"/>
      <c r="O42" s="53"/>
    </row>
    <row r="43" spans="1:15" s="16" customFormat="1" x14ac:dyDescent="0.25">
      <c r="A43" s="57">
        <v>150</v>
      </c>
      <c r="B43" s="57" t="s">
        <v>73</v>
      </c>
      <c r="C43" s="57" t="s">
        <v>113</v>
      </c>
      <c r="D43" s="58">
        <v>0.06</v>
      </c>
      <c r="E43" s="57" t="s">
        <v>35</v>
      </c>
      <c r="F43" s="63">
        <v>1</v>
      </c>
      <c r="G43" s="63"/>
      <c r="H43" s="63"/>
      <c r="I43" s="58">
        <f t="shared" si="1"/>
        <v>0.06</v>
      </c>
      <c r="J43" s="42"/>
      <c r="K43" s="42"/>
      <c r="L43" s="42"/>
      <c r="M43" s="42"/>
      <c r="N43" s="42"/>
      <c r="O43" s="53"/>
    </row>
    <row r="44" spans="1:15" s="16" customFormat="1" x14ac:dyDescent="0.25">
      <c r="A44" s="184">
        <v>160</v>
      </c>
      <c r="B44" s="57" t="s">
        <v>98</v>
      </c>
      <c r="C44" s="57" t="s">
        <v>112</v>
      </c>
      <c r="D44" s="58">
        <v>1.5</v>
      </c>
      <c r="E44" s="57" t="s">
        <v>35</v>
      </c>
      <c r="F44" s="63">
        <v>2</v>
      </c>
      <c r="G44" s="63"/>
      <c r="H44" s="63"/>
      <c r="I44" s="58">
        <f t="shared" si="1"/>
        <v>3</v>
      </c>
      <c r="J44" s="42"/>
      <c r="K44" s="42"/>
      <c r="L44" s="42"/>
      <c r="M44" s="42"/>
      <c r="N44" s="42"/>
      <c r="O44" s="53"/>
    </row>
    <row r="45" spans="1:15" s="16" customFormat="1" x14ac:dyDescent="0.25">
      <c r="A45" s="57">
        <v>170</v>
      </c>
      <c r="B45" s="57" t="s">
        <v>97</v>
      </c>
      <c r="C45" s="57" t="s">
        <v>112</v>
      </c>
      <c r="D45" s="58">
        <v>0.25</v>
      </c>
      <c r="E45" s="57" t="s">
        <v>35</v>
      </c>
      <c r="F45" s="63">
        <v>2</v>
      </c>
      <c r="G45" s="63"/>
      <c r="H45" s="63"/>
      <c r="I45" s="58">
        <f t="shared" si="1"/>
        <v>0.5</v>
      </c>
      <c r="J45" s="42"/>
      <c r="K45" s="42"/>
      <c r="L45" s="42"/>
      <c r="M45" s="42"/>
      <c r="N45" s="42"/>
      <c r="O45" s="53"/>
    </row>
    <row r="46" spans="1:15" s="16" customFormat="1" x14ac:dyDescent="0.25">
      <c r="A46" s="184">
        <v>180</v>
      </c>
      <c r="B46" s="57" t="s">
        <v>73</v>
      </c>
      <c r="C46" s="57" t="s">
        <v>111</v>
      </c>
      <c r="D46" s="58">
        <v>0.06</v>
      </c>
      <c r="E46" s="57" t="s">
        <v>35</v>
      </c>
      <c r="F46" s="63">
        <v>2</v>
      </c>
      <c r="G46" s="63"/>
      <c r="H46" s="63"/>
      <c r="I46" s="58">
        <f t="shared" si="1"/>
        <v>0.12</v>
      </c>
      <c r="J46" s="42"/>
      <c r="K46" s="42"/>
      <c r="L46" s="42"/>
      <c r="M46" s="42"/>
      <c r="N46" s="42"/>
      <c r="O46" s="53"/>
    </row>
    <row r="47" spans="1:15" s="16" customFormat="1" x14ac:dyDescent="0.25">
      <c r="A47" s="57">
        <v>190</v>
      </c>
      <c r="B47" s="57" t="s">
        <v>336</v>
      </c>
      <c r="C47" s="57" t="s">
        <v>107</v>
      </c>
      <c r="D47" s="58">
        <v>0.19</v>
      </c>
      <c r="E47" s="57" t="s">
        <v>35</v>
      </c>
      <c r="F47" s="63">
        <v>1</v>
      </c>
      <c r="G47" s="63"/>
      <c r="H47" s="63"/>
      <c r="I47" s="58">
        <f t="shared" si="1"/>
        <v>0.19</v>
      </c>
      <c r="J47" s="42"/>
      <c r="K47" s="42"/>
      <c r="L47" s="42"/>
      <c r="M47" s="42"/>
      <c r="N47" s="42"/>
      <c r="O47" s="53"/>
    </row>
    <row r="48" spans="1:15" s="16" customFormat="1" x14ac:dyDescent="0.25">
      <c r="A48" s="184">
        <v>200</v>
      </c>
      <c r="B48" s="57" t="s">
        <v>101</v>
      </c>
      <c r="C48" s="57" t="s">
        <v>110</v>
      </c>
      <c r="D48" s="58">
        <v>0.35</v>
      </c>
      <c r="E48" s="57" t="s">
        <v>35</v>
      </c>
      <c r="F48" s="63">
        <v>2</v>
      </c>
      <c r="G48" s="63"/>
      <c r="H48" s="63"/>
      <c r="I48" s="58">
        <f t="shared" si="1"/>
        <v>0.7</v>
      </c>
      <c r="J48" s="42"/>
      <c r="K48" s="42"/>
      <c r="L48" s="42"/>
      <c r="M48" s="42"/>
      <c r="N48" s="42"/>
      <c r="O48" s="53"/>
    </row>
    <row r="49" spans="1:15" s="16" customFormat="1" x14ac:dyDescent="0.25">
      <c r="A49" s="57">
        <v>210</v>
      </c>
      <c r="B49" s="57" t="s">
        <v>575</v>
      </c>
      <c r="C49" s="57" t="s">
        <v>109</v>
      </c>
      <c r="D49" s="58">
        <v>0.13</v>
      </c>
      <c r="E49" s="57" t="s">
        <v>35</v>
      </c>
      <c r="F49" s="63">
        <v>2</v>
      </c>
      <c r="G49" s="63"/>
      <c r="H49" s="63"/>
      <c r="I49" s="58">
        <f t="shared" si="1"/>
        <v>0.26</v>
      </c>
      <c r="J49" s="42"/>
      <c r="K49" s="42"/>
      <c r="L49" s="42"/>
      <c r="M49" s="42"/>
      <c r="N49" s="42"/>
      <c r="O49" s="53"/>
    </row>
    <row r="50" spans="1:15" s="16" customFormat="1" x14ac:dyDescent="0.25">
      <c r="A50" s="184">
        <v>220</v>
      </c>
      <c r="B50" s="57" t="s">
        <v>98</v>
      </c>
      <c r="C50" s="57" t="s">
        <v>108</v>
      </c>
      <c r="D50" s="58">
        <v>1.5</v>
      </c>
      <c r="E50" s="57" t="s">
        <v>35</v>
      </c>
      <c r="F50" s="63">
        <v>2</v>
      </c>
      <c r="G50" s="63"/>
      <c r="H50" s="63"/>
      <c r="I50" s="58">
        <f t="shared" si="1"/>
        <v>3</v>
      </c>
      <c r="J50" s="42"/>
      <c r="K50" s="42"/>
      <c r="L50" s="42"/>
      <c r="M50" s="42"/>
      <c r="N50" s="42"/>
      <c r="O50" s="53"/>
    </row>
    <row r="51" spans="1:15" s="16" customFormat="1" x14ac:dyDescent="0.25">
      <c r="A51" s="57">
        <v>230</v>
      </c>
      <c r="B51" s="57" t="s">
        <v>97</v>
      </c>
      <c r="C51" s="57" t="s">
        <v>108</v>
      </c>
      <c r="D51" s="58">
        <v>0.25</v>
      </c>
      <c r="E51" s="57" t="s">
        <v>35</v>
      </c>
      <c r="F51" s="63">
        <v>2</v>
      </c>
      <c r="G51" s="63"/>
      <c r="H51" s="63"/>
      <c r="I51" s="58">
        <f t="shared" si="1"/>
        <v>0.5</v>
      </c>
      <c r="J51" s="42"/>
      <c r="K51" s="42"/>
      <c r="L51" s="42"/>
      <c r="M51" s="42"/>
      <c r="N51" s="42"/>
      <c r="O51" s="53"/>
    </row>
    <row r="52" spans="1:15" s="16" customFormat="1" x14ac:dyDescent="0.25">
      <c r="A52" s="184">
        <v>240</v>
      </c>
      <c r="B52" s="57" t="s">
        <v>336</v>
      </c>
      <c r="C52" s="57" t="s">
        <v>107</v>
      </c>
      <c r="D52" s="58">
        <v>0.19</v>
      </c>
      <c r="E52" s="57" t="s">
        <v>35</v>
      </c>
      <c r="F52" s="63">
        <v>1</v>
      </c>
      <c r="G52" s="63"/>
      <c r="H52" s="63"/>
      <c r="I52" s="58">
        <f t="shared" si="1"/>
        <v>0.19</v>
      </c>
      <c r="J52" s="42"/>
      <c r="K52" s="42"/>
      <c r="L52" s="42"/>
      <c r="M52" s="42"/>
      <c r="N52" s="42"/>
      <c r="O52" s="53"/>
    </row>
    <row r="53" spans="1:15" s="16" customFormat="1" x14ac:dyDescent="0.25">
      <c r="A53" s="57">
        <v>250</v>
      </c>
      <c r="B53" s="57" t="s">
        <v>98</v>
      </c>
      <c r="C53" s="57" t="s">
        <v>106</v>
      </c>
      <c r="D53" s="58">
        <v>1.5</v>
      </c>
      <c r="E53" s="57" t="s">
        <v>35</v>
      </c>
      <c r="F53" s="63">
        <v>4</v>
      </c>
      <c r="G53" s="63"/>
      <c r="H53" s="63"/>
      <c r="I53" s="58">
        <f t="shared" si="1"/>
        <v>6</v>
      </c>
      <c r="J53" s="42"/>
      <c r="K53" s="42"/>
      <c r="L53" s="42"/>
      <c r="M53" s="42"/>
      <c r="N53" s="42"/>
      <c r="O53" s="53"/>
    </row>
    <row r="54" spans="1:15" s="16" customFormat="1" x14ac:dyDescent="0.25">
      <c r="A54" s="184">
        <v>260</v>
      </c>
      <c r="B54" s="57" t="s">
        <v>105</v>
      </c>
      <c r="C54" s="57" t="s">
        <v>104</v>
      </c>
      <c r="D54" s="58">
        <v>0.5</v>
      </c>
      <c r="E54" s="57" t="s">
        <v>35</v>
      </c>
      <c r="F54" s="63">
        <v>4</v>
      </c>
      <c r="G54" s="63"/>
      <c r="H54" s="63"/>
      <c r="I54" s="58">
        <f t="shared" si="1"/>
        <v>2</v>
      </c>
      <c r="J54" s="42"/>
      <c r="K54" s="42"/>
      <c r="L54" s="42"/>
      <c r="M54" s="42"/>
      <c r="N54" s="42"/>
      <c r="O54" s="53"/>
    </row>
    <row r="55" spans="1:15" s="16" customFormat="1" x14ac:dyDescent="0.25">
      <c r="A55" s="57">
        <v>270</v>
      </c>
      <c r="B55" s="57" t="s">
        <v>575</v>
      </c>
      <c r="C55" s="57" t="s">
        <v>103</v>
      </c>
      <c r="D55" s="58">
        <v>0.13</v>
      </c>
      <c r="E55" s="57" t="s">
        <v>35</v>
      </c>
      <c r="F55" s="63">
        <v>2</v>
      </c>
      <c r="G55" s="63"/>
      <c r="H55" s="63"/>
      <c r="I55" s="58">
        <f t="shared" si="1"/>
        <v>0.26</v>
      </c>
      <c r="J55" s="42"/>
      <c r="K55" s="42"/>
      <c r="L55" s="42"/>
      <c r="M55" s="42"/>
      <c r="N55" s="42"/>
      <c r="O55" s="53"/>
    </row>
    <row r="56" spans="1:15" s="16" customFormat="1" x14ac:dyDescent="0.25">
      <c r="A56" s="184">
        <v>280</v>
      </c>
      <c r="B56" s="57" t="s">
        <v>86</v>
      </c>
      <c r="C56" s="57" t="s">
        <v>102</v>
      </c>
      <c r="D56" s="58">
        <v>0.25</v>
      </c>
      <c r="E56" s="57" t="s">
        <v>84</v>
      </c>
      <c r="F56" s="63">
        <v>2</v>
      </c>
      <c r="G56" s="63"/>
      <c r="H56" s="63"/>
      <c r="I56" s="58">
        <f t="shared" si="1"/>
        <v>0.5</v>
      </c>
      <c r="J56" s="42"/>
      <c r="K56" s="42"/>
      <c r="L56" s="42"/>
      <c r="M56" s="42"/>
      <c r="N56" s="42"/>
      <c r="O56" s="53"/>
    </row>
    <row r="57" spans="1:15" s="16" customFormat="1" x14ac:dyDescent="0.25">
      <c r="A57" s="57">
        <v>290</v>
      </c>
      <c r="B57" s="57" t="s">
        <v>101</v>
      </c>
      <c r="C57" s="57" t="s">
        <v>100</v>
      </c>
      <c r="D57" s="58">
        <v>0.35</v>
      </c>
      <c r="E57" s="57" t="s">
        <v>35</v>
      </c>
      <c r="F57" s="63">
        <v>2</v>
      </c>
      <c r="G57" s="63"/>
      <c r="H57" s="63"/>
      <c r="I57" s="58">
        <f t="shared" si="1"/>
        <v>0.7</v>
      </c>
      <c r="J57" s="42"/>
      <c r="K57" s="42"/>
      <c r="L57" s="42"/>
      <c r="M57" s="42"/>
      <c r="N57" s="42"/>
      <c r="O57" s="53"/>
    </row>
    <row r="58" spans="1:15" s="16" customFormat="1" x14ac:dyDescent="0.25">
      <c r="A58" s="184">
        <v>300</v>
      </c>
      <c r="B58" s="57" t="s">
        <v>575</v>
      </c>
      <c r="C58" s="57" t="s">
        <v>99</v>
      </c>
      <c r="D58" s="58">
        <v>0.13</v>
      </c>
      <c r="E58" s="57" t="s">
        <v>35</v>
      </c>
      <c r="F58" s="63">
        <v>2</v>
      </c>
      <c r="G58" s="63"/>
      <c r="H58" s="63"/>
      <c r="I58" s="58">
        <f t="shared" si="1"/>
        <v>0.26</v>
      </c>
      <c r="J58" s="42"/>
      <c r="K58" s="42"/>
      <c r="L58" s="42"/>
      <c r="M58" s="42"/>
      <c r="N58" s="42"/>
      <c r="O58" s="53"/>
    </row>
    <row r="59" spans="1:15" s="16" customFormat="1" x14ac:dyDescent="0.25">
      <c r="A59" s="57">
        <v>310</v>
      </c>
      <c r="B59" s="57" t="s">
        <v>98</v>
      </c>
      <c r="C59" s="57" t="s">
        <v>96</v>
      </c>
      <c r="D59" s="58">
        <v>1.5</v>
      </c>
      <c r="E59" s="57" t="s">
        <v>35</v>
      </c>
      <c r="F59" s="63">
        <v>2</v>
      </c>
      <c r="G59" s="63"/>
      <c r="H59" s="63"/>
      <c r="I59" s="58">
        <f t="shared" si="1"/>
        <v>3</v>
      </c>
      <c r="J59" s="42"/>
      <c r="K59" s="42"/>
      <c r="L59" s="42"/>
      <c r="M59" s="42"/>
      <c r="N59" s="42"/>
      <c r="O59" s="53"/>
    </row>
    <row r="60" spans="1:15" x14ac:dyDescent="0.25">
      <c r="A60" s="184">
        <v>320</v>
      </c>
      <c r="B60" s="57" t="s">
        <v>97</v>
      </c>
      <c r="C60" s="57" t="s">
        <v>96</v>
      </c>
      <c r="D60" s="58">
        <v>0.25</v>
      </c>
      <c r="E60" s="57" t="s">
        <v>35</v>
      </c>
      <c r="F60" s="63">
        <v>2</v>
      </c>
      <c r="G60" s="63"/>
      <c r="H60" s="63"/>
      <c r="I60" s="58">
        <f t="shared" si="1"/>
        <v>0.5</v>
      </c>
      <c r="J60" s="41"/>
      <c r="K60" s="41"/>
      <c r="L60" s="41"/>
      <c r="M60" s="41"/>
      <c r="N60" s="41"/>
      <c r="O60" s="47"/>
    </row>
    <row r="61" spans="1:15" x14ac:dyDescent="0.25">
      <c r="A61" s="52"/>
      <c r="B61" s="15"/>
      <c r="C61" s="15"/>
      <c r="D61" s="15"/>
      <c r="E61" s="15"/>
      <c r="F61" s="15"/>
      <c r="G61" s="15"/>
      <c r="H61" s="95" t="s">
        <v>18</v>
      </c>
      <c r="I61" s="96">
        <f>SUM(I29:I60)</f>
        <v>62.641749999999995</v>
      </c>
      <c r="J61" s="41"/>
      <c r="K61" s="41"/>
      <c r="L61" s="41"/>
      <c r="M61" s="41"/>
      <c r="N61" s="41"/>
      <c r="O61" s="47"/>
    </row>
    <row r="62" spans="1:15" x14ac:dyDescent="0.25">
      <c r="A62" s="48"/>
      <c r="B62" s="41"/>
      <c r="C62" s="41"/>
      <c r="D62" s="41"/>
      <c r="E62" s="41"/>
      <c r="F62" s="41"/>
      <c r="G62" s="41"/>
      <c r="H62" s="41"/>
      <c r="I62" s="41"/>
      <c r="K62" s="41"/>
      <c r="L62" s="41"/>
      <c r="M62" s="41"/>
      <c r="N62" s="41"/>
      <c r="O62" s="47"/>
    </row>
    <row r="63" spans="1:15" x14ac:dyDescent="0.25">
      <c r="A63" s="94" t="s">
        <v>14</v>
      </c>
      <c r="B63" s="94" t="s">
        <v>36</v>
      </c>
      <c r="C63" s="94" t="s">
        <v>20</v>
      </c>
      <c r="D63" s="94" t="s">
        <v>21</v>
      </c>
      <c r="E63" s="94" t="s">
        <v>22</v>
      </c>
      <c r="F63" s="94" t="s">
        <v>23</v>
      </c>
      <c r="G63" s="94" t="s">
        <v>24</v>
      </c>
      <c r="H63" s="94" t="s">
        <v>25</v>
      </c>
      <c r="I63" s="94" t="s">
        <v>17</v>
      </c>
      <c r="J63" s="94" t="s">
        <v>18</v>
      </c>
      <c r="K63" s="41"/>
      <c r="L63" s="41"/>
      <c r="M63" s="41"/>
      <c r="N63" s="41"/>
      <c r="O63" s="47"/>
    </row>
    <row r="64" spans="1:15" x14ac:dyDescent="0.25">
      <c r="A64" s="57">
        <v>10</v>
      </c>
      <c r="B64" s="57" t="s">
        <v>95</v>
      </c>
      <c r="C64" s="57" t="s">
        <v>94</v>
      </c>
      <c r="D64" s="111">
        <f>0.004*E64+0.5</f>
        <v>0.69399999999999995</v>
      </c>
      <c r="E64" s="110">
        <v>48.5</v>
      </c>
      <c r="F64" s="110" t="s">
        <v>30</v>
      </c>
      <c r="G64" s="110"/>
      <c r="H64" s="110"/>
      <c r="I64" s="64">
        <v>4</v>
      </c>
      <c r="J64" s="58">
        <f t="shared" ref="J64:J70" si="3">I64*D64</f>
        <v>2.7759999999999998</v>
      </c>
      <c r="K64" s="41"/>
      <c r="L64" s="41"/>
      <c r="M64" s="41"/>
      <c r="N64" s="41"/>
      <c r="O64" s="47"/>
    </row>
    <row r="65" spans="1:15" x14ac:dyDescent="0.25">
      <c r="A65" s="57">
        <v>20</v>
      </c>
      <c r="B65" s="57" t="s">
        <v>90</v>
      </c>
      <c r="C65" s="57" t="s">
        <v>577</v>
      </c>
      <c r="D65" s="111">
        <f>0.8/105154*E65^2*G65*SQRT((G65+E65))+(0.003*EXP(0.319*E65))</f>
        <v>4.8271264768582824E-2</v>
      </c>
      <c r="E65" s="110">
        <v>6</v>
      </c>
      <c r="F65" s="110" t="s">
        <v>30</v>
      </c>
      <c r="G65" s="110">
        <v>20</v>
      </c>
      <c r="H65" s="110" t="s">
        <v>30</v>
      </c>
      <c r="I65" s="64">
        <v>9</v>
      </c>
      <c r="J65" s="58">
        <f t="shared" si="3"/>
        <v>0.43444138291724543</v>
      </c>
      <c r="K65" s="41"/>
      <c r="L65" s="41"/>
      <c r="M65" s="41"/>
      <c r="N65" s="41"/>
      <c r="O65" s="47"/>
    </row>
    <row r="66" spans="1:15" x14ac:dyDescent="0.25">
      <c r="A66" s="57">
        <v>30</v>
      </c>
      <c r="B66" s="57" t="s">
        <v>90</v>
      </c>
      <c r="C66" s="57" t="s">
        <v>92</v>
      </c>
      <c r="D66" s="111">
        <f>0.8/105154*E66^2*G66*SQRT((G66+E66))+(0.003*EXP(0.319*E66))</f>
        <v>1.9456865709169109E-2</v>
      </c>
      <c r="E66" s="110">
        <v>4</v>
      </c>
      <c r="F66" s="110" t="s">
        <v>30</v>
      </c>
      <c r="G66" s="110">
        <v>16</v>
      </c>
      <c r="H66" s="110" t="s">
        <v>30</v>
      </c>
      <c r="I66" s="64">
        <v>23</v>
      </c>
      <c r="J66" s="58">
        <f t="shared" si="3"/>
        <v>0.44750791131088952</v>
      </c>
      <c r="K66" s="41"/>
      <c r="L66" s="41"/>
      <c r="M66" s="41"/>
      <c r="N66" s="41"/>
      <c r="O66" s="47"/>
    </row>
    <row r="67" spans="1:15" x14ac:dyDescent="0.25">
      <c r="A67" s="57">
        <v>40</v>
      </c>
      <c r="B67" s="57" t="s">
        <v>93</v>
      </c>
      <c r="C67" s="57" t="s">
        <v>577</v>
      </c>
      <c r="D67" s="111">
        <v>0.01</v>
      </c>
      <c r="E67" s="110">
        <v>6</v>
      </c>
      <c r="F67" s="110" t="s">
        <v>30</v>
      </c>
      <c r="G67" s="110"/>
      <c r="H67" s="110"/>
      <c r="I67" s="64">
        <v>9</v>
      </c>
      <c r="J67" s="58">
        <f t="shared" si="3"/>
        <v>0.09</v>
      </c>
      <c r="K67" s="41"/>
      <c r="L67" s="41"/>
      <c r="M67" s="41"/>
      <c r="N67" s="41"/>
      <c r="O67" s="47"/>
    </row>
    <row r="68" spans="1:15" x14ac:dyDescent="0.25">
      <c r="A68" s="57">
        <v>50</v>
      </c>
      <c r="B68" s="57" t="s">
        <v>93</v>
      </c>
      <c r="C68" s="57" t="s">
        <v>92</v>
      </c>
      <c r="D68" s="111">
        <v>0.01</v>
      </c>
      <c r="E68" s="110">
        <v>4</v>
      </c>
      <c r="F68" s="110" t="s">
        <v>30</v>
      </c>
      <c r="G68" s="110"/>
      <c r="H68" s="110"/>
      <c r="I68" s="64">
        <v>23</v>
      </c>
      <c r="J68" s="58">
        <f t="shared" si="3"/>
        <v>0.23</v>
      </c>
      <c r="K68" s="41"/>
      <c r="L68" s="41"/>
      <c r="M68" s="41"/>
      <c r="N68" s="41"/>
      <c r="O68" s="47"/>
    </row>
    <row r="69" spans="1:15" x14ac:dyDescent="0.25">
      <c r="A69" s="57">
        <v>60</v>
      </c>
      <c r="B69" s="57" t="s">
        <v>38</v>
      </c>
      <c r="C69" s="57" t="s">
        <v>577</v>
      </c>
      <c r="D69" s="111">
        <f>(0.009*EXP(0.2*E69))</f>
        <v>2.9881052304628931E-2</v>
      </c>
      <c r="E69" s="110">
        <v>6</v>
      </c>
      <c r="F69" s="110" t="s">
        <v>30</v>
      </c>
      <c r="G69" s="110"/>
      <c r="H69" s="110"/>
      <c r="I69" s="64">
        <v>18</v>
      </c>
      <c r="J69" s="58">
        <f t="shared" si="3"/>
        <v>0.53785894148332081</v>
      </c>
      <c r="K69" s="41"/>
      <c r="L69" s="41"/>
      <c r="M69" s="41"/>
      <c r="N69" s="41"/>
      <c r="O69" s="47"/>
    </row>
    <row r="70" spans="1:15" x14ac:dyDescent="0.25">
      <c r="A70" s="57">
        <v>70</v>
      </c>
      <c r="B70" s="57" t="s">
        <v>38</v>
      </c>
      <c r="C70" s="57" t="s">
        <v>92</v>
      </c>
      <c r="D70" s="111">
        <f>(0.009*EXP(0.2*E70))</f>
        <v>2.0029868356432209E-2</v>
      </c>
      <c r="E70" s="110">
        <v>4</v>
      </c>
      <c r="F70" s="110" t="s">
        <v>30</v>
      </c>
      <c r="G70" s="110"/>
      <c r="H70" s="110"/>
      <c r="I70" s="64">
        <v>46</v>
      </c>
      <c r="J70" s="58">
        <f t="shared" si="3"/>
        <v>0.92137394439588161</v>
      </c>
      <c r="K70" s="41"/>
      <c r="L70" s="41"/>
      <c r="M70" s="41"/>
      <c r="N70" s="41"/>
      <c r="O70" s="47"/>
    </row>
    <row r="71" spans="1:15" x14ac:dyDescent="0.25">
      <c r="A71" s="52"/>
      <c r="B71" s="15"/>
      <c r="C71" s="15"/>
      <c r="D71" s="15"/>
      <c r="E71" s="15"/>
      <c r="F71" s="15"/>
      <c r="G71" s="15"/>
      <c r="H71" s="15"/>
      <c r="I71" s="95" t="s">
        <v>18</v>
      </c>
      <c r="J71" s="96">
        <f>SUM(J64:J70)</f>
        <v>5.437182180107337</v>
      </c>
      <c r="K71" s="41"/>
      <c r="L71" s="41"/>
      <c r="M71" s="41"/>
      <c r="N71" s="41"/>
      <c r="O71" s="47"/>
    </row>
    <row r="72" spans="1:15" x14ac:dyDescent="0.25">
      <c r="A72" s="48"/>
      <c r="B72" s="41"/>
      <c r="C72" s="41"/>
      <c r="D72" s="41"/>
      <c r="E72" s="41"/>
      <c r="F72" s="41"/>
      <c r="G72" s="41"/>
      <c r="H72" s="41"/>
      <c r="I72" s="41"/>
      <c r="J72" s="15"/>
      <c r="K72" s="41"/>
      <c r="L72" s="41"/>
      <c r="M72" s="41"/>
      <c r="N72" s="41"/>
      <c r="O72" s="47"/>
    </row>
    <row r="73" spans="1:15" x14ac:dyDescent="0.25">
      <c r="A73" s="94" t="s">
        <v>14</v>
      </c>
      <c r="B73" s="94" t="s">
        <v>39</v>
      </c>
      <c r="C73" s="94" t="s">
        <v>20</v>
      </c>
      <c r="D73" s="94" t="s">
        <v>21</v>
      </c>
      <c r="E73" s="94" t="s">
        <v>32</v>
      </c>
      <c r="F73" s="94" t="s">
        <v>17</v>
      </c>
      <c r="G73" s="94" t="s">
        <v>40</v>
      </c>
      <c r="H73" s="94" t="s">
        <v>41</v>
      </c>
      <c r="I73" s="94" t="s">
        <v>18</v>
      </c>
      <c r="J73" s="15"/>
      <c r="K73" s="41"/>
      <c r="L73" s="41"/>
      <c r="M73" s="41"/>
      <c r="N73" s="41"/>
      <c r="O73" s="47"/>
    </row>
    <row r="74" spans="1:15" x14ac:dyDescent="0.25">
      <c r="A74" s="57">
        <v>10</v>
      </c>
      <c r="B74" s="57" t="s">
        <v>42</v>
      </c>
      <c r="C74" s="57" t="s">
        <v>91</v>
      </c>
      <c r="D74" s="58">
        <v>500</v>
      </c>
      <c r="E74" s="57" t="s">
        <v>43</v>
      </c>
      <c r="F74" s="57">
        <v>4</v>
      </c>
      <c r="G74" s="57">
        <v>3000</v>
      </c>
      <c r="H74" s="57">
        <v>1</v>
      </c>
      <c r="I74" s="58">
        <f>D74*F74/G74*H74</f>
        <v>0.66666666666666663</v>
      </c>
      <c r="J74" s="15"/>
      <c r="K74" s="41"/>
      <c r="L74" s="41"/>
      <c r="M74" s="41"/>
      <c r="N74" s="41"/>
      <c r="O74" s="47"/>
    </row>
    <row r="75" spans="1:15" x14ac:dyDescent="0.25">
      <c r="A75" s="52"/>
      <c r="B75" s="15"/>
      <c r="C75" s="15"/>
      <c r="D75" s="15"/>
      <c r="E75" s="15"/>
      <c r="F75" s="15"/>
      <c r="G75" s="15"/>
      <c r="H75" s="98" t="s">
        <v>18</v>
      </c>
      <c r="I75" s="99">
        <f>SUM(I74:I74)</f>
        <v>0.66666666666666663</v>
      </c>
      <c r="O75" s="47"/>
    </row>
    <row r="76" spans="1:15" ht="15.75" thickBot="1" x14ac:dyDescent="0.3">
      <c r="A76" s="54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6"/>
    </row>
    <row r="77" spans="1:15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</row>
  </sheetData>
  <hyperlinks>
    <hyperlink ref="B10" location="EN_0300_001" display="EN_0300_001" xr:uid="{00000000-0004-0000-0E00-000000000000}"/>
    <hyperlink ref="B11" location="EN_0300_002" display="EN_0300_002" xr:uid="{00000000-0004-0000-0E00-000001000000}"/>
    <hyperlink ref="B12" location="EN_0300_003" display="EN_0300_003" xr:uid="{00000000-0004-0000-0E00-000002000000}"/>
    <hyperlink ref="B13" location="EN_0300_004" display="EN_0300_004" xr:uid="{00000000-0004-0000-0E00-000003000000}"/>
    <hyperlink ref="B14" location="EN_0300_005" display="EN_0300_005" xr:uid="{00000000-0004-0000-0E00-000004000000}"/>
    <hyperlink ref="B15" location="EN_0300_006" display="EN_0300_006" xr:uid="{00000000-0004-0000-0E00-000005000000}"/>
    <hyperlink ref="B16" location="EN_0300_007" display="EN_0300_007" xr:uid="{00000000-0004-0000-0E00-000006000000}"/>
    <hyperlink ref="B17" location="EN_0300_008" display="EN_0300_008" xr:uid="{00000000-0004-0000-0E00-000007000000}"/>
    <hyperlink ref="E2" location="EN_A0300_BOM" display="Back to BOM" xr:uid="{00000000-0004-0000-0E00-000008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75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6" tint="0.39997558519241921"/>
    <pageSetUpPr fitToPage="1"/>
  </sheetPr>
  <dimension ref="A1:O22"/>
  <sheetViews>
    <sheetView zoomScaleNormal="100" workbookViewId="0">
      <selection activeCell="B30" sqref="B30"/>
    </sheetView>
  </sheetViews>
  <sheetFormatPr baseColWidth="10" defaultColWidth="9.140625" defaultRowHeight="15" x14ac:dyDescent="0.25"/>
  <cols>
    <col min="3" max="3" width="24.7109375" customWidth="1"/>
    <col min="5" max="5" width="10.140625" customWidth="1"/>
    <col min="7" max="7" width="8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EN_0300_001_m+EN_0300_001_p</f>
        <v>12.57225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139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12.57225</v>
      </c>
      <c r="O5" s="47"/>
    </row>
    <row r="6" spans="1:15" x14ac:dyDescent="0.25">
      <c r="A6" s="100" t="s">
        <v>7</v>
      </c>
      <c r="B6" s="17" t="s">
        <v>523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138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137</v>
      </c>
      <c r="C11" s="127" t="s">
        <v>136</v>
      </c>
      <c r="D11" s="120">
        <v>3.3</v>
      </c>
      <c r="E11" s="127"/>
      <c r="F11" s="127" t="s">
        <v>78</v>
      </c>
      <c r="G11" s="127"/>
      <c r="H11" s="126"/>
      <c r="I11" s="125"/>
      <c r="J11" s="124"/>
      <c r="K11" s="123"/>
      <c r="L11" s="122">
        <v>1140</v>
      </c>
      <c r="M11" s="121">
        <v>0.34499999999999997</v>
      </c>
      <c r="N11" s="120">
        <f>IF(J11="",D11*M11,D11*J11*K11*L11*M11)</f>
        <v>1.1384999999999998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1.1384999999999998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135</v>
      </c>
      <c r="C15" s="57" t="s">
        <v>134</v>
      </c>
      <c r="D15" s="58">
        <v>32</v>
      </c>
      <c r="E15" s="57" t="s">
        <v>78</v>
      </c>
      <c r="F15" s="63">
        <v>0.34499999999999997</v>
      </c>
      <c r="G15" s="63"/>
      <c r="H15" s="63"/>
      <c r="I15" s="58">
        <f>IF(H15="",D15*F15,D15*F15*H15)</f>
        <v>11.04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/>
      <c r="B16" s="57" t="s">
        <v>133</v>
      </c>
      <c r="C16" s="57" t="s">
        <v>132</v>
      </c>
      <c r="D16" s="58">
        <v>5.25</v>
      </c>
      <c r="E16" s="57" t="s">
        <v>89</v>
      </c>
      <c r="F16" s="63">
        <v>7.4999999999999997E-2</v>
      </c>
      <c r="G16" s="63"/>
      <c r="H16" s="63"/>
      <c r="I16" s="58">
        <f>IF(H16="",D16*F16,D16*F16*H16)</f>
        <v>0.39374999999999999</v>
      </c>
      <c r="J16" s="42"/>
      <c r="K16" s="42"/>
      <c r="L16" s="42"/>
      <c r="M16" s="42"/>
      <c r="N16" s="42"/>
      <c r="O16" s="53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11.43375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0F00-000000000000}"/>
    <hyperlink ref="G2" location="EN_A0300_BOM" display="Back to BOM" xr:uid="{00000000-0004-0000-0F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6" tint="0.39997558519241921"/>
  </sheetPr>
  <dimension ref="A1:O22"/>
  <sheetViews>
    <sheetView zoomScale="85" zoomScaleNormal="85" workbookViewId="0">
      <selection activeCell="F16" sqref="F16"/>
    </sheetView>
  </sheetViews>
  <sheetFormatPr baseColWidth="10" defaultColWidth="9.140625" defaultRowHeight="15" x14ac:dyDescent="0.25"/>
  <cols>
    <col min="2" max="2" width="35.42578125" customWidth="1"/>
    <col min="3" max="3" width="28.140625" customWidth="1"/>
    <col min="5" max="5" width="10.140625" customWidth="1"/>
    <col min="7" max="7" width="8.85546875" customWidth="1"/>
    <col min="9" max="9" width="29.71093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EN_0300_002_m+EN_0300_002_p</f>
        <v>3.6799999999999997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146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3.6799999999999997</v>
      </c>
      <c r="O5" s="47"/>
    </row>
    <row r="6" spans="1:15" x14ac:dyDescent="0.25">
      <c r="A6" s="100" t="s">
        <v>7</v>
      </c>
      <c r="B6" s="17" t="s">
        <v>524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0.14000000000000001</v>
      </c>
      <c r="F11" s="127" t="s">
        <v>78</v>
      </c>
      <c r="G11" s="127"/>
      <c r="H11" s="126"/>
      <c r="I11" s="125" t="s">
        <v>143</v>
      </c>
      <c r="J11" s="124">
        <f>0.2*0.215</f>
        <v>4.3000000000000003E-2</v>
      </c>
      <c r="K11" s="123">
        <v>2E-3</v>
      </c>
      <c r="L11" s="122">
        <v>2712</v>
      </c>
      <c r="M11" s="121">
        <v>1</v>
      </c>
      <c r="N11" s="120">
        <f>E11*D11</f>
        <v>0.58800000000000008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0.58800000000000008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140</v>
      </c>
      <c r="D16" s="58">
        <v>0.01</v>
      </c>
      <c r="E16" s="57" t="s">
        <v>46</v>
      </c>
      <c r="F16" s="63">
        <v>179.2</v>
      </c>
      <c r="G16" s="63"/>
      <c r="H16" s="63"/>
      <c r="I16" s="58">
        <f>IF(H16="",D16*F16,D16*F16*H16)</f>
        <v>1.7919999999999998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3.0919999999999996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1000-000000000000}"/>
    <hyperlink ref="E3" location="dEN_0300_002" display="Drawing" xr:uid="{00000000-0004-0000-1000-000001000000}"/>
    <hyperlink ref="G2" location="EN_A0300_BOM" display="Back to BOM" xr:uid="{00000000-0004-0000-1000-000002000000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6" tint="0.39997558519241921"/>
    <pageSetUpPr fitToPage="1"/>
  </sheetPr>
  <dimension ref="A1:H11"/>
  <sheetViews>
    <sheetView workbookViewId="0"/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">
        <v>524</v>
      </c>
    </row>
    <row r="11" spans="1:8" x14ac:dyDescent="0.25">
      <c r="H11" s="69"/>
    </row>
  </sheetData>
  <hyperlinks>
    <hyperlink ref="A1" location="EL_01001" display="Drawing part :" xr:uid="{00000000-0004-0000-1100-000000000000}"/>
    <hyperlink ref="B1" location="EN_0300_002" display="EN 03002" xr:uid="{00000000-0004-0000-1100-000001000000}"/>
  </hyperlinks>
  <pageMargins left="0.7" right="0.7" top="0.75" bottom="0.75" header="0.3" footer="0.3"/>
  <pageSetup paperSize="9" fitToHeight="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 tint="0.39997558519241921"/>
  </sheetPr>
  <dimension ref="A1:O21"/>
  <sheetViews>
    <sheetView zoomScale="77" zoomScaleNormal="77" workbookViewId="0">
      <selection activeCell="L40" sqref="L40"/>
    </sheetView>
  </sheetViews>
  <sheetFormatPr baseColWidth="10" defaultColWidth="9.140625" defaultRowHeight="15" x14ac:dyDescent="0.25"/>
  <cols>
    <col min="2" max="2" width="23.5703125" customWidth="1"/>
    <col min="3" max="3" width="24.71093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EN_0300_003_m+EN_0300_003_p</f>
        <v>18.119250000000001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148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18.119250000000001</v>
      </c>
      <c r="O5" s="47"/>
    </row>
    <row r="6" spans="1:15" x14ac:dyDescent="0.25">
      <c r="A6" s="100" t="s">
        <v>7</v>
      </c>
      <c r="B6" s="17" t="s">
        <v>525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138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137</v>
      </c>
      <c r="C11" s="127" t="s">
        <v>136</v>
      </c>
      <c r="D11" s="120">
        <v>3.3</v>
      </c>
      <c r="E11" s="127"/>
      <c r="F11" s="127" t="s">
        <v>78</v>
      </c>
      <c r="G11" s="127"/>
      <c r="H11" s="126"/>
      <c r="I11" s="125"/>
      <c r="J11" s="124"/>
      <c r="K11" s="123"/>
      <c r="L11" s="122">
        <v>1140</v>
      </c>
      <c r="M11" s="121">
        <v>0.495</v>
      </c>
      <c r="N11" s="120">
        <f>IF(J11="",D11*M11,D11*J11*K11*L11*M11)</f>
        <v>1.6335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1.6335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135</v>
      </c>
      <c r="C15" s="57" t="s">
        <v>134</v>
      </c>
      <c r="D15" s="58">
        <v>32</v>
      </c>
      <c r="E15" s="57" t="s">
        <v>78</v>
      </c>
      <c r="F15" s="63">
        <v>0.495</v>
      </c>
      <c r="G15" s="63"/>
      <c r="H15" s="63"/>
      <c r="I15" s="58">
        <f>IF(H15="",D15*F15,D15*F15*H15)</f>
        <v>15.84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133</v>
      </c>
      <c r="C16" s="57" t="s">
        <v>147</v>
      </c>
      <c r="D16" s="58">
        <v>5.25</v>
      </c>
      <c r="E16" s="57" t="s">
        <v>89</v>
      </c>
      <c r="F16" s="63">
        <v>0.123</v>
      </c>
      <c r="G16" s="63"/>
      <c r="H16" s="63"/>
      <c r="I16" s="58">
        <f>IF(H16="",D16*F16,D16*F16*H16)</f>
        <v>0.64575000000000005</v>
      </c>
      <c r="J16" s="42"/>
      <c r="K16" s="42"/>
      <c r="L16" s="42"/>
      <c r="M16" s="42"/>
      <c r="N16" s="42"/>
      <c r="O16" s="53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16.485749999999999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32"/>
      <c r="I18" s="131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32"/>
      <c r="I19" s="131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32"/>
      <c r="I20" s="131"/>
      <c r="J20" s="15"/>
      <c r="K20" s="15"/>
      <c r="L20" s="15"/>
      <c r="M20" s="15"/>
      <c r="N20" s="15"/>
      <c r="O20" s="47"/>
    </row>
    <row r="21" spans="1:15" ht="15.75" thickBo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</row>
  </sheetData>
  <hyperlinks>
    <hyperlink ref="B4" location="EN_A0300" display="EN_A0300" xr:uid="{00000000-0004-0000-1200-000000000000}"/>
    <hyperlink ref="G2" location="EN_A0300_BOM" display="Back to BOM" xr:uid="{00000000-0004-0000-1200-000001000000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6" tint="0.39997558519241921"/>
  </sheetPr>
  <dimension ref="A1:O22"/>
  <sheetViews>
    <sheetView workbookViewId="0">
      <selection activeCell="B7" sqref="B7"/>
    </sheetView>
  </sheetViews>
  <sheetFormatPr baseColWidth="10" defaultColWidth="9.140625" defaultRowHeight="15" x14ac:dyDescent="0.25"/>
  <cols>
    <col min="2" max="2" width="35.42578125" customWidth="1"/>
    <col min="3" max="3" width="31" customWidth="1"/>
    <col min="5" max="5" width="10.140625" customWidth="1"/>
    <col min="7" max="7" width="8.85546875" customWidth="1"/>
    <col min="9" max="9" width="25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EN_0300_004_m+EN_0300_004_p</f>
        <v>1.6890000000000001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151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1.6890000000000001</v>
      </c>
      <c r="O5" s="47"/>
    </row>
    <row r="6" spans="1:15" x14ac:dyDescent="0.25">
      <c r="A6" s="100" t="s">
        <v>7</v>
      </c>
      <c r="B6" s="17" t="s">
        <v>581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0.01</v>
      </c>
      <c r="F11" s="127" t="s">
        <v>78</v>
      </c>
      <c r="G11" s="127"/>
      <c r="H11" s="126"/>
      <c r="I11" s="125" t="s">
        <v>150</v>
      </c>
      <c r="J11" s="124">
        <f>0.225*0.016</f>
        <v>3.6000000000000003E-3</v>
      </c>
      <c r="K11" s="123">
        <v>2E-3</v>
      </c>
      <c r="L11" s="122">
        <v>2712</v>
      </c>
      <c r="M11" s="121">
        <v>0.01</v>
      </c>
      <c r="N11" s="120">
        <f>D11*E11</f>
        <v>4.2000000000000003E-2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4.2000000000000003E-2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149</v>
      </c>
      <c r="D16" s="58">
        <v>0.01</v>
      </c>
      <c r="E16" s="57" t="s">
        <v>46</v>
      </c>
      <c r="F16" s="63">
        <v>34.700000000000003</v>
      </c>
      <c r="G16" s="63"/>
      <c r="H16" s="63"/>
      <c r="I16" s="58">
        <f>IF(H16="",D16*F16,D16*F16*H16)</f>
        <v>0.34700000000000003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1.647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1300-000000000000}"/>
    <hyperlink ref="G2" location="EN_A0300_BOM" display="Back to BOM" xr:uid="{00000000-0004-0000-1300-000001000000}"/>
    <hyperlink ref="E3" location="dEN_0300_009" display="Drawing" xr:uid="{00000000-0004-0000-1300-000002000000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6" tint="0.39997558519241921"/>
  </sheetPr>
  <dimension ref="A1:H1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EN_0300_004</f>
        <v>Left frame bracket</v>
      </c>
    </row>
    <row r="11" spans="1:8" x14ac:dyDescent="0.25">
      <c r="H11" s="69"/>
    </row>
  </sheetData>
  <hyperlinks>
    <hyperlink ref="A1" location="EL_01001" display="Drawing part :" xr:uid="{00000000-0004-0000-1400-000000000000}"/>
    <hyperlink ref="B1" location="EN_0300_004" display="EN_0300_004" xr:uid="{00000000-0004-0000-1400-000001000000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6" tint="0.39997558519241921"/>
  </sheetPr>
  <dimension ref="A1:O22"/>
  <sheetViews>
    <sheetView zoomScale="85" zoomScaleNormal="85" workbookViewId="0">
      <selection activeCell="B6" sqref="B6"/>
    </sheetView>
  </sheetViews>
  <sheetFormatPr baseColWidth="10" defaultColWidth="9.140625" defaultRowHeight="15" x14ac:dyDescent="0.25"/>
  <cols>
    <col min="2" max="2" width="35.42578125" customWidth="1"/>
    <col min="3" max="3" width="32.57031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EN_0300_005_m+EN_0300_005_p</f>
        <v>1.7614000000000001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154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1.7614000000000001</v>
      </c>
      <c r="O5" s="47"/>
    </row>
    <row r="6" spans="1:15" x14ac:dyDescent="0.25">
      <c r="A6" s="100" t="s">
        <v>7</v>
      </c>
      <c r="B6" s="17" t="s">
        <v>580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1.2E-2</v>
      </c>
      <c r="F11" s="127" t="s">
        <v>78</v>
      </c>
      <c r="G11" s="127"/>
      <c r="H11" s="126"/>
      <c r="I11" s="125" t="s">
        <v>153</v>
      </c>
      <c r="J11" s="124">
        <f>0.156*0.016</f>
        <v>2.496E-3</v>
      </c>
      <c r="K11" s="123">
        <v>2E-3</v>
      </c>
      <c r="L11" s="122">
        <v>2712</v>
      </c>
      <c r="M11" s="121">
        <v>1</v>
      </c>
      <c r="N11" s="120">
        <f>D11*E11</f>
        <v>5.04E-2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5.04E-2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152</v>
      </c>
      <c r="D16" s="58">
        <v>0.01</v>
      </c>
      <c r="E16" s="57" t="s">
        <v>46</v>
      </c>
      <c r="F16" s="63">
        <v>41.1</v>
      </c>
      <c r="G16" s="63"/>
      <c r="H16" s="63"/>
      <c r="I16" s="58">
        <f>IF(H16="",D16*F16,D16*F16*H16)</f>
        <v>0.41100000000000003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1.7110000000000001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1500-000000000000}"/>
    <hyperlink ref="E3" location="dEN_0300_010" display="Drawing" xr:uid="{00000000-0004-0000-1500-000001000000}"/>
    <hyperlink ref="G2" location="EN_A0300_BOM" display="Back to BOM" xr:uid="{00000000-0004-0000-1500-000002000000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6" tint="0.39997558519241921"/>
  </sheetPr>
  <dimension ref="A1:H1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EN_0300_005</f>
        <v>Right frame bracket</v>
      </c>
    </row>
    <row r="11" spans="1:8" x14ac:dyDescent="0.25">
      <c r="H11" s="69"/>
    </row>
  </sheetData>
  <hyperlinks>
    <hyperlink ref="A1" location="EL_01001" display="Drawing part :" xr:uid="{00000000-0004-0000-1600-000000000000}"/>
    <hyperlink ref="B1" location="EN_0300_005" display="EN_0300_005" xr:uid="{00000000-0004-0000-1600-000001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4270-A655-4332-923B-3D2E137D0DCF}">
  <sheetPr>
    <tabColor rgb="FFC4D79B"/>
    <pageSetUpPr fitToPage="1"/>
  </sheetPr>
  <dimension ref="A1:O35"/>
  <sheetViews>
    <sheetView zoomScale="55" zoomScaleNormal="55" zoomScalePageLayoutView="49" workbookViewId="0">
      <selection activeCell="B3" sqref="B3"/>
    </sheetView>
  </sheetViews>
  <sheetFormatPr baseColWidth="10" defaultColWidth="9.140625" defaultRowHeight="15" x14ac:dyDescent="0.25"/>
  <cols>
    <col min="1" max="1" width="10.28515625" style="645" bestFit="1" customWidth="1"/>
    <col min="2" max="2" width="23.7109375" style="645" customWidth="1"/>
    <col min="3" max="3" width="44.28515625" style="645" bestFit="1" customWidth="1"/>
    <col min="4" max="4" width="12.140625" style="645" customWidth="1"/>
    <col min="5" max="5" width="6.42578125" style="645" bestFit="1" customWidth="1"/>
    <col min="6" max="6" width="8.7109375" style="645" bestFit="1" customWidth="1"/>
    <col min="7" max="7" width="10" style="645" bestFit="1" customWidth="1"/>
    <col min="8" max="8" width="14.140625" style="645" customWidth="1"/>
    <col min="9" max="9" width="28" style="645" bestFit="1" customWidth="1"/>
    <col min="10" max="10" width="10.5703125" style="645" customWidth="1"/>
    <col min="11" max="11" width="9.140625" style="645" customWidth="1"/>
    <col min="12" max="12" width="7.7109375" style="645" bestFit="1" customWidth="1"/>
    <col min="13" max="13" width="13.7109375" style="645" bestFit="1" customWidth="1"/>
    <col min="14" max="14" width="14.140625" style="645" customWidth="1"/>
    <col min="15" max="15" width="9.140625" style="645"/>
    <col min="16" max="16" width="9.42578125" style="645" bestFit="1" customWidth="1"/>
    <col min="17" max="18" width="9.140625" style="645"/>
    <col min="19" max="19" width="10.42578125" style="645" bestFit="1" customWidth="1"/>
    <col min="20" max="20" width="9.42578125" style="645" bestFit="1" customWidth="1"/>
    <col min="21" max="21" width="9.140625" style="645"/>
    <col min="22" max="22" width="9.42578125" style="645" bestFit="1" customWidth="1"/>
    <col min="23" max="23" width="9.140625" style="645"/>
    <col min="24" max="25" width="10.140625" style="645" bestFit="1" customWidth="1"/>
    <col min="26" max="28" width="9.28515625" style="645" bestFit="1" customWidth="1"/>
    <col min="29" max="16384" width="9.140625" style="645"/>
  </cols>
  <sheetData>
    <row r="1" spans="1:15" x14ac:dyDescent="0.25">
      <c r="A1" s="687" t="s">
        <v>0</v>
      </c>
      <c r="B1" s="708" t="s">
        <v>44</v>
      </c>
      <c r="C1" s="708"/>
      <c r="D1" s="708"/>
      <c r="E1" s="708"/>
      <c r="F1" s="747" t="s">
        <v>69</v>
      </c>
      <c r="G1" s="708"/>
      <c r="H1" s="708"/>
      <c r="I1" s="708"/>
      <c r="J1" s="742" t="s">
        <v>1</v>
      </c>
      <c r="K1" s="741">
        <v>81</v>
      </c>
      <c r="L1" s="708"/>
      <c r="M1" s="687" t="s">
        <v>16</v>
      </c>
      <c r="N1" s="649">
        <f>N15+I30+I34</f>
        <v>38.781627930666666</v>
      </c>
      <c r="O1" s="710"/>
    </row>
    <row r="2" spans="1:15" x14ac:dyDescent="0.25">
      <c r="A2" s="687" t="s">
        <v>3</v>
      </c>
      <c r="B2" s="645" t="s">
        <v>279</v>
      </c>
      <c r="D2" s="687" t="s">
        <v>6</v>
      </c>
      <c r="M2" s="687" t="s">
        <v>4</v>
      </c>
      <c r="N2" s="740">
        <v>1</v>
      </c>
      <c r="O2" s="711"/>
    </row>
    <row r="3" spans="1:15" x14ac:dyDescent="0.25">
      <c r="A3" s="687" t="s">
        <v>5</v>
      </c>
      <c r="B3" s="306" t="s">
        <v>617</v>
      </c>
      <c r="D3" s="687" t="s">
        <v>8</v>
      </c>
      <c r="J3" s="687" t="s">
        <v>6</v>
      </c>
      <c r="O3" s="711"/>
    </row>
    <row r="4" spans="1:15" x14ac:dyDescent="0.25">
      <c r="A4" s="687" t="s">
        <v>15</v>
      </c>
      <c r="B4" s="684" t="s">
        <v>643</v>
      </c>
      <c r="D4" s="687" t="s">
        <v>12</v>
      </c>
      <c r="J4" s="687" t="s">
        <v>8</v>
      </c>
      <c r="M4" s="687" t="s">
        <v>9</v>
      </c>
      <c r="N4" s="649">
        <f>N1*N2</f>
        <v>38.781627930666666</v>
      </c>
      <c r="O4" s="711"/>
    </row>
    <row r="5" spans="1:15" x14ac:dyDescent="0.25">
      <c r="A5" s="687" t="s">
        <v>7</v>
      </c>
      <c r="B5" s="645" t="s">
        <v>642</v>
      </c>
      <c r="F5" s="704"/>
      <c r="J5" s="687" t="s">
        <v>12</v>
      </c>
      <c r="O5" s="711"/>
    </row>
    <row r="6" spans="1:15" x14ac:dyDescent="0.25">
      <c r="A6" s="687" t="s">
        <v>10</v>
      </c>
      <c r="B6" s="645" t="s">
        <v>11</v>
      </c>
      <c r="O6" s="711"/>
    </row>
    <row r="7" spans="1:15" x14ac:dyDescent="0.25">
      <c r="A7" s="687" t="s">
        <v>13</v>
      </c>
      <c r="B7" s="645" t="s">
        <v>641</v>
      </c>
      <c r="O7" s="711"/>
    </row>
    <row r="8" spans="1:15" x14ac:dyDescent="0.25">
      <c r="A8" s="712"/>
      <c r="O8" s="711"/>
    </row>
    <row r="9" spans="1:15" s="646" customFormat="1" x14ac:dyDescent="0.25">
      <c r="A9" s="720" t="s">
        <v>14</v>
      </c>
      <c r="B9" s="687" t="s">
        <v>19</v>
      </c>
      <c r="C9" s="687" t="s">
        <v>20</v>
      </c>
      <c r="D9" s="687" t="s">
        <v>21</v>
      </c>
      <c r="E9" s="687" t="s">
        <v>22</v>
      </c>
      <c r="F9" s="687" t="s">
        <v>23</v>
      </c>
      <c r="G9" s="687" t="s">
        <v>24</v>
      </c>
      <c r="H9" s="687" t="s">
        <v>25</v>
      </c>
      <c r="I9" s="687" t="s">
        <v>26</v>
      </c>
      <c r="J9" s="687" t="s">
        <v>27</v>
      </c>
      <c r="K9" s="687" t="s">
        <v>28</v>
      </c>
      <c r="L9" s="687" t="s">
        <v>29</v>
      </c>
      <c r="M9" s="687" t="s">
        <v>17</v>
      </c>
      <c r="N9" s="687" t="s">
        <v>18</v>
      </c>
      <c r="O9" s="716"/>
    </row>
    <row r="10" spans="1:15" x14ac:dyDescent="0.25">
      <c r="A10" s="714">
        <v>10</v>
      </c>
      <c r="B10" s="650" t="s">
        <v>634</v>
      </c>
      <c r="C10" s="650" t="s">
        <v>640</v>
      </c>
      <c r="D10" s="651">
        <v>4.2</v>
      </c>
      <c r="E10" s="650">
        <v>233</v>
      </c>
      <c r="F10" s="650" t="s">
        <v>30</v>
      </c>
      <c r="G10" s="650">
        <v>276</v>
      </c>
      <c r="H10" s="678" t="s">
        <v>30</v>
      </c>
      <c r="I10" s="677" t="s">
        <v>639</v>
      </c>
      <c r="J10" s="702">
        <f>0.233*0.276</f>
        <v>6.4308000000000004E-2</v>
      </c>
      <c r="K10" s="701">
        <v>2.5000000000000001E-3</v>
      </c>
      <c r="L10" s="674">
        <v>2712</v>
      </c>
      <c r="M10" s="674">
        <v>1</v>
      </c>
      <c r="N10" s="649">
        <f>IF(J10="",D10*M10,D10*J10*K10*L10*M10)</f>
        <v>1.8312346080000004</v>
      </c>
      <c r="O10" s="711"/>
    </row>
    <row r="11" spans="1:15" x14ac:dyDescent="0.25">
      <c r="A11" s="714">
        <v>20</v>
      </c>
      <c r="B11" s="650" t="s">
        <v>634</v>
      </c>
      <c r="C11" s="650" t="s">
        <v>638</v>
      </c>
      <c r="D11" s="651">
        <v>4.2</v>
      </c>
      <c r="E11" s="650">
        <v>250</v>
      </c>
      <c r="F11" s="650" t="s">
        <v>30</v>
      </c>
      <c r="G11" s="650">
        <v>200</v>
      </c>
      <c r="H11" s="678" t="s">
        <v>30</v>
      </c>
      <c r="I11" s="677" t="s">
        <v>637</v>
      </c>
      <c r="J11" s="702">
        <f>0.25*0.2</f>
        <v>0.05</v>
      </c>
      <c r="K11" s="703">
        <v>1.4999999999999999E-2</v>
      </c>
      <c r="L11" s="674">
        <v>2712</v>
      </c>
      <c r="M11" s="674">
        <v>1</v>
      </c>
      <c r="N11" s="649">
        <f>IF(J11="",D11*M11,D11*J11*K11*L11*M11)</f>
        <v>8.5427999999999997</v>
      </c>
      <c r="O11" s="711"/>
    </row>
    <row r="12" spans="1:15" x14ac:dyDescent="0.25">
      <c r="A12" s="714">
        <v>30</v>
      </c>
      <c r="B12" s="650" t="s">
        <v>634</v>
      </c>
      <c r="C12" s="650" t="s">
        <v>636</v>
      </c>
      <c r="D12" s="651">
        <v>4.2</v>
      </c>
      <c r="E12" s="650">
        <v>168</v>
      </c>
      <c r="F12" s="650" t="s">
        <v>30</v>
      </c>
      <c r="G12" s="650">
        <v>42</v>
      </c>
      <c r="H12" s="678" t="s">
        <v>30</v>
      </c>
      <c r="I12" s="677" t="s">
        <v>635</v>
      </c>
      <c r="J12" s="702">
        <f>0.168*0.042</f>
        <v>7.0560000000000006E-3</v>
      </c>
      <c r="K12" s="701">
        <v>2.5000000000000001E-3</v>
      </c>
      <c r="L12" s="674">
        <v>2712</v>
      </c>
      <c r="M12" s="674">
        <v>1</v>
      </c>
      <c r="N12" s="649">
        <f>IF(J12="",D12*M12,D12*J12*K12*L12*M12)</f>
        <v>0.20092665600000004</v>
      </c>
      <c r="O12" s="711"/>
    </row>
    <row r="13" spans="1:15" x14ac:dyDescent="0.25">
      <c r="A13" s="714">
        <v>40</v>
      </c>
      <c r="B13" s="650" t="s">
        <v>634</v>
      </c>
      <c r="C13" s="650" t="s">
        <v>633</v>
      </c>
      <c r="D13" s="651">
        <v>4.2</v>
      </c>
      <c r="E13" s="650">
        <v>50</v>
      </c>
      <c r="F13" s="650" t="s">
        <v>30</v>
      </c>
      <c r="G13" s="650">
        <v>30</v>
      </c>
      <c r="H13" s="678" t="s">
        <v>30</v>
      </c>
      <c r="I13" s="677" t="s">
        <v>632</v>
      </c>
      <c r="J13" s="702">
        <f>0.05*0.03</f>
        <v>1.5E-3</v>
      </c>
      <c r="K13" s="701">
        <v>2.5000000000000001E-3</v>
      </c>
      <c r="L13" s="674">
        <v>2712</v>
      </c>
      <c r="M13" s="674">
        <v>1</v>
      </c>
      <c r="N13" s="649">
        <f>IF(J13="",D13*M13,D13*J13*K13*L13*M13)</f>
        <v>4.2714000000000002E-2</v>
      </c>
      <c r="O13" s="711"/>
    </row>
    <row r="14" spans="1:15" ht="30" x14ac:dyDescent="0.25">
      <c r="A14" s="714">
        <v>50</v>
      </c>
      <c r="B14" s="700" t="s">
        <v>631</v>
      </c>
      <c r="C14" s="698" t="s">
        <v>630</v>
      </c>
      <c r="D14" s="699">
        <v>1.85</v>
      </c>
      <c r="E14" s="698">
        <v>8</v>
      </c>
      <c r="F14" s="698" t="s">
        <v>30</v>
      </c>
      <c r="G14" s="698"/>
      <c r="H14" s="697"/>
      <c r="I14" s="696"/>
      <c r="J14" s="695"/>
      <c r="K14" s="694"/>
      <c r="L14" s="693"/>
      <c r="M14" s="692">
        <v>1</v>
      </c>
      <c r="N14" s="691">
        <f>IF(J14="",D14*M14,D14*J14*K14*L14*M14)</f>
        <v>1.85</v>
      </c>
      <c r="O14" s="711"/>
    </row>
    <row r="15" spans="1:15" s="646" customFormat="1" x14ac:dyDescent="0.25">
      <c r="A15" s="715"/>
      <c r="M15" s="686" t="s">
        <v>18</v>
      </c>
      <c r="N15" s="690">
        <f>SUM(N10:N12)</f>
        <v>10.574961264000001</v>
      </c>
      <c r="O15" s="716"/>
    </row>
    <row r="16" spans="1:15" x14ac:dyDescent="0.25">
      <c r="A16" s="712"/>
      <c r="O16" s="711"/>
    </row>
    <row r="17" spans="1:15" s="646" customFormat="1" x14ac:dyDescent="0.25">
      <c r="A17" s="720" t="s">
        <v>14</v>
      </c>
      <c r="B17" s="687" t="s">
        <v>31</v>
      </c>
      <c r="C17" s="687" t="s">
        <v>20</v>
      </c>
      <c r="D17" s="687" t="s">
        <v>21</v>
      </c>
      <c r="E17" s="687" t="s">
        <v>32</v>
      </c>
      <c r="F17" s="687" t="s">
        <v>17</v>
      </c>
      <c r="G17" s="687" t="s">
        <v>33</v>
      </c>
      <c r="H17" s="687" t="s">
        <v>34</v>
      </c>
      <c r="I17" s="687" t="s">
        <v>18</v>
      </c>
      <c r="O17" s="716"/>
    </row>
    <row r="18" spans="1:15" ht="30" x14ac:dyDescent="0.25">
      <c r="A18" s="714">
        <v>10</v>
      </c>
      <c r="B18" s="689" t="s">
        <v>623</v>
      </c>
      <c r="C18" s="659" t="s">
        <v>629</v>
      </c>
      <c r="D18" s="651">
        <v>1.3</v>
      </c>
      <c r="E18" s="650" t="s">
        <v>32</v>
      </c>
      <c r="F18" s="650">
        <v>1</v>
      </c>
      <c r="G18" s="650"/>
      <c r="H18" s="650"/>
      <c r="I18" s="651">
        <f>IF('EN 01001'!$H18&lt;&gt;"",'EN 01001'!$D18*'EN 01001'!$F18*'EN 01001'!$H18,'EN 01001'!$D18*'EN 01001'!$F18)</f>
        <v>1.3</v>
      </c>
      <c r="O18" s="711"/>
    </row>
    <row r="19" spans="1:15" x14ac:dyDescent="0.25">
      <c r="A19" s="714">
        <v>20</v>
      </c>
      <c r="B19" s="659" t="s">
        <v>231</v>
      </c>
      <c r="C19" s="659" t="s">
        <v>628</v>
      </c>
      <c r="D19" s="651">
        <v>0.01</v>
      </c>
      <c r="E19" s="650" t="s">
        <v>46</v>
      </c>
      <c r="F19" s="650">
        <v>166</v>
      </c>
      <c r="G19" s="650"/>
      <c r="H19" s="650"/>
      <c r="I19" s="649">
        <f>IF('EN 01001'!$H19&lt;&gt;"",'EN 01001'!$D19*'EN 01001'!$F19*'EN 01001'!$H19,'EN 01001'!$D19*'EN 01001'!$F19)</f>
        <v>1.6600000000000001</v>
      </c>
      <c r="O19" s="711"/>
    </row>
    <row r="20" spans="1:15" ht="30" x14ac:dyDescent="0.25">
      <c r="A20" s="714">
        <v>30</v>
      </c>
      <c r="B20" s="689" t="s">
        <v>623</v>
      </c>
      <c r="C20" s="659" t="s">
        <v>627</v>
      </c>
      <c r="D20" s="651">
        <v>1.3</v>
      </c>
      <c r="E20" s="650" t="s">
        <v>32</v>
      </c>
      <c r="F20" s="650">
        <v>1</v>
      </c>
      <c r="G20" s="650"/>
      <c r="H20" s="650"/>
      <c r="I20" s="651">
        <f>IF('EN 01001'!$H20&lt;&gt;"",'EN 01001'!$D20*'EN 01001'!$F20*'EN 01001'!$H20,'EN 01001'!$D20*'EN 01001'!$F20)</f>
        <v>1.3</v>
      </c>
      <c r="O20" s="711"/>
    </row>
    <row r="21" spans="1:15" x14ac:dyDescent="0.25">
      <c r="A21" s="714">
        <v>40</v>
      </c>
      <c r="B21" s="659" t="s">
        <v>231</v>
      </c>
      <c r="C21" s="659" t="s">
        <v>627</v>
      </c>
      <c r="D21" s="651">
        <v>0.01</v>
      </c>
      <c r="E21" s="650" t="s">
        <v>46</v>
      </c>
      <c r="F21" s="650">
        <v>155</v>
      </c>
      <c r="G21" s="650"/>
      <c r="H21" s="650"/>
      <c r="I21" s="649">
        <f>IF('EN 01001'!$H21&lt;&gt;"",'EN 01001'!$D21*'EN 01001'!$F21*'EN 01001'!$H21,'EN 01001'!$D21*'EN 01001'!$F21)</f>
        <v>1.55</v>
      </c>
      <c r="O21" s="711"/>
    </row>
    <row r="22" spans="1:15" ht="30" x14ac:dyDescent="0.25">
      <c r="A22" s="714">
        <v>50</v>
      </c>
      <c r="B22" s="689" t="s">
        <v>623</v>
      </c>
      <c r="C22" s="659" t="s">
        <v>626</v>
      </c>
      <c r="D22" s="651">
        <v>1.3</v>
      </c>
      <c r="E22" s="650" t="s">
        <v>32</v>
      </c>
      <c r="F22" s="650">
        <v>1</v>
      </c>
      <c r="G22" s="650"/>
      <c r="H22" s="650"/>
      <c r="I22" s="649">
        <f>IF('EN 01001'!$H22&lt;&gt;"",'EN 01001'!$D22*'EN 01001'!$F22*'EN 01001'!$H22,'EN 01001'!$D22*'EN 01001'!$F22)</f>
        <v>1.3</v>
      </c>
      <c r="O22" s="711"/>
    </row>
    <row r="23" spans="1:15" x14ac:dyDescent="0.25">
      <c r="A23" s="714">
        <v>60</v>
      </c>
      <c r="B23" s="659" t="s">
        <v>231</v>
      </c>
      <c r="C23" s="659" t="s">
        <v>626</v>
      </c>
      <c r="D23" s="651">
        <v>0.01</v>
      </c>
      <c r="E23" s="650" t="s">
        <v>46</v>
      </c>
      <c r="F23" s="650">
        <v>42</v>
      </c>
      <c r="G23" s="650"/>
      <c r="H23" s="650"/>
      <c r="I23" s="649">
        <f>IF('EN 01001'!$H23&lt;&gt;"",'EN 01001'!$D23*'EN 01001'!$F23*'EN 01001'!$H23,'EN 01001'!$D23*'EN 01001'!$F23)</f>
        <v>0.42</v>
      </c>
      <c r="O23" s="711"/>
    </row>
    <row r="24" spans="1:15" ht="30" x14ac:dyDescent="0.25">
      <c r="A24" s="714">
        <v>70</v>
      </c>
      <c r="B24" s="689" t="s">
        <v>623</v>
      </c>
      <c r="C24" s="659" t="s">
        <v>625</v>
      </c>
      <c r="D24" s="651">
        <v>1.3</v>
      </c>
      <c r="E24" s="650" t="s">
        <v>32</v>
      </c>
      <c r="F24" s="650">
        <v>1</v>
      </c>
      <c r="G24" s="650"/>
      <c r="H24" s="650"/>
      <c r="I24" s="649">
        <f>IF('EN 01001'!$H24&lt;&gt;"",'EN 01001'!$D24*'EN 01001'!$F24*'EN 01001'!$H24,'EN 01001'!$D24*'EN 01001'!$F24)</f>
        <v>1.3</v>
      </c>
      <c r="O24" s="711"/>
    </row>
    <row r="25" spans="1:15" x14ac:dyDescent="0.25">
      <c r="A25" s="714">
        <v>80</v>
      </c>
      <c r="B25" s="659" t="s">
        <v>231</v>
      </c>
      <c r="C25" s="659" t="s">
        <v>625</v>
      </c>
      <c r="D25" s="651">
        <v>0.01</v>
      </c>
      <c r="E25" s="650" t="s">
        <v>46</v>
      </c>
      <c r="F25" s="650">
        <v>16</v>
      </c>
      <c r="G25" s="650"/>
      <c r="H25" s="650"/>
      <c r="I25" s="649">
        <f>IF('EN 01001'!$H25&lt;&gt;"",'EN 01001'!$D25*'EN 01001'!$F25*'EN 01001'!$H25,'EN 01001'!$D25*'EN 01001'!$F25)</f>
        <v>0.16</v>
      </c>
      <c r="O25" s="711"/>
    </row>
    <row r="26" spans="1:15" x14ac:dyDescent="0.25">
      <c r="A26" s="714">
        <v>90</v>
      </c>
      <c r="B26" s="659" t="s">
        <v>86</v>
      </c>
      <c r="C26" s="659" t="s">
        <v>624</v>
      </c>
      <c r="D26" s="651">
        <v>0.25</v>
      </c>
      <c r="E26" s="650" t="s">
        <v>32</v>
      </c>
      <c r="F26" s="650">
        <v>4</v>
      </c>
      <c r="G26" s="650"/>
      <c r="H26" s="650"/>
      <c r="I26" s="649">
        <f>IF('EN 01001'!$H26&lt;&gt;"",'EN 01001'!$D26*'EN 01001'!$F26*'EN 01001'!$H26,'EN 01001'!$D26*'EN 01001'!$F26)</f>
        <v>1</v>
      </c>
      <c r="O26" s="711"/>
    </row>
    <row r="27" spans="1:15" ht="30" x14ac:dyDescent="0.25">
      <c r="A27" s="714">
        <v>100</v>
      </c>
      <c r="B27" s="689" t="s">
        <v>623</v>
      </c>
      <c r="C27" s="659" t="s">
        <v>622</v>
      </c>
      <c r="D27" s="651">
        <v>1.3</v>
      </c>
      <c r="E27" s="650" t="s">
        <v>32</v>
      </c>
      <c r="F27" s="650">
        <v>1</v>
      </c>
      <c r="G27" s="650"/>
      <c r="H27" s="650"/>
      <c r="I27" s="649">
        <f>IF('EN 01001'!$H27&lt;&gt;"",'EN 01001'!$D27*'EN 01001'!$F27*'EN 01001'!$H27,'EN 01001'!$D27*'EN 01001'!$F27)</f>
        <v>1.3</v>
      </c>
      <c r="O27" s="711"/>
    </row>
    <row r="28" spans="1:15" x14ac:dyDescent="0.25">
      <c r="A28" s="714">
        <v>110</v>
      </c>
      <c r="B28" s="659" t="s">
        <v>289</v>
      </c>
      <c r="C28" s="659" t="s">
        <v>621</v>
      </c>
      <c r="D28" s="651">
        <v>0.35</v>
      </c>
      <c r="E28" s="650" t="s">
        <v>32</v>
      </c>
      <c r="F28" s="650">
        <v>1</v>
      </c>
      <c r="G28" s="650"/>
      <c r="H28" s="650"/>
      <c r="I28" s="649">
        <f>IF('EN 01001'!$H28&lt;&gt;"",'EN 01001'!$D28*'EN 01001'!$F28*'EN 01001'!$H28,'EN 01001'!$D28*'EN 01001'!$F28)</f>
        <v>0.35</v>
      </c>
      <c r="O28" s="711"/>
    </row>
    <row r="29" spans="1:15" x14ac:dyDescent="0.25">
      <c r="A29" s="714">
        <v>120</v>
      </c>
      <c r="B29" s="659" t="s">
        <v>72</v>
      </c>
      <c r="C29" s="659" t="s">
        <v>620</v>
      </c>
      <c r="D29" s="651">
        <v>0.15</v>
      </c>
      <c r="E29" s="650" t="s">
        <v>46</v>
      </c>
      <c r="F29" s="650">
        <v>96</v>
      </c>
      <c r="G29" s="650"/>
      <c r="H29" s="650"/>
      <c r="I29" s="649">
        <f>IF('EN 01001'!$H29&lt;&gt;"",'EN 01001'!$D29*'EN 01001'!$F29*'EN 01001'!$H29,'EN 01001'!$D29*'EN 01001'!$F29)</f>
        <v>14.399999999999999</v>
      </c>
      <c r="O29" s="711"/>
    </row>
    <row r="30" spans="1:15" s="646" customFormat="1" x14ac:dyDescent="0.25">
      <c r="A30" s="715"/>
      <c r="H30" s="686" t="s">
        <v>18</v>
      </c>
      <c r="I30" s="688">
        <f>SUM(I18:I29)</f>
        <v>26.04</v>
      </c>
      <c r="O30" s="716"/>
    </row>
    <row r="31" spans="1:15" x14ac:dyDescent="0.25">
      <c r="A31" s="712"/>
      <c r="H31" s="656"/>
      <c r="I31" s="655"/>
      <c r="O31" s="711"/>
    </row>
    <row r="32" spans="1:15" s="646" customFormat="1" x14ac:dyDescent="0.25">
      <c r="A32" s="720" t="s">
        <v>14</v>
      </c>
      <c r="B32" s="687" t="s">
        <v>39</v>
      </c>
      <c r="C32" s="687" t="s">
        <v>20</v>
      </c>
      <c r="D32" s="687" t="s">
        <v>21</v>
      </c>
      <c r="E32" s="687" t="s">
        <v>32</v>
      </c>
      <c r="F32" s="687" t="s">
        <v>17</v>
      </c>
      <c r="G32" s="687" t="s">
        <v>40</v>
      </c>
      <c r="H32" s="687" t="s">
        <v>476</v>
      </c>
      <c r="I32" s="687" t="s">
        <v>18</v>
      </c>
      <c r="O32" s="716"/>
    </row>
    <row r="33" spans="1:15" x14ac:dyDescent="0.25">
      <c r="A33" s="714">
        <v>10</v>
      </c>
      <c r="B33" s="650" t="s">
        <v>619</v>
      </c>
      <c r="C33" s="650" t="s">
        <v>618</v>
      </c>
      <c r="D33" s="651">
        <v>500</v>
      </c>
      <c r="E33" s="650" t="s">
        <v>43</v>
      </c>
      <c r="F33" s="650">
        <v>13</v>
      </c>
      <c r="G33" s="650">
        <v>3000</v>
      </c>
      <c r="H33" s="650">
        <v>1</v>
      </c>
      <c r="I33" s="651">
        <f>IF('EN 01001'!$G33&lt;&gt;"",D33*F33/G33*H33,"")</f>
        <v>2.1666666666666665</v>
      </c>
      <c r="O33" s="711"/>
    </row>
    <row r="34" spans="1:15" s="646" customFormat="1" x14ac:dyDescent="0.25">
      <c r="A34" s="715"/>
      <c r="H34" s="686" t="s">
        <v>18</v>
      </c>
      <c r="I34" s="685">
        <f>SUM(I33:I33)</f>
        <v>2.1666666666666665</v>
      </c>
      <c r="O34" s="716"/>
    </row>
    <row r="35" spans="1:15" ht="15.75" thickBot="1" x14ac:dyDescent="0.3">
      <c r="A35" s="717"/>
      <c r="B35" s="718"/>
      <c r="C35" s="718"/>
      <c r="D35" s="718"/>
      <c r="E35" s="718"/>
      <c r="F35" s="718"/>
      <c r="G35" s="718"/>
      <c r="H35" s="721"/>
      <c r="I35" s="722"/>
      <c r="J35" s="718"/>
      <c r="K35" s="718"/>
      <c r="L35" s="718"/>
      <c r="M35" s="718"/>
      <c r="N35" s="718"/>
      <c r="O35" s="719"/>
    </row>
  </sheetData>
  <hyperlinks>
    <hyperlink ref="F1" location="EN_A0100_BOM" display="Back to BOM" xr:uid="{00000000-0004-0000-0300-000000000000}"/>
    <hyperlink ref="B3" location="EN_A0100" display="Engine" xr:uid="{00000000-0004-0000-0300-000001000000}"/>
  </hyperlinks>
  <printOptions horizontalCentered="1"/>
  <pageMargins left="0.3" right="0.3" top="0.3" bottom="0.4" header="0.2" footer="0.2"/>
  <pageSetup paperSize="9" scale="67" orientation="landscape"/>
  <headerFooter>
    <oddFooter>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6" tint="0.39997558519241921"/>
  </sheetPr>
  <dimension ref="A1:O22"/>
  <sheetViews>
    <sheetView zoomScale="85" zoomScaleNormal="85"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24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EN_0300_006_m+EN_0300_006_p</f>
        <v>1.9656000000000002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157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3.9312000000000005</v>
      </c>
      <c r="O5" s="47"/>
    </row>
    <row r="6" spans="1:15" x14ac:dyDescent="0.25">
      <c r="A6" s="100" t="s">
        <v>7</v>
      </c>
      <c r="B6" s="17" t="s">
        <v>567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1.7999999999999999E-2</v>
      </c>
      <c r="F11" s="127" t="s">
        <v>78</v>
      </c>
      <c r="G11" s="127"/>
      <c r="H11" s="126"/>
      <c r="I11" s="125" t="s">
        <v>156</v>
      </c>
      <c r="J11" s="124">
        <f>0.08*0.055</f>
        <v>4.4000000000000003E-3</v>
      </c>
      <c r="K11" s="123">
        <v>2E-3</v>
      </c>
      <c r="L11" s="122">
        <v>2712</v>
      </c>
      <c r="M11" s="121">
        <v>1</v>
      </c>
      <c r="N11" s="120">
        <f>D11*E11</f>
        <v>7.5600000000000001E-2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7.5600000000000001E-2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155</v>
      </c>
      <c r="D16" s="58">
        <v>0.01</v>
      </c>
      <c r="E16" s="57" t="s">
        <v>46</v>
      </c>
      <c r="F16" s="63">
        <v>59</v>
      </c>
      <c r="G16" s="63"/>
      <c r="H16" s="63"/>
      <c r="I16" s="58">
        <f>IF(H16="",D16*F16,D16*F16*H16)</f>
        <v>0.59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1.8900000000000001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1700-000000000000}"/>
    <hyperlink ref="E3" location="dEN_0300_011" display="Drawing" xr:uid="{00000000-0004-0000-1700-000001000000}"/>
    <hyperlink ref="G2" location="EN_A0300_BOM" display="Back to BOM" xr:uid="{00000000-0004-0000-1700-000002000000}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6" tint="0.39997558519241921"/>
  </sheetPr>
  <dimension ref="A1:H1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EN_0300_006</f>
        <v>PAIR plate</v>
      </c>
    </row>
    <row r="11" spans="1:8" x14ac:dyDescent="0.25">
      <c r="H11" s="69"/>
    </row>
  </sheetData>
  <hyperlinks>
    <hyperlink ref="B1" location="EN_0300_006" display="EN_0300_006" xr:uid="{00000000-0004-0000-1800-000000000000}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6" tint="0.39997558519241921"/>
  </sheetPr>
  <dimension ref="A1:O23"/>
  <sheetViews>
    <sheetView workbookViewId="0">
      <selection activeCell="B7" sqref="B7"/>
    </sheetView>
  </sheetViews>
  <sheetFormatPr baseColWidth="10" defaultColWidth="9.140625" defaultRowHeight="15" x14ac:dyDescent="0.25"/>
  <cols>
    <col min="2" max="2" width="35.42578125" customWidth="1"/>
    <col min="3" max="3" width="32.57031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EN_0300_007_m+EN_0300_007_p</f>
        <v>4.1755999999999993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161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4.1755999999999993</v>
      </c>
      <c r="O5" s="47"/>
    </row>
    <row r="6" spans="1:15" x14ac:dyDescent="0.25">
      <c r="A6" s="100" t="s">
        <v>7</v>
      </c>
      <c r="B6" s="17" t="s">
        <v>582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160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6.8000000000000005E-2</v>
      </c>
      <c r="F11" s="127" t="s">
        <v>78</v>
      </c>
      <c r="G11" s="127"/>
      <c r="H11" s="126"/>
      <c r="I11" s="125" t="s">
        <v>159</v>
      </c>
      <c r="J11" s="124">
        <f>0.275*0.075</f>
        <v>2.0625000000000001E-2</v>
      </c>
      <c r="K11" s="123">
        <v>2E-3</v>
      </c>
      <c r="L11" s="122">
        <v>2712</v>
      </c>
      <c r="M11" s="121">
        <v>1</v>
      </c>
      <c r="N11" s="120">
        <f>D11*E11</f>
        <v>0.28560000000000002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0.28560000000000002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152</v>
      </c>
      <c r="D16" s="58">
        <v>0.01</v>
      </c>
      <c r="E16" s="57" t="s">
        <v>46</v>
      </c>
      <c r="F16" s="63">
        <v>209</v>
      </c>
      <c r="G16" s="63"/>
      <c r="H16" s="63"/>
      <c r="I16" s="58">
        <f>IF(H16="",D16*F16,D16*F16*H16)</f>
        <v>2.09</v>
      </c>
      <c r="J16" s="41"/>
      <c r="K16" s="41"/>
      <c r="L16" s="41"/>
      <c r="M16" s="41"/>
      <c r="N16" s="41"/>
      <c r="O16" s="47"/>
    </row>
    <row r="17" spans="1:15" x14ac:dyDescent="0.25">
      <c r="A17" s="57">
        <v>30</v>
      </c>
      <c r="B17" s="57" t="s">
        <v>86</v>
      </c>
      <c r="C17" s="57" t="s">
        <v>158</v>
      </c>
      <c r="D17" s="58">
        <v>0.25</v>
      </c>
      <c r="E17" s="57" t="s">
        <v>85</v>
      </c>
      <c r="F17" s="63">
        <v>2</v>
      </c>
      <c r="G17" s="63"/>
      <c r="H17" s="63"/>
      <c r="I17" s="58">
        <f>IF(H17="",D17*F17,D17*F17*H17)</f>
        <v>0.5</v>
      </c>
      <c r="J17" s="41"/>
      <c r="K17" s="41"/>
      <c r="L17" s="41"/>
      <c r="M17" s="41"/>
      <c r="N17" s="41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06" t="s">
        <v>18</v>
      </c>
      <c r="I18" s="103">
        <f>SUM(I15:I17)</f>
        <v>3.8899999999999997</v>
      </c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x14ac:dyDescent="0.25">
      <c r="A22" s="52"/>
      <c r="B22" s="15"/>
      <c r="C22" s="15"/>
      <c r="D22" s="15"/>
      <c r="E22" s="15"/>
      <c r="F22" s="15"/>
      <c r="G22" s="15"/>
      <c r="H22" s="116"/>
      <c r="I22" s="115"/>
      <c r="J22" s="15"/>
      <c r="K22" s="15"/>
      <c r="L22" s="15"/>
      <c r="M22" s="15"/>
      <c r="N22" s="15"/>
      <c r="O22" s="47"/>
    </row>
    <row r="23" spans="1:15" ht="15.75" thickBot="1" x14ac:dyDescent="0.3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</sheetData>
  <hyperlinks>
    <hyperlink ref="B4" location="EN_A0300" display="EN_A0300" xr:uid="{00000000-0004-0000-1900-000000000000}"/>
    <hyperlink ref="E3" location="dEN_0300_012" display="Drawing" xr:uid="{00000000-0004-0000-1900-000001000000}"/>
    <hyperlink ref="G2" location="EN_A0300_BOM" display="Back to BOM" xr:uid="{00000000-0004-0000-1900-000002000000}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6" tint="0.39997558519241921"/>
  </sheetPr>
  <dimension ref="A1:H11"/>
  <sheetViews>
    <sheetView workbookViewId="0">
      <selection activeCell="M31" sqref="M3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EN_0300_007</f>
        <v>Motor bracket</v>
      </c>
    </row>
    <row r="11" spans="1:8" x14ac:dyDescent="0.25">
      <c r="H11" s="69"/>
    </row>
  </sheetData>
  <hyperlinks>
    <hyperlink ref="B1" location="EN_0300_007" display="EN_0300_007" xr:uid="{00000000-0004-0000-1A00-000000000000}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6" tint="0.39997558519241921"/>
  </sheetPr>
  <dimension ref="A1:O22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33.1406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EN_0300_008_m+EN_0300_008_p</f>
        <v>1.38425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164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2.7685</v>
      </c>
      <c r="O5" s="47"/>
    </row>
    <row r="6" spans="1:15" x14ac:dyDescent="0.25">
      <c r="A6" s="100" t="s">
        <v>7</v>
      </c>
      <c r="B6" s="17" t="s">
        <v>583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163</v>
      </c>
      <c r="C11" s="127" t="s">
        <v>162</v>
      </c>
      <c r="D11" s="120">
        <v>2.25</v>
      </c>
      <c r="E11" s="125">
        <v>3.0000000000000001E-3</v>
      </c>
      <c r="F11" s="127" t="s">
        <v>78</v>
      </c>
      <c r="G11" s="127"/>
      <c r="H11" s="126"/>
      <c r="I11" s="125"/>
      <c r="J11" s="124"/>
      <c r="K11" s="123"/>
      <c r="L11" s="133">
        <v>2E-3</v>
      </c>
      <c r="M11" s="121">
        <v>1</v>
      </c>
      <c r="N11" s="120">
        <f>D11*E11</f>
        <v>6.7499999999999999E-3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6.7499999999999999E-3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155</v>
      </c>
      <c r="D16" s="58">
        <v>0.01</v>
      </c>
      <c r="E16" s="57" t="s">
        <v>46</v>
      </c>
      <c r="F16" s="63">
        <v>7.75</v>
      </c>
      <c r="G16" s="63"/>
      <c r="H16" s="63"/>
      <c r="I16" s="58">
        <f>IF(H16="",D16*F16,D16*F16*H16)</f>
        <v>7.7499999999999999E-2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1.3774999999999999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1B00-000000000000}"/>
    <hyperlink ref="E3" location="dEN_0300_013" display="Drawing" xr:uid="{00000000-0004-0000-1B00-000001000000}"/>
    <hyperlink ref="G2" location="EN_A0300_BOM" display="Back to BOM" xr:uid="{00000000-0004-0000-1B00-000002000000}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6" tint="0.39997558519241921"/>
  </sheetPr>
  <dimension ref="A1:H1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EN_0300_008</f>
        <v>Intake bracket</v>
      </c>
    </row>
    <row r="11" spans="1:8" x14ac:dyDescent="0.25">
      <c r="H11" s="69"/>
    </row>
  </sheetData>
  <hyperlinks>
    <hyperlink ref="B1" location="EN_0300_008" display="EN_0300_008" xr:uid="{00000000-0004-0000-1C00-000000000000}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6" tint="-0.249977111117893"/>
    <pageSetUpPr fitToPage="1"/>
  </sheetPr>
  <dimension ref="A1:O67"/>
  <sheetViews>
    <sheetView zoomScale="70" zoomScaleNormal="70" zoomScaleSheetLayoutView="80" workbookViewId="0">
      <selection activeCell="E2" sqref="E2"/>
    </sheetView>
  </sheetViews>
  <sheetFormatPr baseColWidth="10" defaultColWidth="9.140625" defaultRowHeight="15" x14ac:dyDescent="0.25"/>
  <cols>
    <col min="2" max="2" width="35.28515625" customWidth="1"/>
    <col min="3" max="3" width="68.42578125" customWidth="1"/>
    <col min="4" max="4" width="11.42578125" customWidth="1"/>
    <col min="10" max="10" width="13.42578125" customWidth="1"/>
    <col min="15" max="15" width="5.28515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94" t="s">
        <v>0</v>
      </c>
      <c r="B2" s="11" t="s">
        <v>44</v>
      </c>
      <c r="C2" s="41"/>
      <c r="D2" s="41"/>
      <c r="E2" s="68" t="s">
        <v>69</v>
      </c>
      <c r="F2" s="41"/>
      <c r="G2" s="41"/>
      <c r="H2" s="41"/>
      <c r="I2" s="41"/>
      <c r="J2" s="94" t="s">
        <v>1</v>
      </c>
      <c r="K2" s="65">
        <v>81</v>
      </c>
      <c r="L2" s="41"/>
      <c r="M2" s="94" t="s">
        <v>2</v>
      </c>
      <c r="N2" s="73">
        <f>EN_A0400_pa+EN_A0400_m+EN_A0400_p+EN_A0400_f+EN_A0400_t</f>
        <v>170.23768559999999</v>
      </c>
      <c r="O2" s="47"/>
    </row>
    <row r="3" spans="1:15" x14ac:dyDescent="0.25">
      <c r="A3" s="94" t="s">
        <v>3</v>
      </c>
      <c r="B3" s="11" t="s">
        <v>70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94" t="s">
        <v>4</v>
      </c>
      <c r="N3" s="64">
        <v>1</v>
      </c>
      <c r="O3" s="47"/>
    </row>
    <row r="4" spans="1:15" x14ac:dyDescent="0.25">
      <c r="A4" s="94" t="s">
        <v>5</v>
      </c>
      <c r="B4" s="42" t="s">
        <v>215</v>
      </c>
      <c r="C4" s="41"/>
      <c r="D4" s="41"/>
      <c r="E4" s="41"/>
      <c r="F4" s="41"/>
      <c r="G4" s="41"/>
      <c r="H4" s="41"/>
      <c r="I4" s="41"/>
      <c r="J4" s="97" t="s">
        <v>6</v>
      </c>
      <c r="K4" s="41"/>
      <c r="L4" s="41"/>
      <c r="M4" s="41"/>
      <c r="N4" s="41"/>
      <c r="O4" s="47"/>
    </row>
    <row r="5" spans="1:15" x14ac:dyDescent="0.25">
      <c r="A5" s="94" t="s">
        <v>7</v>
      </c>
      <c r="B5" s="13" t="s">
        <v>165</v>
      </c>
      <c r="C5" s="41"/>
      <c r="D5" s="41"/>
      <c r="E5" s="41"/>
      <c r="F5" s="41"/>
      <c r="G5" s="41"/>
      <c r="H5" s="41"/>
      <c r="I5" s="41"/>
      <c r="J5" s="97" t="s">
        <v>8</v>
      </c>
      <c r="K5" s="41"/>
      <c r="L5" s="41"/>
      <c r="M5" s="94" t="s">
        <v>9</v>
      </c>
      <c r="N5" s="58">
        <f>N2*N3</f>
        <v>170.23768559999999</v>
      </c>
      <c r="O5" s="47"/>
    </row>
    <row r="6" spans="1:15" x14ac:dyDescent="0.25">
      <c r="A6" s="94" t="s">
        <v>10</v>
      </c>
      <c r="B6" s="11" t="s">
        <v>11</v>
      </c>
      <c r="C6" s="41"/>
      <c r="D6" s="41"/>
      <c r="E6" s="41"/>
      <c r="F6" s="41"/>
      <c r="G6" s="41"/>
      <c r="H6" s="41"/>
      <c r="I6" s="41"/>
      <c r="J6" s="97" t="s">
        <v>12</v>
      </c>
      <c r="K6" s="41"/>
      <c r="L6" s="41"/>
      <c r="M6" s="41"/>
      <c r="N6" s="41"/>
      <c r="O6" s="47"/>
    </row>
    <row r="7" spans="1:15" x14ac:dyDescent="0.25">
      <c r="A7" s="94" t="s">
        <v>13</v>
      </c>
      <c r="B7" s="11" t="s">
        <v>214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48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94" t="s">
        <v>14</v>
      </c>
      <c r="B9" s="94" t="s">
        <v>15</v>
      </c>
      <c r="C9" s="94" t="s">
        <v>16</v>
      </c>
      <c r="D9" s="94" t="s">
        <v>17</v>
      </c>
      <c r="E9" s="94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57">
        <v>10</v>
      </c>
      <c r="B10" s="67" t="str">
        <f>EN_04001!B5</f>
        <v>Throttle Frange</v>
      </c>
      <c r="C10" s="58">
        <f>EN_04001!N$2</f>
        <v>5.1789856000000007</v>
      </c>
      <c r="D10" s="114">
        <f>EN_04001!N$3</f>
        <v>1</v>
      </c>
      <c r="E10" s="58">
        <f t="shared" ref="E10:E18" si="0">C10*D10</f>
        <v>5.1789856000000007</v>
      </c>
      <c r="F10" s="41"/>
      <c r="G10" s="41"/>
      <c r="H10" s="41"/>
      <c r="I10" s="41"/>
      <c r="J10" s="41"/>
      <c r="K10" s="41"/>
      <c r="L10" s="41"/>
      <c r="M10" s="41"/>
      <c r="N10" s="41"/>
      <c r="O10" s="47"/>
    </row>
    <row r="11" spans="1:15" x14ac:dyDescent="0.25">
      <c r="A11" s="57">
        <v>20</v>
      </c>
      <c r="B11" s="69" t="str">
        <f>EN_04002!B5</f>
        <v>Restrictor</v>
      </c>
      <c r="C11" s="58">
        <f>EN_04002!N2</f>
        <v>5.7292000000000005</v>
      </c>
      <c r="D11" s="114">
        <f>EN_04002!N3</f>
        <v>1</v>
      </c>
      <c r="E11" s="58">
        <f t="shared" si="0"/>
        <v>5.7292000000000005</v>
      </c>
      <c r="F11" s="42"/>
      <c r="G11" s="42"/>
      <c r="H11" s="42"/>
      <c r="I11" s="42"/>
      <c r="J11" s="42"/>
      <c r="K11" s="42"/>
      <c r="L11" s="42"/>
      <c r="M11" s="42"/>
      <c r="N11" s="42"/>
      <c r="O11" s="47"/>
    </row>
    <row r="12" spans="1:15" x14ac:dyDescent="0.25">
      <c r="A12" s="57">
        <v>30</v>
      </c>
      <c r="B12" s="67" t="s">
        <v>213</v>
      </c>
      <c r="C12" s="58">
        <f>EN_04003!N2</f>
        <v>4.2741999999999996</v>
      </c>
      <c r="D12" s="114">
        <f>EN_04003!N3</f>
        <v>1</v>
      </c>
      <c r="E12" s="58">
        <f t="shared" si="0"/>
        <v>4.2741999999999996</v>
      </c>
      <c r="F12" s="42"/>
      <c r="G12" s="42"/>
      <c r="H12" s="42"/>
      <c r="I12" s="42"/>
      <c r="J12" s="42"/>
      <c r="K12" s="42"/>
      <c r="L12" s="42"/>
      <c r="M12" s="42"/>
      <c r="N12" s="42"/>
      <c r="O12" s="49"/>
    </row>
    <row r="13" spans="1:15" s="12" customFormat="1" x14ac:dyDescent="0.25">
      <c r="A13" s="57">
        <v>40</v>
      </c>
      <c r="B13" s="67" t="s">
        <v>212</v>
      </c>
      <c r="C13" s="58">
        <f>EN_04004!N2</f>
        <v>2.7262499999999998</v>
      </c>
      <c r="D13" s="114">
        <f>EN_04004!N3</f>
        <v>1</v>
      </c>
      <c r="E13" s="58">
        <f t="shared" si="0"/>
        <v>2.7262499999999998</v>
      </c>
      <c r="F13" s="42"/>
      <c r="G13" s="42"/>
      <c r="H13" s="42"/>
      <c r="I13" s="42"/>
      <c r="J13" s="42"/>
      <c r="K13" s="42"/>
      <c r="L13" s="42"/>
      <c r="M13" s="42"/>
      <c r="N13" s="42"/>
      <c r="O13" s="49"/>
    </row>
    <row r="14" spans="1:15" s="12" customFormat="1" x14ac:dyDescent="0.25">
      <c r="A14" s="57">
        <v>50</v>
      </c>
      <c r="B14" s="107" t="s">
        <v>211</v>
      </c>
      <c r="C14" s="58">
        <f>EN_04005!N2</f>
        <v>2.7105000000000001</v>
      </c>
      <c r="D14" s="114">
        <f>EN_04005!N3</f>
        <v>1</v>
      </c>
      <c r="E14" s="58">
        <f t="shared" si="0"/>
        <v>2.7105000000000001</v>
      </c>
      <c r="F14" s="42"/>
      <c r="G14" s="42"/>
      <c r="H14" s="42"/>
      <c r="I14" s="42"/>
      <c r="J14" s="42"/>
      <c r="K14" s="42"/>
      <c r="L14" s="42"/>
      <c r="M14" s="42"/>
      <c r="N14" s="42"/>
      <c r="O14" s="50"/>
    </row>
    <row r="15" spans="1:15" x14ac:dyDescent="0.25">
      <c r="A15" s="57">
        <v>60</v>
      </c>
      <c r="B15" s="107" t="s">
        <v>210</v>
      </c>
      <c r="C15" s="58">
        <f>EN_04006!N2</f>
        <v>3.5687500000000001</v>
      </c>
      <c r="D15" s="114">
        <f>EN_04006!N3</f>
        <v>1</v>
      </c>
      <c r="E15" s="58">
        <f t="shared" si="0"/>
        <v>3.5687500000000001</v>
      </c>
      <c r="F15" s="41"/>
      <c r="G15" s="41"/>
      <c r="H15" s="41"/>
      <c r="I15" s="41"/>
      <c r="J15" s="41"/>
      <c r="K15" s="41"/>
      <c r="L15" s="41"/>
      <c r="M15" s="41"/>
      <c r="N15" s="41"/>
      <c r="O15" s="47"/>
    </row>
    <row r="16" spans="1:15" x14ac:dyDescent="0.25">
      <c r="A16" s="57">
        <v>70</v>
      </c>
      <c r="B16" s="107" t="s">
        <v>209</v>
      </c>
      <c r="C16" s="58">
        <f>EN_04007!N2</f>
        <v>2.0409999999999999</v>
      </c>
      <c r="D16" s="114">
        <f>EN_04007!N3</f>
        <v>1</v>
      </c>
      <c r="E16" s="58">
        <f t="shared" si="0"/>
        <v>2.0409999999999999</v>
      </c>
      <c r="F16" s="41"/>
      <c r="G16" s="41"/>
      <c r="H16" s="41"/>
      <c r="I16" s="41"/>
      <c r="J16" s="41"/>
      <c r="K16" s="41"/>
      <c r="L16" s="41"/>
      <c r="M16" s="41"/>
      <c r="N16" s="41"/>
      <c r="O16" s="47"/>
    </row>
    <row r="17" spans="1:15" x14ac:dyDescent="0.25">
      <c r="A17" s="57">
        <v>80</v>
      </c>
      <c r="B17" s="107" t="s">
        <v>208</v>
      </c>
      <c r="C17" s="58">
        <f>EN_04008!N2</f>
        <v>12.5068</v>
      </c>
      <c r="D17" s="114">
        <f>EN_04008!N3</f>
        <v>1</v>
      </c>
      <c r="E17" s="58">
        <f t="shared" si="0"/>
        <v>12.5068</v>
      </c>
      <c r="F17" s="41"/>
      <c r="G17" s="41"/>
      <c r="H17" s="41"/>
      <c r="I17" s="41"/>
      <c r="J17" s="41"/>
      <c r="K17" s="41"/>
      <c r="L17" s="41"/>
      <c r="M17" s="41"/>
      <c r="N17" s="41"/>
      <c r="O17" s="47"/>
    </row>
    <row r="18" spans="1:15" x14ac:dyDescent="0.25">
      <c r="A18" s="57">
        <v>90</v>
      </c>
      <c r="B18" s="107" t="s">
        <v>207</v>
      </c>
      <c r="C18" s="58">
        <f>EN_04009!N2</f>
        <v>1.492</v>
      </c>
      <c r="D18" s="114">
        <f>EN_04009!N3</f>
        <v>1</v>
      </c>
      <c r="E18" s="58">
        <f t="shared" si="0"/>
        <v>1.492</v>
      </c>
      <c r="F18" s="41"/>
      <c r="G18" s="41"/>
      <c r="H18" s="41"/>
      <c r="I18" s="41"/>
      <c r="J18" s="41"/>
      <c r="K18" s="41"/>
      <c r="L18" s="41"/>
      <c r="M18" s="41"/>
      <c r="N18" s="41"/>
      <c r="O18" s="47"/>
    </row>
    <row r="19" spans="1:15" x14ac:dyDescent="0.25">
      <c r="A19" s="48"/>
      <c r="B19" s="41"/>
      <c r="C19" s="41"/>
      <c r="D19" s="95" t="s">
        <v>18</v>
      </c>
      <c r="E19" s="96">
        <f>SUM(E10:E18)</f>
        <v>40.227685600000001</v>
      </c>
      <c r="F19" s="42"/>
      <c r="G19" s="42"/>
      <c r="H19" s="42"/>
      <c r="I19" s="42"/>
      <c r="J19" s="42"/>
      <c r="K19" s="42"/>
      <c r="L19" s="42"/>
      <c r="M19" s="42"/>
      <c r="N19" s="42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7"/>
    </row>
    <row r="21" spans="1:15" x14ac:dyDescent="0.25">
      <c r="A21" s="94" t="s">
        <v>14</v>
      </c>
      <c r="B21" s="94" t="s">
        <v>19</v>
      </c>
      <c r="C21" s="94" t="s">
        <v>20</v>
      </c>
      <c r="D21" s="94" t="s">
        <v>21</v>
      </c>
      <c r="E21" s="94" t="s">
        <v>22</v>
      </c>
      <c r="F21" s="94" t="s">
        <v>23</v>
      </c>
      <c r="G21" s="94" t="s">
        <v>24</v>
      </c>
      <c r="H21" s="94" t="s">
        <v>25</v>
      </c>
      <c r="I21" s="94" t="s">
        <v>26</v>
      </c>
      <c r="J21" s="94" t="s">
        <v>27</v>
      </c>
      <c r="K21" s="94" t="s">
        <v>28</v>
      </c>
      <c r="L21" s="94" t="s">
        <v>29</v>
      </c>
      <c r="M21" s="94" t="s">
        <v>17</v>
      </c>
      <c r="N21" s="94" t="s">
        <v>18</v>
      </c>
      <c r="O21" s="47"/>
    </row>
    <row r="22" spans="1:15" x14ac:dyDescent="0.25">
      <c r="A22" s="57">
        <v>10</v>
      </c>
      <c r="B22" s="57" t="s">
        <v>206</v>
      </c>
      <c r="C22" s="57"/>
      <c r="D22" s="58">
        <v>0.15</v>
      </c>
      <c r="E22" s="57">
        <v>420</v>
      </c>
      <c r="F22" s="57" t="s">
        <v>87</v>
      </c>
      <c r="G22" s="57"/>
      <c r="H22" s="59"/>
      <c r="I22" s="60"/>
      <c r="J22" s="61"/>
      <c r="K22" s="59"/>
      <c r="L22" s="59"/>
      <c r="M22" s="59">
        <v>420</v>
      </c>
      <c r="N22" s="58">
        <f t="shared" ref="N22:N29" si="1">M22*D22</f>
        <v>63</v>
      </c>
      <c r="O22" s="47"/>
    </row>
    <row r="23" spans="1:15" s="14" customFormat="1" ht="15" customHeight="1" x14ac:dyDescent="0.25">
      <c r="A23" s="57">
        <v>20</v>
      </c>
      <c r="B23" s="57" t="s">
        <v>204</v>
      </c>
      <c r="C23" s="158" t="s">
        <v>205</v>
      </c>
      <c r="D23" s="58">
        <v>1</v>
      </c>
      <c r="E23" s="157"/>
      <c r="F23" s="157"/>
      <c r="G23" s="157"/>
      <c r="H23" s="59"/>
      <c r="I23" s="156"/>
      <c r="J23" s="155"/>
      <c r="K23" s="154"/>
      <c r="L23" s="153"/>
      <c r="M23" s="59">
        <v>1</v>
      </c>
      <c r="N23" s="58">
        <f t="shared" si="1"/>
        <v>1</v>
      </c>
      <c r="O23" s="51"/>
    </row>
    <row r="24" spans="1:15" x14ac:dyDescent="0.25">
      <c r="A24" s="57">
        <v>30</v>
      </c>
      <c r="B24" s="57" t="s">
        <v>204</v>
      </c>
      <c r="C24" s="57" t="s">
        <v>203</v>
      </c>
      <c r="D24" s="58">
        <v>1</v>
      </c>
      <c r="E24" s="57"/>
      <c r="F24" s="57"/>
      <c r="G24" s="57"/>
      <c r="H24" s="59"/>
      <c r="I24" s="112"/>
      <c r="J24" s="62"/>
      <c r="K24" s="59"/>
      <c r="L24" s="113"/>
      <c r="M24" s="59">
        <v>1</v>
      </c>
      <c r="N24" s="58">
        <f t="shared" si="1"/>
        <v>1</v>
      </c>
      <c r="O24" s="47"/>
    </row>
    <row r="25" spans="1:15" x14ac:dyDescent="0.25">
      <c r="A25" s="57">
        <v>40</v>
      </c>
      <c r="B25" s="57" t="s">
        <v>201</v>
      </c>
      <c r="C25" s="57" t="s">
        <v>202</v>
      </c>
      <c r="D25" s="58">
        <v>0.05</v>
      </c>
      <c r="E25" s="57"/>
      <c r="F25" s="57"/>
      <c r="G25" s="57"/>
      <c r="H25" s="59"/>
      <c r="I25" s="112"/>
      <c r="J25" s="62"/>
      <c r="K25" s="59"/>
      <c r="L25" s="113"/>
      <c r="M25" s="59">
        <v>1</v>
      </c>
      <c r="N25" s="58">
        <f t="shared" si="1"/>
        <v>0.05</v>
      </c>
      <c r="O25" s="47"/>
    </row>
    <row r="26" spans="1:15" x14ac:dyDescent="0.25">
      <c r="A26" s="57">
        <v>50</v>
      </c>
      <c r="B26" s="57" t="s">
        <v>201</v>
      </c>
      <c r="C26" s="57" t="s">
        <v>200</v>
      </c>
      <c r="D26" s="58">
        <v>0.05</v>
      </c>
      <c r="E26" s="57"/>
      <c r="F26" s="57"/>
      <c r="G26" s="57"/>
      <c r="H26" s="59"/>
      <c r="I26" s="112"/>
      <c r="J26" s="62"/>
      <c r="K26" s="59"/>
      <c r="L26" s="59"/>
      <c r="M26" s="59">
        <v>1</v>
      </c>
      <c r="N26" s="58">
        <f t="shared" si="1"/>
        <v>0.05</v>
      </c>
      <c r="O26" s="47"/>
    </row>
    <row r="27" spans="1:15" x14ac:dyDescent="0.25">
      <c r="A27" s="57">
        <v>60</v>
      </c>
      <c r="B27" s="57" t="s">
        <v>199</v>
      </c>
      <c r="C27" s="57" t="s">
        <v>198</v>
      </c>
      <c r="D27" s="58">
        <v>15</v>
      </c>
      <c r="E27" s="57">
        <v>2.5</v>
      </c>
      <c r="F27" s="57" t="s">
        <v>71</v>
      </c>
      <c r="G27" s="57"/>
      <c r="H27" s="59"/>
      <c r="I27" s="112"/>
      <c r="J27" s="62"/>
      <c r="K27" s="59"/>
      <c r="L27" s="59"/>
      <c r="M27" s="59">
        <v>2.5</v>
      </c>
      <c r="N27" s="58">
        <f t="shared" si="1"/>
        <v>37.5</v>
      </c>
      <c r="O27" s="47"/>
    </row>
    <row r="28" spans="1:15" x14ac:dyDescent="0.25">
      <c r="A28" s="57">
        <v>70</v>
      </c>
      <c r="B28" s="57" t="s">
        <v>197</v>
      </c>
      <c r="C28" s="57"/>
      <c r="D28" s="58">
        <v>1</v>
      </c>
      <c r="E28" s="57"/>
      <c r="F28" s="57"/>
      <c r="G28" s="57"/>
      <c r="H28" s="59"/>
      <c r="I28" s="112"/>
      <c r="J28" s="62"/>
      <c r="K28" s="59"/>
      <c r="L28" s="59"/>
      <c r="M28" s="59">
        <v>1</v>
      </c>
      <c r="N28" s="58">
        <f t="shared" si="1"/>
        <v>1</v>
      </c>
      <c r="O28" s="47"/>
    </row>
    <row r="29" spans="1:15" x14ac:dyDescent="0.25">
      <c r="A29" s="57">
        <v>80</v>
      </c>
      <c r="B29" s="57" t="s">
        <v>129</v>
      </c>
      <c r="C29" s="57" t="s">
        <v>128</v>
      </c>
      <c r="D29" s="58">
        <v>8.1</v>
      </c>
      <c r="E29" s="57">
        <v>30</v>
      </c>
      <c r="F29" s="57" t="s">
        <v>30</v>
      </c>
      <c r="G29" s="57"/>
      <c r="H29" s="59"/>
      <c r="I29" s="112"/>
      <c r="J29" s="62"/>
      <c r="K29" s="59"/>
      <c r="L29" s="59"/>
      <c r="M29" s="59">
        <v>2</v>
      </c>
      <c r="N29" s="58">
        <f t="shared" si="1"/>
        <v>16.2</v>
      </c>
      <c r="O29" s="47"/>
    </row>
    <row r="30" spans="1:15" x14ac:dyDescent="0.25">
      <c r="A30" s="52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94" t="s">
        <v>18</v>
      </c>
      <c r="N30" s="96">
        <f>SUM(N22:N29)</f>
        <v>119.8</v>
      </c>
      <c r="O30" s="47"/>
    </row>
    <row r="31" spans="1:15" x14ac:dyDescent="0.25">
      <c r="A31" s="48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7"/>
    </row>
    <row r="32" spans="1:15" s="16" customFormat="1" x14ac:dyDescent="0.25">
      <c r="A32" s="94" t="s">
        <v>14</v>
      </c>
      <c r="B32" s="94" t="s">
        <v>31</v>
      </c>
      <c r="C32" s="94" t="s">
        <v>20</v>
      </c>
      <c r="D32" s="94" t="s">
        <v>21</v>
      </c>
      <c r="E32" s="94" t="s">
        <v>32</v>
      </c>
      <c r="F32" s="94" t="s">
        <v>17</v>
      </c>
      <c r="G32" s="94" t="s">
        <v>33</v>
      </c>
      <c r="H32" s="94" t="s">
        <v>34</v>
      </c>
      <c r="I32" s="94" t="s">
        <v>18</v>
      </c>
      <c r="J32" s="15"/>
      <c r="K32" s="15"/>
      <c r="L32" s="15"/>
      <c r="M32" s="15"/>
      <c r="N32" s="15"/>
      <c r="O32" s="53"/>
    </row>
    <row r="33" spans="1:15" s="16" customFormat="1" x14ac:dyDescent="0.25">
      <c r="A33" s="57">
        <v>10</v>
      </c>
      <c r="B33" s="57" t="s">
        <v>75</v>
      </c>
      <c r="C33" s="57" t="s">
        <v>196</v>
      </c>
      <c r="D33" s="58">
        <v>0.19</v>
      </c>
      <c r="E33" s="57" t="s">
        <v>35</v>
      </c>
      <c r="F33" s="63">
        <v>1</v>
      </c>
      <c r="G33" s="63"/>
      <c r="H33" s="63"/>
      <c r="I33" s="58">
        <f t="shared" ref="I33:I53" si="2">IF(H33="",D33*F33,D33*F33*H33)</f>
        <v>0.19</v>
      </c>
      <c r="J33" s="42"/>
      <c r="K33" s="42"/>
      <c r="L33" s="42"/>
      <c r="M33" s="42"/>
      <c r="N33" s="42"/>
      <c r="O33" s="53"/>
    </row>
    <row r="34" spans="1:15" s="16" customFormat="1" x14ac:dyDescent="0.25">
      <c r="A34" s="57">
        <v>20</v>
      </c>
      <c r="B34" s="57" t="s">
        <v>75</v>
      </c>
      <c r="C34" s="57" t="s">
        <v>195</v>
      </c>
      <c r="D34" s="58">
        <v>0.19</v>
      </c>
      <c r="E34" s="57" t="s">
        <v>35</v>
      </c>
      <c r="F34" s="63">
        <v>1</v>
      </c>
      <c r="G34" s="63"/>
      <c r="H34" s="63"/>
      <c r="I34" s="58">
        <f t="shared" si="2"/>
        <v>0.19</v>
      </c>
      <c r="J34" s="42"/>
      <c r="K34" s="42"/>
      <c r="L34" s="42"/>
      <c r="M34" s="42"/>
      <c r="N34" s="42"/>
      <c r="O34" s="53"/>
    </row>
    <row r="35" spans="1:15" s="16" customFormat="1" x14ac:dyDescent="0.25">
      <c r="A35" s="57">
        <v>30</v>
      </c>
      <c r="B35" s="57" t="s">
        <v>75</v>
      </c>
      <c r="C35" s="57" t="s">
        <v>194</v>
      </c>
      <c r="D35" s="58">
        <v>0.19</v>
      </c>
      <c r="E35" s="57" t="s">
        <v>35</v>
      </c>
      <c r="F35" s="63">
        <v>1</v>
      </c>
      <c r="G35" s="63"/>
      <c r="H35" s="63"/>
      <c r="I35" s="58">
        <f t="shared" si="2"/>
        <v>0.19</v>
      </c>
      <c r="J35" s="42"/>
      <c r="K35" s="42"/>
      <c r="L35" s="42"/>
      <c r="M35" s="42"/>
      <c r="N35" s="42"/>
      <c r="O35" s="53"/>
    </row>
    <row r="36" spans="1:15" s="16" customFormat="1" x14ac:dyDescent="0.25">
      <c r="A36" s="57">
        <v>40</v>
      </c>
      <c r="B36" s="57" t="s">
        <v>75</v>
      </c>
      <c r="C36" s="57" t="s">
        <v>193</v>
      </c>
      <c r="D36" s="58">
        <v>0.19</v>
      </c>
      <c r="E36" s="57" t="s">
        <v>35</v>
      </c>
      <c r="F36" s="63">
        <v>1</v>
      </c>
      <c r="G36" s="63"/>
      <c r="H36" s="63"/>
      <c r="I36" s="58">
        <f t="shared" si="2"/>
        <v>0.19</v>
      </c>
      <c r="J36" s="42"/>
      <c r="K36" s="42"/>
      <c r="L36" s="42"/>
      <c r="M36" s="42"/>
      <c r="N36" s="42"/>
      <c r="O36" s="53"/>
    </row>
    <row r="37" spans="1:15" s="16" customFormat="1" x14ac:dyDescent="0.25">
      <c r="A37" s="57">
        <v>50</v>
      </c>
      <c r="B37" s="57" t="s">
        <v>75</v>
      </c>
      <c r="C37" s="57" t="s">
        <v>192</v>
      </c>
      <c r="D37" s="58">
        <v>0.19</v>
      </c>
      <c r="E37" s="57" t="s">
        <v>35</v>
      </c>
      <c r="F37" s="63">
        <v>1</v>
      </c>
      <c r="G37" s="63"/>
      <c r="H37" s="63"/>
      <c r="I37" s="58">
        <f t="shared" si="2"/>
        <v>0.19</v>
      </c>
      <c r="J37" s="42"/>
      <c r="K37" s="42"/>
      <c r="L37" s="42"/>
      <c r="M37" s="42"/>
      <c r="N37" s="42"/>
      <c r="O37" s="53"/>
    </row>
    <row r="38" spans="1:15" s="16" customFormat="1" x14ac:dyDescent="0.25">
      <c r="A38" s="57">
        <v>60</v>
      </c>
      <c r="B38" s="57" t="s">
        <v>75</v>
      </c>
      <c r="C38" s="57" t="s">
        <v>191</v>
      </c>
      <c r="D38" s="58">
        <v>0.19</v>
      </c>
      <c r="E38" s="57" t="s">
        <v>35</v>
      </c>
      <c r="F38" s="63">
        <v>1</v>
      </c>
      <c r="G38" s="63"/>
      <c r="H38" s="63"/>
      <c r="I38" s="58">
        <f t="shared" si="2"/>
        <v>0.19</v>
      </c>
      <c r="J38" s="42"/>
      <c r="K38" s="42"/>
      <c r="L38" s="42"/>
      <c r="M38" s="42"/>
      <c r="N38" s="42"/>
      <c r="O38" s="53"/>
    </row>
    <row r="39" spans="1:15" s="16" customFormat="1" x14ac:dyDescent="0.25">
      <c r="A39" s="57">
        <v>70</v>
      </c>
      <c r="B39" s="57" t="s">
        <v>75</v>
      </c>
      <c r="C39" s="57" t="s">
        <v>190</v>
      </c>
      <c r="D39" s="58">
        <v>0.19</v>
      </c>
      <c r="E39" s="57" t="s">
        <v>35</v>
      </c>
      <c r="F39" s="63">
        <v>1</v>
      </c>
      <c r="G39" s="63"/>
      <c r="H39" s="63"/>
      <c r="I39" s="58">
        <f t="shared" si="2"/>
        <v>0.19</v>
      </c>
      <c r="J39" s="42"/>
      <c r="K39" s="42"/>
      <c r="L39" s="42"/>
      <c r="M39" s="42"/>
      <c r="N39" s="42"/>
      <c r="O39" s="53"/>
    </row>
    <row r="40" spans="1:15" s="16" customFormat="1" x14ac:dyDescent="0.25">
      <c r="A40" s="57">
        <v>80</v>
      </c>
      <c r="B40" s="57" t="s">
        <v>182</v>
      </c>
      <c r="C40" s="57" t="s">
        <v>185</v>
      </c>
      <c r="D40" s="58">
        <v>1.5</v>
      </c>
      <c r="E40" s="57" t="s">
        <v>35</v>
      </c>
      <c r="F40" s="63">
        <v>1</v>
      </c>
      <c r="G40" s="63"/>
      <c r="H40" s="63"/>
      <c r="I40" s="58">
        <f t="shared" si="2"/>
        <v>1.5</v>
      </c>
      <c r="J40" s="42"/>
      <c r="K40" s="42"/>
      <c r="L40" s="42"/>
      <c r="M40" s="42"/>
      <c r="N40" s="42"/>
      <c r="O40" s="53"/>
    </row>
    <row r="41" spans="1:15" s="16" customFormat="1" x14ac:dyDescent="0.25">
      <c r="A41" s="57">
        <v>90</v>
      </c>
      <c r="B41" s="57" t="s">
        <v>117</v>
      </c>
      <c r="C41" s="57" t="s">
        <v>189</v>
      </c>
      <c r="D41" s="58">
        <v>0.25</v>
      </c>
      <c r="E41" s="57" t="s">
        <v>35</v>
      </c>
      <c r="F41" s="63">
        <v>1</v>
      </c>
      <c r="G41" s="63"/>
      <c r="H41" s="63"/>
      <c r="I41" s="58">
        <f t="shared" si="2"/>
        <v>0.25</v>
      </c>
      <c r="J41" s="42"/>
      <c r="K41" s="42"/>
      <c r="L41" s="42"/>
      <c r="M41" s="42"/>
      <c r="N41" s="42"/>
      <c r="O41" s="53"/>
    </row>
    <row r="42" spans="1:15" s="16" customFormat="1" x14ac:dyDescent="0.25">
      <c r="A42" s="57">
        <v>100</v>
      </c>
      <c r="B42" s="57" t="s">
        <v>188</v>
      </c>
      <c r="C42" s="57" t="s">
        <v>187</v>
      </c>
      <c r="D42" s="58">
        <v>0.13</v>
      </c>
      <c r="E42" s="57" t="s">
        <v>35</v>
      </c>
      <c r="F42" s="63">
        <v>1</v>
      </c>
      <c r="G42" s="63"/>
      <c r="H42" s="63"/>
      <c r="I42" s="58">
        <f t="shared" si="2"/>
        <v>0.13</v>
      </c>
      <c r="J42" s="42"/>
      <c r="K42" s="42"/>
      <c r="L42" s="42"/>
      <c r="M42" s="42"/>
      <c r="N42" s="42"/>
      <c r="O42" s="53"/>
    </row>
    <row r="43" spans="1:15" s="16" customFormat="1" x14ac:dyDescent="0.25">
      <c r="A43" s="57">
        <v>110</v>
      </c>
      <c r="B43" s="57" t="s">
        <v>172</v>
      </c>
      <c r="C43" s="57" t="s">
        <v>186</v>
      </c>
      <c r="D43" s="58">
        <v>0.06</v>
      </c>
      <c r="E43" s="57" t="s">
        <v>35</v>
      </c>
      <c r="F43" s="63">
        <v>2</v>
      </c>
      <c r="G43" s="63"/>
      <c r="H43" s="63"/>
      <c r="I43" s="58">
        <f t="shared" si="2"/>
        <v>0.12</v>
      </c>
      <c r="J43" s="42"/>
      <c r="K43" s="42"/>
      <c r="L43" s="42"/>
      <c r="M43" s="42"/>
      <c r="N43" s="42"/>
      <c r="O43" s="53"/>
    </row>
    <row r="44" spans="1:15" s="16" customFormat="1" x14ac:dyDescent="0.25">
      <c r="A44" s="57">
        <v>120</v>
      </c>
      <c r="B44" s="57" t="s">
        <v>182</v>
      </c>
      <c r="C44" s="57" t="s">
        <v>185</v>
      </c>
      <c r="D44" s="58">
        <v>1.5</v>
      </c>
      <c r="E44" s="57" t="s">
        <v>35</v>
      </c>
      <c r="F44" s="63">
        <v>1</v>
      </c>
      <c r="G44" s="63"/>
      <c r="H44" s="63"/>
      <c r="I44" s="58">
        <f t="shared" si="2"/>
        <v>1.5</v>
      </c>
      <c r="J44" s="42"/>
      <c r="K44" s="42"/>
      <c r="L44" s="42"/>
      <c r="M44" s="42"/>
      <c r="N44" s="42"/>
      <c r="O44" s="53"/>
    </row>
    <row r="45" spans="1:15" s="16" customFormat="1" x14ac:dyDescent="0.25">
      <c r="A45" s="57">
        <v>130</v>
      </c>
      <c r="B45" s="57" t="s">
        <v>172</v>
      </c>
      <c r="C45" s="57" t="s">
        <v>184</v>
      </c>
      <c r="D45" s="58">
        <v>0.06</v>
      </c>
      <c r="E45" s="57" t="s">
        <v>35</v>
      </c>
      <c r="F45" s="63">
        <v>2</v>
      </c>
      <c r="G45" s="63"/>
      <c r="H45" s="63"/>
      <c r="I45" s="58">
        <f t="shared" si="2"/>
        <v>0.12</v>
      </c>
      <c r="J45" s="42"/>
      <c r="K45" s="42"/>
      <c r="L45" s="42"/>
      <c r="M45" s="42"/>
      <c r="N45" s="42"/>
      <c r="O45" s="53"/>
    </row>
    <row r="46" spans="1:15" s="16" customFormat="1" x14ac:dyDescent="0.25">
      <c r="A46" s="57">
        <v>140</v>
      </c>
      <c r="B46" s="57" t="s">
        <v>75</v>
      </c>
      <c r="C46" s="57" t="s">
        <v>183</v>
      </c>
      <c r="D46" s="58">
        <v>0.19</v>
      </c>
      <c r="E46" s="57" t="s">
        <v>35</v>
      </c>
      <c r="F46" s="63">
        <v>1</v>
      </c>
      <c r="G46" s="63"/>
      <c r="H46" s="63"/>
      <c r="I46" s="58">
        <f t="shared" si="2"/>
        <v>0.19</v>
      </c>
      <c r="J46" s="42"/>
      <c r="K46" s="42"/>
      <c r="L46" s="42"/>
      <c r="M46" s="42"/>
      <c r="N46" s="42"/>
      <c r="O46" s="53"/>
    </row>
    <row r="47" spans="1:15" s="16" customFormat="1" x14ac:dyDescent="0.25">
      <c r="A47" s="57">
        <v>150</v>
      </c>
      <c r="B47" s="57" t="s">
        <v>182</v>
      </c>
      <c r="C47" s="57" t="s">
        <v>181</v>
      </c>
      <c r="D47" s="58">
        <v>1.5</v>
      </c>
      <c r="E47" s="57" t="s">
        <v>35</v>
      </c>
      <c r="F47" s="63">
        <v>2</v>
      </c>
      <c r="G47" s="63"/>
      <c r="H47" s="63"/>
      <c r="I47" s="58">
        <f t="shared" si="2"/>
        <v>3</v>
      </c>
      <c r="J47" s="42"/>
      <c r="K47" s="42"/>
      <c r="L47" s="42"/>
      <c r="M47" s="42"/>
      <c r="N47" s="42"/>
      <c r="O47" s="53"/>
    </row>
    <row r="48" spans="1:15" s="16" customFormat="1" x14ac:dyDescent="0.25">
      <c r="A48" s="57">
        <v>160</v>
      </c>
      <c r="B48" s="57" t="s">
        <v>180</v>
      </c>
      <c r="C48" s="57" t="s">
        <v>179</v>
      </c>
      <c r="D48" s="58">
        <v>0.25</v>
      </c>
      <c r="E48" s="57" t="s">
        <v>35</v>
      </c>
      <c r="F48" s="63">
        <v>2</v>
      </c>
      <c r="G48" s="63"/>
      <c r="H48" s="63"/>
      <c r="I48" s="58">
        <f t="shared" si="2"/>
        <v>0.5</v>
      </c>
      <c r="J48" s="42"/>
      <c r="K48" s="42"/>
      <c r="L48" s="42"/>
      <c r="M48" s="42"/>
      <c r="N48" s="42"/>
      <c r="O48" s="53"/>
    </row>
    <row r="49" spans="1:15" s="16" customFormat="1" x14ac:dyDescent="0.25">
      <c r="A49" s="57">
        <v>170</v>
      </c>
      <c r="B49" s="57" t="s">
        <v>172</v>
      </c>
      <c r="C49" s="16" t="s">
        <v>178</v>
      </c>
      <c r="D49" s="58">
        <v>0.06</v>
      </c>
      <c r="E49" s="57" t="s">
        <v>35</v>
      </c>
      <c r="F49" s="63">
        <v>1</v>
      </c>
      <c r="G49" s="63"/>
      <c r="H49" s="63"/>
      <c r="I49" s="58">
        <f t="shared" si="2"/>
        <v>0.06</v>
      </c>
      <c r="J49" s="42"/>
      <c r="K49" s="42"/>
      <c r="L49" s="42"/>
      <c r="M49" s="42"/>
      <c r="N49" s="42"/>
      <c r="O49" s="53"/>
    </row>
    <row r="50" spans="1:15" s="16" customFormat="1" x14ac:dyDescent="0.25">
      <c r="A50" s="57">
        <v>180</v>
      </c>
      <c r="B50" s="57" t="s">
        <v>177</v>
      </c>
      <c r="C50" s="57" t="s">
        <v>176</v>
      </c>
      <c r="D50" s="58">
        <v>0.12</v>
      </c>
      <c r="E50" s="57" t="s">
        <v>35</v>
      </c>
      <c r="F50" s="63">
        <v>1</v>
      </c>
      <c r="G50" s="63"/>
      <c r="H50" s="63"/>
      <c r="I50" s="58">
        <f t="shared" si="2"/>
        <v>0.12</v>
      </c>
      <c r="J50" s="42"/>
      <c r="K50" s="42"/>
      <c r="L50" s="42"/>
      <c r="M50" s="42"/>
      <c r="N50" s="42"/>
      <c r="O50" s="53"/>
    </row>
    <row r="51" spans="1:15" s="16" customFormat="1" x14ac:dyDescent="0.25">
      <c r="A51" s="57">
        <v>190</v>
      </c>
      <c r="B51" s="57" t="s">
        <v>172</v>
      </c>
      <c r="C51" s="57" t="s">
        <v>175</v>
      </c>
      <c r="D51" s="58">
        <v>0.06</v>
      </c>
      <c r="E51" s="57" t="s">
        <v>35</v>
      </c>
      <c r="F51" s="63">
        <v>1</v>
      </c>
      <c r="G51" s="63"/>
      <c r="H51" s="63"/>
      <c r="I51" s="58">
        <f t="shared" si="2"/>
        <v>0.06</v>
      </c>
      <c r="J51" s="42"/>
      <c r="K51" s="42"/>
      <c r="L51" s="42"/>
      <c r="M51" s="42"/>
      <c r="N51" s="42"/>
      <c r="O51" s="53"/>
    </row>
    <row r="52" spans="1:15" s="16" customFormat="1" x14ac:dyDescent="0.25">
      <c r="A52" s="57">
        <v>200</v>
      </c>
      <c r="B52" s="57" t="s">
        <v>174</v>
      </c>
      <c r="C52" s="57" t="s">
        <v>173</v>
      </c>
      <c r="D52" s="58">
        <v>0.25</v>
      </c>
      <c r="E52" s="57" t="s">
        <v>35</v>
      </c>
      <c r="F52" s="63">
        <v>1</v>
      </c>
      <c r="G52" s="63"/>
      <c r="H52" s="63"/>
      <c r="I52" s="58">
        <f t="shared" si="2"/>
        <v>0.25</v>
      </c>
      <c r="J52" s="42"/>
      <c r="K52" s="42"/>
      <c r="L52" s="42"/>
      <c r="M52" s="42"/>
      <c r="N52" s="42"/>
      <c r="O52" s="53"/>
    </row>
    <row r="53" spans="1:15" s="16" customFormat="1" x14ac:dyDescent="0.25">
      <c r="A53" s="57">
        <v>210</v>
      </c>
      <c r="B53" s="57" t="s">
        <v>172</v>
      </c>
      <c r="C53" s="57" t="s">
        <v>171</v>
      </c>
      <c r="D53" s="58">
        <v>0.06</v>
      </c>
      <c r="E53" s="57" t="s">
        <v>35</v>
      </c>
      <c r="F53" s="63">
        <v>1</v>
      </c>
      <c r="G53" s="63"/>
      <c r="H53" s="63"/>
      <c r="I53" s="58">
        <f t="shared" si="2"/>
        <v>0.06</v>
      </c>
      <c r="J53" s="42"/>
      <c r="K53" s="42"/>
      <c r="L53" s="42"/>
      <c r="M53" s="42"/>
      <c r="N53" s="42"/>
      <c r="O53" s="53"/>
    </row>
    <row r="54" spans="1:15" x14ac:dyDescent="0.25">
      <c r="A54" s="52"/>
      <c r="B54" s="15"/>
      <c r="C54" s="15"/>
      <c r="D54" s="15"/>
      <c r="E54" s="15"/>
      <c r="F54" s="15"/>
      <c r="G54" s="15"/>
      <c r="H54" s="95" t="s">
        <v>18</v>
      </c>
      <c r="I54" s="96">
        <f>SUM(I33:I53)</f>
        <v>9.1900000000000013</v>
      </c>
      <c r="J54" s="41"/>
      <c r="K54" s="41"/>
      <c r="L54" s="41"/>
      <c r="M54" s="41"/>
      <c r="N54" s="41"/>
      <c r="O54" s="47"/>
    </row>
    <row r="55" spans="1:15" x14ac:dyDescent="0.25">
      <c r="A55" s="48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7"/>
    </row>
    <row r="56" spans="1:15" x14ac:dyDescent="0.25">
      <c r="A56" s="94" t="s">
        <v>14</v>
      </c>
      <c r="B56" s="94" t="s">
        <v>36</v>
      </c>
      <c r="C56" s="94" t="s">
        <v>20</v>
      </c>
      <c r="D56" s="94" t="s">
        <v>21</v>
      </c>
      <c r="E56" s="94" t="s">
        <v>22</v>
      </c>
      <c r="F56" s="94" t="s">
        <v>23</v>
      </c>
      <c r="G56" s="94" t="s">
        <v>24</v>
      </c>
      <c r="H56" s="94" t="s">
        <v>25</v>
      </c>
      <c r="I56" s="94" t="s">
        <v>17</v>
      </c>
      <c r="J56" s="94" t="s">
        <v>18</v>
      </c>
      <c r="K56" s="41"/>
      <c r="L56" s="41"/>
      <c r="M56" s="41"/>
      <c r="N56" s="41"/>
      <c r="O56" s="47"/>
    </row>
    <row r="57" spans="1:15" x14ac:dyDescent="0.25">
      <c r="A57" s="57">
        <v>10</v>
      </c>
      <c r="B57" s="57" t="s">
        <v>90</v>
      </c>
      <c r="C57" s="57" t="s">
        <v>170</v>
      </c>
      <c r="D57" s="111">
        <v>0.02</v>
      </c>
      <c r="E57" s="110">
        <v>5</v>
      </c>
      <c r="F57" s="110" t="s">
        <v>30</v>
      </c>
      <c r="G57" s="110">
        <v>10</v>
      </c>
      <c r="H57" s="110" t="s">
        <v>30</v>
      </c>
      <c r="I57" s="64">
        <v>1</v>
      </c>
      <c r="J57" s="58">
        <f t="shared" ref="J57:J63" si="3">I57*D57</f>
        <v>0.02</v>
      </c>
      <c r="K57" s="41"/>
      <c r="L57" s="41"/>
      <c r="M57" s="41"/>
      <c r="N57" s="41"/>
      <c r="O57" s="47"/>
    </row>
    <row r="58" spans="1:15" x14ac:dyDescent="0.25">
      <c r="A58" s="57">
        <v>20</v>
      </c>
      <c r="B58" s="57" t="s">
        <v>38</v>
      </c>
      <c r="C58" s="57" t="s">
        <v>170</v>
      </c>
      <c r="D58" s="111">
        <v>0.02</v>
      </c>
      <c r="E58" s="110">
        <v>5</v>
      </c>
      <c r="F58" s="110" t="s">
        <v>30</v>
      </c>
      <c r="G58" s="110"/>
      <c r="H58" s="110"/>
      <c r="I58" s="64">
        <v>1</v>
      </c>
      <c r="J58" s="58">
        <f t="shared" si="3"/>
        <v>0.02</v>
      </c>
      <c r="K58" s="41"/>
      <c r="L58" s="41"/>
      <c r="M58" s="41"/>
      <c r="N58" s="41"/>
      <c r="O58" s="47"/>
    </row>
    <row r="59" spans="1:15" x14ac:dyDescent="0.25">
      <c r="A59" s="57">
        <v>30</v>
      </c>
      <c r="B59" s="57" t="s">
        <v>90</v>
      </c>
      <c r="C59" s="57" t="s">
        <v>169</v>
      </c>
      <c r="D59" s="111">
        <v>0.02</v>
      </c>
      <c r="E59" s="110">
        <v>5</v>
      </c>
      <c r="F59" s="110" t="s">
        <v>30</v>
      </c>
      <c r="G59" s="110">
        <v>10</v>
      </c>
      <c r="H59" s="110" t="s">
        <v>30</v>
      </c>
      <c r="I59" s="64">
        <v>1</v>
      </c>
      <c r="J59" s="58">
        <f t="shared" si="3"/>
        <v>0.02</v>
      </c>
      <c r="K59" s="41"/>
      <c r="L59" s="41"/>
      <c r="M59" s="41"/>
      <c r="N59" s="41"/>
      <c r="O59" s="47"/>
    </row>
    <row r="60" spans="1:15" x14ac:dyDescent="0.25">
      <c r="A60" s="57">
        <v>40</v>
      </c>
      <c r="B60" s="57" t="s">
        <v>90</v>
      </c>
      <c r="C60" s="57" t="s">
        <v>168</v>
      </c>
      <c r="D60" s="111">
        <v>0.04</v>
      </c>
      <c r="E60" s="110">
        <v>6</v>
      </c>
      <c r="F60" s="110" t="s">
        <v>30</v>
      </c>
      <c r="G60" s="110">
        <v>16</v>
      </c>
      <c r="H60" s="110" t="s">
        <v>30</v>
      </c>
      <c r="I60" s="64">
        <v>2</v>
      </c>
      <c r="J60" s="58">
        <f t="shared" si="3"/>
        <v>0.08</v>
      </c>
      <c r="K60" s="41"/>
      <c r="L60" s="41"/>
      <c r="M60" s="41"/>
      <c r="N60" s="41"/>
      <c r="O60" s="47"/>
    </row>
    <row r="61" spans="1:15" x14ac:dyDescent="0.25">
      <c r="A61" s="57">
        <v>50</v>
      </c>
      <c r="B61" s="57" t="s">
        <v>38</v>
      </c>
      <c r="C61" s="57" t="s">
        <v>168</v>
      </c>
      <c r="D61" s="111">
        <v>0.03</v>
      </c>
      <c r="E61" s="110">
        <v>6</v>
      </c>
      <c r="F61" s="110" t="s">
        <v>30</v>
      </c>
      <c r="G61" s="110"/>
      <c r="H61" s="110"/>
      <c r="I61" s="64">
        <v>2</v>
      </c>
      <c r="J61" s="58">
        <f t="shared" si="3"/>
        <v>0.06</v>
      </c>
      <c r="K61" s="41"/>
      <c r="L61" s="41"/>
      <c r="M61" s="41"/>
      <c r="N61" s="41"/>
      <c r="O61" s="47"/>
    </row>
    <row r="62" spans="1:15" x14ac:dyDescent="0.25">
      <c r="A62" s="57">
        <v>60</v>
      </c>
      <c r="B62" s="57" t="s">
        <v>37</v>
      </c>
      <c r="C62" s="57" t="s">
        <v>168</v>
      </c>
      <c r="D62" s="111">
        <v>0.01</v>
      </c>
      <c r="E62" s="110">
        <v>6</v>
      </c>
      <c r="F62" s="110" t="s">
        <v>30</v>
      </c>
      <c r="G62" s="110"/>
      <c r="H62" s="110"/>
      <c r="I62" s="64">
        <v>2</v>
      </c>
      <c r="J62" s="58">
        <f t="shared" si="3"/>
        <v>0.02</v>
      </c>
      <c r="K62" s="41"/>
      <c r="L62" s="41"/>
      <c r="M62" s="41"/>
      <c r="N62" s="41"/>
      <c r="O62" s="47"/>
    </row>
    <row r="63" spans="1:15" x14ac:dyDescent="0.25">
      <c r="A63" s="57">
        <v>70</v>
      </c>
      <c r="B63" s="57" t="s">
        <v>167</v>
      </c>
      <c r="C63" s="57" t="s">
        <v>166</v>
      </c>
      <c r="D63" s="111">
        <v>0.8</v>
      </c>
      <c r="E63" s="110">
        <v>75</v>
      </c>
      <c r="F63" s="110" t="s">
        <v>30</v>
      </c>
      <c r="G63" s="110"/>
      <c r="H63" s="110"/>
      <c r="I63" s="64">
        <v>1</v>
      </c>
      <c r="J63" s="58">
        <f t="shared" si="3"/>
        <v>0.8</v>
      </c>
      <c r="K63" s="41"/>
      <c r="L63" s="41"/>
      <c r="M63" s="41"/>
      <c r="N63" s="41"/>
      <c r="O63" s="47"/>
    </row>
    <row r="64" spans="1:15" x14ac:dyDescent="0.25">
      <c r="A64" s="52"/>
      <c r="B64" s="15"/>
      <c r="C64" s="15"/>
      <c r="D64" s="15"/>
      <c r="E64" s="15"/>
      <c r="F64" s="15"/>
      <c r="G64" s="15"/>
      <c r="H64" s="15"/>
      <c r="I64" s="95" t="s">
        <v>18</v>
      </c>
      <c r="J64" s="96">
        <f>SUM(J57:J63)</f>
        <v>1.02</v>
      </c>
      <c r="K64" s="41"/>
      <c r="L64" s="41"/>
      <c r="M64" s="41"/>
      <c r="N64" s="41"/>
      <c r="O64" s="47"/>
    </row>
    <row r="65" spans="1:15" x14ac:dyDescent="0.25">
      <c r="A65" s="48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7"/>
    </row>
    <row r="66" spans="1:15" ht="15.75" thickBot="1" x14ac:dyDescent="0.3">
      <c r="A66" s="54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6"/>
    </row>
    <row r="67" spans="1:15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</row>
  </sheetData>
  <hyperlinks>
    <hyperlink ref="B10" location="EN_0400_001" display="EN_0400_001" xr:uid="{00000000-0004-0000-1D00-000000000000}"/>
    <hyperlink ref="B11" location="EN_0400_002" display="EN_0400_002" xr:uid="{00000000-0004-0000-1D00-000001000000}"/>
    <hyperlink ref="B12" location="EN_0400_003" display="Throttle Housing" xr:uid="{00000000-0004-0000-1D00-000002000000}"/>
    <hyperlink ref="B13" location="EN_0400_004" display="Throttle Axle" xr:uid="{00000000-0004-0000-1D00-000003000000}"/>
    <hyperlink ref="B14" location="EN_0400_005" display="TPS Axle" xr:uid="{00000000-0004-0000-1D00-000004000000}"/>
    <hyperlink ref="B15" location="EN_0400_006" display="Cable Housing" xr:uid="{00000000-0004-0000-1D00-000005000000}"/>
    <hyperlink ref="B16" location="EN_0400_007" display="Axle Stop" xr:uid="{00000000-0004-0000-1D00-000006000000}"/>
    <hyperlink ref="B17" location="EN_0400_008" display="Ram Pipe" xr:uid="{00000000-0004-0000-1D00-000007000000}"/>
    <hyperlink ref="B18" location="EN_0400_009" display="Throttle Plate" xr:uid="{00000000-0004-0000-1D00-000008000000}"/>
    <hyperlink ref="E2" location="EN_A0400_BOM" display="Back to BOM" xr:uid="{00000000-0004-0000-1D00-000009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66" max="16383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6" tint="0.39997558519241921"/>
    <pageSetUpPr fitToPage="1"/>
  </sheetPr>
  <dimension ref="A1:O23"/>
  <sheetViews>
    <sheetView zoomScale="85" zoomScaleNormal="85" workbookViewId="0">
      <selection activeCell="B7" sqref="B7"/>
    </sheetView>
  </sheetViews>
  <sheetFormatPr baseColWidth="10" defaultColWidth="9.140625" defaultRowHeight="15" x14ac:dyDescent="0.25"/>
  <cols>
    <col min="3" max="3" width="24.7109375" customWidth="1"/>
    <col min="5" max="5" width="10.140625" customWidth="1"/>
    <col min="7" max="7" width="10.7109375" customWidth="1"/>
    <col min="9" max="9" width="25.14062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EN_0400_001_m+EN_0400_001_p</f>
        <v>5.1789856000000007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221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5.1789856000000007</v>
      </c>
      <c r="O5" s="47"/>
    </row>
    <row r="6" spans="1:15" x14ac:dyDescent="0.25">
      <c r="A6" s="100" t="s">
        <v>7</v>
      </c>
      <c r="B6" s="17" t="s">
        <v>526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0.17399999999999999</v>
      </c>
      <c r="F11" s="127" t="s">
        <v>78</v>
      </c>
      <c r="G11" s="127"/>
      <c r="H11" s="126"/>
      <c r="I11" s="125" t="s">
        <v>219</v>
      </c>
      <c r="J11" s="159">
        <f>0.04*0.02</f>
        <v>8.0000000000000004E-4</v>
      </c>
      <c r="K11" s="123">
        <v>0.08</v>
      </c>
      <c r="L11" s="122">
        <v>2712</v>
      </c>
      <c r="M11" s="121">
        <v>1</v>
      </c>
      <c r="N11" s="120">
        <f>IF(J11="",D11*M11,D11*J11*K11*L11*M11)</f>
        <v>0.72898560000000012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0.72898560000000012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218</v>
      </c>
      <c r="C16" s="57"/>
      <c r="D16" s="58">
        <v>0.35</v>
      </c>
      <c r="E16" s="57" t="s">
        <v>217</v>
      </c>
      <c r="F16" s="63">
        <v>5</v>
      </c>
      <c r="G16" s="63"/>
      <c r="H16" s="63"/>
      <c r="I16" s="58">
        <f>IF(H16="",D16*F16,D16*F16*H16)</f>
        <v>1.75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79</v>
      </c>
      <c r="C17" s="57"/>
      <c r="D17" s="58">
        <v>0.04</v>
      </c>
      <c r="E17" s="57" t="s">
        <v>81</v>
      </c>
      <c r="F17" s="63">
        <v>35</v>
      </c>
      <c r="G17" s="63" t="s">
        <v>216</v>
      </c>
      <c r="H17" s="63">
        <v>1</v>
      </c>
      <c r="I17" s="58">
        <f>IF(H17="",D17*F17,D17*F17*H17)</f>
        <v>1.4000000000000001</v>
      </c>
      <c r="J17" s="42"/>
      <c r="K17" s="42"/>
      <c r="L17" s="42"/>
      <c r="M17" s="42"/>
      <c r="N17" s="42"/>
      <c r="O17" s="53"/>
    </row>
    <row r="18" spans="1:15" x14ac:dyDescent="0.25">
      <c r="A18" s="52"/>
      <c r="B18" s="15"/>
      <c r="C18" s="15"/>
      <c r="D18" s="15"/>
      <c r="E18" s="15"/>
      <c r="F18" s="15"/>
      <c r="G18" s="15"/>
      <c r="H18" s="106" t="s">
        <v>18</v>
      </c>
      <c r="I18" s="103">
        <f>SUM(I15:I17)</f>
        <v>4.45</v>
      </c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x14ac:dyDescent="0.25">
      <c r="A22" s="52"/>
      <c r="B22" s="15"/>
      <c r="C22" s="15"/>
      <c r="D22" s="15"/>
      <c r="E22" s="15"/>
      <c r="F22" s="15"/>
      <c r="G22" s="15"/>
      <c r="H22" s="116"/>
      <c r="I22" s="115"/>
      <c r="J22" s="15"/>
      <c r="K22" s="15"/>
      <c r="L22" s="15"/>
      <c r="M22" s="15"/>
      <c r="N22" s="15"/>
      <c r="O22" s="47"/>
    </row>
    <row r="23" spans="1:15" ht="15.75" thickBot="1" x14ac:dyDescent="0.3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</sheetData>
  <hyperlinks>
    <hyperlink ref="B4" location="EN_A0400" display="EN_A0400" xr:uid="{00000000-0004-0000-1E00-000000000000}"/>
    <hyperlink ref="G2" location="EN_A0400_BOM" display="Back to BOM" xr:uid="{00000000-0004-0000-1E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6" tint="0.39997558519241921"/>
  </sheetPr>
  <dimension ref="A1:O24"/>
  <sheetViews>
    <sheetView zoomScaleNormal="100" workbookViewId="0">
      <selection activeCell="B7" sqref="B7"/>
    </sheetView>
  </sheetViews>
  <sheetFormatPr baseColWidth="10" defaultColWidth="9.140625" defaultRowHeight="15" x14ac:dyDescent="0.25"/>
  <cols>
    <col min="2" max="2" width="35.42578125" customWidth="1"/>
    <col min="3" max="3" width="28.140625" customWidth="1"/>
    <col min="5" max="5" width="10.140625" customWidth="1"/>
    <col min="7" max="7" width="11" customWidth="1"/>
    <col min="9" max="9" width="29.71093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EN_0400_002_m+EN_0400_002_p</f>
        <v>5.7292000000000005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225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5.7292000000000005</v>
      </c>
      <c r="O5" s="47"/>
    </row>
    <row r="6" spans="1:15" x14ac:dyDescent="0.25">
      <c r="A6" s="100" t="s">
        <v>7</v>
      </c>
      <c r="B6" s="17" t="s">
        <v>527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0.376</v>
      </c>
      <c r="F11" s="127" t="s">
        <v>78</v>
      </c>
      <c r="G11" s="127"/>
      <c r="H11" s="126"/>
      <c r="I11" s="125" t="s">
        <v>224</v>
      </c>
      <c r="J11" s="160">
        <v>1.3799999999999999E-3</v>
      </c>
      <c r="K11" s="123">
        <v>0.1</v>
      </c>
      <c r="L11" s="122">
        <v>2712</v>
      </c>
      <c r="M11" s="121">
        <v>1</v>
      </c>
      <c r="N11" s="120">
        <f>E11*D11</f>
        <v>1.5792000000000002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1.5792000000000002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79</v>
      </c>
      <c r="C16" s="57" t="s">
        <v>223</v>
      </c>
      <c r="D16" s="58">
        <v>0.04</v>
      </c>
      <c r="E16" s="57" t="s">
        <v>81</v>
      </c>
      <c r="F16" s="63">
        <v>35</v>
      </c>
      <c r="G16" s="63" t="s">
        <v>216</v>
      </c>
      <c r="H16" s="63">
        <v>1</v>
      </c>
      <c r="I16" s="58">
        <f>IF(H16="",D16*F16,D16*F16*H16)</f>
        <v>1.4000000000000001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222</v>
      </c>
      <c r="C17" s="57"/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79</v>
      </c>
      <c r="C18" s="57"/>
      <c r="D18" s="58">
        <v>0.04</v>
      </c>
      <c r="E18" s="57" t="s">
        <v>81</v>
      </c>
      <c r="F18" s="63">
        <v>20</v>
      </c>
      <c r="G18" s="63" t="s">
        <v>216</v>
      </c>
      <c r="H18" s="63">
        <v>1</v>
      </c>
      <c r="I18" s="58">
        <f>IF(H18="",D18*F18,D18*F18*H18)</f>
        <v>0.8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4.1500000000000004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x14ac:dyDescent="0.25">
      <c r="A22" s="52"/>
      <c r="B22" s="15"/>
      <c r="C22" s="15"/>
      <c r="D22" s="15"/>
      <c r="E22" s="15"/>
      <c r="F22" s="15"/>
      <c r="G22" s="15"/>
      <c r="H22" s="116"/>
      <c r="I22" s="115"/>
      <c r="J22" s="15"/>
      <c r="K22" s="15"/>
      <c r="L22" s="15"/>
      <c r="M22" s="15"/>
      <c r="N22" s="15"/>
      <c r="O22" s="47"/>
    </row>
    <row r="23" spans="1:15" x14ac:dyDescent="0.25">
      <c r="A23" s="52"/>
      <c r="B23" s="15"/>
      <c r="C23" s="15"/>
      <c r="D23" s="15"/>
      <c r="E23" s="15"/>
      <c r="F23" s="15"/>
      <c r="G23" s="15"/>
      <c r="H23" s="116"/>
      <c r="I23" s="115"/>
      <c r="J23" s="15"/>
      <c r="K23" s="15"/>
      <c r="L23" s="15"/>
      <c r="M23" s="15"/>
      <c r="N23" s="15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400" display="EN_A0400" xr:uid="{00000000-0004-0000-1F00-000000000000}"/>
    <hyperlink ref="G2" location="EN_A0400_BOM" display="Back to BOM" xr:uid="{00000000-0004-0000-1F00-000001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6" tint="0.39997558519241921"/>
  </sheetPr>
  <dimension ref="A1:O21"/>
  <sheetViews>
    <sheetView zoomScale="85" zoomScaleNormal="85" workbookViewId="0">
      <selection activeCell="G2" sqref="G2"/>
    </sheetView>
  </sheetViews>
  <sheetFormatPr baseColWidth="10" defaultColWidth="9.140625" defaultRowHeight="15" x14ac:dyDescent="0.25"/>
  <cols>
    <col min="2" max="2" width="32.7109375" customWidth="1"/>
    <col min="3" max="3" width="17.7109375" customWidth="1"/>
    <col min="7" max="7" width="13.71093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EN_0400_003_m+EN_0400_003_p</f>
        <v>4.2741999999999996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213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4.2741999999999996</v>
      </c>
      <c r="O5" s="47"/>
    </row>
    <row r="6" spans="1:15" x14ac:dyDescent="0.25">
      <c r="A6" s="100" t="s">
        <v>7</v>
      </c>
      <c r="B6" s="17" t="s">
        <v>528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0.20100000000000001</v>
      </c>
      <c r="F11" s="127" t="s">
        <v>78</v>
      </c>
      <c r="G11" s="127"/>
      <c r="H11" s="126"/>
      <c r="I11" s="125" t="s">
        <v>226</v>
      </c>
      <c r="J11" s="160">
        <f>0.045*0.03</f>
        <v>1.3499999999999999E-3</v>
      </c>
      <c r="K11" s="123">
        <v>0.06</v>
      </c>
      <c r="L11" s="122">
        <v>2712</v>
      </c>
      <c r="M11" s="121">
        <v>1</v>
      </c>
      <c r="N11" s="120">
        <f>D11*E11</f>
        <v>0.84420000000000006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0.84420000000000006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28</v>
      </c>
      <c r="G16" s="63" t="s">
        <v>216</v>
      </c>
      <c r="H16" s="63">
        <v>1</v>
      </c>
      <c r="I16" s="58">
        <f>IF(H16="",D16*F16,D16*F16*H16)</f>
        <v>1.1200000000000001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222</v>
      </c>
      <c r="C17" s="57"/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79</v>
      </c>
      <c r="C18" s="57"/>
      <c r="D18" s="58">
        <v>0.04</v>
      </c>
      <c r="E18" s="57" t="s">
        <v>81</v>
      </c>
      <c r="F18" s="63">
        <v>9</v>
      </c>
      <c r="G18" s="63" t="s">
        <v>216</v>
      </c>
      <c r="H18" s="63">
        <v>1</v>
      </c>
      <c r="I18" s="58">
        <f>IF(H18="",D18*F18,D18*F18*H18)</f>
        <v>0.36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3.4299999999999997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32"/>
      <c r="I20" s="131"/>
      <c r="J20" s="15"/>
      <c r="K20" s="15"/>
      <c r="L20" s="15"/>
      <c r="M20" s="15"/>
      <c r="N20" s="15"/>
      <c r="O20" s="47"/>
    </row>
    <row r="21" spans="1:15" ht="15.75" thickBo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</row>
  </sheetData>
  <hyperlinks>
    <hyperlink ref="B4" location="EN_A0400" display="EN_A0400" xr:uid="{00000000-0004-0000-2000-000000000000}"/>
    <hyperlink ref="G2" location="EN_A0400_BOM" display="Back to BOM" xr:uid="{00000000-0004-0000-20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1622-6168-4455-9D0C-A47A071A094B}">
  <sheetPr>
    <tabColor rgb="FFC4D79B"/>
    <pageSetUpPr fitToPage="1"/>
  </sheetPr>
  <dimension ref="A1:O17"/>
  <sheetViews>
    <sheetView zoomScale="85" zoomScaleNormal="85" zoomScalePageLayoutView="49" workbookViewId="0">
      <selection activeCell="B8" sqref="B8"/>
    </sheetView>
  </sheetViews>
  <sheetFormatPr baseColWidth="10" defaultColWidth="9.140625" defaultRowHeight="15" x14ac:dyDescent="0.25"/>
  <cols>
    <col min="1" max="1" width="10.28515625" style="645" bestFit="1" customWidth="1"/>
    <col min="2" max="2" width="39.7109375" style="645" customWidth="1"/>
    <col min="3" max="3" width="18.140625" style="645" customWidth="1"/>
    <col min="4" max="4" width="8.7109375" style="645" bestFit="1" customWidth="1"/>
    <col min="5" max="5" width="10.85546875" style="645" customWidth="1"/>
    <col min="6" max="6" width="8.7109375" style="645" bestFit="1" customWidth="1"/>
    <col min="7" max="7" width="19.7109375" style="645" bestFit="1" customWidth="1"/>
    <col min="8" max="8" width="9.7109375" style="645" bestFit="1" customWidth="1"/>
    <col min="9" max="9" width="25.7109375" style="645" bestFit="1" customWidth="1"/>
    <col min="10" max="11" width="9" style="645" bestFit="1" customWidth="1"/>
    <col min="12" max="12" width="7.7109375" style="645" bestFit="1" customWidth="1"/>
    <col min="13" max="13" width="13.7109375" style="645" bestFit="1" customWidth="1"/>
    <col min="14" max="14" width="9.140625" style="645" bestFit="1" customWidth="1"/>
    <col min="15" max="15" width="9.140625" style="645"/>
    <col min="16" max="16" width="9.42578125" style="645" bestFit="1" customWidth="1"/>
    <col min="17" max="18" width="9.140625" style="645"/>
    <col min="19" max="19" width="10.42578125" style="645" bestFit="1" customWidth="1"/>
    <col min="20" max="20" width="9.42578125" style="645" bestFit="1" customWidth="1"/>
    <col min="21" max="21" width="9.140625" style="645"/>
    <col min="22" max="22" width="9.42578125" style="645" bestFit="1" customWidth="1"/>
    <col min="23" max="23" width="9.140625" style="645"/>
    <col min="24" max="25" width="10.140625" style="645" bestFit="1" customWidth="1"/>
    <col min="26" max="28" width="9.28515625" style="645" bestFit="1" customWidth="1"/>
    <col min="29" max="16384" width="9.140625" style="645"/>
  </cols>
  <sheetData>
    <row r="1" spans="1:15" x14ac:dyDescent="0.25">
      <c r="A1" s="687" t="s">
        <v>0</v>
      </c>
      <c r="B1" s="708" t="s">
        <v>44</v>
      </c>
      <c r="C1" s="708"/>
      <c r="D1" s="708"/>
      <c r="E1" s="708"/>
      <c r="F1" s="747" t="s">
        <v>69</v>
      </c>
      <c r="G1" s="708"/>
      <c r="H1" s="708"/>
      <c r="I1" s="708"/>
      <c r="J1" s="742" t="s">
        <v>1</v>
      </c>
      <c r="K1" s="741">
        <v>81</v>
      </c>
      <c r="L1" s="708"/>
      <c r="M1" s="687" t="s">
        <v>16</v>
      </c>
      <c r="N1" s="649">
        <f>N11+I16</f>
        <v>1.4174720000000001</v>
      </c>
      <c r="O1" s="710"/>
    </row>
    <row r="2" spans="1:15" x14ac:dyDescent="0.25">
      <c r="A2" s="687" t="s">
        <v>3</v>
      </c>
      <c r="B2" s="645" t="s">
        <v>279</v>
      </c>
      <c r="D2" s="743" t="s">
        <v>6</v>
      </c>
      <c r="E2" s="745" t="s">
        <v>67</v>
      </c>
      <c r="M2" s="687" t="s">
        <v>4</v>
      </c>
      <c r="N2" s="740">
        <v>2</v>
      </c>
      <c r="O2" s="711"/>
    </row>
    <row r="3" spans="1:15" x14ac:dyDescent="0.25">
      <c r="A3" s="687" t="s">
        <v>5</v>
      </c>
      <c r="B3" s="306" t="s">
        <v>617</v>
      </c>
      <c r="D3" s="687" t="s">
        <v>8</v>
      </c>
      <c r="J3" s="687" t="s">
        <v>6</v>
      </c>
      <c r="O3" s="711"/>
    </row>
    <row r="4" spans="1:15" x14ac:dyDescent="0.25">
      <c r="A4" s="687" t="s">
        <v>15</v>
      </c>
      <c r="B4" s="684" t="s">
        <v>614</v>
      </c>
      <c r="D4" s="687" t="s">
        <v>12</v>
      </c>
      <c r="J4" s="687" t="s">
        <v>8</v>
      </c>
      <c r="M4" s="687" t="s">
        <v>9</v>
      </c>
      <c r="N4" s="649">
        <f>N1*N2</f>
        <v>2.8349440000000001</v>
      </c>
      <c r="O4" s="711"/>
    </row>
    <row r="5" spans="1:15" x14ac:dyDescent="0.25">
      <c r="A5" s="687" t="s">
        <v>7</v>
      </c>
      <c r="B5" s="645" t="s">
        <v>648</v>
      </c>
      <c r="F5" s="704"/>
      <c r="J5" s="687" t="s">
        <v>12</v>
      </c>
      <c r="O5" s="711"/>
    </row>
    <row r="6" spans="1:15" x14ac:dyDescent="0.25">
      <c r="A6" s="687" t="s">
        <v>10</v>
      </c>
      <c r="B6" s="645" t="s">
        <v>11</v>
      </c>
      <c r="O6" s="711"/>
    </row>
    <row r="7" spans="1:15" x14ac:dyDescent="0.25">
      <c r="A7" s="687" t="s">
        <v>13</v>
      </c>
      <c r="B7" s="645" t="s">
        <v>647</v>
      </c>
      <c r="O7" s="711"/>
    </row>
    <row r="8" spans="1:15" x14ac:dyDescent="0.25">
      <c r="A8" s="712"/>
      <c r="O8" s="711"/>
    </row>
    <row r="9" spans="1:15" s="646" customFormat="1" x14ac:dyDescent="0.25">
      <c r="A9" s="720" t="s">
        <v>14</v>
      </c>
      <c r="B9" s="687" t="s">
        <v>19</v>
      </c>
      <c r="C9" s="687" t="s">
        <v>20</v>
      </c>
      <c r="D9" s="687" t="s">
        <v>21</v>
      </c>
      <c r="E9" s="687" t="s">
        <v>22</v>
      </c>
      <c r="F9" s="687" t="s">
        <v>23</v>
      </c>
      <c r="G9" s="687" t="s">
        <v>24</v>
      </c>
      <c r="H9" s="687" t="s">
        <v>25</v>
      </c>
      <c r="I9" s="687" t="s">
        <v>26</v>
      </c>
      <c r="J9" s="687" t="s">
        <v>27</v>
      </c>
      <c r="K9" s="687" t="s">
        <v>28</v>
      </c>
      <c r="L9" s="687" t="s">
        <v>29</v>
      </c>
      <c r="M9" s="687" t="s">
        <v>17</v>
      </c>
      <c r="N9" s="687" t="s">
        <v>18</v>
      </c>
      <c r="O9" s="716"/>
    </row>
    <row r="10" spans="1:15" x14ac:dyDescent="0.25">
      <c r="A10" s="714">
        <v>10</v>
      </c>
      <c r="B10" s="650" t="s">
        <v>163</v>
      </c>
      <c r="C10" s="650"/>
      <c r="D10" s="651">
        <v>2.25</v>
      </c>
      <c r="E10" s="673">
        <f>J10*K10*L10</f>
        <v>9.0431999999999998E-2</v>
      </c>
      <c r="F10" s="650" t="s">
        <v>78</v>
      </c>
      <c r="G10" s="650"/>
      <c r="H10" s="678"/>
      <c r="I10" s="677" t="s">
        <v>646</v>
      </c>
      <c r="J10" s="702">
        <f>60*32/1000000</f>
        <v>1.92E-3</v>
      </c>
      <c r="K10" s="703">
        <f>6/1000</f>
        <v>6.0000000000000001E-3</v>
      </c>
      <c r="L10" s="674">
        <v>7850</v>
      </c>
      <c r="M10" s="674">
        <v>1</v>
      </c>
      <c r="N10" s="649">
        <f>IF(J10="",D10*M10,D10*J10*K10*L10*M10)</f>
        <v>0.20347200000000001</v>
      </c>
      <c r="O10" s="711"/>
    </row>
    <row r="11" spans="1:15" s="646" customFormat="1" x14ac:dyDescent="0.25">
      <c r="A11" s="715"/>
      <c r="M11" s="686" t="s">
        <v>18</v>
      </c>
      <c r="N11" s="690">
        <f>SUM(N10:N10)</f>
        <v>0.20347200000000001</v>
      </c>
      <c r="O11" s="716"/>
    </row>
    <row r="12" spans="1:15" x14ac:dyDescent="0.25">
      <c r="A12" s="712"/>
      <c r="O12" s="711"/>
    </row>
    <row r="13" spans="1:15" s="646" customFormat="1" x14ac:dyDescent="0.25">
      <c r="A13" s="720" t="s">
        <v>14</v>
      </c>
      <c r="B13" s="687" t="s">
        <v>31</v>
      </c>
      <c r="C13" s="687" t="s">
        <v>20</v>
      </c>
      <c r="D13" s="687" t="s">
        <v>21</v>
      </c>
      <c r="E13" s="687" t="s">
        <v>32</v>
      </c>
      <c r="F13" s="687" t="s">
        <v>17</v>
      </c>
      <c r="G13" s="687" t="s">
        <v>33</v>
      </c>
      <c r="H13" s="687" t="s">
        <v>34</v>
      </c>
      <c r="I13" s="687" t="s">
        <v>18</v>
      </c>
      <c r="O13" s="716"/>
    </row>
    <row r="14" spans="1:15" s="759" customFormat="1" x14ac:dyDescent="0.25">
      <c r="A14" s="755">
        <v>10</v>
      </c>
      <c r="B14" s="756" t="s">
        <v>623</v>
      </c>
      <c r="C14" s="757" t="s">
        <v>645</v>
      </c>
      <c r="D14" s="699">
        <v>1.3</v>
      </c>
      <c r="E14" s="758" t="s">
        <v>32</v>
      </c>
      <c r="F14" s="758">
        <v>1</v>
      </c>
      <c r="G14" s="758" t="s">
        <v>644</v>
      </c>
      <c r="H14" s="758">
        <f>1/2</f>
        <v>0.5</v>
      </c>
      <c r="I14" s="699">
        <f>H14*F14*D14</f>
        <v>0.65</v>
      </c>
      <c r="O14" s="760"/>
    </row>
    <row r="15" spans="1:15" x14ac:dyDescent="0.25">
      <c r="A15" s="714">
        <v>20</v>
      </c>
      <c r="B15" s="659" t="s">
        <v>231</v>
      </c>
      <c r="C15" s="659"/>
      <c r="D15" s="651">
        <v>0.01</v>
      </c>
      <c r="E15" s="650" t="s">
        <v>46</v>
      </c>
      <c r="F15" s="650">
        <v>18.8</v>
      </c>
      <c r="G15" s="650" t="s">
        <v>82</v>
      </c>
      <c r="H15" s="650">
        <v>3</v>
      </c>
      <c r="I15" s="651">
        <f>H15*F15*D15</f>
        <v>0.56400000000000006</v>
      </c>
      <c r="O15" s="711"/>
    </row>
    <row r="16" spans="1:15" s="646" customFormat="1" x14ac:dyDescent="0.25">
      <c r="A16" s="715"/>
      <c r="H16" s="686" t="s">
        <v>18</v>
      </c>
      <c r="I16" s="688">
        <f>SUM(I14:I15)</f>
        <v>1.214</v>
      </c>
      <c r="O16" s="716"/>
    </row>
    <row r="17" spans="1:15" ht="15.75" thickBot="1" x14ac:dyDescent="0.3">
      <c r="A17" s="717"/>
      <c r="B17" s="718"/>
      <c r="C17" s="718"/>
      <c r="D17" s="718"/>
      <c r="E17" s="718"/>
      <c r="F17" s="718"/>
      <c r="G17" s="718"/>
      <c r="H17" s="718"/>
      <c r="I17" s="718"/>
      <c r="J17" s="718"/>
      <c r="K17" s="718"/>
      <c r="L17" s="718"/>
      <c r="M17" s="718"/>
      <c r="N17" s="718"/>
      <c r="O17" s="719"/>
    </row>
  </sheetData>
  <hyperlinks>
    <hyperlink ref="F1" location="EN_A0100_BOM" display="Back to BOM" xr:uid="{00000000-0004-0000-0400-000000000000}"/>
    <hyperlink ref="B3" location="EN_A0100" display="Engine" xr:uid="{00000000-0004-0000-0400-000002000000}"/>
    <hyperlink ref="E2" location="'dEN 01002'!A1" display="Drawing" xr:uid="{6266D85E-C27E-4678-BD2C-353E380C494C}"/>
  </hyperlinks>
  <printOptions horizontalCentered="1"/>
  <pageMargins left="0.3" right="0.3" top="0.3" bottom="0.4" header="0.2" footer="0.2"/>
  <pageSetup paperSize="9" scale="71" orientation="landscape" horizontalDpi="0" verticalDpi="0"/>
  <headerFooter>
    <oddFooter>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6" tint="0.39997558519241921"/>
  </sheetPr>
  <dimension ref="A1:O22"/>
  <sheetViews>
    <sheetView workbookViewId="0">
      <selection activeCell="B7" sqref="B7"/>
    </sheetView>
  </sheetViews>
  <sheetFormatPr baseColWidth="10" defaultColWidth="9.140625" defaultRowHeight="15" x14ac:dyDescent="0.25"/>
  <cols>
    <col min="2" max="2" width="35.42578125" customWidth="1"/>
    <col min="3" max="3" width="34.5703125" customWidth="1"/>
    <col min="5" max="5" width="10.140625" customWidth="1"/>
    <col min="7" max="7" width="8.85546875" customWidth="1"/>
    <col min="9" max="9" width="25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EN_0400_004_m+EN_0400_004_p</f>
        <v>2.7262499999999998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212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2.7262499999999998</v>
      </c>
      <c r="O5" s="47"/>
    </row>
    <row r="6" spans="1:15" x14ac:dyDescent="0.25">
      <c r="A6" s="100" t="s">
        <v>7</v>
      </c>
      <c r="B6" s="17" t="s">
        <v>529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163</v>
      </c>
      <c r="C11" s="127" t="s">
        <v>136</v>
      </c>
      <c r="D11" s="120">
        <v>2.25</v>
      </c>
      <c r="E11" s="127">
        <v>2.5000000000000001E-2</v>
      </c>
      <c r="F11" s="127" t="s">
        <v>78</v>
      </c>
      <c r="G11" s="127"/>
      <c r="H11" s="126"/>
      <c r="I11" s="125" t="s">
        <v>230</v>
      </c>
      <c r="J11" s="161">
        <v>7.8499999999999997E-5</v>
      </c>
      <c r="K11" s="123">
        <v>0.04</v>
      </c>
      <c r="L11" s="122">
        <v>7850</v>
      </c>
      <c r="M11" s="121">
        <v>1</v>
      </c>
      <c r="N11" s="120">
        <f>D11*E11</f>
        <v>5.6250000000000001E-2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5.6250000000000001E-2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4</v>
      </c>
      <c r="G16" s="63" t="s">
        <v>227</v>
      </c>
      <c r="H16" s="63">
        <v>3</v>
      </c>
      <c r="I16" s="58">
        <f>IF(H16="",D16*F16,D16*F16*H16)</f>
        <v>0.48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222</v>
      </c>
      <c r="C17" s="57" t="s">
        <v>229</v>
      </c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79</v>
      </c>
      <c r="C18" s="57" t="s">
        <v>228</v>
      </c>
      <c r="D18" s="58">
        <v>0.04</v>
      </c>
      <c r="E18" s="57" t="s">
        <v>81</v>
      </c>
      <c r="F18" s="63">
        <v>2</v>
      </c>
      <c r="G18" s="63" t="s">
        <v>227</v>
      </c>
      <c r="H18" s="63">
        <v>3</v>
      </c>
      <c r="I18" s="58">
        <f>IF(H18="",D18*F18,D18*F18*H18)</f>
        <v>0.24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2.67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2100-000000000000}"/>
    <hyperlink ref="G2" location="EN_A0400_BOM" display="Back to BOM" xr:uid="{00000000-0004-0000-21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6" tint="0.39997558519241921"/>
  </sheetPr>
  <dimension ref="A1:O22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33.1406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EN_0400_005_m+EN_0400_005_p</f>
        <v>2.7105000000000001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211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2.7105000000000001</v>
      </c>
      <c r="O5" s="47"/>
    </row>
    <row r="6" spans="1:15" x14ac:dyDescent="0.25">
      <c r="A6" s="100" t="s">
        <v>7</v>
      </c>
      <c r="B6" s="17" t="s">
        <v>530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163</v>
      </c>
      <c r="C11" s="127" t="s">
        <v>136</v>
      </c>
      <c r="D11" s="120">
        <v>2.25</v>
      </c>
      <c r="E11" s="127">
        <v>1.7999999999999999E-2</v>
      </c>
      <c r="F11" s="127" t="s">
        <v>78</v>
      </c>
      <c r="G11" s="127"/>
      <c r="H11" s="126"/>
      <c r="I11" s="125" t="s">
        <v>230</v>
      </c>
      <c r="J11" s="161">
        <v>7.8499999999999997E-5</v>
      </c>
      <c r="K11" s="123">
        <v>0.04</v>
      </c>
      <c r="L11" s="122">
        <v>7850</v>
      </c>
      <c r="M11" s="121">
        <v>1</v>
      </c>
      <c r="N11" s="120">
        <f>D11*E11</f>
        <v>4.0499999999999994E-2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4.0499999999999994E-2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4</v>
      </c>
      <c r="G16" s="63" t="s">
        <v>227</v>
      </c>
      <c r="H16" s="63">
        <v>3</v>
      </c>
      <c r="I16" s="58">
        <f>IF(H16="",D16*F16,D16*F16*H16)</f>
        <v>0.48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222</v>
      </c>
      <c r="C17" s="57" t="s">
        <v>229</v>
      </c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79</v>
      </c>
      <c r="C18" s="57" t="s">
        <v>228</v>
      </c>
      <c r="D18" s="58">
        <v>0.04</v>
      </c>
      <c r="E18" s="57" t="s">
        <v>81</v>
      </c>
      <c r="F18" s="63">
        <v>2</v>
      </c>
      <c r="G18" s="63" t="s">
        <v>227</v>
      </c>
      <c r="H18" s="63">
        <v>3</v>
      </c>
      <c r="I18" s="58">
        <f>IF(H18="",D18*F18,D18*F18*H18)</f>
        <v>0.24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2.67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2200-000000000000}"/>
    <hyperlink ref="G2" location="EN_A0400_BOM" display="Back to BOM" xr:uid="{00000000-0004-0000-2200-000001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6" tint="0.39997558519241921"/>
  </sheetPr>
  <dimension ref="A1:O22"/>
  <sheetViews>
    <sheetView workbookViewId="0">
      <selection activeCell="B7" sqref="B7"/>
    </sheetView>
  </sheetViews>
  <sheetFormatPr baseColWidth="10" defaultColWidth="9.140625" defaultRowHeight="15" x14ac:dyDescent="0.25"/>
  <cols>
    <col min="2" max="2" width="35.42578125" customWidth="1"/>
    <col min="3" max="3" width="33.1406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EN_0400_006_m+EN_0400_006_p</f>
        <v>3.5687500000000001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210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3.5687500000000001</v>
      </c>
      <c r="O5" s="47"/>
    </row>
    <row r="6" spans="1:15" x14ac:dyDescent="0.25">
      <c r="A6" s="100" t="s">
        <v>7</v>
      </c>
      <c r="B6" s="17" t="s">
        <v>531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163</v>
      </c>
      <c r="C11" s="127" t="s">
        <v>136</v>
      </c>
      <c r="D11" s="120">
        <v>2.25</v>
      </c>
      <c r="E11" s="127">
        <v>7.4999999999999997E-2</v>
      </c>
      <c r="F11" s="127" t="s">
        <v>78</v>
      </c>
      <c r="G11" s="127"/>
      <c r="H11" s="126"/>
      <c r="I11" s="125" t="s">
        <v>232</v>
      </c>
      <c r="J11" s="161">
        <v>1.2E-4</v>
      </c>
      <c r="K11" s="123">
        <v>0.08</v>
      </c>
      <c r="L11" s="122">
        <v>7850</v>
      </c>
      <c r="M11" s="121">
        <v>1</v>
      </c>
      <c r="N11" s="120">
        <f>D11*E11</f>
        <v>0.16874999999999998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0.16874999999999998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231</v>
      </c>
      <c r="C16" s="57"/>
      <c r="D16" s="58">
        <v>0.01</v>
      </c>
      <c r="E16" s="57" t="s">
        <v>81</v>
      </c>
      <c r="F16" s="63">
        <v>35</v>
      </c>
      <c r="G16" s="63" t="s">
        <v>227</v>
      </c>
      <c r="H16" s="63">
        <v>3</v>
      </c>
      <c r="I16" s="58">
        <f>IF(H16="",D16*F16,D16*F16*H16)</f>
        <v>1.05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86</v>
      </c>
      <c r="C17" s="57"/>
      <c r="D17" s="58">
        <v>0.25</v>
      </c>
      <c r="E17" s="57" t="s">
        <v>84</v>
      </c>
      <c r="F17" s="63">
        <v>3</v>
      </c>
      <c r="G17" s="63"/>
      <c r="H17" s="63"/>
      <c r="I17" s="58">
        <f>IF(H17="",D17*F17,D17*F17*H17)</f>
        <v>0.75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72</v>
      </c>
      <c r="C18" s="57"/>
      <c r="D18" s="58">
        <v>0.15</v>
      </c>
      <c r="E18" s="57" t="s">
        <v>81</v>
      </c>
      <c r="F18" s="63">
        <v>2</v>
      </c>
      <c r="G18" s="63"/>
      <c r="H18" s="63"/>
      <c r="I18" s="58">
        <f>IF(H18="",D18*F18,D18*F18*H18)</f>
        <v>0.3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3.4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2300-000000000000}"/>
    <hyperlink ref="G2" location="EN_A0400_BOM" display="Back to BOM" xr:uid="{00000000-0004-0000-2300-000001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6" tint="0.39997558519241921"/>
  </sheetPr>
  <dimension ref="A1:O22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17.710937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EN_0400_007_m+EN_0400_007_p</f>
        <v>2.0409999999999999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209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2.0409999999999999</v>
      </c>
      <c r="O5" s="47"/>
    </row>
    <row r="6" spans="1:15" x14ac:dyDescent="0.25">
      <c r="A6" s="100" t="s">
        <v>7</v>
      </c>
      <c r="B6" s="17" t="s">
        <v>532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163</v>
      </c>
      <c r="C11" s="127" t="s">
        <v>136</v>
      </c>
      <c r="D11" s="120">
        <v>2.25</v>
      </c>
      <c r="E11" s="127">
        <v>0.11600000000000001</v>
      </c>
      <c r="F11" s="127" t="s">
        <v>78</v>
      </c>
      <c r="G11" s="127"/>
      <c r="H11" s="126"/>
      <c r="I11" s="125" t="s">
        <v>233</v>
      </c>
      <c r="J11" s="161">
        <v>4.9100000000000001E-4</v>
      </c>
      <c r="K11" s="123">
        <v>0.03</v>
      </c>
      <c r="L11" s="122">
        <v>7850</v>
      </c>
      <c r="M11" s="121">
        <v>1</v>
      </c>
      <c r="N11" s="120">
        <f>D11*E11</f>
        <v>0.26100000000000001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0.26100000000000001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142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4</v>
      </c>
      <c r="G16" s="63" t="s">
        <v>227</v>
      </c>
      <c r="H16" s="63">
        <v>3</v>
      </c>
      <c r="I16" s="58">
        <f>IF(H16="",D16*F16,D16*F16*H16)</f>
        <v>0.48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1.78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2400-000000000000}"/>
    <hyperlink ref="G2" location="EN_A0400_BOM" display="Back to BOM" xr:uid="{00000000-0004-0000-2400-000001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6" tint="0.39997558519241921"/>
  </sheetPr>
  <dimension ref="A1:O22"/>
  <sheetViews>
    <sheetView workbookViewId="0">
      <selection activeCell="N3" sqref="N3"/>
    </sheetView>
  </sheetViews>
  <sheetFormatPr baseColWidth="10" defaultColWidth="9.140625" defaultRowHeight="15" x14ac:dyDescent="0.25"/>
  <cols>
    <col min="2" max="2" width="35.42578125" customWidth="1"/>
    <col min="3" max="3" width="25" customWidth="1"/>
    <col min="5" max="5" width="10.140625" customWidth="1"/>
    <col min="7" max="7" width="11.570312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EN_0400_008_m+EN_0400_008_p</f>
        <v>12.5068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208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12.5068</v>
      </c>
      <c r="O5" s="47"/>
    </row>
    <row r="6" spans="1:15" x14ac:dyDescent="0.25">
      <c r="A6" s="100" t="s">
        <v>7</v>
      </c>
      <c r="B6" s="17" t="s">
        <v>533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162</v>
      </c>
      <c r="D11" s="120">
        <v>4.2</v>
      </c>
      <c r="E11" s="162">
        <v>0.95399999999999996</v>
      </c>
      <c r="F11" s="127" t="s">
        <v>78</v>
      </c>
      <c r="G11" s="127"/>
      <c r="H11" s="126"/>
      <c r="I11" s="125" t="s">
        <v>234</v>
      </c>
      <c r="J11" s="161">
        <v>5.0299999999999997E-3</v>
      </c>
      <c r="K11" s="123">
        <v>7.0000000000000007E-2</v>
      </c>
      <c r="L11" s="133">
        <v>2712</v>
      </c>
      <c r="M11" s="121">
        <v>1</v>
      </c>
      <c r="N11" s="120">
        <f>D11*E11</f>
        <v>4.0068000000000001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4.0068000000000001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180</v>
      </c>
      <c r="G16" s="63" t="s">
        <v>216</v>
      </c>
      <c r="H16" s="63">
        <v>1</v>
      </c>
      <c r="I16" s="58">
        <f>IF(H16="",D16*F16,D16*F16*H16)</f>
        <v>7.2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8.5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2500-000000000000}"/>
    <hyperlink ref="G2" location="EN_A0400_BOM" display="Back to BOM" xr:uid="{00000000-0004-0000-25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6" tint="0.39997558519241921"/>
  </sheetPr>
  <dimension ref="A1:O22"/>
  <sheetViews>
    <sheetView topLeftCell="B1" workbookViewId="0">
      <selection activeCell="B5" sqref="B5"/>
    </sheetView>
  </sheetViews>
  <sheetFormatPr baseColWidth="10" defaultColWidth="9.140625" defaultRowHeight="15" x14ac:dyDescent="0.25"/>
  <cols>
    <col min="1" max="1" width="12.140625" customWidth="1"/>
    <col min="2" max="2" width="35.42578125" customWidth="1"/>
    <col min="3" max="3" width="25" customWidth="1"/>
    <col min="5" max="5" width="10.140625" customWidth="1"/>
    <col min="7" max="7" width="11.570312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EN_0400_009_m+EN_0400_009_p</f>
        <v>1.492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207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1.492</v>
      </c>
      <c r="O5" s="47"/>
    </row>
    <row r="6" spans="1:15" x14ac:dyDescent="0.25">
      <c r="A6" s="100" t="s">
        <v>7</v>
      </c>
      <c r="B6" s="17" t="s">
        <v>534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163</v>
      </c>
      <c r="C11" s="127" t="s">
        <v>162</v>
      </c>
      <c r="D11" s="120">
        <v>2.25</v>
      </c>
      <c r="E11" s="162">
        <v>3.2000000000000001E-2</v>
      </c>
      <c r="F11" s="127" t="s">
        <v>78</v>
      </c>
      <c r="G11" s="127"/>
      <c r="H11" s="126"/>
      <c r="I11" s="125" t="s">
        <v>235</v>
      </c>
      <c r="J11" s="161">
        <v>8.0400000000000003E-4</v>
      </c>
      <c r="K11" s="123">
        <v>5.0000000000000001E-3</v>
      </c>
      <c r="L11" s="122">
        <v>7850</v>
      </c>
      <c r="M11" s="121">
        <v>1</v>
      </c>
      <c r="N11" s="120">
        <f>D11*E11</f>
        <v>7.2000000000000008E-2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7.2000000000000008E-2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1</v>
      </c>
      <c r="G16" s="63" t="s">
        <v>227</v>
      </c>
      <c r="H16" s="63">
        <v>3</v>
      </c>
      <c r="I16" s="58">
        <f>IF(H16="",D16*F16,D16*F16*H16)</f>
        <v>0.12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1.42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2600-000000000000}"/>
    <hyperlink ref="G2" location="EN_A0400_BOM" display="Back to BOM" xr:uid="{00000000-0004-0000-2600-000001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255E-7DCA-4837-9B38-E1A795B0F86C}">
  <sheetPr>
    <tabColor rgb="FF76933C"/>
    <pageSetUpPr fitToPage="1"/>
  </sheetPr>
  <dimension ref="A1:T50"/>
  <sheetViews>
    <sheetView topLeftCell="A16" zoomScale="75" zoomScaleNormal="49" zoomScalePageLayoutView="49" workbookViewId="0">
      <selection activeCell="D1" sqref="D1"/>
    </sheetView>
  </sheetViews>
  <sheetFormatPr baseColWidth="10" defaultColWidth="9.28515625" defaultRowHeight="15" customHeight="1" x14ac:dyDescent="0.25"/>
  <cols>
    <col min="1" max="1" width="10.28515625" style="761" bestFit="1" customWidth="1"/>
    <col min="2" max="2" width="34.7109375" style="761" bestFit="1" customWidth="1"/>
    <col min="3" max="3" width="64.7109375" style="761" bestFit="1" customWidth="1"/>
    <col min="4" max="4" width="12" style="761" bestFit="1" customWidth="1"/>
    <col min="5" max="5" width="9.140625" style="761" bestFit="1" customWidth="1"/>
    <col min="6" max="6" width="8.7109375" style="761" bestFit="1" customWidth="1"/>
    <col min="7" max="7" width="8.85546875" style="761" customWidth="1"/>
    <col min="8" max="8" width="9.7109375" style="761" bestFit="1" customWidth="1"/>
    <col min="9" max="9" width="10.7109375" style="761" bestFit="1" customWidth="1"/>
    <col min="10" max="10" width="9.140625" style="761" bestFit="1" customWidth="1"/>
    <col min="11" max="11" width="7" style="761" bestFit="1" customWidth="1"/>
    <col min="12" max="12" width="7.7109375" style="761" bestFit="1" customWidth="1"/>
    <col min="13" max="13" width="13.7109375" style="761" bestFit="1" customWidth="1"/>
    <col min="14" max="14" width="11.42578125" style="761" customWidth="1"/>
    <col min="15" max="16384" width="9.28515625" style="761"/>
  </cols>
  <sheetData>
    <row r="1" spans="1:14" ht="15" customHeight="1" x14ac:dyDescent="0.25">
      <c r="A1" s="765" t="s">
        <v>0</v>
      </c>
      <c r="B1" s="761" t="s">
        <v>44</v>
      </c>
      <c r="D1" s="306" t="s">
        <v>69</v>
      </c>
      <c r="J1" s="765" t="s">
        <v>1</v>
      </c>
      <c r="K1" s="812">
        <v>81</v>
      </c>
      <c r="M1" s="765" t="s">
        <v>2</v>
      </c>
      <c r="N1" s="811">
        <f>E14+N21+I36+J46+I50</f>
        <v>201.49199448376947</v>
      </c>
    </row>
    <row r="2" spans="1:14" ht="15" customHeight="1" x14ac:dyDescent="0.25">
      <c r="A2" s="765" t="s">
        <v>3</v>
      </c>
      <c r="B2" s="761" t="s">
        <v>279</v>
      </c>
      <c r="C2" s="764"/>
      <c r="M2" s="765" t="s">
        <v>4</v>
      </c>
      <c r="N2" s="810">
        <v>1</v>
      </c>
    </row>
    <row r="3" spans="1:14" ht="15" customHeight="1" x14ac:dyDescent="0.25">
      <c r="A3" s="765" t="s">
        <v>5</v>
      </c>
      <c r="B3" s="761" t="s">
        <v>689</v>
      </c>
      <c r="C3" s="764"/>
      <c r="J3" s="765" t="s">
        <v>6</v>
      </c>
    </row>
    <row r="4" spans="1:14" ht="15" customHeight="1" x14ac:dyDescent="0.25">
      <c r="A4" s="765" t="s">
        <v>7</v>
      </c>
      <c r="B4" s="809" t="s">
        <v>688</v>
      </c>
      <c r="J4" s="765" t="s">
        <v>8</v>
      </c>
      <c r="M4" s="765" t="s">
        <v>9</v>
      </c>
      <c r="N4" s="803">
        <f>N1*N2</f>
        <v>201.49199448376947</v>
      </c>
    </row>
    <row r="5" spans="1:14" ht="15" customHeight="1" x14ac:dyDescent="0.25">
      <c r="A5" s="765" t="s">
        <v>10</v>
      </c>
      <c r="B5" s="761" t="s">
        <v>11</v>
      </c>
      <c r="J5" s="765" t="s">
        <v>12</v>
      </c>
    </row>
    <row r="6" spans="1:14" ht="15" customHeight="1" x14ac:dyDescent="0.25">
      <c r="A6" s="765" t="s">
        <v>13</v>
      </c>
      <c r="B6" s="761" t="s">
        <v>687</v>
      </c>
    </row>
    <row r="8" spans="1:14" ht="15" customHeight="1" x14ac:dyDescent="0.25">
      <c r="A8" s="765" t="s">
        <v>14</v>
      </c>
      <c r="B8" s="765" t="s">
        <v>15</v>
      </c>
      <c r="C8" s="765" t="s">
        <v>16</v>
      </c>
      <c r="D8" s="765" t="s">
        <v>17</v>
      </c>
      <c r="E8" s="765" t="s">
        <v>18</v>
      </c>
    </row>
    <row r="9" spans="1:14" ht="15" customHeight="1" x14ac:dyDescent="0.25">
      <c r="A9" s="799">
        <v>10</v>
      </c>
      <c r="B9" s="808" t="s">
        <v>686</v>
      </c>
      <c r="C9" s="794">
        <f>'EN 05001'!N1</f>
        <v>103.67125799008251</v>
      </c>
      <c r="D9" s="807">
        <v>1</v>
      </c>
      <c r="E9" s="806">
        <f>C9*D9</f>
        <v>103.67125799008251</v>
      </c>
    </row>
    <row r="10" spans="1:14" ht="15" customHeight="1" x14ac:dyDescent="0.25">
      <c r="A10" s="772">
        <v>20</v>
      </c>
      <c r="B10" s="805" t="s">
        <v>685</v>
      </c>
      <c r="C10" s="398">
        <f>'EN 05002'!N1</f>
        <v>31.684274971513588</v>
      </c>
      <c r="D10" s="804">
        <v>1</v>
      </c>
      <c r="E10" s="803">
        <f>C10*D10</f>
        <v>31.684274971513588</v>
      </c>
    </row>
    <row r="11" spans="1:14" ht="15" customHeight="1" x14ac:dyDescent="0.25">
      <c r="A11" s="772">
        <v>30</v>
      </c>
      <c r="B11" s="805" t="s">
        <v>684</v>
      </c>
      <c r="C11" s="398">
        <f>'EN 05003'!N1</f>
        <v>18.357814563839998</v>
      </c>
      <c r="D11" s="804">
        <v>1</v>
      </c>
      <c r="E11" s="803">
        <f>C11*D11</f>
        <v>18.357814563839998</v>
      </c>
    </row>
    <row r="12" spans="1:14" ht="15" customHeight="1" x14ac:dyDescent="0.25">
      <c r="A12" s="772">
        <v>40</v>
      </c>
      <c r="B12" s="805" t="s">
        <v>683</v>
      </c>
      <c r="C12" s="398">
        <f>'EN 05004'!N1</f>
        <v>1.738382125</v>
      </c>
      <c r="D12" s="804">
        <v>2</v>
      </c>
      <c r="E12" s="803">
        <f>C12*D12</f>
        <v>3.47676425</v>
      </c>
    </row>
    <row r="13" spans="1:14" ht="15" customHeight="1" x14ac:dyDescent="0.25">
      <c r="A13" s="772">
        <v>50</v>
      </c>
      <c r="B13" s="805" t="s">
        <v>682</v>
      </c>
      <c r="C13" s="398">
        <f>'EN 05005'!N1</f>
        <v>1.884868</v>
      </c>
      <c r="D13" s="804">
        <v>2</v>
      </c>
      <c r="E13" s="803">
        <f>C13*D13</f>
        <v>3.769736</v>
      </c>
    </row>
    <row r="14" spans="1:14" ht="15" customHeight="1" x14ac:dyDescent="0.25">
      <c r="D14" s="802" t="s">
        <v>18</v>
      </c>
      <c r="E14" s="802">
        <f>SUM(E9:E13)</f>
        <v>160.95984777543612</v>
      </c>
    </row>
    <row r="16" spans="1:14" ht="15" customHeight="1" x14ac:dyDescent="0.25">
      <c r="A16" s="765" t="s">
        <v>14</v>
      </c>
      <c r="B16" s="765" t="s">
        <v>19</v>
      </c>
      <c r="C16" s="765" t="s">
        <v>20</v>
      </c>
      <c r="D16" s="765" t="s">
        <v>21</v>
      </c>
      <c r="E16" s="765" t="s">
        <v>22</v>
      </c>
      <c r="F16" s="765" t="s">
        <v>23</v>
      </c>
      <c r="G16" s="765" t="s">
        <v>24</v>
      </c>
      <c r="H16" s="765" t="s">
        <v>25</v>
      </c>
      <c r="I16" s="765" t="s">
        <v>26</v>
      </c>
      <c r="J16" s="765" t="s">
        <v>27</v>
      </c>
      <c r="K16" s="765" t="s">
        <v>28</v>
      </c>
      <c r="L16" s="765" t="s">
        <v>29</v>
      </c>
      <c r="M16" s="765" t="s">
        <v>17</v>
      </c>
      <c r="N16" s="765" t="s">
        <v>18</v>
      </c>
    </row>
    <row r="17" spans="1:20" ht="15" customHeight="1" x14ac:dyDescent="0.35">
      <c r="A17" s="801">
        <v>10</v>
      </c>
      <c r="B17" s="801" t="s">
        <v>129</v>
      </c>
      <c r="C17" s="801" t="s">
        <v>681</v>
      </c>
      <c r="D17" s="800">
        <f>0.27*E17</f>
        <v>5.4</v>
      </c>
      <c r="E17" s="799">
        <v>20</v>
      </c>
      <c r="F17" s="799" t="s">
        <v>30</v>
      </c>
      <c r="G17" s="799"/>
      <c r="H17" s="796"/>
      <c r="I17" s="798"/>
      <c r="J17" s="797"/>
      <c r="K17" s="796"/>
      <c r="L17" s="796"/>
      <c r="M17" s="795">
        <v>4</v>
      </c>
      <c r="N17" s="794">
        <f>M17*D17</f>
        <v>21.6</v>
      </c>
      <c r="P17" s="784"/>
      <c r="Q17" s="791"/>
    </row>
    <row r="18" spans="1:20" ht="15" customHeight="1" x14ac:dyDescent="0.35">
      <c r="A18" s="790">
        <v>20</v>
      </c>
      <c r="B18" s="502" t="s">
        <v>680</v>
      </c>
      <c r="C18" s="502" t="s">
        <v>679</v>
      </c>
      <c r="D18" s="789">
        <f>0.47*E18</f>
        <v>20.68</v>
      </c>
      <c r="E18" s="502">
        <v>44</v>
      </c>
      <c r="F18" s="502" t="s">
        <v>30</v>
      </c>
      <c r="G18" s="502"/>
      <c r="H18" s="788"/>
      <c r="I18" s="787"/>
      <c r="J18" s="786"/>
      <c r="K18" s="785"/>
      <c r="L18" s="785"/>
      <c r="M18" s="793">
        <v>0.15</v>
      </c>
      <c r="N18" s="398">
        <f>M18*D18</f>
        <v>3.1019999999999999</v>
      </c>
      <c r="P18" s="782"/>
      <c r="Q18" s="791"/>
    </row>
    <row r="19" spans="1:20" ht="15" customHeight="1" x14ac:dyDescent="0.35">
      <c r="A19" s="790">
        <v>30</v>
      </c>
      <c r="B19" s="502" t="s">
        <v>298</v>
      </c>
      <c r="C19" s="502" t="s">
        <v>678</v>
      </c>
      <c r="D19" s="789">
        <v>0.05</v>
      </c>
      <c r="E19" s="502"/>
      <c r="F19" s="502"/>
      <c r="G19" s="502"/>
      <c r="H19" s="788"/>
      <c r="I19" s="787"/>
      <c r="J19" s="786"/>
      <c r="K19" s="785"/>
      <c r="L19" s="785"/>
      <c r="M19" s="792">
        <v>1</v>
      </c>
      <c r="N19" s="398">
        <f>M19*D19</f>
        <v>0.05</v>
      </c>
      <c r="P19" s="782"/>
      <c r="Q19" s="791"/>
    </row>
    <row r="20" spans="1:20" ht="15" customHeight="1" x14ac:dyDescent="0.35">
      <c r="A20" s="790">
        <v>40</v>
      </c>
      <c r="B20" s="502" t="s">
        <v>264</v>
      </c>
      <c r="C20" s="502" t="s">
        <v>677</v>
      </c>
      <c r="D20" s="789">
        <v>10</v>
      </c>
      <c r="E20" s="781">
        <f>106.435/10000</f>
        <v>1.06435E-2</v>
      </c>
      <c r="F20" s="502" t="s">
        <v>89</v>
      </c>
      <c r="G20" s="502"/>
      <c r="H20" s="788"/>
      <c r="I20" s="787"/>
      <c r="J20" s="786"/>
      <c r="K20" s="785"/>
      <c r="L20" s="785"/>
      <c r="M20" s="781">
        <f>106.435/10000</f>
        <v>1.06435E-2</v>
      </c>
      <c r="N20" s="398">
        <f>M20*D20</f>
        <v>0.106435</v>
      </c>
      <c r="P20" s="784"/>
      <c r="Q20" s="783"/>
      <c r="R20" s="780"/>
      <c r="S20" s="780"/>
      <c r="T20" s="780"/>
    </row>
    <row r="21" spans="1:20" s="764" customFormat="1" ht="15" customHeight="1" x14ac:dyDescent="0.35">
      <c r="M21" s="763" t="s">
        <v>18</v>
      </c>
      <c r="N21" s="766">
        <f>SUM(N17:N20)</f>
        <v>24.858435000000004</v>
      </c>
      <c r="P21" s="782"/>
      <c r="Q21" s="782"/>
    </row>
    <row r="23" spans="1:20" s="764" customFormat="1" ht="15" customHeight="1" x14ac:dyDescent="0.25">
      <c r="A23" s="765" t="s">
        <v>14</v>
      </c>
      <c r="B23" s="765" t="s">
        <v>31</v>
      </c>
      <c r="C23" s="765" t="s">
        <v>20</v>
      </c>
      <c r="D23" s="765" t="s">
        <v>21</v>
      </c>
      <c r="E23" s="765" t="s">
        <v>32</v>
      </c>
      <c r="F23" s="765" t="s">
        <v>17</v>
      </c>
      <c r="G23" s="765" t="s">
        <v>33</v>
      </c>
      <c r="H23" s="765" t="s">
        <v>34</v>
      </c>
      <c r="I23" s="765" t="s">
        <v>18</v>
      </c>
    </row>
    <row r="24" spans="1:20" ht="15" customHeight="1" x14ac:dyDescent="0.25">
      <c r="A24" s="419">
        <v>10</v>
      </c>
      <c r="B24" s="409" t="s">
        <v>72</v>
      </c>
      <c r="C24" s="779" t="s">
        <v>656</v>
      </c>
      <c r="D24" s="423">
        <v>0.15</v>
      </c>
      <c r="E24" s="409" t="s">
        <v>46</v>
      </c>
      <c r="F24" s="420">
        <v>9.83</v>
      </c>
      <c r="G24" s="772"/>
      <c r="H24" s="772">
        <v>1</v>
      </c>
      <c r="I24" s="398">
        <f>D24*F24*H24</f>
        <v>1.4744999999999999</v>
      </c>
    </row>
    <row r="25" spans="1:20" ht="15" customHeight="1" x14ac:dyDescent="0.25">
      <c r="A25" s="419">
        <v>20</v>
      </c>
      <c r="B25" s="409" t="s">
        <v>258</v>
      </c>
      <c r="C25" s="779" t="s">
        <v>677</v>
      </c>
      <c r="D25" s="423">
        <v>5.25</v>
      </c>
      <c r="E25" s="409" t="s">
        <v>89</v>
      </c>
      <c r="F25" s="781">
        <f>106.435/10000</f>
        <v>1.06435E-2</v>
      </c>
      <c r="G25" s="772"/>
      <c r="H25" s="772">
        <v>1</v>
      </c>
      <c r="I25" s="398">
        <f>D25*F25*H25</f>
        <v>5.5878375000000001E-2</v>
      </c>
    </row>
    <row r="26" spans="1:20" ht="15" customHeight="1" x14ac:dyDescent="0.25">
      <c r="A26" s="419">
        <v>30</v>
      </c>
      <c r="B26" s="409" t="s">
        <v>172</v>
      </c>
      <c r="C26" s="779" t="s">
        <v>676</v>
      </c>
      <c r="D26" s="423">
        <v>0.06</v>
      </c>
      <c r="E26" s="409" t="s">
        <v>32</v>
      </c>
      <c r="F26" s="420">
        <v>4</v>
      </c>
      <c r="G26" s="772"/>
      <c r="H26" s="772">
        <v>1</v>
      </c>
      <c r="I26" s="398">
        <f>D26*F26*H26</f>
        <v>0.24</v>
      </c>
    </row>
    <row r="27" spans="1:20" ht="15" customHeight="1" x14ac:dyDescent="0.25">
      <c r="A27" s="419">
        <v>40</v>
      </c>
      <c r="B27" s="768" t="s">
        <v>672</v>
      </c>
      <c r="C27" s="779" t="s">
        <v>675</v>
      </c>
      <c r="D27" s="398">
        <v>0.75</v>
      </c>
      <c r="E27" s="419" t="s">
        <v>32</v>
      </c>
      <c r="F27" s="420">
        <v>4</v>
      </c>
      <c r="G27" s="772"/>
      <c r="H27" s="772">
        <v>1</v>
      </c>
      <c r="I27" s="398">
        <f>D27*F27*H27</f>
        <v>3</v>
      </c>
    </row>
    <row r="28" spans="1:20" ht="15" customHeight="1" x14ac:dyDescent="0.25">
      <c r="A28" s="419">
        <v>50</v>
      </c>
      <c r="B28" s="409" t="s">
        <v>674</v>
      </c>
      <c r="C28" s="514" t="s">
        <v>673</v>
      </c>
      <c r="D28" s="423">
        <v>0.38</v>
      </c>
      <c r="E28" s="419" t="s">
        <v>32</v>
      </c>
      <c r="F28" s="420">
        <v>1</v>
      </c>
      <c r="G28" s="772"/>
      <c r="H28" s="772">
        <v>1</v>
      </c>
      <c r="I28" s="398">
        <f>D28*F28*H28</f>
        <v>0.38</v>
      </c>
    </row>
    <row r="29" spans="1:20" ht="15" customHeight="1" x14ac:dyDescent="0.25">
      <c r="A29" s="419">
        <v>60</v>
      </c>
      <c r="B29" s="768" t="s">
        <v>672</v>
      </c>
      <c r="C29" s="779" t="s">
        <v>670</v>
      </c>
      <c r="D29" s="398">
        <v>0.75</v>
      </c>
      <c r="E29" s="419" t="s">
        <v>32</v>
      </c>
      <c r="F29" s="420">
        <v>4</v>
      </c>
      <c r="G29" s="772"/>
      <c r="H29" s="772">
        <v>1</v>
      </c>
      <c r="I29" s="398">
        <f>D29*F29*H29</f>
        <v>3</v>
      </c>
    </row>
    <row r="30" spans="1:20" ht="15" customHeight="1" x14ac:dyDescent="0.25">
      <c r="A30" s="419">
        <v>70</v>
      </c>
      <c r="B30" s="768" t="s">
        <v>671</v>
      </c>
      <c r="C30" s="779" t="s">
        <v>670</v>
      </c>
      <c r="D30" s="398">
        <v>0.25</v>
      </c>
      <c r="E30" s="419" t="s">
        <v>32</v>
      </c>
      <c r="F30" s="420">
        <v>4</v>
      </c>
      <c r="G30" s="772"/>
      <c r="H30" s="772">
        <v>1</v>
      </c>
      <c r="I30" s="398">
        <f>D30*F30*H30</f>
        <v>1</v>
      </c>
      <c r="L30" s="780"/>
    </row>
    <row r="31" spans="1:20" ht="15" customHeight="1" x14ac:dyDescent="0.25">
      <c r="A31" s="419">
        <v>90</v>
      </c>
      <c r="B31" s="768" t="s">
        <v>172</v>
      </c>
      <c r="C31" s="779" t="s">
        <v>669</v>
      </c>
      <c r="D31" s="398">
        <v>0.06</v>
      </c>
      <c r="E31" s="419" t="s">
        <v>32</v>
      </c>
      <c r="F31" s="420">
        <v>1</v>
      </c>
      <c r="G31" s="772"/>
      <c r="H31" s="772">
        <v>1</v>
      </c>
      <c r="I31" s="398">
        <f>D31*F31*H31</f>
        <v>0.06</v>
      </c>
    </row>
    <row r="32" spans="1:20" ht="15" customHeight="1" x14ac:dyDescent="0.25">
      <c r="A32" s="419">
        <v>110</v>
      </c>
      <c r="B32" s="419" t="s">
        <v>105</v>
      </c>
      <c r="C32" s="514" t="s">
        <v>668</v>
      </c>
      <c r="D32" s="423">
        <v>0.5</v>
      </c>
      <c r="E32" s="419" t="s">
        <v>32</v>
      </c>
      <c r="F32" s="420">
        <v>2</v>
      </c>
      <c r="G32" s="772"/>
      <c r="H32" s="772">
        <v>1</v>
      </c>
      <c r="I32" s="398">
        <f>D32*F32*H32</f>
        <v>1</v>
      </c>
    </row>
    <row r="33" spans="1:13" ht="15" customHeight="1" x14ac:dyDescent="0.25">
      <c r="A33" s="419">
        <v>120</v>
      </c>
      <c r="B33" s="419" t="s">
        <v>76</v>
      </c>
      <c r="C33" s="779" t="s">
        <v>667</v>
      </c>
      <c r="D33" s="423">
        <v>0.5</v>
      </c>
      <c r="E33" s="419" t="s">
        <v>32</v>
      </c>
      <c r="F33" s="420">
        <v>1</v>
      </c>
      <c r="G33" s="772"/>
      <c r="H33" s="772">
        <v>1</v>
      </c>
      <c r="I33" s="398">
        <f>D33*F33*H33</f>
        <v>0.5</v>
      </c>
    </row>
    <row r="34" spans="1:13" ht="15" customHeight="1" x14ac:dyDescent="0.25">
      <c r="A34" s="419">
        <v>130</v>
      </c>
      <c r="B34" s="419" t="s">
        <v>443</v>
      </c>
      <c r="C34" s="779" t="s">
        <v>666</v>
      </c>
      <c r="D34" s="423">
        <v>0.25</v>
      </c>
      <c r="E34" s="419" t="s">
        <v>32</v>
      </c>
      <c r="F34" s="420">
        <v>1</v>
      </c>
      <c r="G34" s="772"/>
      <c r="H34" s="772">
        <v>1</v>
      </c>
      <c r="I34" s="398">
        <f>D34*F34*H34</f>
        <v>0.25</v>
      </c>
    </row>
    <row r="35" spans="1:13" ht="15" customHeight="1" x14ac:dyDescent="0.25">
      <c r="A35" s="419">
        <v>140</v>
      </c>
      <c r="B35" s="419" t="s">
        <v>665</v>
      </c>
      <c r="C35" s="514" t="s">
        <v>664</v>
      </c>
      <c r="D35" s="423">
        <v>0.75</v>
      </c>
      <c r="E35" s="419" t="s">
        <v>32</v>
      </c>
      <c r="F35" s="420">
        <v>2</v>
      </c>
      <c r="G35" s="772"/>
      <c r="H35" s="772">
        <v>1</v>
      </c>
      <c r="I35" s="398">
        <f>D35*F35*H35</f>
        <v>1.5</v>
      </c>
    </row>
    <row r="36" spans="1:13" s="764" customFormat="1" ht="15" customHeight="1" x14ac:dyDescent="0.25">
      <c r="H36" s="763" t="s">
        <v>18</v>
      </c>
      <c r="I36" s="778">
        <f>SUM(I24:I35)</f>
        <v>12.460378374999999</v>
      </c>
    </row>
    <row r="38" spans="1:13" s="764" customFormat="1" ht="15" customHeight="1" x14ac:dyDescent="0.25">
      <c r="A38" s="765" t="s">
        <v>14</v>
      </c>
      <c r="B38" s="765" t="s">
        <v>36</v>
      </c>
      <c r="C38" s="765" t="s">
        <v>20</v>
      </c>
      <c r="D38" s="765" t="s">
        <v>21</v>
      </c>
      <c r="E38" s="765" t="s">
        <v>22</v>
      </c>
      <c r="F38" s="765" t="s">
        <v>23</v>
      </c>
      <c r="G38" s="765" t="s">
        <v>24</v>
      </c>
      <c r="H38" s="765" t="s">
        <v>25</v>
      </c>
      <c r="I38" s="765" t="s">
        <v>17</v>
      </c>
      <c r="J38" s="765" t="s">
        <v>18</v>
      </c>
      <c r="M38" s="777"/>
    </row>
    <row r="39" spans="1:13" ht="15" customHeight="1" x14ac:dyDescent="0.25">
      <c r="A39" s="772">
        <v>10</v>
      </c>
      <c r="B39" s="775" t="s">
        <v>38</v>
      </c>
      <c r="C39" s="419" t="s">
        <v>663</v>
      </c>
      <c r="D39" s="770">
        <v>0.04</v>
      </c>
      <c r="E39" s="776">
        <v>6</v>
      </c>
      <c r="F39" s="776" t="s">
        <v>30</v>
      </c>
      <c r="G39" s="776"/>
      <c r="H39" s="776"/>
      <c r="I39" s="767">
        <v>4</v>
      </c>
      <c r="J39" s="398">
        <f>I39*D39</f>
        <v>0.16</v>
      </c>
    </row>
    <row r="40" spans="1:13" ht="15" customHeight="1" x14ac:dyDescent="0.25">
      <c r="A40" s="772">
        <v>20</v>
      </c>
      <c r="B40" s="775" t="s">
        <v>37</v>
      </c>
      <c r="C40" s="514" t="s">
        <v>662</v>
      </c>
      <c r="D40" s="770">
        <v>0.01</v>
      </c>
      <c r="E40" s="419">
        <v>6</v>
      </c>
      <c r="F40" s="769" t="s">
        <v>30</v>
      </c>
      <c r="G40" s="419"/>
      <c r="H40" s="768"/>
      <c r="I40" s="767">
        <v>8</v>
      </c>
      <c r="J40" s="398">
        <f>I40*D40</f>
        <v>0.08</v>
      </c>
    </row>
    <row r="41" spans="1:13" ht="15" customHeight="1" x14ac:dyDescent="0.25">
      <c r="A41" s="772">
        <v>30</v>
      </c>
      <c r="B41" s="771" t="s">
        <v>90</v>
      </c>
      <c r="C41" s="514" t="s">
        <v>661</v>
      </c>
      <c r="D41" s="423">
        <v>0.04</v>
      </c>
      <c r="E41" s="419">
        <v>6</v>
      </c>
      <c r="F41" s="774" t="s">
        <v>30</v>
      </c>
      <c r="G41" s="419">
        <v>30</v>
      </c>
      <c r="H41" s="768" t="s">
        <v>30</v>
      </c>
      <c r="I41" s="767">
        <v>4</v>
      </c>
      <c r="J41" s="398">
        <f>I41*D41</f>
        <v>0.16</v>
      </c>
    </row>
    <row r="42" spans="1:13" ht="15" customHeight="1" x14ac:dyDescent="0.25">
      <c r="A42" s="772">
        <v>40</v>
      </c>
      <c r="B42" s="775" t="s">
        <v>38</v>
      </c>
      <c r="C42" s="514" t="s">
        <v>660</v>
      </c>
      <c r="D42" s="423">
        <v>0.03</v>
      </c>
      <c r="E42" s="419">
        <v>6</v>
      </c>
      <c r="F42" s="774" t="s">
        <v>30</v>
      </c>
      <c r="G42" s="419"/>
      <c r="H42" s="768"/>
      <c r="I42" s="773">
        <v>5</v>
      </c>
      <c r="J42" s="398">
        <f>I42*D42</f>
        <v>0.15</v>
      </c>
    </row>
    <row r="43" spans="1:13" ht="15" customHeight="1" x14ac:dyDescent="0.25">
      <c r="A43" s="772">
        <v>50</v>
      </c>
      <c r="B43" s="775" t="s">
        <v>37</v>
      </c>
      <c r="C43" s="514" t="s">
        <v>659</v>
      </c>
      <c r="D43" s="423">
        <v>0.01</v>
      </c>
      <c r="E43" s="419">
        <v>6</v>
      </c>
      <c r="F43" s="774" t="s">
        <v>30</v>
      </c>
      <c r="G43" s="419"/>
      <c r="H43" s="768"/>
      <c r="I43" s="773">
        <v>5</v>
      </c>
      <c r="J43" s="398">
        <f>I43*D43</f>
        <v>0.05</v>
      </c>
    </row>
    <row r="44" spans="1:13" ht="15" customHeight="1" x14ac:dyDescent="0.25">
      <c r="A44" s="772">
        <v>60</v>
      </c>
      <c r="B44" s="771" t="s">
        <v>95</v>
      </c>
      <c r="C44" s="514" t="s">
        <v>658</v>
      </c>
      <c r="D44" s="770">
        <f>0.004*E44+0.5</f>
        <v>0.72</v>
      </c>
      <c r="E44" s="419">
        <v>55</v>
      </c>
      <c r="F44" s="769" t="s">
        <v>30</v>
      </c>
      <c r="G44" s="419"/>
      <c r="H44" s="768"/>
      <c r="I44" s="767">
        <v>1</v>
      </c>
      <c r="J44" s="398">
        <f>I44*D44</f>
        <v>0.72</v>
      </c>
    </row>
    <row r="45" spans="1:13" ht="15" customHeight="1" x14ac:dyDescent="0.25">
      <c r="A45" s="772">
        <v>70</v>
      </c>
      <c r="B45" s="771" t="s">
        <v>95</v>
      </c>
      <c r="C45" s="514" t="s">
        <v>657</v>
      </c>
      <c r="D45" s="770">
        <f>0.004*E45+0.5</f>
        <v>0.56000000000000005</v>
      </c>
      <c r="E45" s="419">
        <v>15</v>
      </c>
      <c r="F45" s="769" t="s">
        <v>30</v>
      </c>
      <c r="G45" s="419"/>
      <c r="H45" s="768"/>
      <c r="I45" s="767">
        <v>1</v>
      </c>
      <c r="J45" s="398">
        <f>I45*D45</f>
        <v>0.56000000000000005</v>
      </c>
    </row>
    <row r="46" spans="1:13" s="764" customFormat="1" ht="15" customHeight="1" x14ac:dyDescent="0.25">
      <c r="I46" s="763" t="s">
        <v>18</v>
      </c>
      <c r="J46" s="766">
        <f>SUM(J39:J45)</f>
        <v>1.8800000000000001</v>
      </c>
    </row>
    <row r="48" spans="1:13" ht="15" customHeight="1" x14ac:dyDescent="0.25">
      <c r="A48" s="765" t="s">
        <v>14</v>
      </c>
      <c r="B48" s="765" t="s">
        <v>39</v>
      </c>
      <c r="C48" s="765" t="s">
        <v>20</v>
      </c>
      <c r="D48" s="765" t="s">
        <v>21</v>
      </c>
      <c r="E48" s="765" t="s">
        <v>32</v>
      </c>
      <c r="F48" s="765" t="s">
        <v>17</v>
      </c>
      <c r="G48" s="765" t="s">
        <v>40</v>
      </c>
      <c r="H48" s="765" t="s">
        <v>476</v>
      </c>
      <c r="I48" s="765" t="s">
        <v>18</v>
      </c>
    </row>
    <row r="49" spans="1:9" ht="15" customHeight="1" x14ac:dyDescent="0.25">
      <c r="A49" s="419">
        <v>10</v>
      </c>
      <c r="B49" s="419" t="s">
        <v>42</v>
      </c>
      <c r="C49" s="419" t="s">
        <v>656</v>
      </c>
      <c r="D49" s="398">
        <v>500</v>
      </c>
      <c r="E49" s="419" t="s">
        <v>655</v>
      </c>
      <c r="F49" s="419">
        <v>8</v>
      </c>
      <c r="G49" s="419">
        <v>3000</v>
      </c>
      <c r="H49" s="419">
        <v>1</v>
      </c>
      <c r="I49" s="626">
        <f>D49*F49/G49*H49</f>
        <v>1.3333333333333333</v>
      </c>
    </row>
    <row r="50" spans="1:9" ht="15" customHeight="1" x14ac:dyDescent="0.25">
      <c r="A50" s="764"/>
      <c r="B50" s="764"/>
      <c r="C50" s="764"/>
      <c r="D50" s="764"/>
      <c r="E50" s="764"/>
      <c r="F50" s="764"/>
      <c r="G50" s="764"/>
      <c r="H50" s="763" t="s">
        <v>18</v>
      </c>
      <c r="I50" s="762">
        <f>SUM(I49:I49)</f>
        <v>1.3333333333333333</v>
      </c>
    </row>
  </sheetData>
  <hyperlinks>
    <hyperlink ref="D1" location="EN_A0500_BOM" display="Back to BOM" xr:uid="{00000000-0004-0000-0000-000000000000}"/>
    <hyperlink ref="B9" location="'EN 05001'!A1" display="Fuel Tank (with filler neck)" xr:uid="{00000000-0004-0000-0000-000001000000}"/>
    <hyperlink ref="B10" location="'EN 05002'!A1" display="Filler Cap" xr:uid="{00000000-0004-0000-0000-000002000000}"/>
    <hyperlink ref="B11" location="'EN 05003'!A1" display="Filler Tube" xr:uid="{00000000-0004-0000-0000-000003000000}"/>
    <hyperlink ref="B12" location="'EN 05004'!A1" display="Lateral tab" xr:uid="{00000000-0004-0000-0000-000004000000}"/>
    <hyperlink ref="B13" location="'EN 05005'!A1" display="Front tab" xr:uid="{00000000-0004-0000-0000-000005000000}"/>
  </hyperlinks>
  <printOptions horizontalCentered="1"/>
  <pageMargins left="0.3" right="0.3" top="0.3" bottom="0.4" header="0.2" footer="0.2"/>
  <pageSetup paperSize="9" scale="61" orientation="landscape"/>
  <headerFooter>
    <oddFooter>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55CB-080C-43BD-978C-BFA6481814F2}">
  <sheetPr>
    <tabColor rgb="FFC4D79B"/>
    <pageSetUpPr fitToPage="1"/>
  </sheetPr>
  <dimension ref="A1:O31"/>
  <sheetViews>
    <sheetView topLeftCell="A10" zoomScale="70" zoomScaleNormal="70" zoomScalePageLayoutView="49" workbookViewId="0">
      <selection activeCell="F1" sqref="F1"/>
    </sheetView>
  </sheetViews>
  <sheetFormatPr baseColWidth="10" defaultColWidth="7.7109375" defaultRowHeight="15" x14ac:dyDescent="0.25"/>
  <cols>
    <col min="1" max="1" width="10.28515625" style="761" bestFit="1" customWidth="1"/>
    <col min="2" max="2" width="34.140625" style="761" bestFit="1" customWidth="1"/>
    <col min="3" max="3" width="23.7109375" style="761" bestFit="1" customWidth="1"/>
    <col min="4" max="4" width="10.85546875" style="761" customWidth="1"/>
    <col min="5" max="5" width="8.5703125" style="761" customWidth="1"/>
    <col min="6" max="6" width="12" style="761" bestFit="1" customWidth="1"/>
    <col min="7" max="7" width="19.42578125" style="761" bestFit="1" customWidth="1"/>
    <col min="8" max="8" width="11.7109375" style="761" customWidth="1"/>
    <col min="9" max="9" width="18.140625" style="761" bestFit="1" customWidth="1"/>
    <col min="10" max="10" width="11.5703125" style="761" customWidth="1"/>
    <col min="11" max="11" width="11.140625" style="761" customWidth="1"/>
    <col min="12" max="12" width="7.7109375" style="761" bestFit="1" customWidth="1"/>
    <col min="13" max="13" width="13.7109375" style="761" bestFit="1" customWidth="1"/>
    <col min="14" max="14" width="11.28515625" style="761" customWidth="1"/>
    <col min="15" max="15" width="7.7109375" style="761"/>
    <col min="16" max="16" width="7.7109375" style="761" bestFit="1" customWidth="1"/>
    <col min="17" max="18" width="7.7109375" style="761"/>
    <col min="19" max="19" width="8.7109375" style="761" bestFit="1" customWidth="1"/>
    <col min="20" max="20" width="7.7109375" style="761" bestFit="1" customWidth="1"/>
    <col min="21" max="21" width="7.7109375" style="761"/>
    <col min="22" max="22" width="7.7109375" style="761" bestFit="1" customWidth="1"/>
    <col min="23" max="23" width="7.7109375" style="761"/>
    <col min="24" max="25" width="8.42578125" style="761" bestFit="1" customWidth="1"/>
    <col min="26" max="28" width="7.7109375" style="761" bestFit="1" customWidth="1"/>
    <col min="29" max="16384" width="7.7109375" style="761"/>
  </cols>
  <sheetData>
    <row r="1" spans="1:15" x14ac:dyDescent="0.25">
      <c r="A1" s="851" t="s">
        <v>0</v>
      </c>
      <c r="B1" s="848" t="s">
        <v>44</v>
      </c>
      <c r="C1" s="848"/>
      <c r="D1" s="848"/>
      <c r="E1" s="848"/>
      <c r="F1" s="747" t="s">
        <v>69</v>
      </c>
      <c r="G1" s="848"/>
      <c r="H1" s="848"/>
      <c r="I1" s="848"/>
      <c r="J1" s="850" t="s">
        <v>1</v>
      </c>
      <c r="K1" s="849">
        <v>81</v>
      </c>
      <c r="L1" s="848"/>
      <c r="M1" s="847" t="s">
        <v>16</v>
      </c>
      <c r="N1" s="846">
        <f>N13+I26+I30</f>
        <v>103.67125799008251</v>
      </c>
      <c r="O1" s="845"/>
    </row>
    <row r="2" spans="1:15" x14ac:dyDescent="0.25">
      <c r="A2" s="839" t="s">
        <v>3</v>
      </c>
      <c r="B2" s="761" t="s">
        <v>279</v>
      </c>
      <c r="C2" s="827" t="s">
        <v>707</v>
      </c>
      <c r="D2" s="844" t="s">
        <v>6</v>
      </c>
      <c r="M2" s="841" t="s">
        <v>4</v>
      </c>
      <c r="N2" s="843">
        <v>1</v>
      </c>
      <c r="O2" s="823"/>
    </row>
    <row r="3" spans="1:15" x14ac:dyDescent="0.25">
      <c r="A3" s="839" t="s">
        <v>5</v>
      </c>
      <c r="B3" s="813" t="s">
        <v>689</v>
      </c>
      <c r="C3" s="827"/>
      <c r="D3" s="841" t="s">
        <v>8</v>
      </c>
      <c r="J3" s="841" t="s">
        <v>6</v>
      </c>
      <c r="O3" s="823"/>
    </row>
    <row r="4" spans="1:15" x14ac:dyDescent="0.25">
      <c r="A4" s="839" t="s">
        <v>15</v>
      </c>
      <c r="B4" s="761" t="s">
        <v>686</v>
      </c>
      <c r="D4" s="841" t="s">
        <v>12</v>
      </c>
      <c r="J4" s="841" t="s">
        <v>8</v>
      </c>
      <c r="M4" s="841" t="s">
        <v>9</v>
      </c>
      <c r="N4" s="842">
        <f>N1*N2</f>
        <v>103.67125799008251</v>
      </c>
      <c r="O4" s="823"/>
    </row>
    <row r="5" spans="1:15" x14ac:dyDescent="0.25">
      <c r="A5" s="839" t="s">
        <v>7</v>
      </c>
      <c r="B5" s="809" t="s">
        <v>706</v>
      </c>
      <c r="J5" s="841" t="s">
        <v>12</v>
      </c>
      <c r="M5" s="840"/>
      <c r="O5" s="823"/>
    </row>
    <row r="6" spans="1:15" x14ac:dyDescent="0.25">
      <c r="A6" s="839" t="s">
        <v>10</v>
      </c>
      <c r="B6" s="761" t="s">
        <v>11</v>
      </c>
      <c r="O6" s="823"/>
    </row>
    <row r="7" spans="1:15" x14ac:dyDescent="0.25">
      <c r="A7" s="839" t="s">
        <v>13</v>
      </c>
      <c r="O7" s="823"/>
    </row>
    <row r="8" spans="1:15" x14ac:dyDescent="0.25">
      <c r="A8" s="828"/>
      <c r="O8" s="823"/>
    </row>
    <row r="9" spans="1:15" s="764" customFormat="1" x14ac:dyDescent="0.25">
      <c r="A9" s="825" t="s">
        <v>14</v>
      </c>
      <c r="B9" s="824" t="s">
        <v>19</v>
      </c>
      <c r="C9" s="824" t="s">
        <v>20</v>
      </c>
      <c r="D9" s="824" t="s">
        <v>21</v>
      </c>
      <c r="E9" s="824" t="s">
        <v>22</v>
      </c>
      <c r="F9" s="824"/>
      <c r="G9" s="824" t="s">
        <v>24</v>
      </c>
      <c r="H9" s="824" t="s">
        <v>25</v>
      </c>
      <c r="I9" s="824" t="s">
        <v>26</v>
      </c>
      <c r="J9" s="824" t="s">
        <v>27</v>
      </c>
      <c r="K9" s="824" t="s">
        <v>28</v>
      </c>
      <c r="L9" s="824" t="s">
        <v>29</v>
      </c>
      <c r="M9" s="824" t="s">
        <v>17</v>
      </c>
      <c r="N9" s="824" t="s">
        <v>18</v>
      </c>
      <c r="O9" s="819"/>
    </row>
    <row r="10" spans="1:15" ht="30" x14ac:dyDescent="0.25">
      <c r="A10" s="834">
        <v>10</v>
      </c>
      <c r="B10" s="506" t="s">
        <v>703</v>
      </c>
      <c r="C10" s="502" t="s">
        <v>705</v>
      </c>
      <c r="D10" s="789">
        <v>4.2</v>
      </c>
      <c r="E10" s="838">
        <f>J10*K10*L10</f>
        <v>3.7425600000000006</v>
      </c>
      <c r="F10" s="502" t="s">
        <v>78</v>
      </c>
      <c r="G10" s="502">
        <v>2.5</v>
      </c>
      <c r="H10" s="788" t="s">
        <v>30</v>
      </c>
      <c r="I10" s="512" t="s">
        <v>704</v>
      </c>
      <c r="J10" s="837">
        <f>460*1200/1000000</f>
        <v>0.55200000000000005</v>
      </c>
      <c r="K10" s="833">
        <f>2.5/1000</f>
        <v>2.5000000000000001E-3</v>
      </c>
      <c r="L10" s="836">
        <v>2712</v>
      </c>
      <c r="M10" s="835">
        <v>1</v>
      </c>
      <c r="N10" s="626">
        <f>IF(J10="",D10*M10,D10*J10*K10*L10*M10)</f>
        <v>15.718752000000004</v>
      </c>
      <c r="O10" s="823"/>
    </row>
    <row r="11" spans="1:15" ht="45" x14ac:dyDescent="0.25">
      <c r="A11" s="834">
        <v>20</v>
      </c>
      <c r="B11" s="506" t="s">
        <v>703</v>
      </c>
      <c r="C11" s="502" t="s">
        <v>702</v>
      </c>
      <c r="D11" s="789">
        <v>4.2</v>
      </c>
      <c r="E11" s="838">
        <f>J11*K11*L11</f>
        <v>0.10258079128948773</v>
      </c>
      <c r="F11" s="502" t="s">
        <v>78</v>
      </c>
      <c r="G11" s="502">
        <v>2</v>
      </c>
      <c r="H11" s="788" t="s">
        <v>30</v>
      </c>
      <c r="I11" s="512" t="s">
        <v>701</v>
      </c>
      <c r="J11" s="837">
        <f>(PI()*22.5*22.5-PI()*20.5*20.5)/1000000</f>
        <v>2.7017696820872241E-4</v>
      </c>
      <c r="K11" s="832">
        <v>0.14000000000000001</v>
      </c>
      <c r="L11" s="836">
        <v>2712</v>
      </c>
      <c r="M11" s="835">
        <v>1</v>
      </c>
      <c r="N11" s="626">
        <f>IF(J11="",D11*M11,D11*J11*K11*L11*M11)</f>
        <v>0.43083932341584852</v>
      </c>
      <c r="O11" s="823"/>
    </row>
    <row r="12" spans="1:15" x14ac:dyDescent="0.25">
      <c r="A12" s="834">
        <v>30</v>
      </c>
      <c r="B12" s="481" t="s">
        <v>631</v>
      </c>
      <c r="C12" s="502" t="s">
        <v>630</v>
      </c>
      <c r="D12" s="789">
        <v>1.85</v>
      </c>
      <c r="E12" s="502">
        <v>8</v>
      </c>
      <c r="F12" s="502" t="s">
        <v>30</v>
      </c>
      <c r="G12" s="502"/>
      <c r="H12" s="788"/>
      <c r="I12" s="512"/>
      <c r="J12" s="833"/>
      <c r="K12" s="832"/>
      <c r="L12" s="831"/>
      <c r="M12" s="830">
        <v>2</v>
      </c>
      <c r="N12" s="626">
        <f>IF(J12="",D12*M12,D12*J12*K12*L12*M12)</f>
        <v>3.7</v>
      </c>
      <c r="O12" s="823"/>
    </row>
    <row r="13" spans="1:15" s="764" customFormat="1" x14ac:dyDescent="0.25">
      <c r="A13" s="822"/>
      <c r="M13" s="821" t="s">
        <v>18</v>
      </c>
      <c r="N13" s="829">
        <f>SUM(N10:N12)</f>
        <v>19.849591323415851</v>
      </c>
      <c r="O13" s="819"/>
    </row>
    <row r="14" spans="1:15" x14ac:dyDescent="0.25">
      <c r="A14" s="828"/>
      <c r="O14" s="823"/>
    </row>
    <row r="15" spans="1:15" s="764" customFormat="1" x14ac:dyDescent="0.25">
      <c r="A15" s="825" t="s">
        <v>14</v>
      </c>
      <c r="B15" s="824" t="s">
        <v>31</v>
      </c>
      <c r="C15" s="824" t="s">
        <v>20</v>
      </c>
      <c r="D15" s="824" t="s">
        <v>21</v>
      </c>
      <c r="E15" s="824" t="s">
        <v>32</v>
      </c>
      <c r="F15" s="824" t="s">
        <v>17</v>
      </c>
      <c r="G15" s="824" t="s">
        <v>33</v>
      </c>
      <c r="H15" s="824" t="s">
        <v>34</v>
      </c>
      <c r="I15" s="824" t="s">
        <v>18</v>
      </c>
      <c r="O15" s="819"/>
    </row>
    <row r="16" spans="1:15" ht="30" x14ac:dyDescent="0.25">
      <c r="A16" s="622">
        <v>10</v>
      </c>
      <c r="B16" s="409" t="s">
        <v>700</v>
      </c>
      <c r="C16" s="625" t="s">
        <v>699</v>
      </c>
      <c r="D16" s="624">
        <v>1.3</v>
      </c>
      <c r="E16" s="409" t="s">
        <v>32</v>
      </c>
      <c r="F16" s="625">
        <v>1</v>
      </c>
      <c r="G16" s="625" t="s">
        <v>696</v>
      </c>
      <c r="H16" s="625">
        <v>1</v>
      </c>
      <c r="I16" s="626">
        <f>IF(H16="",D16*F16,D16*F16*H16)</f>
        <v>1.3</v>
      </c>
      <c r="O16" s="823"/>
    </row>
    <row r="17" spans="1:15" ht="30" x14ac:dyDescent="0.25">
      <c r="A17" s="627">
        <v>20</v>
      </c>
      <c r="B17" s="409" t="s">
        <v>231</v>
      </c>
      <c r="C17" s="419" t="s">
        <v>628</v>
      </c>
      <c r="D17" s="423">
        <v>0.01</v>
      </c>
      <c r="E17" s="419" t="s">
        <v>46</v>
      </c>
      <c r="F17" s="495">
        <v>178</v>
      </c>
      <c r="G17" s="409" t="s">
        <v>696</v>
      </c>
      <c r="H17" s="420">
        <v>1</v>
      </c>
      <c r="I17" s="626">
        <f>IF(H17="",D17*F17,D17*F17*H17)</f>
        <v>1.78</v>
      </c>
      <c r="O17" s="823"/>
    </row>
    <row r="18" spans="1:15" ht="30" x14ac:dyDescent="0.25">
      <c r="A18" s="622">
        <v>30</v>
      </c>
      <c r="B18" s="409" t="s">
        <v>231</v>
      </c>
      <c r="C18" s="419" t="s">
        <v>698</v>
      </c>
      <c r="D18" s="423">
        <v>0.01</v>
      </c>
      <c r="E18" s="419" t="s">
        <v>46</v>
      </c>
      <c r="F18" s="495">
        <v>128</v>
      </c>
      <c r="G18" s="409" t="s">
        <v>696</v>
      </c>
      <c r="H18" s="420">
        <v>1</v>
      </c>
      <c r="I18" s="626">
        <f>IF(H18="",D18*F18,D18*F18*H18)</f>
        <v>1.28</v>
      </c>
      <c r="O18" s="823"/>
    </row>
    <row r="19" spans="1:15" ht="30" x14ac:dyDescent="0.25">
      <c r="A19" s="622">
        <v>40</v>
      </c>
      <c r="B19" s="409" t="s">
        <v>231</v>
      </c>
      <c r="C19" s="419" t="s">
        <v>697</v>
      </c>
      <c r="D19" s="423">
        <v>0.01</v>
      </c>
      <c r="E19" s="419" t="s">
        <v>46</v>
      </c>
      <c r="F19" s="495">
        <v>180</v>
      </c>
      <c r="G19" s="409" t="s">
        <v>696</v>
      </c>
      <c r="H19" s="420">
        <v>1</v>
      </c>
      <c r="I19" s="626">
        <f>IF(H19="",D19*F19,D19*F19*H19)</f>
        <v>1.8</v>
      </c>
      <c r="O19" s="823"/>
    </row>
    <row r="20" spans="1:15" ht="30" x14ac:dyDescent="0.25">
      <c r="A20" s="627">
        <v>50</v>
      </c>
      <c r="B20" s="409" t="s">
        <v>231</v>
      </c>
      <c r="C20" s="419" t="s">
        <v>693</v>
      </c>
      <c r="D20" s="423">
        <v>0.01</v>
      </c>
      <c r="E20" s="419" t="s">
        <v>46</v>
      </c>
      <c r="F20" s="495">
        <v>42</v>
      </c>
      <c r="G20" s="409" t="s">
        <v>696</v>
      </c>
      <c r="H20" s="420">
        <v>1</v>
      </c>
      <c r="I20" s="626">
        <f>IF(H20="",D20*F20,D20*F20*H20)</f>
        <v>0.42</v>
      </c>
      <c r="O20" s="823"/>
    </row>
    <row r="21" spans="1:15" x14ac:dyDescent="0.25">
      <c r="A21" s="622">
        <v>60</v>
      </c>
      <c r="B21" s="409" t="s">
        <v>86</v>
      </c>
      <c r="C21" s="419" t="s">
        <v>695</v>
      </c>
      <c r="D21" s="423">
        <v>0.25</v>
      </c>
      <c r="E21" s="419" t="s">
        <v>692</v>
      </c>
      <c r="F21" s="495">
        <v>1</v>
      </c>
      <c r="G21" s="409"/>
      <c r="H21" s="420"/>
      <c r="I21" s="626">
        <f>IF(H21="",D21*F21,D21*F21*H21)</f>
        <v>0.25</v>
      </c>
      <c r="O21" s="823"/>
    </row>
    <row r="22" spans="1:15" x14ac:dyDescent="0.25">
      <c r="A22" s="622">
        <v>70</v>
      </c>
      <c r="B22" s="409" t="s">
        <v>86</v>
      </c>
      <c r="C22" s="419" t="s">
        <v>694</v>
      </c>
      <c r="D22" s="423">
        <v>0.25</v>
      </c>
      <c r="E22" s="419" t="s">
        <v>692</v>
      </c>
      <c r="F22" s="495">
        <v>2</v>
      </c>
      <c r="G22" s="409"/>
      <c r="H22" s="420"/>
      <c r="I22" s="626">
        <f>IF(H22="",D22*F22,D22*F22*H22)</f>
        <v>0.5</v>
      </c>
      <c r="O22" s="823"/>
    </row>
    <row r="23" spans="1:15" x14ac:dyDescent="0.25">
      <c r="A23" s="627">
        <v>80</v>
      </c>
      <c r="B23" s="409" t="s">
        <v>86</v>
      </c>
      <c r="C23" s="419" t="s">
        <v>693</v>
      </c>
      <c r="D23" s="423">
        <v>1.25</v>
      </c>
      <c r="E23" s="419" t="s">
        <v>692</v>
      </c>
      <c r="F23" s="495">
        <v>1</v>
      </c>
      <c r="G23" s="409"/>
      <c r="H23" s="420"/>
      <c r="I23" s="626">
        <f>IF(H23="",D23*F23,D23*F23*H23)</f>
        <v>1.25</v>
      </c>
      <c r="O23" s="823"/>
    </row>
    <row r="24" spans="1:15" x14ac:dyDescent="0.25">
      <c r="A24" s="622">
        <v>90</v>
      </c>
      <c r="B24" s="419" t="s">
        <v>478</v>
      </c>
      <c r="C24" s="420" t="s">
        <v>691</v>
      </c>
      <c r="D24" s="423">
        <v>0.15</v>
      </c>
      <c r="E24" s="409" t="s">
        <v>46</v>
      </c>
      <c r="F24" s="420">
        <v>4.5</v>
      </c>
      <c r="G24" s="409"/>
      <c r="H24" s="420"/>
      <c r="I24" s="626">
        <f>IF(H24="",D24*F24,D24*F24*H24)</f>
        <v>0.67499999999999993</v>
      </c>
      <c r="O24" s="823"/>
    </row>
    <row r="25" spans="1:15" ht="30" x14ac:dyDescent="0.25">
      <c r="A25" s="622">
        <v>100</v>
      </c>
      <c r="B25" s="419" t="s">
        <v>72</v>
      </c>
      <c r="C25" s="625" t="s">
        <v>690</v>
      </c>
      <c r="D25" s="423">
        <v>0.15</v>
      </c>
      <c r="E25" s="409" t="s">
        <v>46</v>
      </c>
      <c r="F25" s="507">
        <f>F17+F18+F19</f>
        <v>486</v>
      </c>
      <c r="G25" s="409"/>
      <c r="H25" s="420"/>
      <c r="I25" s="626">
        <f>IF(H25="",D25*F25,D25*F25*H25)</f>
        <v>72.899999999999991</v>
      </c>
      <c r="O25" s="823"/>
    </row>
    <row r="26" spans="1:15" s="764" customFormat="1" x14ac:dyDescent="0.25">
      <c r="A26" s="822"/>
      <c r="H26" s="821" t="s">
        <v>18</v>
      </c>
      <c r="I26" s="829">
        <f>SUM(I16:I25)</f>
        <v>82.154999999999987</v>
      </c>
      <c r="O26" s="819"/>
    </row>
    <row r="27" spans="1:15" x14ac:dyDescent="0.25">
      <c r="A27" s="828"/>
      <c r="H27" s="827"/>
      <c r="I27" s="826"/>
      <c r="O27" s="823"/>
    </row>
    <row r="28" spans="1:15" s="764" customFormat="1" x14ac:dyDescent="0.25">
      <c r="A28" s="825" t="s">
        <v>14</v>
      </c>
      <c r="B28" s="824" t="s">
        <v>39</v>
      </c>
      <c r="C28" s="824" t="s">
        <v>20</v>
      </c>
      <c r="D28" s="824" t="s">
        <v>21</v>
      </c>
      <c r="E28" s="824" t="s">
        <v>32</v>
      </c>
      <c r="F28" s="824" t="s">
        <v>17</v>
      </c>
      <c r="G28" s="824" t="s">
        <v>40</v>
      </c>
      <c r="H28" s="824" t="s">
        <v>476</v>
      </c>
      <c r="I28" s="824" t="s">
        <v>18</v>
      </c>
      <c r="O28" s="819"/>
    </row>
    <row r="29" spans="1:15" x14ac:dyDescent="0.25">
      <c r="A29" s="627">
        <v>10</v>
      </c>
      <c r="B29" s="419" t="s">
        <v>42</v>
      </c>
      <c r="C29" s="419"/>
      <c r="D29" s="398">
        <v>500</v>
      </c>
      <c r="E29" s="419" t="s">
        <v>655</v>
      </c>
      <c r="F29" s="419">
        <v>10</v>
      </c>
      <c r="G29" s="419">
        <v>3000</v>
      </c>
      <c r="H29" s="419">
        <v>1</v>
      </c>
      <c r="I29" s="626">
        <f>D29*F29/G29*H29</f>
        <v>1.6666666666666667</v>
      </c>
      <c r="O29" s="823"/>
    </row>
    <row r="30" spans="1:15" s="764" customFormat="1" x14ac:dyDescent="0.25">
      <c r="A30" s="822"/>
      <c r="H30" s="821" t="s">
        <v>18</v>
      </c>
      <c r="I30" s="820">
        <f>SUM(I29:I29)</f>
        <v>1.6666666666666667</v>
      </c>
      <c r="O30" s="819"/>
    </row>
    <row r="31" spans="1:15" ht="15.75" thickBot="1" x14ac:dyDescent="0.3">
      <c r="A31" s="818"/>
      <c r="B31" s="815"/>
      <c r="C31" s="815"/>
      <c r="D31" s="815"/>
      <c r="E31" s="815"/>
      <c r="F31" s="815"/>
      <c r="G31" s="815"/>
      <c r="H31" s="817"/>
      <c r="I31" s="816"/>
      <c r="J31" s="815"/>
      <c r="K31" s="815"/>
      <c r="L31" s="815"/>
      <c r="M31" s="815"/>
      <c r="N31" s="815"/>
      <c r="O31" s="814"/>
    </row>
  </sheetData>
  <hyperlinks>
    <hyperlink ref="F1" location="EN_A0500_BOM" display="Back to BOM" xr:uid="{00000000-0004-0000-0100-000000000000}"/>
    <hyperlink ref="B3" location="'EN A0005'!A1" display="Fuel Tank Assembly" xr:uid="{00000000-0004-0000-0100-000001000000}"/>
    <hyperlink ref="D2" location="'EN 05001 Drawing'!A1" display="FileLink1" xr:uid="{00000000-0004-0000-0100-000002000000}"/>
  </hyperlinks>
  <printOptions horizontalCentered="1"/>
  <pageMargins left="0.3" right="0.3" top="0.3" bottom="0.4" header="0.2" footer="0.2"/>
  <pageSetup paperSize="9" scale="70" orientation="landscape" horizontalDpi="0" verticalDpi="0"/>
  <headerFooter>
    <oddFooter>Page &amp;P</oddFooter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402F-EA95-4C4C-BCDA-1B99290ED459}">
  <sheetPr>
    <tabColor rgb="FFC4D79B"/>
    <pageSetUpPr fitToPage="1"/>
  </sheetPr>
  <dimension ref="A1"/>
  <sheetViews>
    <sheetView zoomScale="49" zoomScaleNormal="49" zoomScalePageLayoutView="49" workbookViewId="0">
      <selection activeCell="B5" sqref="B5"/>
    </sheetView>
  </sheetViews>
  <sheetFormatPr baseColWidth="10" defaultRowHeight="15" x14ac:dyDescent="0.25"/>
  <cols>
    <col min="1" max="16384" width="11.42578125" style="852"/>
  </cols>
  <sheetData>
    <row r="1" spans="1:1" ht="19.149999999999999" customHeight="1" x14ac:dyDescent="0.25">
      <c r="A1" s="706" t="s">
        <v>706</v>
      </c>
    </row>
  </sheetData>
  <hyperlinks>
    <hyperlink ref="A1" location="'EN 05001'!A1" display="EN 05001" xr:uid="{00000000-0004-0000-0200-000000000000}"/>
  </hyperlinks>
  <printOptions horizontalCentered="1"/>
  <pageMargins left="0.3" right="0.3" top="0.3" bottom="0.4" header="0.2" footer="0.2"/>
  <pageSetup paperSize="9" scale="93" orientation="landscape" horizontalDpi="0" verticalDpi="0"/>
  <headerFooter>
    <oddFooter>Page &amp;P</oddFooter>
  </headerFooter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BD0E9-47C9-4E49-84F9-1088326BBDC5}">
  <sheetPr>
    <tabColor rgb="FFC4D79B"/>
    <pageSetUpPr fitToPage="1"/>
  </sheetPr>
  <dimension ref="A1:O23"/>
  <sheetViews>
    <sheetView zoomScale="70" zoomScaleNormal="70" zoomScalePageLayoutView="49" workbookViewId="0">
      <selection activeCell="B7" sqref="B7"/>
    </sheetView>
  </sheetViews>
  <sheetFormatPr baseColWidth="10" defaultColWidth="7.7109375" defaultRowHeight="15" x14ac:dyDescent="0.25"/>
  <cols>
    <col min="1" max="1" width="11.85546875" style="761" customWidth="1"/>
    <col min="2" max="2" width="50.28515625" style="761" customWidth="1"/>
    <col min="3" max="3" width="22" style="761" customWidth="1"/>
    <col min="4" max="4" width="11.42578125" style="761" customWidth="1"/>
    <col min="5" max="5" width="10.42578125" style="761" customWidth="1"/>
    <col min="6" max="6" width="12" style="761" bestFit="1" customWidth="1"/>
    <col min="7" max="7" width="20" style="761" bestFit="1" customWidth="1"/>
    <col min="8" max="8" width="9.7109375" style="761" bestFit="1" customWidth="1"/>
    <col min="9" max="9" width="25.7109375" style="761" bestFit="1" customWidth="1"/>
    <col min="10" max="10" width="8.7109375" style="761" bestFit="1" customWidth="1"/>
    <col min="11" max="11" width="9.42578125" style="761" customWidth="1"/>
    <col min="12" max="12" width="7.7109375" style="761" bestFit="1" customWidth="1"/>
    <col min="13" max="13" width="13.7109375" style="761" bestFit="1" customWidth="1"/>
    <col min="14" max="14" width="13.28515625" style="761" customWidth="1"/>
    <col min="15" max="15" width="7.7109375" style="761"/>
    <col min="16" max="16" width="7.7109375" style="761" bestFit="1" customWidth="1"/>
    <col min="17" max="18" width="7.7109375" style="761"/>
    <col min="19" max="19" width="8.7109375" style="761" bestFit="1" customWidth="1"/>
    <col min="20" max="20" width="7.7109375" style="761" bestFit="1" customWidth="1"/>
    <col min="21" max="21" width="7.7109375" style="761"/>
    <col min="22" max="22" width="7.7109375" style="761" bestFit="1" customWidth="1"/>
    <col min="23" max="23" width="7.7109375" style="761"/>
    <col min="24" max="25" width="8.42578125" style="761" bestFit="1" customWidth="1"/>
    <col min="26" max="28" width="7.7109375" style="761" bestFit="1" customWidth="1"/>
    <col min="29" max="16384" width="7.7109375" style="761"/>
  </cols>
  <sheetData>
    <row r="1" spans="1:15" x14ac:dyDescent="0.25">
      <c r="A1" s="851" t="s">
        <v>0</v>
      </c>
      <c r="B1" s="848" t="s">
        <v>44</v>
      </c>
      <c r="C1" s="848"/>
      <c r="D1" s="848"/>
      <c r="E1" s="848"/>
      <c r="F1" s="747" t="s">
        <v>69</v>
      </c>
      <c r="G1" s="848"/>
      <c r="H1" s="848"/>
      <c r="I1" s="848"/>
      <c r="J1" s="850" t="s">
        <v>1</v>
      </c>
      <c r="K1" s="849">
        <v>81</v>
      </c>
      <c r="L1" s="848"/>
      <c r="M1" s="847" t="s">
        <v>16</v>
      </c>
      <c r="N1" s="846">
        <f>N14+I22</f>
        <v>31.684274971513588</v>
      </c>
      <c r="O1" s="845"/>
    </row>
    <row r="2" spans="1:15" x14ac:dyDescent="0.25">
      <c r="A2" s="1173" t="s">
        <v>3</v>
      </c>
      <c r="B2" s="761" t="s">
        <v>279</v>
      </c>
      <c r="D2" s="1174" t="s">
        <v>6</v>
      </c>
      <c r="M2" s="1174" t="s">
        <v>4</v>
      </c>
      <c r="N2" s="843">
        <v>1</v>
      </c>
      <c r="O2" s="823"/>
    </row>
    <row r="3" spans="1:15" x14ac:dyDescent="0.25">
      <c r="A3" s="1173" t="s">
        <v>5</v>
      </c>
      <c r="B3" s="813" t="s">
        <v>689</v>
      </c>
      <c r="D3" s="1174" t="s">
        <v>8</v>
      </c>
      <c r="J3" s="1174" t="s">
        <v>6</v>
      </c>
      <c r="O3" s="823"/>
    </row>
    <row r="4" spans="1:15" x14ac:dyDescent="0.25">
      <c r="A4" s="1173" t="s">
        <v>15</v>
      </c>
      <c r="B4" s="761" t="s">
        <v>685</v>
      </c>
      <c r="D4" s="1174" t="s">
        <v>12</v>
      </c>
      <c r="J4" s="1174" t="s">
        <v>8</v>
      </c>
      <c r="M4" s="1174" t="s">
        <v>9</v>
      </c>
      <c r="N4" s="842">
        <f>N1*N2</f>
        <v>31.684274971513588</v>
      </c>
      <c r="O4" s="823"/>
    </row>
    <row r="5" spans="1:15" x14ac:dyDescent="0.25">
      <c r="A5" s="1173" t="s">
        <v>7</v>
      </c>
      <c r="B5" s="809" t="s">
        <v>719</v>
      </c>
      <c r="J5" s="1174" t="s">
        <v>12</v>
      </c>
      <c r="M5" s="840"/>
      <c r="O5" s="823"/>
    </row>
    <row r="6" spans="1:15" x14ac:dyDescent="0.25">
      <c r="A6" s="1173" t="s">
        <v>10</v>
      </c>
      <c r="B6" s="761" t="s">
        <v>11</v>
      </c>
      <c r="O6" s="823"/>
    </row>
    <row r="7" spans="1:15" x14ac:dyDescent="0.25">
      <c r="A7" s="1173" t="s">
        <v>13</v>
      </c>
      <c r="O7" s="823"/>
    </row>
    <row r="8" spans="1:15" x14ac:dyDescent="0.25">
      <c r="A8" s="828"/>
      <c r="O8" s="823"/>
    </row>
    <row r="9" spans="1:15" s="764" customFormat="1" x14ac:dyDescent="0.25">
      <c r="A9" s="1175" t="s">
        <v>14</v>
      </c>
      <c r="B9" s="1176" t="s">
        <v>19</v>
      </c>
      <c r="C9" s="1176" t="s">
        <v>20</v>
      </c>
      <c r="D9" s="1176" t="s">
        <v>21</v>
      </c>
      <c r="E9" s="1176" t="s">
        <v>22</v>
      </c>
      <c r="F9" s="1176" t="s">
        <v>23</v>
      </c>
      <c r="G9" s="1176" t="s">
        <v>24</v>
      </c>
      <c r="H9" s="1176" t="s">
        <v>25</v>
      </c>
      <c r="I9" s="1176" t="s">
        <v>26</v>
      </c>
      <c r="J9" s="1176" t="s">
        <v>27</v>
      </c>
      <c r="K9" s="1176" t="s">
        <v>28</v>
      </c>
      <c r="L9" s="1176" t="s">
        <v>29</v>
      </c>
      <c r="M9" s="1176" t="s">
        <v>17</v>
      </c>
      <c r="N9" s="1176" t="s">
        <v>18</v>
      </c>
      <c r="O9" s="819"/>
    </row>
    <row r="10" spans="1:15" ht="30" x14ac:dyDescent="0.25">
      <c r="A10" s="1177">
        <v>10</v>
      </c>
      <c r="B10" s="1178" t="s">
        <v>718</v>
      </c>
      <c r="C10" s="1179" t="s">
        <v>717</v>
      </c>
      <c r="D10" s="651">
        <v>4.2</v>
      </c>
      <c r="E10" s="1180">
        <f>J10*K10*L10</f>
        <v>7.9874993217520493E-2</v>
      </c>
      <c r="F10" s="1181" t="s">
        <v>78</v>
      </c>
      <c r="G10" s="1181"/>
      <c r="H10" s="678"/>
      <c r="I10" s="1182" t="s">
        <v>716</v>
      </c>
      <c r="J10" s="702">
        <f>PI()*50*50/4/1000000</f>
        <v>1.9634954084936209E-3</v>
      </c>
      <c r="K10" s="676">
        <v>1.4999999999999999E-2</v>
      </c>
      <c r="L10" s="674">
        <v>2712</v>
      </c>
      <c r="M10" s="674">
        <v>1</v>
      </c>
      <c r="N10" s="691">
        <f>IF(J10="",D10*M10,D10*J10*K10*L10*M10)</f>
        <v>0.33547497151358602</v>
      </c>
      <c r="O10" s="823"/>
    </row>
    <row r="11" spans="1:15" x14ac:dyDescent="0.25">
      <c r="A11" s="1177">
        <v>20</v>
      </c>
      <c r="B11" s="1178" t="s">
        <v>715</v>
      </c>
      <c r="C11" s="1179"/>
      <c r="D11" s="651">
        <v>15</v>
      </c>
      <c r="E11" s="1181"/>
      <c r="F11" s="1181"/>
      <c r="G11" s="1181"/>
      <c r="H11" s="678"/>
      <c r="I11" s="1183"/>
      <c r="J11" s="675"/>
      <c r="K11" s="678"/>
      <c r="L11" s="678"/>
      <c r="M11" s="674">
        <v>1</v>
      </c>
      <c r="N11" s="691">
        <f>IF(J11="",D11*M11,D11*J11*K11*L11*M11)</f>
        <v>15</v>
      </c>
      <c r="O11" s="823"/>
    </row>
    <row r="12" spans="1:15" x14ac:dyDescent="0.25">
      <c r="A12" s="1177">
        <v>30</v>
      </c>
      <c r="B12" s="1178" t="s">
        <v>714</v>
      </c>
      <c r="C12" s="856"/>
      <c r="D12" s="651">
        <f>0.18*E12</f>
        <v>2.52</v>
      </c>
      <c r="E12" s="1181">
        <v>14</v>
      </c>
      <c r="F12" s="1181" t="s">
        <v>30</v>
      </c>
      <c r="G12" s="1181"/>
      <c r="H12" s="678"/>
      <c r="I12" s="1183"/>
      <c r="J12" s="675"/>
      <c r="K12" s="678">
        <v>0.59</v>
      </c>
      <c r="L12" s="678"/>
      <c r="M12" s="674">
        <v>1</v>
      </c>
      <c r="N12" s="691">
        <f>K12*D12</f>
        <v>1.4867999999999999</v>
      </c>
      <c r="O12" s="823"/>
    </row>
    <row r="13" spans="1:15" ht="28.9" customHeight="1" x14ac:dyDescent="0.25">
      <c r="A13" s="1177">
        <v>40</v>
      </c>
      <c r="B13" s="1184" t="s">
        <v>713</v>
      </c>
      <c r="C13" s="1185" t="s">
        <v>712</v>
      </c>
      <c r="D13" s="651">
        <f>0.032*E13*G13+1.33</f>
        <v>7.6020000000000003</v>
      </c>
      <c r="E13" s="1181">
        <v>14</v>
      </c>
      <c r="F13" s="1181" t="s">
        <v>30</v>
      </c>
      <c r="G13" s="1181">
        <v>14</v>
      </c>
      <c r="H13" s="678" t="s">
        <v>30</v>
      </c>
      <c r="I13" s="1183"/>
      <c r="J13" s="675"/>
      <c r="K13" s="678"/>
      <c r="L13" s="678"/>
      <c r="M13" s="674">
        <v>1</v>
      </c>
      <c r="N13" s="691">
        <f>M13*D13</f>
        <v>7.6020000000000003</v>
      </c>
      <c r="O13" s="823"/>
    </row>
    <row r="14" spans="1:15" s="764" customFormat="1" x14ac:dyDescent="0.25">
      <c r="A14" s="822"/>
      <c r="M14" s="854" t="s">
        <v>18</v>
      </c>
      <c r="N14" s="853">
        <f>SUM(N10:N13)</f>
        <v>24.424274971513587</v>
      </c>
      <c r="O14" s="819"/>
    </row>
    <row r="15" spans="1:15" x14ac:dyDescent="0.25">
      <c r="A15" s="828"/>
      <c r="O15" s="823"/>
    </row>
    <row r="16" spans="1:15" s="764" customFormat="1" x14ac:dyDescent="0.25">
      <c r="A16" s="1175" t="s">
        <v>14</v>
      </c>
      <c r="B16" s="1176" t="s">
        <v>31</v>
      </c>
      <c r="C16" s="1176" t="s">
        <v>20</v>
      </c>
      <c r="D16" s="1176" t="s">
        <v>21</v>
      </c>
      <c r="E16" s="1176" t="s">
        <v>32</v>
      </c>
      <c r="F16" s="1176" t="s">
        <v>17</v>
      </c>
      <c r="G16" s="1176" t="s">
        <v>33</v>
      </c>
      <c r="H16" s="1176" t="s">
        <v>34</v>
      </c>
      <c r="I16" s="1176" t="s">
        <v>18</v>
      </c>
      <c r="O16" s="819"/>
    </row>
    <row r="17" spans="1:15" x14ac:dyDescent="0.25">
      <c r="A17" s="1186">
        <v>10</v>
      </c>
      <c r="B17" s="671" t="s">
        <v>711</v>
      </c>
      <c r="C17" s="1187"/>
      <c r="D17" s="651">
        <v>1.3</v>
      </c>
      <c r="E17" s="671" t="s">
        <v>32</v>
      </c>
      <c r="F17" s="1187">
        <v>1</v>
      </c>
      <c r="G17" s="1187"/>
      <c r="H17" s="1187"/>
      <c r="I17" s="691">
        <f>IF(H17="",D17*F17,D17*F17*H17)</f>
        <v>1.3</v>
      </c>
      <c r="O17" s="823"/>
    </row>
    <row r="18" spans="1:15" ht="30" x14ac:dyDescent="0.25">
      <c r="A18" s="1177">
        <v>20</v>
      </c>
      <c r="B18" s="1181" t="s">
        <v>79</v>
      </c>
      <c r="C18" s="1181"/>
      <c r="D18" s="651">
        <v>0.04</v>
      </c>
      <c r="E18" s="1181" t="s">
        <v>81</v>
      </c>
      <c r="F18" s="1188">
        <v>12</v>
      </c>
      <c r="G18" s="671" t="s">
        <v>308</v>
      </c>
      <c r="H18" s="1187">
        <v>1</v>
      </c>
      <c r="I18" s="691">
        <f>IF(H18="",D18*F18,D18*F18*H18)</f>
        <v>0.48</v>
      </c>
      <c r="O18" s="823"/>
    </row>
    <row r="19" spans="1:15" ht="30" x14ac:dyDescent="0.25">
      <c r="A19" s="1177">
        <v>30</v>
      </c>
      <c r="B19" s="1181" t="s">
        <v>710</v>
      </c>
      <c r="C19" s="1181"/>
      <c r="D19" s="651">
        <v>0.1</v>
      </c>
      <c r="E19" s="1181" t="s">
        <v>46</v>
      </c>
      <c r="F19" s="1188">
        <v>50</v>
      </c>
      <c r="G19" s="671" t="s">
        <v>308</v>
      </c>
      <c r="H19" s="1187">
        <v>1</v>
      </c>
      <c r="I19" s="691">
        <f>IF(H19="",D19*F19,D19*F19*H19)</f>
        <v>5</v>
      </c>
      <c r="O19" s="823"/>
    </row>
    <row r="20" spans="1:15" ht="30" x14ac:dyDescent="0.25">
      <c r="A20" s="1177">
        <v>40</v>
      </c>
      <c r="B20" s="1181" t="s">
        <v>289</v>
      </c>
      <c r="C20" s="1189" t="s">
        <v>709</v>
      </c>
      <c r="D20" s="651">
        <v>0.35</v>
      </c>
      <c r="E20" s="1181" t="s">
        <v>217</v>
      </c>
      <c r="F20" s="1188">
        <v>1</v>
      </c>
      <c r="G20" s="671"/>
      <c r="H20" s="1187"/>
      <c r="I20" s="691">
        <f>IF(H20="",D20*F20,D20*F20*H20)</f>
        <v>0.35</v>
      </c>
      <c r="O20" s="823"/>
    </row>
    <row r="21" spans="1:15" ht="30" x14ac:dyDescent="0.25">
      <c r="A21" s="1177">
        <v>50</v>
      </c>
      <c r="B21" s="1181" t="s">
        <v>88</v>
      </c>
      <c r="C21" s="1189" t="s">
        <v>708</v>
      </c>
      <c r="D21" s="651">
        <v>0.13</v>
      </c>
      <c r="E21" s="1181" t="s">
        <v>32</v>
      </c>
      <c r="F21" s="1188">
        <v>1</v>
      </c>
      <c r="G21" s="671"/>
      <c r="H21" s="1187"/>
      <c r="I21" s="691">
        <f>IF(H21="",D21*F21,D21*F21*H21)</f>
        <v>0.13</v>
      </c>
      <c r="O21" s="823"/>
    </row>
    <row r="22" spans="1:15" s="764" customFormat="1" x14ac:dyDescent="0.25">
      <c r="A22" s="822"/>
      <c r="H22" s="1190" t="s">
        <v>18</v>
      </c>
      <c r="I22" s="1191">
        <f>SUM(I17:I21)</f>
        <v>7.26</v>
      </c>
      <c r="O22" s="819"/>
    </row>
    <row r="23" spans="1:15" ht="15.75" thickBot="1" x14ac:dyDescent="0.3">
      <c r="A23" s="818"/>
      <c r="B23" s="815"/>
      <c r="C23" s="815"/>
      <c r="D23" s="815"/>
      <c r="E23" s="815"/>
      <c r="F23" s="815"/>
      <c r="G23" s="815"/>
      <c r="H23" s="815"/>
      <c r="I23" s="815"/>
      <c r="J23" s="815"/>
      <c r="K23" s="815"/>
      <c r="L23" s="815"/>
      <c r="M23" s="815"/>
      <c r="N23" s="815"/>
      <c r="O23" s="814"/>
    </row>
  </sheetData>
  <hyperlinks>
    <hyperlink ref="F1" location="EN_A0500_BOM" display="Back to BOM" xr:uid="{00000000-0004-0000-0300-000000000000}"/>
    <hyperlink ref="B3" location="'EN A0005'!A1" display="Fuel Tank Assembly" xr:uid="{00000000-0004-0000-0300-000001000000}"/>
  </hyperlinks>
  <printOptions horizontalCentered="1"/>
  <pageMargins left="0.3" right="0.3" top="0.3" bottom="0.4" header="0.2" footer="0.2"/>
  <pageSetup paperSize="9" scale="63" orientation="landscape" horizontalDpi="0" verticalDpi="0"/>
  <headerFooter>
    <oddFooter>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EFA5-A2A4-4279-BB02-CDD5DA1E6242}">
  <sheetPr>
    <tabColor rgb="FFC4D79B"/>
    <pageSetUpPr fitToPage="1"/>
  </sheetPr>
  <dimension ref="A1:B1"/>
  <sheetViews>
    <sheetView zoomScale="49" zoomScaleNormal="49" zoomScalePageLayoutView="49" workbookViewId="0">
      <selection activeCell="B1" sqref="B1"/>
    </sheetView>
  </sheetViews>
  <sheetFormatPr baseColWidth="10" defaultColWidth="11.5703125" defaultRowHeight="15" x14ac:dyDescent="0.25"/>
  <cols>
    <col min="1" max="1" width="15.7109375" style="705" customWidth="1"/>
    <col min="2" max="16384" width="11.5703125" style="705"/>
  </cols>
  <sheetData>
    <row r="1" spans="1:2" x14ac:dyDescent="0.25">
      <c r="A1" s="705" t="s">
        <v>654</v>
      </c>
      <c r="B1" s="706" t="s">
        <v>648</v>
      </c>
    </row>
  </sheetData>
  <hyperlinks>
    <hyperlink ref="B1" location="'EN 01002'!A1" display="EN 01002" xr:uid="{00000000-0004-0000-0500-000000000000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BD53-EC11-49F9-94E4-69ABBA0AB952}">
  <sheetPr>
    <tabColor rgb="FFC4D79B"/>
    <pageSetUpPr fitToPage="1"/>
  </sheetPr>
  <dimension ref="A1:O41"/>
  <sheetViews>
    <sheetView zoomScale="70" zoomScaleNormal="70" workbookViewId="0">
      <selection activeCell="F1" sqref="F1"/>
    </sheetView>
  </sheetViews>
  <sheetFormatPr baseColWidth="10" defaultColWidth="7.7109375" defaultRowHeight="15" x14ac:dyDescent="0.25"/>
  <cols>
    <col min="1" max="1" width="10.28515625" style="761" bestFit="1" customWidth="1"/>
    <col min="2" max="2" width="56.42578125" style="761" bestFit="1" customWidth="1"/>
    <col min="3" max="3" width="28" style="761" customWidth="1"/>
    <col min="4" max="4" width="10" style="761" customWidth="1"/>
    <col min="5" max="5" width="5.7109375" style="761" bestFit="1" customWidth="1"/>
    <col min="6" max="6" width="12" style="761" bestFit="1" customWidth="1"/>
    <col min="7" max="7" width="19.42578125" style="761" bestFit="1" customWidth="1"/>
    <col min="8" max="8" width="12.5703125" style="761" customWidth="1"/>
    <col min="9" max="9" width="16.140625" style="761" bestFit="1" customWidth="1"/>
    <col min="10" max="10" width="12.5703125" style="761" customWidth="1"/>
    <col min="11" max="11" width="7" style="761" bestFit="1" customWidth="1"/>
    <col min="12" max="12" width="7.7109375" style="761" bestFit="1" customWidth="1"/>
    <col min="13" max="13" width="13.7109375" style="761" bestFit="1" customWidth="1"/>
    <col min="14" max="14" width="11" style="761" customWidth="1"/>
    <col min="15" max="15" width="7.7109375" style="761"/>
    <col min="16" max="16" width="7.7109375" style="761" bestFit="1" customWidth="1"/>
    <col min="17" max="18" width="7.7109375" style="761"/>
    <col min="19" max="19" width="8.7109375" style="761" bestFit="1" customWidth="1"/>
    <col min="20" max="20" width="7.7109375" style="761" bestFit="1" customWidth="1"/>
    <col min="21" max="21" width="7.7109375" style="761"/>
    <col min="22" max="22" width="7.7109375" style="761" bestFit="1" customWidth="1"/>
    <col min="23" max="23" width="7.7109375" style="761"/>
    <col min="24" max="25" width="8.42578125" style="761" bestFit="1" customWidth="1"/>
    <col min="26" max="28" width="7.7109375" style="761" bestFit="1" customWidth="1"/>
    <col min="29" max="16384" width="7.7109375" style="761"/>
  </cols>
  <sheetData>
    <row r="1" spans="1:15" x14ac:dyDescent="0.25">
      <c r="A1" s="851" t="s">
        <v>0</v>
      </c>
      <c r="B1" s="848" t="s">
        <v>44</v>
      </c>
      <c r="C1" s="848"/>
      <c r="D1" s="848"/>
      <c r="E1" s="848"/>
      <c r="F1" s="747" t="s">
        <v>69</v>
      </c>
      <c r="G1" s="848"/>
      <c r="H1" s="848"/>
      <c r="I1" s="848"/>
      <c r="J1" s="850" t="s">
        <v>1</v>
      </c>
      <c r="K1" s="849">
        <v>81</v>
      </c>
      <c r="L1" s="848"/>
      <c r="M1" s="847" t="s">
        <v>16</v>
      </c>
      <c r="N1" s="846">
        <f>N15+I30+J36+I40</f>
        <v>18.357814563839998</v>
      </c>
      <c r="O1" s="845"/>
    </row>
    <row r="2" spans="1:15" x14ac:dyDescent="0.25">
      <c r="A2" s="839" t="s">
        <v>3</v>
      </c>
      <c r="B2" s="761" t="s">
        <v>279</v>
      </c>
      <c r="C2" s="866"/>
      <c r="D2" s="865" t="s">
        <v>6</v>
      </c>
      <c r="M2" s="841" t="s">
        <v>4</v>
      </c>
      <c r="N2" s="843">
        <v>1</v>
      </c>
      <c r="O2" s="823"/>
    </row>
    <row r="3" spans="1:15" x14ac:dyDescent="0.25">
      <c r="A3" s="839" t="s">
        <v>5</v>
      </c>
      <c r="B3" s="813" t="s">
        <v>689</v>
      </c>
      <c r="D3" s="841" t="s">
        <v>8</v>
      </c>
      <c r="J3" s="841" t="s">
        <v>6</v>
      </c>
      <c r="O3" s="823"/>
    </row>
    <row r="4" spans="1:15" x14ac:dyDescent="0.25">
      <c r="A4" s="839" t="s">
        <v>15</v>
      </c>
      <c r="B4" s="761" t="s">
        <v>684</v>
      </c>
      <c r="D4" s="841" t="s">
        <v>12</v>
      </c>
      <c r="J4" s="841" t="s">
        <v>8</v>
      </c>
      <c r="M4" s="841" t="s">
        <v>9</v>
      </c>
      <c r="N4" s="842">
        <f>N1*N2</f>
        <v>18.357814563839998</v>
      </c>
      <c r="O4" s="823"/>
    </row>
    <row r="5" spans="1:15" x14ac:dyDescent="0.25">
      <c r="A5" s="839" t="s">
        <v>7</v>
      </c>
      <c r="B5" s="809" t="s">
        <v>737</v>
      </c>
      <c r="J5" s="841" t="s">
        <v>12</v>
      </c>
      <c r="O5" s="823"/>
    </row>
    <row r="6" spans="1:15" x14ac:dyDescent="0.25">
      <c r="A6" s="839" t="s">
        <v>10</v>
      </c>
      <c r="B6" s="761" t="s">
        <v>11</v>
      </c>
      <c r="O6" s="823"/>
    </row>
    <row r="7" spans="1:15" x14ac:dyDescent="0.25">
      <c r="A7" s="839" t="s">
        <v>13</v>
      </c>
      <c r="O7" s="823"/>
    </row>
    <row r="8" spans="1:15" x14ac:dyDescent="0.25">
      <c r="A8" s="828"/>
      <c r="O8" s="823"/>
    </row>
    <row r="9" spans="1:15" s="764" customFormat="1" x14ac:dyDescent="0.25">
      <c r="A9" s="825" t="s">
        <v>14</v>
      </c>
      <c r="B9" s="824" t="s">
        <v>19</v>
      </c>
      <c r="C9" s="824" t="s">
        <v>20</v>
      </c>
      <c r="D9" s="824" t="s">
        <v>21</v>
      </c>
      <c r="E9" s="824" t="s">
        <v>22</v>
      </c>
      <c r="F9" s="824"/>
      <c r="G9" s="824" t="s">
        <v>24</v>
      </c>
      <c r="H9" s="824" t="s">
        <v>25</v>
      </c>
      <c r="I9" s="824" t="s">
        <v>26</v>
      </c>
      <c r="J9" s="824" t="s">
        <v>27</v>
      </c>
      <c r="K9" s="824" t="s">
        <v>28</v>
      </c>
      <c r="L9" s="824" t="s">
        <v>29</v>
      </c>
      <c r="M9" s="824" t="s">
        <v>17</v>
      </c>
      <c r="N9" s="824" t="s">
        <v>18</v>
      </c>
      <c r="O9" s="819"/>
    </row>
    <row r="10" spans="1:15" ht="45" x14ac:dyDescent="0.25">
      <c r="A10" s="834">
        <v>10</v>
      </c>
      <c r="B10" s="481" t="s">
        <v>703</v>
      </c>
      <c r="C10" s="514" t="s">
        <v>731</v>
      </c>
      <c r="D10" s="789">
        <f>4.2</f>
        <v>4.2</v>
      </c>
      <c r="E10" s="838">
        <f>J10*K10*L10</f>
        <v>8.2431782400000042E-2</v>
      </c>
      <c r="F10" s="502" t="s">
        <v>78</v>
      </c>
      <c r="G10" s="502"/>
      <c r="H10" s="788"/>
      <c r="I10" s="512" t="s">
        <v>736</v>
      </c>
      <c r="J10" s="833">
        <f>(3.14*22.5*22.5-3.14*21.5*21.5)/1000000</f>
        <v>1.3816000000000007E-4</v>
      </c>
      <c r="K10" s="832">
        <v>0.22</v>
      </c>
      <c r="L10" s="864">
        <v>2712</v>
      </c>
      <c r="M10" s="489">
        <v>1</v>
      </c>
      <c r="N10" s="863">
        <f>IF(J10="",D10*M10,D10*J10*K10*L10*M10)</f>
        <v>0.34621348608000019</v>
      </c>
      <c r="O10" s="823"/>
    </row>
    <row r="11" spans="1:15" ht="30" x14ac:dyDescent="0.25">
      <c r="A11" s="834">
        <v>20</v>
      </c>
      <c r="B11" s="481" t="s">
        <v>703</v>
      </c>
      <c r="C11" s="514" t="s">
        <v>730</v>
      </c>
      <c r="D11" s="789">
        <f>4.2</f>
        <v>4.2</v>
      </c>
      <c r="E11" s="838">
        <f>J11*K11*L11</f>
        <v>1.6690732800000014E-2</v>
      </c>
      <c r="F11" s="502" t="s">
        <v>78</v>
      </c>
      <c r="G11" s="502"/>
      <c r="H11" s="788"/>
      <c r="I11" s="512"/>
      <c r="J11" s="833">
        <f>(3.14*25*25-3.14*24*24)/1000000</f>
        <v>1.5386000000000013E-4</v>
      </c>
      <c r="K11" s="832">
        <v>0.04</v>
      </c>
      <c r="L11" s="864">
        <v>2712</v>
      </c>
      <c r="M11" s="489">
        <v>1</v>
      </c>
      <c r="N11" s="863">
        <f>IF(J11="",D11*M11,D11*J11*K11*L11*M11)</f>
        <v>7.0101077760000061E-2</v>
      </c>
      <c r="O11" s="823"/>
    </row>
    <row r="12" spans="1:15" ht="45" x14ac:dyDescent="0.25">
      <c r="A12" s="834">
        <v>30</v>
      </c>
      <c r="B12" s="481" t="s">
        <v>703</v>
      </c>
      <c r="C12" s="514" t="s">
        <v>728</v>
      </c>
      <c r="D12" s="789">
        <f>4.2</f>
        <v>4.2</v>
      </c>
      <c r="E12" s="838">
        <v>1E-3</v>
      </c>
      <c r="F12" s="502" t="s">
        <v>78</v>
      </c>
      <c r="G12" s="502"/>
      <c r="H12" s="788"/>
      <c r="I12" s="512" t="s">
        <v>735</v>
      </c>
      <c r="J12" s="833"/>
      <c r="K12" s="832"/>
      <c r="L12" s="864"/>
      <c r="M12" s="489">
        <v>2</v>
      </c>
      <c r="N12" s="863">
        <f>M12*D12*E12</f>
        <v>8.4000000000000012E-3</v>
      </c>
      <c r="O12" s="823"/>
    </row>
    <row r="13" spans="1:15" x14ac:dyDescent="0.25">
      <c r="A13" s="834">
        <v>40</v>
      </c>
      <c r="B13" s="481" t="s">
        <v>680</v>
      </c>
      <c r="C13" s="514" t="s">
        <v>734</v>
      </c>
      <c r="D13" s="789">
        <f>0.47*E13</f>
        <v>5.64</v>
      </c>
      <c r="E13" s="502">
        <v>12</v>
      </c>
      <c r="F13" s="502" t="s">
        <v>30</v>
      </c>
      <c r="G13" s="502">
        <v>0.14000000000000001</v>
      </c>
      <c r="H13" s="835" t="s">
        <v>71</v>
      </c>
      <c r="I13" s="500"/>
      <c r="J13" s="833"/>
      <c r="K13" s="832"/>
      <c r="L13" s="864"/>
      <c r="M13" s="489">
        <v>0.14000000000000001</v>
      </c>
      <c r="N13" s="863">
        <f>IF(J13="",D13*M13,D13*J13*K13*L13*M13)</f>
        <v>0.78960000000000008</v>
      </c>
      <c r="O13" s="823"/>
    </row>
    <row r="14" spans="1:15" x14ac:dyDescent="0.25">
      <c r="A14" s="834">
        <v>40</v>
      </c>
      <c r="B14" s="481" t="s">
        <v>680</v>
      </c>
      <c r="C14" s="514" t="s">
        <v>733</v>
      </c>
      <c r="D14" s="789">
        <f>0.47*E14</f>
        <v>25.849999999999998</v>
      </c>
      <c r="E14" s="502">
        <v>55</v>
      </c>
      <c r="F14" s="502" t="s">
        <v>30</v>
      </c>
      <c r="G14" s="502">
        <v>0.11</v>
      </c>
      <c r="H14" s="835" t="s">
        <v>71</v>
      </c>
      <c r="I14" s="500"/>
      <c r="J14" s="833"/>
      <c r="K14" s="832"/>
      <c r="L14" s="864"/>
      <c r="M14" s="489">
        <v>0.11</v>
      </c>
      <c r="N14" s="863">
        <f>IF(J14="",D14*M14,D14*J14*K14*L14*M14)</f>
        <v>2.8434999999999997</v>
      </c>
      <c r="O14" s="823"/>
    </row>
    <row r="15" spans="1:15" s="764" customFormat="1" x14ac:dyDescent="0.25">
      <c r="A15" s="822"/>
      <c r="M15" s="821" t="s">
        <v>18</v>
      </c>
      <c r="N15" s="829">
        <f>SUM(N10:N14)</f>
        <v>4.0578145638400001</v>
      </c>
      <c r="O15" s="819"/>
    </row>
    <row r="16" spans="1:15" x14ac:dyDescent="0.25">
      <c r="A16" s="828"/>
      <c r="O16" s="823"/>
    </row>
    <row r="17" spans="1:15" s="764" customFormat="1" x14ac:dyDescent="0.25">
      <c r="A17" s="825" t="s">
        <v>14</v>
      </c>
      <c r="B17" s="824" t="s">
        <v>31</v>
      </c>
      <c r="C17" s="824" t="s">
        <v>20</v>
      </c>
      <c r="D17" s="824" t="s">
        <v>21</v>
      </c>
      <c r="E17" s="824" t="s">
        <v>32</v>
      </c>
      <c r="F17" s="824" t="s">
        <v>17</v>
      </c>
      <c r="G17" s="824" t="s">
        <v>33</v>
      </c>
      <c r="H17" s="824" t="s">
        <v>34</v>
      </c>
      <c r="I17" s="824" t="s">
        <v>18</v>
      </c>
      <c r="O17" s="819"/>
    </row>
    <row r="18" spans="1:15" ht="30" x14ac:dyDescent="0.25">
      <c r="A18" s="862">
        <v>10</v>
      </c>
      <c r="B18" s="409" t="s">
        <v>478</v>
      </c>
      <c r="C18" s="625" t="s">
        <v>732</v>
      </c>
      <c r="D18" s="423">
        <v>0.15</v>
      </c>
      <c r="E18" s="409" t="s">
        <v>46</v>
      </c>
      <c r="F18" s="420">
        <v>8</v>
      </c>
      <c r="G18" s="420"/>
      <c r="H18" s="420"/>
      <c r="I18" s="626">
        <f>IF(H18="",D18*F18,D18*F18*H18)</f>
        <v>1.2</v>
      </c>
      <c r="O18" s="823"/>
    </row>
    <row r="19" spans="1:15" x14ac:dyDescent="0.25">
      <c r="A19" s="627">
        <v>20</v>
      </c>
      <c r="B19" s="409" t="s">
        <v>700</v>
      </c>
      <c r="C19" s="419" t="s">
        <v>731</v>
      </c>
      <c r="D19" s="423">
        <v>1.3</v>
      </c>
      <c r="E19" s="419" t="s">
        <v>32</v>
      </c>
      <c r="F19" s="419">
        <v>1</v>
      </c>
      <c r="G19" s="409"/>
      <c r="H19" s="420"/>
      <c r="I19" s="626">
        <f>IF(H19="",D19*F19,D19*F19*H19)</f>
        <v>1.3</v>
      </c>
      <c r="O19" s="823"/>
    </row>
    <row r="20" spans="1:15" x14ac:dyDescent="0.25">
      <c r="A20" s="862">
        <v>30</v>
      </c>
      <c r="B20" s="409" t="s">
        <v>289</v>
      </c>
      <c r="C20" s="419" t="s">
        <v>731</v>
      </c>
      <c r="D20" s="423">
        <v>0.35</v>
      </c>
      <c r="E20" s="409" t="s">
        <v>727</v>
      </c>
      <c r="F20" s="420">
        <v>1</v>
      </c>
      <c r="G20" s="420"/>
      <c r="H20" s="420"/>
      <c r="I20" s="626">
        <f>IF(H20="",D20*F20,D20*F20*H20)</f>
        <v>0.35</v>
      </c>
      <c r="O20" s="823"/>
    </row>
    <row r="21" spans="1:15" x14ac:dyDescent="0.25">
      <c r="A21" s="627">
        <v>40</v>
      </c>
      <c r="B21" s="409" t="s">
        <v>700</v>
      </c>
      <c r="C21" s="419" t="s">
        <v>730</v>
      </c>
      <c r="D21" s="423">
        <v>1.3</v>
      </c>
      <c r="E21" s="419" t="s">
        <v>32</v>
      </c>
      <c r="F21" s="419">
        <v>1</v>
      </c>
      <c r="G21" s="409"/>
      <c r="H21" s="420"/>
      <c r="I21" s="626">
        <f>IF(H21="",D21*F21,D21*F21*H21)</f>
        <v>1.3</v>
      </c>
      <c r="O21" s="823"/>
    </row>
    <row r="22" spans="1:15" x14ac:dyDescent="0.25">
      <c r="A22" s="862">
        <v>50</v>
      </c>
      <c r="B22" s="409" t="s">
        <v>289</v>
      </c>
      <c r="C22" s="419" t="s">
        <v>730</v>
      </c>
      <c r="D22" s="423">
        <v>0.35</v>
      </c>
      <c r="E22" s="409" t="s">
        <v>727</v>
      </c>
      <c r="F22" s="420">
        <v>1</v>
      </c>
      <c r="G22" s="420"/>
      <c r="H22" s="420"/>
      <c r="I22" s="626">
        <f>IF(H22="",D22*F22,D22*F22*H22)</f>
        <v>0.35</v>
      </c>
      <c r="O22" s="823"/>
    </row>
    <row r="23" spans="1:15" x14ac:dyDescent="0.25">
      <c r="A23" s="627">
        <v>60</v>
      </c>
      <c r="B23" s="409" t="s">
        <v>361</v>
      </c>
      <c r="C23" s="420" t="s">
        <v>729</v>
      </c>
      <c r="D23" s="423">
        <v>0.1</v>
      </c>
      <c r="E23" s="409" t="s">
        <v>46</v>
      </c>
      <c r="F23" s="420">
        <v>1</v>
      </c>
      <c r="G23" s="420" t="s">
        <v>696</v>
      </c>
      <c r="H23" s="420">
        <v>1</v>
      </c>
      <c r="I23" s="626">
        <f>IF(H23="",D23*F23,D23*F23*H23)</f>
        <v>0.1</v>
      </c>
      <c r="O23" s="823"/>
    </row>
    <row r="24" spans="1:15" x14ac:dyDescent="0.25">
      <c r="A24" s="862">
        <v>70</v>
      </c>
      <c r="B24" s="409" t="s">
        <v>700</v>
      </c>
      <c r="C24" s="419" t="s">
        <v>728</v>
      </c>
      <c r="D24" s="423">
        <f>1.3</f>
        <v>1.3</v>
      </c>
      <c r="E24" s="419" t="s">
        <v>32</v>
      </c>
      <c r="F24" s="419">
        <v>2</v>
      </c>
      <c r="G24" s="409"/>
      <c r="H24" s="420"/>
      <c r="I24" s="626">
        <f>IF(H24="",D24*F24,D24*F24*H24)</f>
        <v>2.6</v>
      </c>
      <c r="O24" s="823"/>
    </row>
    <row r="25" spans="1:15" x14ac:dyDescent="0.25">
      <c r="A25" s="627">
        <v>80</v>
      </c>
      <c r="B25" s="409" t="s">
        <v>289</v>
      </c>
      <c r="C25" s="419" t="s">
        <v>728</v>
      </c>
      <c r="D25" s="423">
        <v>0.35</v>
      </c>
      <c r="E25" s="409" t="s">
        <v>727</v>
      </c>
      <c r="F25" s="420">
        <v>2</v>
      </c>
      <c r="G25" s="420"/>
      <c r="H25" s="420"/>
      <c r="I25" s="626">
        <f>IF(H25="",D25*F25,D25*F25*H25)</f>
        <v>0.7</v>
      </c>
      <c r="O25" s="823"/>
    </row>
    <row r="26" spans="1:15" x14ac:dyDescent="0.25">
      <c r="A26" s="862">
        <v>90</v>
      </c>
      <c r="B26" s="409" t="s">
        <v>72</v>
      </c>
      <c r="C26" s="625" t="s">
        <v>726</v>
      </c>
      <c r="D26" s="423">
        <v>0.15</v>
      </c>
      <c r="E26" s="409" t="s">
        <v>46</v>
      </c>
      <c r="F26" s="420">
        <v>10</v>
      </c>
      <c r="G26" s="420"/>
      <c r="H26" s="420"/>
      <c r="I26" s="626">
        <f>IF(H26="",D26*F26,D26*F26*H26)</f>
        <v>1.5</v>
      </c>
      <c r="O26" s="823"/>
    </row>
    <row r="27" spans="1:15" x14ac:dyDescent="0.25">
      <c r="A27" s="627">
        <v>100</v>
      </c>
      <c r="B27" s="409" t="s">
        <v>602</v>
      </c>
      <c r="C27" s="625" t="s">
        <v>725</v>
      </c>
      <c r="D27" s="423">
        <v>0.06</v>
      </c>
      <c r="E27" s="409" t="s">
        <v>46</v>
      </c>
      <c r="F27" s="420">
        <v>4</v>
      </c>
      <c r="G27" s="420"/>
      <c r="H27" s="420"/>
      <c r="I27" s="626">
        <f>IF(H27="",D27*F27,D27*F27*H27)</f>
        <v>0.24</v>
      </c>
      <c r="O27" s="823"/>
    </row>
    <row r="28" spans="1:15" ht="30" x14ac:dyDescent="0.25">
      <c r="A28" s="862">
        <v>110</v>
      </c>
      <c r="B28" s="409" t="s">
        <v>252</v>
      </c>
      <c r="C28" s="625" t="s">
        <v>724</v>
      </c>
      <c r="D28" s="423">
        <v>0.19</v>
      </c>
      <c r="E28" s="409" t="s">
        <v>32</v>
      </c>
      <c r="F28" s="420">
        <v>6</v>
      </c>
      <c r="G28" s="420"/>
      <c r="H28" s="420"/>
      <c r="I28" s="626">
        <f>IF(H28="",D28*F28,D28*F28*H28)</f>
        <v>1.1400000000000001</v>
      </c>
      <c r="O28" s="823"/>
    </row>
    <row r="29" spans="1:15" ht="30" x14ac:dyDescent="0.25">
      <c r="A29" s="627">
        <v>120</v>
      </c>
      <c r="B29" s="409" t="s">
        <v>105</v>
      </c>
      <c r="C29" s="514" t="s">
        <v>723</v>
      </c>
      <c r="D29" s="423">
        <v>0.5</v>
      </c>
      <c r="E29" s="419" t="s">
        <v>32</v>
      </c>
      <c r="F29" s="419">
        <v>4</v>
      </c>
      <c r="G29" s="409"/>
      <c r="H29" s="420"/>
      <c r="I29" s="626"/>
      <c r="O29" s="823"/>
    </row>
    <row r="30" spans="1:15" s="764" customFormat="1" x14ac:dyDescent="0.25">
      <c r="A30" s="822"/>
      <c r="H30" s="821" t="s">
        <v>18</v>
      </c>
      <c r="I30" s="829">
        <f>SUM(I18:I29)</f>
        <v>10.78</v>
      </c>
      <c r="O30" s="819"/>
    </row>
    <row r="31" spans="1:15" x14ac:dyDescent="0.25">
      <c r="A31" s="828"/>
      <c r="O31" s="823"/>
    </row>
    <row r="32" spans="1:15" s="764" customFormat="1" x14ac:dyDescent="0.25">
      <c r="A32" s="825" t="s">
        <v>14</v>
      </c>
      <c r="B32" s="824" t="s">
        <v>36</v>
      </c>
      <c r="C32" s="824" t="s">
        <v>20</v>
      </c>
      <c r="D32" s="824" t="s">
        <v>21</v>
      </c>
      <c r="E32" s="824" t="s">
        <v>22</v>
      </c>
      <c r="F32" s="824" t="s">
        <v>23</v>
      </c>
      <c r="G32" s="824" t="s">
        <v>24</v>
      </c>
      <c r="H32" s="824" t="s">
        <v>25</v>
      </c>
      <c r="I32" s="824" t="s">
        <v>17</v>
      </c>
      <c r="J32" s="824" t="s">
        <v>18</v>
      </c>
      <c r="O32" s="819"/>
    </row>
    <row r="33" spans="1:15" x14ac:dyDescent="0.25">
      <c r="A33" s="627">
        <v>10</v>
      </c>
      <c r="B33" s="419" t="s">
        <v>95</v>
      </c>
      <c r="C33" s="419" t="s">
        <v>722</v>
      </c>
      <c r="D33" s="423">
        <f>0.004*E33+0.5</f>
        <v>0.54</v>
      </c>
      <c r="E33" s="419">
        <v>10</v>
      </c>
      <c r="F33" s="774" t="s">
        <v>30</v>
      </c>
      <c r="G33" s="419"/>
      <c r="H33" s="768"/>
      <c r="I33" s="861">
        <v>2</v>
      </c>
      <c r="J33" s="626">
        <f>I33*D33</f>
        <v>1.08</v>
      </c>
      <c r="O33" s="823"/>
    </row>
    <row r="34" spans="1:15" x14ac:dyDescent="0.25">
      <c r="A34" s="627">
        <v>20</v>
      </c>
      <c r="B34" s="419" t="s">
        <v>95</v>
      </c>
      <c r="C34" s="419" t="s">
        <v>721</v>
      </c>
      <c r="D34" s="423">
        <f>0.004*E34+0.5</f>
        <v>0.72</v>
      </c>
      <c r="E34" s="419">
        <v>55</v>
      </c>
      <c r="F34" s="774" t="s">
        <v>30</v>
      </c>
      <c r="G34" s="419"/>
      <c r="H34" s="768"/>
      <c r="I34" s="861">
        <v>1</v>
      </c>
      <c r="J34" s="626">
        <f>I34*D34</f>
        <v>0.72</v>
      </c>
      <c r="O34" s="823"/>
    </row>
    <row r="35" spans="1:15" x14ac:dyDescent="0.25">
      <c r="A35" s="627">
        <v>30</v>
      </c>
      <c r="B35" s="419" t="s">
        <v>95</v>
      </c>
      <c r="C35" s="419" t="s">
        <v>720</v>
      </c>
      <c r="D35" s="423">
        <f>0.004*E35+0.5</f>
        <v>0.72</v>
      </c>
      <c r="E35" s="419">
        <v>55</v>
      </c>
      <c r="F35" s="774" t="s">
        <v>30</v>
      </c>
      <c r="G35" s="419"/>
      <c r="H35" s="768"/>
      <c r="I35" s="861">
        <v>1</v>
      </c>
      <c r="J35" s="626">
        <f>I35*D35</f>
        <v>0.72</v>
      </c>
      <c r="O35" s="823"/>
    </row>
    <row r="36" spans="1:15" s="764" customFormat="1" x14ac:dyDescent="0.25">
      <c r="A36" s="822"/>
      <c r="I36" s="821" t="s">
        <v>18</v>
      </c>
      <c r="J36" s="829">
        <f>SUM(J33:J35)</f>
        <v>2.52</v>
      </c>
      <c r="O36" s="819"/>
    </row>
    <row r="37" spans="1:15" x14ac:dyDescent="0.25">
      <c r="A37" s="828"/>
      <c r="H37" s="827"/>
      <c r="I37" s="826"/>
      <c r="O37" s="823"/>
    </row>
    <row r="38" spans="1:15" s="764" customFormat="1" x14ac:dyDescent="0.25">
      <c r="A38" s="825" t="s">
        <v>14</v>
      </c>
      <c r="B38" s="824" t="s">
        <v>39</v>
      </c>
      <c r="C38" s="824" t="s">
        <v>20</v>
      </c>
      <c r="D38" s="824" t="s">
        <v>21</v>
      </c>
      <c r="E38" s="824" t="s">
        <v>32</v>
      </c>
      <c r="F38" s="824" t="s">
        <v>17</v>
      </c>
      <c r="G38" s="824" t="s">
        <v>40</v>
      </c>
      <c r="H38" s="824" t="s">
        <v>476</v>
      </c>
      <c r="I38" s="824" t="s">
        <v>18</v>
      </c>
      <c r="O38" s="819"/>
    </row>
    <row r="39" spans="1:15" x14ac:dyDescent="0.25">
      <c r="A39" s="627">
        <v>10</v>
      </c>
      <c r="B39" s="419" t="s">
        <v>42</v>
      </c>
      <c r="C39" s="419"/>
      <c r="D39" s="398">
        <v>500</v>
      </c>
      <c r="E39" s="419" t="s">
        <v>655</v>
      </c>
      <c r="F39" s="419">
        <v>6</v>
      </c>
      <c r="G39" s="419">
        <v>3000</v>
      </c>
      <c r="H39" s="419">
        <v>1</v>
      </c>
      <c r="I39" s="626">
        <f>D39*F39/G39*H39</f>
        <v>1</v>
      </c>
      <c r="O39" s="823"/>
    </row>
    <row r="40" spans="1:15" s="764" customFormat="1" x14ac:dyDescent="0.25">
      <c r="A40" s="822"/>
      <c r="H40" s="821" t="s">
        <v>18</v>
      </c>
      <c r="I40" s="860">
        <f>SUM(I39:I39)</f>
        <v>1</v>
      </c>
      <c r="O40" s="819"/>
    </row>
    <row r="41" spans="1:15" ht="15.75" thickBot="1" x14ac:dyDescent="0.3">
      <c r="A41" s="818"/>
      <c r="B41" s="815"/>
      <c r="C41" s="815"/>
      <c r="D41" s="815"/>
      <c r="E41" s="815"/>
      <c r="F41" s="815"/>
      <c r="G41" s="815"/>
      <c r="H41" s="817"/>
      <c r="I41" s="816"/>
      <c r="J41" s="815"/>
      <c r="K41" s="815"/>
      <c r="L41" s="815"/>
      <c r="M41" s="815"/>
      <c r="N41" s="815"/>
      <c r="O41" s="814"/>
    </row>
  </sheetData>
  <hyperlinks>
    <hyperlink ref="F1" location="EN_A0500_BOM" display="Back to BOM" xr:uid="{00000000-0004-0000-0400-000000000000}"/>
    <hyperlink ref="B3" location="'EN A0005'!A1" display="Fuel Tank Assembly" xr:uid="{00000000-0004-0000-0400-000001000000}"/>
  </hyperlinks>
  <printOptions horizontalCentered="1"/>
  <pageMargins left="0.3" right="0.3" top="0.3" bottom="0.4" header="0.2" footer="0.2"/>
  <pageSetup paperSize="9" scale="62" orientation="landscape" horizontalDpi="0" verticalDpi="0" r:id="rId1"/>
  <headerFooter>
    <oddFooter>Page &amp;P</oddFooter>
  </headerFooter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5F5C-67D0-489C-8B4A-F0DE8ACEE516}">
  <sheetPr>
    <tabColor rgb="FFC4D79B"/>
    <pageSetUpPr fitToPage="1"/>
  </sheetPr>
  <dimension ref="A1:O17"/>
  <sheetViews>
    <sheetView zoomScale="90" zoomScaleNormal="90" zoomScalePageLayoutView="49" workbookViewId="0">
      <selection activeCell="F1" sqref="F1"/>
    </sheetView>
  </sheetViews>
  <sheetFormatPr baseColWidth="10" defaultColWidth="7.7109375" defaultRowHeight="15" x14ac:dyDescent="0.25"/>
  <cols>
    <col min="1" max="1" width="10.28515625" style="761" bestFit="1" customWidth="1"/>
    <col min="2" max="2" width="34.140625" style="761" bestFit="1" customWidth="1"/>
    <col min="3" max="3" width="9.28515625" style="761" bestFit="1" customWidth="1"/>
    <col min="4" max="4" width="8.7109375" style="761" bestFit="1" customWidth="1"/>
    <col min="5" max="5" width="8" style="761" customWidth="1"/>
    <col min="6" max="6" width="12" style="761" bestFit="1" customWidth="1"/>
    <col min="7" max="7" width="14.42578125" style="761" bestFit="1" customWidth="1"/>
    <col min="8" max="8" width="9.7109375" style="761" bestFit="1" customWidth="1"/>
    <col min="9" max="9" width="16.42578125" style="761" bestFit="1" customWidth="1"/>
    <col min="10" max="10" width="8.7109375" style="761" bestFit="1" customWidth="1"/>
    <col min="11" max="11" width="7" style="761" bestFit="1" customWidth="1"/>
    <col min="12" max="12" width="7.7109375" style="761" bestFit="1" customWidth="1"/>
    <col min="13" max="13" width="13.7109375" style="761" bestFit="1" customWidth="1"/>
    <col min="14" max="14" width="9.140625" style="761" bestFit="1" customWidth="1"/>
    <col min="15" max="15" width="7.7109375" style="761"/>
    <col min="16" max="16" width="7.7109375" style="761" bestFit="1" customWidth="1"/>
    <col min="17" max="18" width="7.7109375" style="761"/>
    <col min="19" max="19" width="8.7109375" style="761" bestFit="1" customWidth="1"/>
    <col min="20" max="20" width="7.7109375" style="761" bestFit="1" customWidth="1"/>
    <col min="21" max="21" width="7.7109375" style="761"/>
    <col min="22" max="22" width="7.7109375" style="761" bestFit="1" customWidth="1"/>
    <col min="23" max="23" width="7.7109375" style="761"/>
    <col min="24" max="25" width="8.42578125" style="761" bestFit="1" customWidth="1"/>
    <col min="26" max="28" width="7.7109375" style="761" bestFit="1" customWidth="1"/>
    <col min="29" max="16384" width="7.7109375" style="761"/>
  </cols>
  <sheetData>
    <row r="1" spans="1:15" x14ac:dyDescent="0.25">
      <c r="A1" s="851" t="s">
        <v>0</v>
      </c>
      <c r="B1" s="848" t="s">
        <v>44</v>
      </c>
      <c r="C1" s="848"/>
      <c r="D1" s="848"/>
      <c r="E1" s="848"/>
      <c r="F1" s="747" t="s">
        <v>69</v>
      </c>
      <c r="G1" s="848"/>
      <c r="H1" s="848"/>
      <c r="I1" s="848"/>
      <c r="J1" s="850" t="s">
        <v>1</v>
      </c>
      <c r="K1" s="849">
        <v>81</v>
      </c>
      <c r="L1" s="848"/>
      <c r="M1" s="847" t="s">
        <v>16</v>
      </c>
      <c r="N1" s="846">
        <f>N11+I16</f>
        <v>1.738382125</v>
      </c>
      <c r="O1" s="845"/>
    </row>
    <row r="2" spans="1:15" x14ac:dyDescent="0.25">
      <c r="A2" s="839" t="s">
        <v>3</v>
      </c>
      <c r="B2" s="761" t="s">
        <v>279</v>
      </c>
      <c r="C2" s="827" t="s">
        <v>740</v>
      </c>
      <c r="D2" s="844" t="s">
        <v>6</v>
      </c>
      <c r="M2" s="841" t="s">
        <v>4</v>
      </c>
      <c r="N2" s="843">
        <v>2</v>
      </c>
      <c r="O2" s="823"/>
    </row>
    <row r="3" spans="1:15" x14ac:dyDescent="0.25">
      <c r="A3" s="839" t="s">
        <v>5</v>
      </c>
      <c r="B3" s="813" t="s">
        <v>689</v>
      </c>
      <c r="D3" s="841" t="s">
        <v>8</v>
      </c>
      <c r="J3" s="841" t="s">
        <v>6</v>
      </c>
      <c r="O3" s="823"/>
    </row>
    <row r="4" spans="1:15" x14ac:dyDescent="0.25">
      <c r="A4" s="839" t="s">
        <v>15</v>
      </c>
      <c r="B4" s="761" t="s">
        <v>683</v>
      </c>
      <c r="D4" s="841" t="s">
        <v>12</v>
      </c>
      <c r="J4" s="841" t="s">
        <v>8</v>
      </c>
      <c r="M4" s="841" t="s">
        <v>9</v>
      </c>
      <c r="N4" s="842">
        <f>N1*N2</f>
        <v>3.47676425</v>
      </c>
      <c r="O4" s="823"/>
    </row>
    <row r="5" spans="1:15" x14ac:dyDescent="0.25">
      <c r="A5" s="839" t="s">
        <v>7</v>
      </c>
      <c r="B5" s="809" t="s">
        <v>739</v>
      </c>
      <c r="J5" s="841" t="s">
        <v>12</v>
      </c>
      <c r="O5" s="823"/>
    </row>
    <row r="6" spans="1:15" x14ac:dyDescent="0.25">
      <c r="A6" s="839" t="s">
        <v>10</v>
      </c>
      <c r="B6" s="761" t="s">
        <v>11</v>
      </c>
      <c r="O6" s="823"/>
    </row>
    <row r="7" spans="1:15" x14ac:dyDescent="0.25">
      <c r="A7" s="839" t="s">
        <v>13</v>
      </c>
      <c r="O7" s="823"/>
    </row>
    <row r="8" spans="1:15" x14ac:dyDescent="0.25">
      <c r="A8" s="828"/>
      <c r="O8" s="823"/>
    </row>
    <row r="9" spans="1:15" s="764" customFormat="1" x14ac:dyDescent="0.25">
      <c r="A9" s="825" t="s">
        <v>14</v>
      </c>
      <c r="B9" s="824" t="s">
        <v>19</v>
      </c>
      <c r="C9" s="824" t="s">
        <v>20</v>
      </c>
      <c r="D9" s="824" t="s">
        <v>21</v>
      </c>
      <c r="E9" s="824" t="s">
        <v>22</v>
      </c>
      <c r="F9" s="824"/>
      <c r="G9" s="824" t="s">
        <v>24</v>
      </c>
      <c r="H9" s="824" t="s">
        <v>25</v>
      </c>
      <c r="I9" s="824" t="s">
        <v>26</v>
      </c>
      <c r="J9" s="824" t="s">
        <v>27</v>
      </c>
      <c r="K9" s="824" t="s">
        <v>28</v>
      </c>
      <c r="L9" s="824" t="s">
        <v>29</v>
      </c>
      <c r="M9" s="824" t="s">
        <v>17</v>
      </c>
      <c r="N9" s="824" t="s">
        <v>18</v>
      </c>
      <c r="O9" s="819"/>
    </row>
    <row r="10" spans="1:15" ht="30" x14ac:dyDescent="0.25">
      <c r="A10" s="834">
        <v>10</v>
      </c>
      <c r="B10" s="481" t="s">
        <v>163</v>
      </c>
      <c r="C10" s="514"/>
      <c r="D10" s="789">
        <v>2.25</v>
      </c>
      <c r="E10" s="838">
        <f>J10*K10*L10</f>
        <v>1.4836500000000001E-2</v>
      </c>
      <c r="F10" s="502" t="s">
        <v>78</v>
      </c>
      <c r="G10" s="502"/>
      <c r="H10" s="788"/>
      <c r="I10" s="512" t="s">
        <v>738</v>
      </c>
      <c r="J10" s="833">
        <f>30*42/1000000</f>
        <v>1.2600000000000001E-3</v>
      </c>
      <c r="K10" s="832">
        <f>1.5/1000</f>
        <v>1.5E-3</v>
      </c>
      <c r="L10" s="864">
        <v>7850</v>
      </c>
      <c r="M10" s="489">
        <v>1</v>
      </c>
      <c r="N10" s="863">
        <f>IF(J10="",D10*M10,D10*J10*K10*L10*M10)</f>
        <v>3.3382125000000006E-2</v>
      </c>
      <c r="O10" s="823"/>
    </row>
    <row r="11" spans="1:15" s="764" customFormat="1" x14ac:dyDescent="0.25">
      <c r="A11" s="822"/>
      <c r="M11" s="821" t="s">
        <v>18</v>
      </c>
      <c r="N11" s="829">
        <f>SUM(N10:N10)</f>
        <v>3.3382125000000006E-2</v>
      </c>
      <c r="O11" s="819"/>
    </row>
    <row r="12" spans="1:15" x14ac:dyDescent="0.25">
      <c r="A12" s="828"/>
      <c r="O12" s="823"/>
    </row>
    <row r="13" spans="1:15" s="764" customFormat="1" x14ac:dyDescent="0.25">
      <c r="A13" s="825" t="s">
        <v>14</v>
      </c>
      <c r="B13" s="824" t="s">
        <v>31</v>
      </c>
      <c r="C13" s="824" t="s">
        <v>20</v>
      </c>
      <c r="D13" s="824" t="s">
        <v>21</v>
      </c>
      <c r="E13" s="824" t="s">
        <v>32</v>
      </c>
      <c r="F13" s="824" t="s">
        <v>17</v>
      </c>
      <c r="G13" s="824" t="s">
        <v>33</v>
      </c>
      <c r="H13" s="824" t="s">
        <v>34</v>
      </c>
      <c r="I13" s="824" t="s">
        <v>18</v>
      </c>
      <c r="O13" s="819"/>
    </row>
    <row r="14" spans="1:15" ht="30" x14ac:dyDescent="0.25">
      <c r="A14" s="862">
        <v>10</v>
      </c>
      <c r="B14" s="409" t="s">
        <v>700</v>
      </c>
      <c r="C14" s="420"/>
      <c r="D14" s="423">
        <v>1.3</v>
      </c>
      <c r="E14" s="419" t="s">
        <v>32</v>
      </c>
      <c r="F14" s="420">
        <v>1</v>
      </c>
      <c r="G14" s="420"/>
      <c r="H14" s="420">
        <v>1</v>
      </c>
      <c r="I14" s="863">
        <f>IF(H14="",D14*F14,D14*F14*H14)</f>
        <v>1.3</v>
      </c>
      <c r="O14" s="823"/>
    </row>
    <row r="15" spans="1:15" ht="30" x14ac:dyDescent="0.25">
      <c r="A15" s="627">
        <v>20</v>
      </c>
      <c r="B15" s="409" t="s">
        <v>231</v>
      </c>
      <c r="C15" s="419"/>
      <c r="D15" s="423">
        <v>0.01</v>
      </c>
      <c r="E15" s="419" t="s">
        <v>46</v>
      </c>
      <c r="F15" s="419">
        <v>13.5</v>
      </c>
      <c r="G15" s="409" t="s">
        <v>82</v>
      </c>
      <c r="H15" s="420">
        <v>3</v>
      </c>
      <c r="I15" s="863">
        <f>IF(H15="",D15*F15,D15*F15*H15)</f>
        <v>0.40500000000000003</v>
      </c>
      <c r="O15" s="823"/>
    </row>
    <row r="16" spans="1:15" s="764" customFormat="1" x14ac:dyDescent="0.25">
      <c r="A16" s="822"/>
      <c r="H16" s="821" t="s">
        <v>18</v>
      </c>
      <c r="I16" s="829">
        <f>SUM(I14:I15)</f>
        <v>1.7050000000000001</v>
      </c>
      <c r="O16" s="819"/>
    </row>
    <row r="17" spans="1:15" ht="15.75" thickBot="1" x14ac:dyDescent="0.3">
      <c r="A17" s="818"/>
      <c r="B17" s="815"/>
      <c r="C17" s="815"/>
      <c r="D17" s="815"/>
      <c r="E17" s="815"/>
      <c r="F17" s="815"/>
      <c r="G17" s="815"/>
      <c r="H17" s="817"/>
      <c r="I17" s="816"/>
      <c r="J17" s="815"/>
      <c r="K17" s="815"/>
      <c r="L17" s="815"/>
      <c r="M17" s="815"/>
      <c r="N17" s="815"/>
      <c r="O17" s="814"/>
    </row>
  </sheetData>
  <hyperlinks>
    <hyperlink ref="F1" location="EN_A0500_BOM" display="Back to BOM" xr:uid="{00000000-0004-0000-0500-000000000000}"/>
    <hyperlink ref="B3" location="'EN A0005'!A1" display="Fuel Tank Assembly" xr:uid="{00000000-0004-0000-0500-000001000000}"/>
    <hyperlink ref="D2" location="'EN 05005 Drawing'!A1" display="FileLink1" xr:uid="{00000000-0004-0000-0500-000002000000}"/>
  </hyperlinks>
  <printOptions horizontalCentered="1"/>
  <pageMargins left="0.3" right="0.3" top="0.3" bottom="0.4" header="0.2" footer="0.2"/>
  <pageSetup paperSize="9" scale="79" orientation="landscape" horizontalDpi="0" verticalDpi="0"/>
  <headerFooter>
    <oddFooter>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1D2D-46C9-4C10-B625-D9CD37A20DA7}">
  <sheetPr>
    <tabColor rgb="FFC4D79B"/>
    <pageSetUpPr fitToPage="1"/>
  </sheetPr>
  <dimension ref="A1"/>
  <sheetViews>
    <sheetView zoomScale="90" zoomScaleNormal="90" zoomScalePageLayoutView="49" workbookViewId="0">
      <selection activeCell="B5" sqref="B5"/>
    </sheetView>
  </sheetViews>
  <sheetFormatPr baseColWidth="10" defaultRowHeight="15" x14ac:dyDescent="0.25"/>
  <cols>
    <col min="1" max="16384" width="11.42578125" style="852"/>
  </cols>
  <sheetData>
    <row r="1" spans="1:1" x14ac:dyDescent="0.25">
      <c r="A1" s="706" t="s">
        <v>739</v>
      </c>
    </row>
  </sheetData>
  <hyperlinks>
    <hyperlink ref="A1" location="'EN 05004'!A1" display="EN 05004" xr:uid="{00000000-0004-0000-0600-000000000000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0B94-4D09-48BD-BA77-55AC93F287D4}">
  <sheetPr>
    <tabColor rgb="FFC4D79B"/>
    <pageSetUpPr fitToPage="1"/>
  </sheetPr>
  <dimension ref="A1:O17"/>
  <sheetViews>
    <sheetView zoomScale="90" zoomScaleNormal="90" zoomScalePageLayoutView="49" workbookViewId="0">
      <selection activeCell="F1" sqref="F1"/>
    </sheetView>
  </sheetViews>
  <sheetFormatPr baseColWidth="10" defaultColWidth="7.7109375" defaultRowHeight="15" x14ac:dyDescent="0.25"/>
  <cols>
    <col min="1" max="1" width="10.28515625" style="761" bestFit="1" customWidth="1"/>
    <col min="2" max="2" width="34.140625" style="761" bestFit="1" customWidth="1"/>
    <col min="3" max="3" width="9.28515625" style="761" bestFit="1" customWidth="1"/>
    <col min="4" max="4" width="8.7109375" style="761" bestFit="1" customWidth="1"/>
    <col min="5" max="5" width="9.5703125" style="761" customWidth="1"/>
    <col min="6" max="6" width="12" style="761" bestFit="1" customWidth="1"/>
    <col min="7" max="7" width="14.42578125" style="761" bestFit="1" customWidth="1"/>
    <col min="8" max="8" width="9.7109375" style="761" bestFit="1" customWidth="1"/>
    <col min="9" max="9" width="16.42578125" style="761" bestFit="1" customWidth="1"/>
    <col min="10" max="10" width="8.7109375" style="761" bestFit="1" customWidth="1"/>
    <col min="11" max="11" width="7" style="761" bestFit="1" customWidth="1"/>
    <col min="12" max="12" width="7.7109375" style="761" bestFit="1" customWidth="1"/>
    <col min="13" max="13" width="13.7109375" style="761" bestFit="1" customWidth="1"/>
    <col min="14" max="14" width="9.140625" style="761" bestFit="1" customWidth="1"/>
    <col min="15" max="15" width="7.7109375" style="761"/>
    <col min="16" max="16" width="7.7109375" style="761" bestFit="1" customWidth="1"/>
    <col min="17" max="18" width="7.7109375" style="761"/>
    <col min="19" max="19" width="8.7109375" style="761" bestFit="1" customWidth="1"/>
    <col min="20" max="20" width="7.7109375" style="761" bestFit="1" customWidth="1"/>
    <col min="21" max="21" width="7.7109375" style="761"/>
    <col min="22" max="22" width="7.7109375" style="761" bestFit="1" customWidth="1"/>
    <col min="23" max="23" width="7.7109375" style="761"/>
    <col min="24" max="25" width="8.42578125" style="761" bestFit="1" customWidth="1"/>
    <col min="26" max="28" width="7.7109375" style="761" bestFit="1" customWidth="1"/>
    <col min="29" max="16384" width="7.7109375" style="761"/>
  </cols>
  <sheetData>
    <row r="1" spans="1:15" x14ac:dyDescent="0.25">
      <c r="A1" s="851" t="s">
        <v>0</v>
      </c>
      <c r="B1" s="848" t="s">
        <v>44</v>
      </c>
      <c r="C1" s="848"/>
      <c r="D1" s="848"/>
      <c r="E1" s="848"/>
      <c r="F1" s="709" t="s">
        <v>69</v>
      </c>
      <c r="G1" s="848"/>
      <c r="H1" s="848"/>
      <c r="I1" s="848"/>
      <c r="J1" s="850" t="s">
        <v>1</v>
      </c>
      <c r="K1" s="849">
        <v>81</v>
      </c>
      <c r="L1" s="848"/>
      <c r="M1" s="847" t="s">
        <v>16</v>
      </c>
      <c r="N1" s="846">
        <f>N11+I16</f>
        <v>1.884868</v>
      </c>
      <c r="O1" s="845"/>
    </row>
    <row r="2" spans="1:15" x14ac:dyDescent="0.25">
      <c r="A2" s="839" t="s">
        <v>3</v>
      </c>
      <c r="B2" s="761" t="s">
        <v>279</v>
      </c>
      <c r="D2" s="844" t="s">
        <v>6</v>
      </c>
      <c r="E2" s="866" t="s">
        <v>67</v>
      </c>
      <c r="M2" s="841" t="s">
        <v>4</v>
      </c>
      <c r="N2" s="843">
        <v>2</v>
      </c>
      <c r="O2" s="823"/>
    </row>
    <row r="3" spans="1:15" x14ac:dyDescent="0.25">
      <c r="A3" s="839" t="s">
        <v>5</v>
      </c>
      <c r="B3" s="813" t="s">
        <v>689</v>
      </c>
      <c r="D3" s="841" t="s">
        <v>8</v>
      </c>
      <c r="J3" s="841" t="s">
        <v>6</v>
      </c>
      <c r="O3" s="823"/>
    </row>
    <row r="4" spans="1:15" x14ac:dyDescent="0.25">
      <c r="A4" s="839" t="s">
        <v>15</v>
      </c>
      <c r="B4" s="761" t="s">
        <v>614</v>
      </c>
      <c r="D4" s="841" t="s">
        <v>12</v>
      </c>
      <c r="J4" s="841" t="s">
        <v>8</v>
      </c>
      <c r="M4" s="841" t="s">
        <v>9</v>
      </c>
      <c r="N4" s="842">
        <f>N1*N2</f>
        <v>3.769736</v>
      </c>
      <c r="O4" s="823"/>
    </row>
    <row r="5" spans="1:15" x14ac:dyDescent="0.25">
      <c r="A5" s="839" t="s">
        <v>7</v>
      </c>
      <c r="B5" s="809" t="s">
        <v>742</v>
      </c>
      <c r="J5" s="841" t="s">
        <v>12</v>
      </c>
      <c r="O5" s="823"/>
    </row>
    <row r="6" spans="1:15" x14ac:dyDescent="0.25">
      <c r="A6" s="839" t="s">
        <v>10</v>
      </c>
      <c r="B6" s="761" t="s">
        <v>11</v>
      </c>
      <c r="O6" s="823"/>
    </row>
    <row r="7" spans="1:15" x14ac:dyDescent="0.25">
      <c r="A7" s="839" t="s">
        <v>13</v>
      </c>
      <c r="O7" s="823"/>
    </row>
    <row r="8" spans="1:15" x14ac:dyDescent="0.25">
      <c r="A8" s="828"/>
      <c r="O8" s="823"/>
    </row>
    <row r="9" spans="1:15" s="764" customFormat="1" x14ac:dyDescent="0.25">
      <c r="A9" s="825" t="s">
        <v>14</v>
      </c>
      <c r="B9" s="824" t="s">
        <v>19</v>
      </c>
      <c r="C9" s="824" t="s">
        <v>20</v>
      </c>
      <c r="D9" s="824" t="s">
        <v>21</v>
      </c>
      <c r="E9" s="824" t="s">
        <v>22</v>
      </c>
      <c r="F9" s="824"/>
      <c r="G9" s="824" t="s">
        <v>24</v>
      </c>
      <c r="H9" s="824" t="s">
        <v>25</v>
      </c>
      <c r="I9" s="824" t="s">
        <v>26</v>
      </c>
      <c r="J9" s="824" t="s">
        <v>27</v>
      </c>
      <c r="K9" s="824" t="s">
        <v>28</v>
      </c>
      <c r="L9" s="824" t="s">
        <v>29</v>
      </c>
      <c r="M9" s="824" t="s">
        <v>17</v>
      </c>
      <c r="N9" s="824" t="s">
        <v>18</v>
      </c>
      <c r="O9" s="819"/>
    </row>
    <row r="10" spans="1:15" ht="30" x14ac:dyDescent="0.25">
      <c r="A10" s="834">
        <v>10</v>
      </c>
      <c r="B10" s="481" t="s">
        <v>163</v>
      </c>
      <c r="C10" s="514"/>
      <c r="D10" s="789">
        <v>2.25</v>
      </c>
      <c r="E10" s="838">
        <f>J10*K10*L10</f>
        <v>2.2608000000000003E-2</v>
      </c>
      <c r="F10" s="502" t="s">
        <v>78</v>
      </c>
      <c r="G10" s="502"/>
      <c r="H10" s="788"/>
      <c r="I10" s="512" t="s">
        <v>741</v>
      </c>
      <c r="J10" s="833">
        <f>48*30/1000000</f>
        <v>1.4400000000000001E-3</v>
      </c>
      <c r="K10" s="832">
        <f>2/1000</f>
        <v>2E-3</v>
      </c>
      <c r="L10" s="864">
        <v>7850</v>
      </c>
      <c r="M10" s="489">
        <v>1</v>
      </c>
      <c r="N10" s="863">
        <f>IF(J10="",D10*M10,D10*J10*K10*L10*M10)</f>
        <v>5.0868000000000003E-2</v>
      </c>
      <c r="O10" s="823"/>
    </row>
    <row r="11" spans="1:15" s="764" customFormat="1" x14ac:dyDescent="0.25">
      <c r="A11" s="822"/>
      <c r="M11" s="821" t="s">
        <v>18</v>
      </c>
      <c r="N11" s="829">
        <f>SUM(N10:N10)</f>
        <v>5.0868000000000003E-2</v>
      </c>
      <c r="O11" s="819"/>
    </row>
    <row r="12" spans="1:15" x14ac:dyDescent="0.25">
      <c r="A12" s="828"/>
      <c r="O12" s="823"/>
    </row>
    <row r="13" spans="1:15" s="764" customFormat="1" x14ac:dyDescent="0.25">
      <c r="A13" s="825" t="s">
        <v>14</v>
      </c>
      <c r="B13" s="824" t="s">
        <v>31</v>
      </c>
      <c r="C13" s="824" t="s">
        <v>20</v>
      </c>
      <c r="D13" s="824" t="s">
        <v>21</v>
      </c>
      <c r="E13" s="824" t="s">
        <v>32</v>
      </c>
      <c r="F13" s="824" t="s">
        <v>17</v>
      </c>
      <c r="G13" s="824" t="s">
        <v>33</v>
      </c>
      <c r="H13" s="824" t="s">
        <v>34</v>
      </c>
      <c r="I13" s="824" t="s">
        <v>18</v>
      </c>
      <c r="O13" s="819"/>
    </row>
    <row r="14" spans="1:15" ht="30" x14ac:dyDescent="0.25">
      <c r="A14" s="862">
        <v>10</v>
      </c>
      <c r="B14" s="409" t="s">
        <v>700</v>
      </c>
      <c r="C14" s="420"/>
      <c r="D14" s="423">
        <v>1.3</v>
      </c>
      <c r="E14" s="419" t="s">
        <v>32</v>
      </c>
      <c r="F14" s="420">
        <v>1</v>
      </c>
      <c r="G14" s="420"/>
      <c r="H14" s="420">
        <v>1</v>
      </c>
      <c r="I14" s="863">
        <f>IF(H14="",D14*F14,D14*F14*H14)</f>
        <v>1.3</v>
      </c>
      <c r="O14" s="823"/>
    </row>
    <row r="15" spans="1:15" ht="30" x14ac:dyDescent="0.25">
      <c r="A15" s="627">
        <v>20</v>
      </c>
      <c r="B15" s="409" t="s">
        <v>231</v>
      </c>
      <c r="C15" s="419"/>
      <c r="D15" s="423">
        <v>0.01</v>
      </c>
      <c r="E15" s="419" t="s">
        <v>46</v>
      </c>
      <c r="F15" s="419">
        <v>17.8</v>
      </c>
      <c r="G15" s="409" t="s">
        <v>82</v>
      </c>
      <c r="H15" s="420">
        <v>3</v>
      </c>
      <c r="I15" s="863">
        <f>IF(H15="",D15*F15,D15*F15*H15)</f>
        <v>0.53400000000000003</v>
      </c>
      <c r="O15" s="823"/>
    </row>
    <row r="16" spans="1:15" s="764" customFormat="1" x14ac:dyDescent="0.25">
      <c r="A16" s="822"/>
      <c r="H16" s="821" t="s">
        <v>18</v>
      </c>
      <c r="I16" s="829">
        <f>SUM(I14:I15)</f>
        <v>1.8340000000000001</v>
      </c>
      <c r="O16" s="819"/>
    </row>
    <row r="17" spans="1:15" ht="15.75" thickBot="1" x14ac:dyDescent="0.3">
      <c r="A17" s="818"/>
      <c r="B17" s="815"/>
      <c r="C17" s="815"/>
      <c r="D17" s="815"/>
      <c r="E17" s="815"/>
      <c r="F17" s="815"/>
      <c r="G17" s="815"/>
      <c r="H17" s="817"/>
      <c r="I17" s="816"/>
      <c r="J17" s="815"/>
      <c r="K17" s="815"/>
      <c r="L17" s="815"/>
      <c r="M17" s="815"/>
      <c r="N17" s="815"/>
      <c r="O17" s="814"/>
    </row>
  </sheetData>
  <hyperlinks>
    <hyperlink ref="F1" location="BOM!A1" display="Back to BOM" xr:uid="{00000000-0004-0000-0700-000000000000}"/>
    <hyperlink ref="B3" location="'EN A0005'!A1" display="Fuel Tank Assembly" xr:uid="{00000000-0004-0000-0700-000001000000}"/>
    <hyperlink ref="D2" location="'EN 05005 Drawing'!A1" display="FileLink1" xr:uid="{00000000-0004-0000-0700-000002000000}"/>
  </hyperlinks>
  <printOptions horizontalCentered="1"/>
  <pageMargins left="0.3" right="0.3" top="0.3" bottom="0.4" header="0.2" footer="0.2"/>
  <pageSetup paperSize="9" scale="79" orientation="landscape" horizontalDpi="0" verticalDpi="0"/>
  <headerFooter>
    <oddFooter>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59695-E709-4EB5-8F79-9147ADF85310}">
  <sheetPr>
    <tabColor rgb="FFC4D79B"/>
    <pageSetUpPr fitToPage="1"/>
  </sheetPr>
  <dimension ref="A1"/>
  <sheetViews>
    <sheetView zoomScale="90" zoomScaleNormal="90" zoomScalePageLayoutView="49" workbookViewId="0"/>
  </sheetViews>
  <sheetFormatPr baseColWidth="10" defaultRowHeight="15" x14ac:dyDescent="0.25"/>
  <cols>
    <col min="1" max="16384" width="11.42578125" style="852"/>
  </cols>
  <sheetData>
    <row r="1" spans="1:1" x14ac:dyDescent="0.25">
      <c r="A1" s="706" t="s">
        <v>742</v>
      </c>
    </row>
  </sheetData>
  <hyperlinks>
    <hyperlink ref="A1" location="'EN 05005'!A1" display="EN 03006" xr:uid="{00000000-0004-0000-0800-000000000000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6217-1F17-4EA8-A87F-4D4CAB07F7E5}">
  <sheetPr>
    <tabColor rgb="FF76933C"/>
    <pageSetUpPr fitToPage="1"/>
  </sheetPr>
  <dimension ref="A1:P73"/>
  <sheetViews>
    <sheetView zoomScale="55" zoomScaleNormal="55" workbookViewId="0">
      <selection activeCell="D1" sqref="D1"/>
    </sheetView>
  </sheetViews>
  <sheetFormatPr baseColWidth="10" defaultColWidth="10.7109375" defaultRowHeight="15" x14ac:dyDescent="0.25"/>
  <cols>
    <col min="1" max="1" width="9" style="761" bestFit="1" customWidth="1"/>
    <col min="2" max="2" width="43.140625" style="761" bestFit="1" customWidth="1"/>
    <col min="3" max="3" width="45.140625" style="761" customWidth="1"/>
    <col min="4" max="4" width="12.28515625" style="761" customWidth="1"/>
    <col min="5" max="5" width="12.140625" style="761" customWidth="1"/>
    <col min="6" max="6" width="7.28515625" style="761" bestFit="1" customWidth="1"/>
    <col min="7" max="7" width="8.28515625" style="761" bestFit="1" customWidth="1"/>
    <col min="8" max="8" width="13.140625" style="761" bestFit="1" customWidth="1"/>
    <col min="9" max="9" width="12.28515625" style="761" customWidth="1"/>
    <col min="10" max="10" width="11.5703125" style="761" customWidth="1"/>
    <col min="11" max="11" width="6" style="761" bestFit="1" customWidth="1"/>
    <col min="12" max="12" width="6.42578125" style="761" bestFit="1" customWidth="1"/>
    <col min="13" max="13" width="11.7109375" style="761" bestFit="1" customWidth="1"/>
    <col min="14" max="14" width="12.42578125" style="761" customWidth="1"/>
    <col min="15" max="16384" width="10.7109375" style="761"/>
  </cols>
  <sheetData>
    <row r="1" spans="1:15" x14ac:dyDescent="0.25">
      <c r="A1" s="874" t="s">
        <v>0</v>
      </c>
      <c r="B1" s="848" t="s">
        <v>44</v>
      </c>
      <c r="C1" s="848"/>
      <c r="D1" s="747" t="s">
        <v>69</v>
      </c>
      <c r="E1" s="848"/>
      <c r="F1" s="848"/>
      <c r="G1" s="848"/>
      <c r="H1" s="848"/>
      <c r="I1" s="848"/>
      <c r="J1" s="873" t="s">
        <v>1</v>
      </c>
      <c r="K1" s="849">
        <v>81</v>
      </c>
      <c r="L1" s="848"/>
      <c r="M1" s="873" t="s">
        <v>2</v>
      </c>
      <c r="N1" s="846">
        <f>E13+N33+I56+J68+I72</f>
        <v>342.70606852109233</v>
      </c>
      <c r="O1" s="845"/>
    </row>
    <row r="2" spans="1:15" x14ac:dyDescent="0.25">
      <c r="A2" s="872" t="s">
        <v>3</v>
      </c>
      <c r="B2" s="761" t="s">
        <v>279</v>
      </c>
      <c r="M2" s="802" t="s">
        <v>4</v>
      </c>
      <c r="N2" s="843">
        <v>1</v>
      </c>
      <c r="O2" s="823"/>
    </row>
    <row r="3" spans="1:15" x14ac:dyDescent="0.25">
      <c r="A3" s="872" t="s">
        <v>5</v>
      </c>
      <c r="B3" s="761" t="s">
        <v>803</v>
      </c>
      <c r="J3" s="802" t="s">
        <v>6</v>
      </c>
      <c r="O3" s="823"/>
    </row>
    <row r="4" spans="1:15" x14ac:dyDescent="0.25">
      <c r="A4" s="872" t="s">
        <v>7</v>
      </c>
      <c r="B4" s="809" t="s">
        <v>802</v>
      </c>
      <c r="J4" s="802" t="s">
        <v>8</v>
      </c>
      <c r="M4" s="802" t="s">
        <v>9</v>
      </c>
      <c r="N4" s="842">
        <f>N1*N2</f>
        <v>342.70606852109233</v>
      </c>
      <c r="O4" s="823"/>
    </row>
    <row r="5" spans="1:15" x14ac:dyDescent="0.25">
      <c r="A5" s="872" t="s">
        <v>10</v>
      </c>
      <c r="B5" s="761" t="s">
        <v>11</v>
      </c>
      <c r="J5" s="802" t="s">
        <v>12</v>
      </c>
      <c r="O5" s="823"/>
    </row>
    <row r="6" spans="1:15" x14ac:dyDescent="0.25">
      <c r="A6" s="872" t="s">
        <v>13</v>
      </c>
      <c r="O6" s="823"/>
    </row>
    <row r="7" spans="1:15" x14ac:dyDescent="0.25">
      <c r="A7" s="828"/>
      <c r="O7" s="823"/>
    </row>
    <row r="8" spans="1:15" x14ac:dyDescent="0.25">
      <c r="A8" s="867" t="s">
        <v>14</v>
      </c>
      <c r="B8" s="765" t="s">
        <v>15</v>
      </c>
      <c r="C8" s="765" t="s">
        <v>16</v>
      </c>
      <c r="D8" s="765" t="s">
        <v>17</v>
      </c>
      <c r="E8" s="765" t="s">
        <v>18</v>
      </c>
      <c r="O8" s="823"/>
    </row>
    <row r="9" spans="1:15" x14ac:dyDescent="0.25">
      <c r="A9" s="870">
        <v>10</v>
      </c>
      <c r="B9" s="805" t="s">
        <v>801</v>
      </c>
      <c r="C9" s="398">
        <f>'EN 06001'!N1</f>
        <v>7.6413700144256271</v>
      </c>
      <c r="D9" s="804">
        <v>1</v>
      </c>
      <c r="E9" s="803">
        <f>C9*D9</f>
        <v>7.6413700144256271</v>
      </c>
      <c r="O9" s="823"/>
    </row>
    <row r="10" spans="1:15" x14ac:dyDescent="0.25">
      <c r="A10" s="870">
        <v>20</v>
      </c>
      <c r="B10" s="871" t="s">
        <v>800</v>
      </c>
      <c r="C10" s="398">
        <f>'EN 06002'!N1</f>
        <v>3.3523958399999998</v>
      </c>
      <c r="D10" s="804">
        <v>1</v>
      </c>
      <c r="E10" s="803">
        <f>C10*D10</f>
        <v>3.3523958399999998</v>
      </c>
      <c r="O10" s="823"/>
    </row>
    <row r="11" spans="1:15" x14ac:dyDescent="0.25">
      <c r="A11" s="870">
        <v>30</v>
      </c>
      <c r="B11" s="869" t="s">
        <v>799</v>
      </c>
      <c r="C11" s="398">
        <f>'EN 06003'!N1</f>
        <v>1.8305095</v>
      </c>
      <c r="D11" s="804">
        <v>1</v>
      </c>
      <c r="E11" s="803">
        <f>C11*D11</f>
        <v>1.8305095</v>
      </c>
      <c r="H11" s="780"/>
      <c r="O11" s="823"/>
    </row>
    <row r="12" spans="1:15" x14ac:dyDescent="0.25">
      <c r="A12" s="870">
        <v>40</v>
      </c>
      <c r="B12" s="869" t="s">
        <v>798</v>
      </c>
      <c r="C12" s="398">
        <f>'EN 06004'!N1</f>
        <v>1.5539844999999999</v>
      </c>
      <c r="D12" s="804">
        <v>1</v>
      </c>
      <c r="E12" s="803">
        <f>C12*D12</f>
        <v>1.5539844999999999</v>
      </c>
      <c r="O12" s="823"/>
    </row>
    <row r="13" spans="1:15" x14ac:dyDescent="0.25">
      <c r="A13" s="828"/>
      <c r="D13" s="763" t="s">
        <v>18</v>
      </c>
      <c r="E13" s="766">
        <f>SUM(E9:E12)</f>
        <v>14.378259854425627</v>
      </c>
      <c r="O13" s="823"/>
    </row>
    <row r="14" spans="1:15" x14ac:dyDescent="0.25">
      <c r="A14" s="828"/>
      <c r="O14" s="823"/>
    </row>
    <row r="15" spans="1:15" x14ac:dyDescent="0.25">
      <c r="A15" s="867" t="s">
        <v>14</v>
      </c>
      <c r="B15" s="765" t="s">
        <v>19</v>
      </c>
      <c r="C15" s="765" t="s">
        <v>20</v>
      </c>
      <c r="D15" s="765" t="s">
        <v>21</v>
      </c>
      <c r="E15" s="765" t="s">
        <v>22</v>
      </c>
      <c r="F15" s="765" t="s">
        <v>23</v>
      </c>
      <c r="G15" s="765" t="s">
        <v>24</v>
      </c>
      <c r="H15" s="765" t="s">
        <v>25</v>
      </c>
      <c r="I15" s="765" t="s">
        <v>26</v>
      </c>
      <c r="J15" s="765" t="s">
        <v>27</v>
      </c>
      <c r="K15" s="765" t="s">
        <v>28</v>
      </c>
      <c r="L15" s="765" t="s">
        <v>29</v>
      </c>
      <c r="M15" s="765" t="s">
        <v>17</v>
      </c>
      <c r="N15" s="765" t="s">
        <v>18</v>
      </c>
      <c r="O15" s="823"/>
    </row>
    <row r="16" spans="1:15" x14ac:dyDescent="0.25">
      <c r="A16" s="627">
        <v>10</v>
      </c>
      <c r="B16" s="419" t="s">
        <v>797</v>
      </c>
      <c r="C16" s="419"/>
      <c r="D16" s="398">
        <v>8</v>
      </c>
      <c r="E16" s="419"/>
      <c r="F16" s="419"/>
      <c r="G16" s="419"/>
      <c r="H16" s="785"/>
      <c r="I16" s="868"/>
      <c r="J16" s="786"/>
      <c r="K16" s="785"/>
      <c r="L16" s="785"/>
      <c r="M16" s="792">
        <v>1</v>
      </c>
      <c r="N16" s="803">
        <f>D16*M16</f>
        <v>8</v>
      </c>
      <c r="O16" s="823"/>
    </row>
    <row r="17" spans="1:16" x14ac:dyDescent="0.25">
      <c r="A17" s="627">
        <v>20</v>
      </c>
      <c r="B17" s="514" t="s">
        <v>796</v>
      </c>
      <c r="C17" s="514"/>
      <c r="D17" s="789">
        <v>35</v>
      </c>
      <c r="E17" s="502"/>
      <c r="F17" s="502"/>
      <c r="G17" s="502"/>
      <c r="H17" s="788"/>
      <c r="I17" s="868"/>
      <c r="J17" s="786"/>
      <c r="K17" s="785"/>
      <c r="L17" s="785"/>
      <c r="M17" s="792">
        <v>1</v>
      </c>
      <c r="N17" s="803">
        <f>D17*M17</f>
        <v>35</v>
      </c>
      <c r="O17" s="823"/>
    </row>
    <row r="18" spans="1:16" x14ac:dyDescent="0.25">
      <c r="A18" s="627">
        <v>30</v>
      </c>
      <c r="B18" s="514" t="s">
        <v>795</v>
      </c>
      <c r="C18" s="419"/>
      <c r="D18" s="398">
        <v>15</v>
      </c>
      <c r="E18" s="419"/>
      <c r="F18" s="419"/>
      <c r="G18" s="419"/>
      <c r="H18" s="785"/>
      <c r="I18" s="787"/>
      <c r="J18" s="786"/>
      <c r="K18" s="785"/>
      <c r="L18" s="858"/>
      <c r="M18" s="792">
        <v>1</v>
      </c>
      <c r="N18" s="803">
        <f>D18*M18</f>
        <v>15</v>
      </c>
      <c r="O18" s="823"/>
      <c r="P18" s="780"/>
    </row>
    <row r="19" spans="1:16" x14ac:dyDescent="0.25">
      <c r="A19" s="627">
        <v>40</v>
      </c>
      <c r="B19" s="419" t="s">
        <v>794</v>
      </c>
      <c r="C19" s="419"/>
      <c r="D19" s="398">
        <v>10</v>
      </c>
      <c r="E19" s="419"/>
      <c r="F19" s="419"/>
      <c r="G19" s="419"/>
      <c r="H19" s="785"/>
      <c r="I19" s="787"/>
      <c r="J19" s="786"/>
      <c r="K19" s="785"/>
      <c r="L19" s="785"/>
      <c r="M19" s="792">
        <v>4</v>
      </c>
      <c r="N19" s="803">
        <f>D19*M19</f>
        <v>40</v>
      </c>
      <c r="O19" s="823"/>
    </row>
    <row r="20" spans="1:16" x14ac:dyDescent="0.25">
      <c r="A20" s="627">
        <v>50</v>
      </c>
      <c r="B20" s="419" t="s">
        <v>793</v>
      </c>
      <c r="C20" s="419" t="s">
        <v>792</v>
      </c>
      <c r="D20" s="398">
        <v>3</v>
      </c>
      <c r="E20" s="419"/>
      <c r="F20" s="419"/>
      <c r="G20" s="419"/>
      <c r="H20" s="785"/>
      <c r="I20" s="787"/>
      <c r="J20" s="786"/>
      <c r="K20" s="785"/>
      <c r="L20" s="785"/>
      <c r="M20" s="792">
        <v>1</v>
      </c>
      <c r="N20" s="803">
        <f>D20*M20</f>
        <v>3</v>
      </c>
      <c r="O20" s="823"/>
    </row>
    <row r="21" spans="1:16" ht="30" x14ac:dyDescent="0.25">
      <c r="A21" s="627">
        <v>60</v>
      </c>
      <c r="B21" s="514" t="s">
        <v>791</v>
      </c>
      <c r="C21" s="419"/>
      <c r="D21" s="398">
        <f>2.23*K21+3.52</f>
        <v>5.4824000000000002</v>
      </c>
      <c r="E21" s="419">
        <v>880</v>
      </c>
      <c r="F21" s="419" t="s">
        <v>30</v>
      </c>
      <c r="G21" s="419"/>
      <c r="H21" s="785"/>
      <c r="I21" s="787"/>
      <c r="J21" s="786"/>
      <c r="K21" s="785">
        <v>0.88</v>
      </c>
      <c r="L21" s="785"/>
      <c r="M21" s="792">
        <v>1</v>
      </c>
      <c r="N21" s="803">
        <f>D21*M21</f>
        <v>5.4824000000000002</v>
      </c>
      <c r="O21" s="823"/>
    </row>
    <row r="22" spans="1:16" ht="30" x14ac:dyDescent="0.25">
      <c r="A22" s="627">
        <v>70</v>
      </c>
      <c r="B22" s="514" t="s">
        <v>790</v>
      </c>
      <c r="C22" s="419" t="s">
        <v>789</v>
      </c>
      <c r="D22" s="398">
        <f>2.11*E22-2.68</f>
        <v>27.281999999999996</v>
      </c>
      <c r="E22" s="419">
        <v>14.2</v>
      </c>
      <c r="F22" s="419" t="s">
        <v>30</v>
      </c>
      <c r="G22" s="419"/>
      <c r="H22" s="785"/>
      <c r="I22" s="787"/>
      <c r="J22" s="786"/>
      <c r="K22" s="785"/>
      <c r="L22" s="785"/>
      <c r="M22" s="786">
        <v>1</v>
      </c>
      <c r="N22" s="803">
        <f>D22*M22</f>
        <v>27.281999999999996</v>
      </c>
      <c r="O22" s="823"/>
    </row>
    <row r="23" spans="1:16" ht="30" x14ac:dyDescent="0.25">
      <c r="A23" s="627">
        <v>80</v>
      </c>
      <c r="B23" s="514" t="s">
        <v>788</v>
      </c>
      <c r="C23" s="419" t="s">
        <v>787</v>
      </c>
      <c r="D23" s="398">
        <f>1.46*E23+5.85</f>
        <v>26.582000000000001</v>
      </c>
      <c r="E23" s="419">
        <v>14.2</v>
      </c>
      <c r="F23" s="419" t="s">
        <v>30</v>
      </c>
      <c r="G23" s="419"/>
      <c r="H23" s="785"/>
      <c r="I23" s="787"/>
      <c r="J23" s="786"/>
      <c r="K23" s="785"/>
      <c r="L23" s="785"/>
      <c r="M23" s="786">
        <v>2</v>
      </c>
      <c r="N23" s="803">
        <f>D23*M23</f>
        <v>53.164000000000001</v>
      </c>
      <c r="O23" s="823"/>
    </row>
    <row r="24" spans="1:16" ht="30" x14ac:dyDescent="0.25">
      <c r="A24" s="627">
        <v>90</v>
      </c>
      <c r="B24" s="514" t="s">
        <v>786</v>
      </c>
      <c r="C24" s="514" t="s">
        <v>785</v>
      </c>
      <c r="D24" s="398">
        <f>1.32*E24-6.08</f>
        <v>12.664</v>
      </c>
      <c r="E24" s="419">
        <v>14.2</v>
      </c>
      <c r="F24" s="419" t="s">
        <v>30</v>
      </c>
      <c r="G24" s="419"/>
      <c r="H24" s="785"/>
      <c r="I24" s="787"/>
      <c r="J24" s="786"/>
      <c r="K24" s="785"/>
      <c r="L24" s="785"/>
      <c r="M24" s="786">
        <v>4</v>
      </c>
      <c r="N24" s="803">
        <f>D24*M24</f>
        <v>50.655999999999999</v>
      </c>
      <c r="O24" s="823"/>
    </row>
    <row r="25" spans="1:16" x14ac:dyDescent="0.25">
      <c r="A25" s="627">
        <v>100</v>
      </c>
      <c r="B25" s="419" t="s">
        <v>784</v>
      </c>
      <c r="C25" s="419" t="s">
        <v>783</v>
      </c>
      <c r="D25" s="398">
        <f>1*E25+1.2</f>
        <v>15.399999999999999</v>
      </c>
      <c r="E25" s="419">
        <v>14.2</v>
      </c>
      <c r="F25" s="419" t="s">
        <v>30</v>
      </c>
      <c r="G25" s="419"/>
      <c r="H25" s="785"/>
      <c r="I25" s="787"/>
      <c r="J25" s="786"/>
      <c r="K25" s="785"/>
      <c r="L25" s="785"/>
      <c r="M25" s="786">
        <v>1</v>
      </c>
      <c r="N25" s="803">
        <f>D25*M25</f>
        <v>15.399999999999999</v>
      </c>
      <c r="O25" s="823"/>
    </row>
    <row r="26" spans="1:16" x14ac:dyDescent="0.25">
      <c r="A26" s="627">
        <v>110</v>
      </c>
      <c r="B26" s="419" t="s">
        <v>782</v>
      </c>
      <c r="C26" s="419" t="s">
        <v>781</v>
      </c>
      <c r="D26" s="398">
        <v>3.2719999999999998</v>
      </c>
      <c r="E26" s="419">
        <v>14.2</v>
      </c>
      <c r="F26" s="419" t="s">
        <v>30</v>
      </c>
      <c r="G26" s="419"/>
      <c r="H26" s="785"/>
      <c r="I26" s="787"/>
      <c r="J26" s="786"/>
      <c r="K26" s="785"/>
      <c r="L26" s="785"/>
      <c r="M26" s="786">
        <v>1</v>
      </c>
      <c r="N26" s="803">
        <f>D26*M26</f>
        <v>3.2719999999999998</v>
      </c>
      <c r="O26" s="823"/>
    </row>
    <row r="27" spans="1:16" x14ac:dyDescent="0.25">
      <c r="A27" s="627">
        <v>120</v>
      </c>
      <c r="B27" s="419" t="s">
        <v>780</v>
      </c>
      <c r="C27" s="419" t="s">
        <v>779</v>
      </c>
      <c r="D27" s="398">
        <v>3.86</v>
      </c>
      <c r="E27" s="419">
        <v>14.2</v>
      </c>
      <c r="F27" s="419" t="s">
        <v>30</v>
      </c>
      <c r="G27" s="419">
        <v>14.2</v>
      </c>
      <c r="H27" s="785" t="s">
        <v>30</v>
      </c>
      <c r="I27" s="787"/>
      <c r="J27" s="786"/>
      <c r="K27" s="785"/>
      <c r="L27" s="785"/>
      <c r="M27" s="786">
        <v>1</v>
      </c>
      <c r="N27" s="803">
        <f>D27*M27</f>
        <v>3.86</v>
      </c>
      <c r="O27" s="823"/>
    </row>
    <row r="28" spans="1:16" ht="30" x14ac:dyDescent="0.25">
      <c r="A28" s="627">
        <v>130</v>
      </c>
      <c r="B28" s="514" t="s">
        <v>778</v>
      </c>
      <c r="C28" s="419" t="s">
        <v>777</v>
      </c>
      <c r="D28" s="398">
        <f>0.0089*E28*G28+4.2</f>
        <v>5.9945959999999996</v>
      </c>
      <c r="E28" s="419">
        <v>14.2</v>
      </c>
      <c r="F28" s="419" t="s">
        <v>30</v>
      </c>
      <c r="G28" s="419">
        <v>14.2</v>
      </c>
      <c r="H28" s="785" t="s">
        <v>30</v>
      </c>
      <c r="I28" s="787"/>
      <c r="J28" s="786"/>
      <c r="K28" s="785"/>
      <c r="L28" s="785"/>
      <c r="M28" s="786">
        <v>2</v>
      </c>
      <c r="N28" s="803">
        <f>D28*M28</f>
        <v>11.989191999999999</v>
      </c>
      <c r="O28" s="823"/>
    </row>
    <row r="29" spans="1:16" ht="30" x14ac:dyDescent="0.25">
      <c r="A29" s="627">
        <v>140</v>
      </c>
      <c r="B29" s="514" t="s">
        <v>776</v>
      </c>
      <c r="C29" s="514" t="s">
        <v>775</v>
      </c>
      <c r="D29" s="398">
        <v>2.64</v>
      </c>
      <c r="E29" s="419">
        <v>14.2</v>
      </c>
      <c r="F29" s="419" t="s">
        <v>30</v>
      </c>
      <c r="G29" s="419">
        <v>10</v>
      </c>
      <c r="H29" s="785" t="s">
        <v>30</v>
      </c>
      <c r="I29" s="787"/>
      <c r="J29" s="786"/>
      <c r="K29" s="785"/>
      <c r="L29" s="785"/>
      <c r="M29" s="786">
        <v>4</v>
      </c>
      <c r="N29" s="803">
        <f>D29*M29</f>
        <v>10.56</v>
      </c>
      <c r="O29" s="823"/>
    </row>
    <row r="30" spans="1:16" x14ac:dyDescent="0.25">
      <c r="A30" s="627">
        <v>150</v>
      </c>
      <c r="B30" s="419" t="s">
        <v>298</v>
      </c>
      <c r="C30" s="419" t="s">
        <v>774</v>
      </c>
      <c r="D30" s="398">
        <v>0.05</v>
      </c>
      <c r="E30" s="419"/>
      <c r="F30" s="419"/>
      <c r="G30" s="419"/>
      <c r="H30" s="785"/>
      <c r="I30" s="787"/>
      <c r="J30" s="786"/>
      <c r="K30" s="785"/>
      <c r="L30" s="785"/>
      <c r="M30" s="786">
        <v>4</v>
      </c>
      <c r="N30" s="803">
        <f>D30*M30</f>
        <v>0.2</v>
      </c>
      <c r="O30" s="823"/>
    </row>
    <row r="31" spans="1:16" x14ac:dyDescent="0.25">
      <c r="A31" s="627">
        <v>160</v>
      </c>
      <c r="B31" s="856" t="s">
        <v>773</v>
      </c>
      <c r="C31" s="419" t="s">
        <v>772</v>
      </c>
      <c r="D31" s="398">
        <f>0.027*E31+0.12</f>
        <v>0.47099999999999997</v>
      </c>
      <c r="E31" s="419">
        <v>13</v>
      </c>
      <c r="F31" s="419" t="s">
        <v>30</v>
      </c>
      <c r="G31" s="419"/>
      <c r="H31" s="785"/>
      <c r="I31" s="787"/>
      <c r="J31" s="786"/>
      <c r="K31" s="785"/>
      <c r="L31" s="785"/>
      <c r="M31" s="786">
        <v>2</v>
      </c>
      <c r="N31" s="803">
        <f>D31*M31</f>
        <v>0.94199999999999995</v>
      </c>
      <c r="O31" s="823"/>
    </row>
    <row r="32" spans="1:16" x14ac:dyDescent="0.25">
      <c r="A32" s="627">
        <v>170</v>
      </c>
      <c r="B32" s="419" t="s">
        <v>264</v>
      </c>
      <c r="C32" s="419" t="s">
        <v>677</v>
      </c>
      <c r="D32" s="398">
        <v>10</v>
      </c>
      <c r="E32" s="419">
        <v>2.2000000000000001E-3</v>
      </c>
      <c r="F32" s="419" t="s">
        <v>89</v>
      </c>
      <c r="G32" s="419"/>
      <c r="H32" s="785"/>
      <c r="I32" s="787"/>
      <c r="J32" s="786"/>
      <c r="K32" s="785"/>
      <c r="L32" s="785"/>
      <c r="M32" s="792">
        <v>2.2000000000000001E-3</v>
      </c>
      <c r="N32" s="803">
        <f>D32*M32</f>
        <v>2.2000000000000002E-2</v>
      </c>
      <c r="O32" s="823"/>
    </row>
    <row r="33" spans="1:15" s="764" customFormat="1" x14ac:dyDescent="0.25">
      <c r="A33" s="822"/>
      <c r="M33" s="763" t="s">
        <v>18</v>
      </c>
      <c r="N33" s="766">
        <f>SUM(N16:N32)</f>
        <v>283.82959200000005</v>
      </c>
      <c r="O33" s="819"/>
    </row>
    <row r="34" spans="1:15" x14ac:dyDescent="0.25">
      <c r="A34" s="828"/>
      <c r="O34" s="823"/>
    </row>
    <row r="35" spans="1:15" s="764" customFormat="1" x14ac:dyDescent="0.25">
      <c r="A35" s="867" t="s">
        <v>14</v>
      </c>
      <c r="B35" s="765" t="s">
        <v>31</v>
      </c>
      <c r="C35" s="765" t="s">
        <v>20</v>
      </c>
      <c r="D35" s="765" t="s">
        <v>21</v>
      </c>
      <c r="E35" s="765" t="s">
        <v>32</v>
      </c>
      <c r="F35" s="765" t="s">
        <v>17</v>
      </c>
      <c r="G35" s="765" t="s">
        <v>33</v>
      </c>
      <c r="H35" s="765" t="s">
        <v>34</v>
      </c>
      <c r="I35" s="765" t="s">
        <v>18</v>
      </c>
      <c r="O35" s="819"/>
    </row>
    <row r="36" spans="1:15" ht="30" x14ac:dyDescent="0.25">
      <c r="A36" s="627">
        <v>10</v>
      </c>
      <c r="B36" s="419" t="s">
        <v>72</v>
      </c>
      <c r="C36" s="514" t="s">
        <v>771</v>
      </c>
      <c r="D36" s="423">
        <v>0.15</v>
      </c>
      <c r="E36" s="419" t="s">
        <v>46</v>
      </c>
      <c r="F36" s="420">
        <v>2</v>
      </c>
      <c r="G36" s="420"/>
      <c r="H36" s="420">
        <v>1</v>
      </c>
      <c r="I36" s="316">
        <f>H36*F36*D36</f>
        <v>0.3</v>
      </c>
      <c r="O36" s="823"/>
    </row>
    <row r="37" spans="1:15" x14ac:dyDescent="0.25">
      <c r="A37" s="627">
        <v>20</v>
      </c>
      <c r="B37" s="419" t="s">
        <v>258</v>
      </c>
      <c r="C37" s="419" t="s">
        <v>677</v>
      </c>
      <c r="D37" s="423">
        <v>5.25</v>
      </c>
      <c r="E37" s="419" t="s">
        <v>89</v>
      </c>
      <c r="F37" s="419">
        <f>0.0022</f>
        <v>2.2000000000000001E-3</v>
      </c>
      <c r="G37" s="420"/>
      <c r="H37" s="420">
        <v>1</v>
      </c>
      <c r="I37" s="316">
        <f>H37*F37*D37</f>
        <v>1.1550000000000001E-2</v>
      </c>
      <c r="O37" s="823"/>
    </row>
    <row r="38" spans="1:15" x14ac:dyDescent="0.25">
      <c r="A38" s="627">
        <v>30</v>
      </c>
      <c r="B38" s="409" t="s">
        <v>252</v>
      </c>
      <c r="C38" s="768" t="s">
        <v>770</v>
      </c>
      <c r="D38" s="423">
        <v>0.19</v>
      </c>
      <c r="E38" s="409" t="s">
        <v>32</v>
      </c>
      <c r="F38" s="420">
        <v>8</v>
      </c>
      <c r="G38" s="419"/>
      <c r="H38" s="419">
        <v>1</v>
      </c>
      <c r="I38" s="316">
        <f>H38*F38*D38</f>
        <v>1.52</v>
      </c>
      <c r="O38" s="823"/>
    </row>
    <row r="39" spans="1:15" x14ac:dyDescent="0.25">
      <c r="A39" s="627">
        <v>40</v>
      </c>
      <c r="B39" s="409" t="s">
        <v>754</v>
      </c>
      <c r="C39" s="768" t="s">
        <v>769</v>
      </c>
      <c r="D39" s="423">
        <v>1.5</v>
      </c>
      <c r="E39" s="409" t="s">
        <v>32</v>
      </c>
      <c r="F39" s="420">
        <v>8</v>
      </c>
      <c r="G39" s="419"/>
      <c r="H39" s="419">
        <v>1</v>
      </c>
      <c r="I39" s="316">
        <f>H39*F39*D39</f>
        <v>12</v>
      </c>
      <c r="O39" s="823"/>
    </row>
    <row r="40" spans="1:15" x14ac:dyDescent="0.25">
      <c r="A40" s="627">
        <v>50</v>
      </c>
      <c r="B40" s="409" t="s">
        <v>73</v>
      </c>
      <c r="C40" s="768" t="s">
        <v>768</v>
      </c>
      <c r="D40" s="423">
        <v>0.06</v>
      </c>
      <c r="E40" s="409" t="s">
        <v>32</v>
      </c>
      <c r="F40" s="420">
        <v>1</v>
      </c>
      <c r="G40" s="419"/>
      <c r="H40" s="420">
        <v>1</v>
      </c>
      <c r="I40" s="316">
        <f>H40*F40*D40</f>
        <v>0.06</v>
      </c>
      <c r="O40" s="823"/>
    </row>
    <row r="41" spans="1:15" x14ac:dyDescent="0.25">
      <c r="A41" s="627">
        <v>60</v>
      </c>
      <c r="B41" s="409" t="s">
        <v>73</v>
      </c>
      <c r="C41" s="768" t="s">
        <v>767</v>
      </c>
      <c r="D41" s="423">
        <v>0.06</v>
      </c>
      <c r="E41" s="409" t="s">
        <v>32</v>
      </c>
      <c r="F41" s="420">
        <v>1</v>
      </c>
      <c r="G41" s="419"/>
      <c r="H41" s="419">
        <v>1</v>
      </c>
      <c r="I41" s="316">
        <f>H41*F41*D41</f>
        <v>0.06</v>
      </c>
      <c r="O41" s="823"/>
    </row>
    <row r="42" spans="1:15" x14ac:dyDescent="0.25">
      <c r="A42" s="627">
        <v>70</v>
      </c>
      <c r="B42" s="419" t="s">
        <v>76</v>
      </c>
      <c r="C42" s="779" t="s">
        <v>766</v>
      </c>
      <c r="D42" s="423">
        <v>0.5</v>
      </c>
      <c r="E42" s="419" t="s">
        <v>32</v>
      </c>
      <c r="F42" s="420">
        <v>1</v>
      </c>
      <c r="G42" s="419"/>
      <c r="H42" s="420">
        <v>1</v>
      </c>
      <c r="I42" s="316">
        <f>H42*F42*D42</f>
        <v>0.5</v>
      </c>
      <c r="O42" s="823"/>
    </row>
    <row r="43" spans="1:15" x14ac:dyDescent="0.25">
      <c r="A43" s="627">
        <v>80</v>
      </c>
      <c r="B43" s="419" t="s">
        <v>443</v>
      </c>
      <c r="C43" s="779" t="s">
        <v>179</v>
      </c>
      <c r="D43" s="423">
        <v>0.25</v>
      </c>
      <c r="E43" s="419" t="s">
        <v>32</v>
      </c>
      <c r="F43" s="420">
        <v>1</v>
      </c>
      <c r="G43" s="419"/>
      <c r="H43" s="419">
        <v>1</v>
      </c>
      <c r="I43" s="316">
        <f>H43*F43*D43</f>
        <v>0.25</v>
      </c>
      <c r="O43" s="823"/>
    </row>
    <row r="44" spans="1:15" x14ac:dyDescent="0.25">
      <c r="A44" s="627">
        <v>90</v>
      </c>
      <c r="B44" s="409" t="s">
        <v>73</v>
      </c>
      <c r="C44" s="779" t="s">
        <v>765</v>
      </c>
      <c r="D44" s="423">
        <v>0.06</v>
      </c>
      <c r="E44" s="409" t="s">
        <v>32</v>
      </c>
      <c r="F44" s="420">
        <v>1</v>
      </c>
      <c r="G44" s="419"/>
      <c r="H44" s="420">
        <v>1</v>
      </c>
      <c r="I44" s="316">
        <f>H44*F44*D44</f>
        <v>0.06</v>
      </c>
      <c r="O44" s="823"/>
    </row>
    <row r="45" spans="1:15" ht="30" x14ac:dyDescent="0.25">
      <c r="A45" s="627">
        <v>100</v>
      </c>
      <c r="B45" s="419" t="s">
        <v>76</v>
      </c>
      <c r="C45" s="779" t="s">
        <v>764</v>
      </c>
      <c r="D45" s="423">
        <v>0.5</v>
      </c>
      <c r="E45" s="419" t="s">
        <v>32</v>
      </c>
      <c r="F45" s="420">
        <v>2</v>
      </c>
      <c r="G45" s="419"/>
      <c r="H45" s="419">
        <v>1</v>
      </c>
      <c r="I45" s="316">
        <f>H45*F45*D45</f>
        <v>1</v>
      </c>
      <c r="K45" s="780"/>
      <c r="O45" s="823"/>
    </row>
    <row r="46" spans="1:15" x14ac:dyDescent="0.25">
      <c r="A46" s="627">
        <v>110</v>
      </c>
      <c r="B46" s="419" t="s">
        <v>443</v>
      </c>
      <c r="C46" s="779" t="s">
        <v>179</v>
      </c>
      <c r="D46" s="423">
        <v>0.25</v>
      </c>
      <c r="E46" s="419" t="s">
        <v>32</v>
      </c>
      <c r="F46" s="420">
        <v>2</v>
      </c>
      <c r="G46" s="419"/>
      <c r="H46" s="420">
        <v>1</v>
      </c>
      <c r="I46" s="316">
        <f>H46*F46*D46</f>
        <v>0.5</v>
      </c>
      <c r="O46" s="823"/>
    </row>
    <row r="47" spans="1:15" x14ac:dyDescent="0.25">
      <c r="A47" s="627">
        <v>120</v>
      </c>
      <c r="B47" s="409" t="s">
        <v>88</v>
      </c>
      <c r="C47" s="768" t="s">
        <v>763</v>
      </c>
      <c r="D47" s="423">
        <v>0.13</v>
      </c>
      <c r="E47" s="409" t="s">
        <v>32</v>
      </c>
      <c r="F47" s="420">
        <v>4</v>
      </c>
      <c r="G47" s="419"/>
      <c r="H47" s="419">
        <v>1</v>
      </c>
      <c r="I47" s="316">
        <f>H47*F47*D47</f>
        <v>0.52</v>
      </c>
      <c r="O47" s="823"/>
    </row>
    <row r="48" spans="1:15" x14ac:dyDescent="0.25">
      <c r="A48" s="627">
        <v>130</v>
      </c>
      <c r="B48" s="409" t="s">
        <v>88</v>
      </c>
      <c r="C48" s="768" t="s">
        <v>762</v>
      </c>
      <c r="D48" s="423">
        <v>0.13</v>
      </c>
      <c r="E48" s="409" t="s">
        <v>32</v>
      </c>
      <c r="F48" s="420">
        <v>4</v>
      </c>
      <c r="G48" s="419"/>
      <c r="H48" s="420">
        <v>1</v>
      </c>
      <c r="I48" s="316">
        <f>H48*F48*D48</f>
        <v>0.52</v>
      </c>
      <c r="O48" s="823"/>
    </row>
    <row r="49" spans="1:15" x14ac:dyDescent="0.25">
      <c r="A49" s="627">
        <v>140</v>
      </c>
      <c r="B49" s="409" t="s">
        <v>88</v>
      </c>
      <c r="C49" s="419" t="s">
        <v>761</v>
      </c>
      <c r="D49" s="423">
        <v>0.13</v>
      </c>
      <c r="E49" s="419" t="s">
        <v>32</v>
      </c>
      <c r="F49" s="420">
        <v>1</v>
      </c>
      <c r="G49" s="419"/>
      <c r="H49" s="419">
        <v>1</v>
      </c>
      <c r="I49" s="316">
        <f>H49*F49*D49</f>
        <v>0.13</v>
      </c>
      <c r="O49" s="823"/>
    </row>
    <row r="50" spans="1:15" x14ac:dyDescent="0.25">
      <c r="A50" s="627">
        <v>150</v>
      </c>
      <c r="B50" s="409" t="s">
        <v>286</v>
      </c>
      <c r="C50" s="419" t="s">
        <v>760</v>
      </c>
      <c r="D50" s="423">
        <v>0.25</v>
      </c>
      <c r="E50" s="419" t="s">
        <v>32</v>
      </c>
      <c r="F50" s="420">
        <v>3</v>
      </c>
      <c r="G50" s="419"/>
      <c r="H50" s="419">
        <v>1</v>
      </c>
      <c r="I50" s="316">
        <f>H50*F50*D50</f>
        <v>0.75</v>
      </c>
      <c r="O50" s="823"/>
    </row>
    <row r="51" spans="1:15" x14ac:dyDescent="0.25">
      <c r="A51" s="627">
        <v>160</v>
      </c>
      <c r="B51" s="409" t="s">
        <v>380</v>
      </c>
      <c r="C51" s="419" t="s">
        <v>759</v>
      </c>
      <c r="D51" s="423">
        <v>0.25</v>
      </c>
      <c r="E51" s="419" t="s">
        <v>32</v>
      </c>
      <c r="F51" s="420">
        <v>3</v>
      </c>
      <c r="G51" s="419"/>
      <c r="H51" s="419">
        <v>1</v>
      </c>
      <c r="I51" s="316">
        <f>H51*F51*D51</f>
        <v>0.75</v>
      </c>
      <c r="O51" s="823"/>
    </row>
    <row r="52" spans="1:15" ht="30" x14ac:dyDescent="0.25">
      <c r="A52" s="627">
        <v>170</v>
      </c>
      <c r="B52" s="419" t="s">
        <v>758</v>
      </c>
      <c r="C52" s="514" t="s">
        <v>757</v>
      </c>
      <c r="D52" s="423">
        <v>0.6</v>
      </c>
      <c r="E52" s="419" t="s">
        <v>32</v>
      </c>
      <c r="F52" s="420">
        <v>4</v>
      </c>
      <c r="G52" s="420"/>
      <c r="H52" s="420">
        <v>1</v>
      </c>
      <c r="I52" s="316">
        <f>H52*F52*D52</f>
        <v>2.4</v>
      </c>
      <c r="O52" s="823"/>
    </row>
    <row r="53" spans="1:15" x14ac:dyDescent="0.25">
      <c r="A53" s="627">
        <v>180</v>
      </c>
      <c r="B53" s="409" t="s">
        <v>73</v>
      </c>
      <c r="C53" s="514" t="s">
        <v>756</v>
      </c>
      <c r="D53" s="423">
        <v>0.06</v>
      </c>
      <c r="E53" s="419" t="s">
        <v>32</v>
      </c>
      <c r="F53" s="420">
        <v>1</v>
      </c>
      <c r="G53" s="420"/>
      <c r="H53" s="419">
        <v>1</v>
      </c>
      <c r="I53" s="316">
        <f>H53*F53*D53</f>
        <v>0.06</v>
      </c>
      <c r="O53" s="823"/>
    </row>
    <row r="54" spans="1:15" x14ac:dyDescent="0.25">
      <c r="A54" s="627">
        <v>190</v>
      </c>
      <c r="B54" s="419" t="s">
        <v>286</v>
      </c>
      <c r="C54" s="514" t="s">
        <v>755</v>
      </c>
      <c r="D54" s="423">
        <v>0.75</v>
      </c>
      <c r="E54" s="419" t="s">
        <v>32</v>
      </c>
      <c r="F54" s="420">
        <v>1</v>
      </c>
      <c r="G54" s="420"/>
      <c r="H54" s="420">
        <v>1</v>
      </c>
      <c r="I54" s="316">
        <f>H54*F54*D54</f>
        <v>0.75</v>
      </c>
      <c r="O54" s="823"/>
    </row>
    <row r="55" spans="1:15" x14ac:dyDescent="0.25">
      <c r="A55" s="627">
        <v>200</v>
      </c>
      <c r="B55" s="419" t="s">
        <v>754</v>
      </c>
      <c r="C55" s="514" t="s">
        <v>753</v>
      </c>
      <c r="D55" s="423">
        <v>1.5</v>
      </c>
      <c r="E55" s="419" t="s">
        <v>32</v>
      </c>
      <c r="F55" s="420">
        <v>14</v>
      </c>
      <c r="G55" s="420"/>
      <c r="H55" s="419">
        <v>1</v>
      </c>
      <c r="I55" s="316">
        <f>H55*F55*D55</f>
        <v>21</v>
      </c>
      <c r="O55" s="823"/>
    </row>
    <row r="56" spans="1:15" s="764" customFormat="1" x14ac:dyDescent="0.25">
      <c r="A56" s="822"/>
      <c r="H56" s="763" t="s">
        <v>18</v>
      </c>
      <c r="I56" s="778">
        <f>SUM(I36:I55)</f>
        <v>43.141549999999995</v>
      </c>
      <c r="O56" s="819"/>
    </row>
    <row r="57" spans="1:15" x14ac:dyDescent="0.25">
      <c r="A57" s="828"/>
      <c r="O57" s="823"/>
    </row>
    <row r="58" spans="1:15" s="764" customFormat="1" x14ac:dyDescent="0.25">
      <c r="A58" s="867" t="s">
        <v>14</v>
      </c>
      <c r="B58" s="765" t="s">
        <v>36</v>
      </c>
      <c r="C58" s="765" t="s">
        <v>20</v>
      </c>
      <c r="D58" s="765" t="s">
        <v>21</v>
      </c>
      <c r="E58" s="765" t="s">
        <v>22</v>
      </c>
      <c r="F58" s="765" t="s">
        <v>23</v>
      </c>
      <c r="G58" s="765" t="s">
        <v>24</v>
      </c>
      <c r="H58" s="765" t="s">
        <v>25</v>
      </c>
      <c r="I58" s="765" t="s">
        <v>17</v>
      </c>
      <c r="J58" s="765" t="s">
        <v>18</v>
      </c>
      <c r="O58" s="819"/>
    </row>
    <row r="59" spans="1:15" x14ac:dyDescent="0.25">
      <c r="A59" s="627">
        <v>10</v>
      </c>
      <c r="B59" s="419" t="s">
        <v>90</v>
      </c>
      <c r="C59" s="419" t="s">
        <v>752</v>
      </c>
      <c r="D59" s="423">
        <v>0.04</v>
      </c>
      <c r="E59" s="419">
        <v>6</v>
      </c>
      <c r="F59" s="774" t="s">
        <v>30</v>
      </c>
      <c r="G59" s="419">
        <v>20</v>
      </c>
      <c r="H59" s="768" t="s">
        <v>30</v>
      </c>
      <c r="I59" s="767">
        <v>1</v>
      </c>
      <c r="J59" s="316">
        <f>I59*D59</f>
        <v>0.04</v>
      </c>
      <c r="O59" s="823"/>
    </row>
    <row r="60" spans="1:15" x14ac:dyDescent="0.25">
      <c r="A60" s="627">
        <v>20</v>
      </c>
      <c r="B60" s="419" t="s">
        <v>38</v>
      </c>
      <c r="C60" s="419" t="s">
        <v>751</v>
      </c>
      <c r="D60" s="423">
        <v>0.03</v>
      </c>
      <c r="E60" s="419">
        <v>6</v>
      </c>
      <c r="F60" s="774" t="s">
        <v>30</v>
      </c>
      <c r="G60" s="419"/>
      <c r="H60" s="768"/>
      <c r="I60" s="767">
        <v>1</v>
      </c>
      <c r="J60" s="316">
        <f>I60*D60</f>
        <v>0.03</v>
      </c>
      <c r="O60" s="823"/>
    </row>
    <row r="61" spans="1:15" x14ac:dyDescent="0.25">
      <c r="A61" s="627">
        <v>30</v>
      </c>
      <c r="B61" s="419" t="s">
        <v>37</v>
      </c>
      <c r="C61" s="419" t="s">
        <v>750</v>
      </c>
      <c r="D61" s="423">
        <v>0.01</v>
      </c>
      <c r="E61" s="419">
        <v>6</v>
      </c>
      <c r="F61" s="774" t="s">
        <v>30</v>
      </c>
      <c r="G61" s="419"/>
      <c r="H61" s="768"/>
      <c r="I61" s="767">
        <v>2</v>
      </c>
      <c r="J61" s="316">
        <f>I61*D61</f>
        <v>0.02</v>
      </c>
      <c r="O61" s="823"/>
    </row>
    <row r="62" spans="1:15" x14ac:dyDescent="0.25">
      <c r="A62" s="627">
        <v>40</v>
      </c>
      <c r="B62" s="419" t="s">
        <v>90</v>
      </c>
      <c r="C62" s="419" t="s">
        <v>749</v>
      </c>
      <c r="D62" s="423">
        <v>7.0000000000000007E-2</v>
      </c>
      <c r="E62" s="514">
        <v>6</v>
      </c>
      <c r="F62" s="403" t="s">
        <v>30</v>
      </c>
      <c r="G62" s="514">
        <v>30</v>
      </c>
      <c r="H62" s="779" t="s">
        <v>30</v>
      </c>
      <c r="I62" s="773">
        <v>2</v>
      </c>
      <c r="J62" s="316">
        <f>I62*D62</f>
        <v>0.14000000000000001</v>
      </c>
      <c r="O62" s="823"/>
    </row>
    <row r="63" spans="1:15" x14ac:dyDescent="0.25">
      <c r="A63" s="627">
        <v>50</v>
      </c>
      <c r="B63" s="419" t="s">
        <v>38</v>
      </c>
      <c r="C63" s="419" t="s">
        <v>748</v>
      </c>
      <c r="D63" s="423">
        <v>0.03</v>
      </c>
      <c r="E63" s="419">
        <v>6</v>
      </c>
      <c r="F63" s="774" t="s">
        <v>30</v>
      </c>
      <c r="G63" s="514"/>
      <c r="H63" s="779"/>
      <c r="I63" s="773">
        <v>2</v>
      </c>
      <c r="J63" s="316">
        <f>I63*D63</f>
        <v>0.06</v>
      </c>
      <c r="O63" s="823"/>
    </row>
    <row r="64" spans="1:15" x14ac:dyDescent="0.25">
      <c r="A64" s="627">
        <v>60</v>
      </c>
      <c r="B64" s="419" t="s">
        <v>37</v>
      </c>
      <c r="C64" s="419" t="s">
        <v>747</v>
      </c>
      <c r="D64" s="423">
        <v>0.01</v>
      </c>
      <c r="E64" s="419">
        <v>6</v>
      </c>
      <c r="F64" s="774" t="s">
        <v>30</v>
      </c>
      <c r="G64" s="419"/>
      <c r="H64" s="768"/>
      <c r="I64" s="767">
        <v>4</v>
      </c>
      <c r="J64" s="316">
        <f>I64*D64</f>
        <v>0.04</v>
      </c>
      <c r="O64" s="823"/>
    </row>
    <row r="65" spans="1:15" x14ac:dyDescent="0.25">
      <c r="A65" s="627">
        <v>70</v>
      </c>
      <c r="B65" s="419" t="s">
        <v>90</v>
      </c>
      <c r="C65" s="419" t="s">
        <v>746</v>
      </c>
      <c r="D65" s="423">
        <v>7.0000000000000007E-2</v>
      </c>
      <c r="E65" s="514">
        <v>6</v>
      </c>
      <c r="F65" s="403" t="s">
        <v>30</v>
      </c>
      <c r="G65" s="514">
        <v>30</v>
      </c>
      <c r="H65" s="779" t="s">
        <v>30</v>
      </c>
      <c r="I65" s="773">
        <v>3</v>
      </c>
      <c r="J65" s="316">
        <f>I65*D65</f>
        <v>0.21000000000000002</v>
      </c>
      <c r="O65" s="823"/>
    </row>
    <row r="66" spans="1:15" x14ac:dyDescent="0.25">
      <c r="A66" s="627">
        <v>80</v>
      </c>
      <c r="B66" s="419" t="s">
        <v>38</v>
      </c>
      <c r="C66" s="419" t="s">
        <v>745</v>
      </c>
      <c r="D66" s="423">
        <v>0.03</v>
      </c>
      <c r="E66" s="419">
        <v>6</v>
      </c>
      <c r="F66" s="774" t="s">
        <v>30</v>
      </c>
      <c r="G66" s="514"/>
      <c r="H66" s="779"/>
      <c r="I66" s="773">
        <v>3</v>
      </c>
      <c r="J66" s="316">
        <f>I66*D66</f>
        <v>0.09</v>
      </c>
      <c r="O66" s="823"/>
    </row>
    <row r="67" spans="1:15" x14ac:dyDescent="0.25">
      <c r="A67" s="627">
        <v>90</v>
      </c>
      <c r="B67" s="419" t="s">
        <v>37</v>
      </c>
      <c r="C67" s="419" t="s">
        <v>744</v>
      </c>
      <c r="D67" s="423">
        <v>0.01</v>
      </c>
      <c r="E67" s="419">
        <v>6</v>
      </c>
      <c r="F67" s="774" t="s">
        <v>30</v>
      </c>
      <c r="G67" s="419"/>
      <c r="H67" s="768"/>
      <c r="I67" s="767">
        <v>6</v>
      </c>
      <c r="J67" s="316">
        <f>I67*D67</f>
        <v>0.06</v>
      </c>
      <c r="O67" s="823"/>
    </row>
    <row r="68" spans="1:15" s="764" customFormat="1" x14ac:dyDescent="0.25">
      <c r="A68" s="822"/>
      <c r="I68" s="763" t="s">
        <v>18</v>
      </c>
      <c r="J68" s="766">
        <f>SUM(J59:J67)</f>
        <v>0.69</v>
      </c>
      <c r="O68" s="819"/>
    </row>
    <row r="69" spans="1:15" x14ac:dyDescent="0.25">
      <c r="A69" s="828"/>
      <c r="H69" s="827"/>
      <c r="I69" s="826"/>
      <c r="O69" s="823"/>
    </row>
    <row r="70" spans="1:15" s="764" customFormat="1" x14ac:dyDescent="0.25">
      <c r="A70" s="867" t="s">
        <v>14</v>
      </c>
      <c r="B70" s="765" t="s">
        <v>39</v>
      </c>
      <c r="C70" s="765" t="s">
        <v>20</v>
      </c>
      <c r="D70" s="765" t="s">
        <v>21</v>
      </c>
      <c r="E70" s="765" t="s">
        <v>32</v>
      </c>
      <c r="F70" s="765" t="s">
        <v>17</v>
      </c>
      <c r="G70" s="765" t="s">
        <v>40</v>
      </c>
      <c r="H70" s="765" t="s">
        <v>41</v>
      </c>
      <c r="I70" s="765" t="s">
        <v>18</v>
      </c>
      <c r="O70" s="819"/>
    </row>
    <row r="71" spans="1:15" ht="30" x14ac:dyDescent="0.25">
      <c r="A71" s="627">
        <v>10</v>
      </c>
      <c r="B71" s="419" t="s">
        <v>42</v>
      </c>
      <c r="C71" s="514" t="s">
        <v>743</v>
      </c>
      <c r="D71" s="398">
        <v>500</v>
      </c>
      <c r="E71" s="419" t="s">
        <v>43</v>
      </c>
      <c r="F71" s="419">
        <v>4</v>
      </c>
      <c r="G71" s="419">
        <v>3000</v>
      </c>
      <c r="H71" s="419">
        <v>1</v>
      </c>
      <c r="I71" s="316">
        <f>D71*F71/G71*H71</f>
        <v>0.66666666666666663</v>
      </c>
      <c r="O71" s="823"/>
    </row>
    <row r="72" spans="1:15" s="764" customFormat="1" x14ac:dyDescent="0.25">
      <c r="A72" s="822"/>
      <c r="H72" s="763" t="s">
        <v>18</v>
      </c>
      <c r="I72" s="778">
        <f>SUM(I71:I71)</f>
        <v>0.66666666666666663</v>
      </c>
      <c r="O72" s="819"/>
    </row>
    <row r="73" spans="1:15" ht="15.75" thickBot="1" x14ac:dyDescent="0.3">
      <c r="A73" s="818"/>
      <c r="B73" s="815"/>
      <c r="C73" s="815"/>
      <c r="D73" s="815"/>
      <c r="E73" s="815"/>
      <c r="F73" s="815"/>
      <c r="G73" s="815"/>
      <c r="H73" s="815"/>
      <c r="I73" s="815"/>
      <c r="J73" s="815"/>
      <c r="K73" s="815"/>
      <c r="L73" s="815"/>
      <c r="M73" s="815"/>
      <c r="N73" s="815"/>
      <c r="O73" s="814"/>
    </row>
  </sheetData>
  <hyperlinks>
    <hyperlink ref="D1" location="EN_A0600_BOM" display="Back to BOM" xr:uid="{00000000-0004-0000-0000-000000000000}"/>
    <hyperlink ref="B9" location="EN_06001" display="Fuel Rail" xr:uid="{00000000-0004-0000-0000-000001000000}"/>
    <hyperlink ref="B10" location="EN_06002" display="Fuel Pump Collar" xr:uid="{00000000-0004-0000-0000-000002000000}"/>
    <hyperlink ref="B11" location="EN_06003" display="Pressure Regulator Tab" xr:uid="{00000000-0004-0000-0000-000003000000}"/>
    <hyperlink ref="B12" location="EN_06004" display="Fuel Pump Tab" xr:uid="{00000000-0004-0000-0000-000004000000}"/>
  </hyperlinks>
  <printOptions horizontalCentered="1"/>
  <pageMargins left="0.3" right="0.3" top="0.3" bottom="0.4" header="0.2" footer="0.2"/>
  <pageSetup paperSize="9" scale="68" fitToHeight="2" orientation="landscape"/>
  <headerFooter>
    <oddFooter>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1D7E-3DD9-4769-A77D-C6BA277A1FFF}">
  <sheetPr>
    <tabColor rgb="FFC4D79B"/>
    <pageSetUpPr fitToPage="1"/>
  </sheetPr>
  <dimension ref="A1:O25"/>
  <sheetViews>
    <sheetView zoomScale="70" zoomScaleNormal="70" workbookViewId="0">
      <selection activeCell="F1" sqref="F1"/>
    </sheetView>
  </sheetViews>
  <sheetFormatPr baseColWidth="10" defaultRowHeight="15" customHeight="1" x14ac:dyDescent="0.25"/>
  <cols>
    <col min="1" max="1" width="11.42578125" style="852"/>
    <col min="2" max="2" width="24.7109375" style="852" customWidth="1"/>
    <col min="3" max="3" width="30.42578125" style="852" bestFit="1" customWidth="1"/>
    <col min="4" max="4" width="11.28515625" style="852" customWidth="1"/>
    <col min="5" max="5" width="9.28515625" style="852" customWidth="1"/>
    <col min="6" max="6" width="7.28515625" style="852" bestFit="1" customWidth="1"/>
    <col min="7" max="7" width="14.140625" style="852" customWidth="1"/>
    <col min="8" max="8" width="9.28515625" style="852" customWidth="1"/>
    <col min="9" max="9" width="30.28515625" style="852" bestFit="1" customWidth="1"/>
    <col min="10" max="10" width="10" style="852" bestFit="1" customWidth="1"/>
    <col min="11" max="16384" width="11.42578125" style="852"/>
  </cols>
  <sheetData>
    <row r="1" spans="1:15" ht="15" customHeight="1" x14ac:dyDescent="0.25">
      <c r="A1" s="915" t="s">
        <v>0</v>
      </c>
      <c r="B1" s="912" t="s">
        <v>44</v>
      </c>
      <c r="C1" s="912"/>
      <c r="D1" s="912"/>
      <c r="E1" s="912"/>
      <c r="F1" s="747" t="s">
        <v>69</v>
      </c>
      <c r="G1" s="912"/>
      <c r="H1" s="912"/>
      <c r="I1" s="912"/>
      <c r="J1" s="914" t="s">
        <v>1</v>
      </c>
      <c r="K1" s="913">
        <v>81</v>
      </c>
      <c r="L1" s="912"/>
      <c r="M1" s="911" t="s">
        <v>16</v>
      </c>
      <c r="N1" s="910">
        <f>N12+I20+I24</f>
        <v>7.6413700144256271</v>
      </c>
      <c r="O1" s="909"/>
    </row>
    <row r="2" spans="1:15" ht="15" customHeight="1" x14ac:dyDescent="0.25">
      <c r="A2" s="903" t="s">
        <v>3</v>
      </c>
      <c r="B2" s="885" t="s">
        <v>279</v>
      </c>
      <c r="C2" s="885"/>
      <c r="D2" s="906" t="s">
        <v>6</v>
      </c>
      <c r="E2" s="885"/>
      <c r="F2" s="885"/>
      <c r="G2" s="885"/>
      <c r="H2" s="885"/>
      <c r="I2" s="885"/>
      <c r="J2" s="885"/>
      <c r="K2" s="885"/>
      <c r="L2" s="885"/>
      <c r="M2" s="904" t="s">
        <v>4</v>
      </c>
      <c r="N2" s="908">
        <v>1</v>
      </c>
      <c r="O2" s="880"/>
    </row>
    <row r="3" spans="1:15" ht="15" customHeight="1" x14ac:dyDescent="0.25">
      <c r="A3" s="903" t="s">
        <v>5</v>
      </c>
      <c r="B3" s="907" t="s">
        <v>803</v>
      </c>
      <c r="C3" s="885"/>
      <c r="D3" s="904" t="s">
        <v>8</v>
      </c>
      <c r="E3" s="885"/>
      <c r="F3" s="885"/>
      <c r="G3" s="885"/>
      <c r="H3" s="885"/>
      <c r="I3" s="885"/>
      <c r="J3" s="906" t="s">
        <v>6</v>
      </c>
      <c r="K3" s="885"/>
      <c r="L3" s="885"/>
      <c r="M3" s="885"/>
      <c r="N3" s="885"/>
      <c r="O3" s="880"/>
    </row>
    <row r="4" spans="1:15" ht="15" customHeight="1" x14ac:dyDescent="0.25">
      <c r="A4" s="903" t="s">
        <v>15</v>
      </c>
      <c r="B4" s="761" t="s">
        <v>801</v>
      </c>
      <c r="C4" s="885"/>
      <c r="D4" s="904" t="s">
        <v>12</v>
      </c>
      <c r="E4" s="885"/>
      <c r="F4" s="885"/>
      <c r="G4" s="885"/>
      <c r="H4" s="885"/>
      <c r="I4" s="885"/>
      <c r="J4" s="904" t="s">
        <v>8</v>
      </c>
      <c r="K4" s="885"/>
      <c r="L4" s="885"/>
      <c r="M4" s="906" t="s">
        <v>9</v>
      </c>
      <c r="N4" s="888">
        <f>N1*N2</f>
        <v>7.6413700144256271</v>
      </c>
      <c r="O4" s="880"/>
    </row>
    <row r="5" spans="1:15" ht="15" customHeight="1" x14ac:dyDescent="0.25">
      <c r="A5" s="903" t="s">
        <v>7</v>
      </c>
      <c r="B5" s="905" t="s">
        <v>813</v>
      </c>
      <c r="C5" s="885"/>
      <c r="D5" s="885"/>
      <c r="E5" s="885"/>
      <c r="F5" s="885"/>
      <c r="G5" s="885"/>
      <c r="H5" s="885"/>
      <c r="I5" s="885"/>
      <c r="J5" s="904" t="s">
        <v>12</v>
      </c>
      <c r="K5" s="885"/>
      <c r="L5" s="885"/>
      <c r="M5" s="885"/>
      <c r="N5" s="885"/>
      <c r="O5" s="880"/>
    </row>
    <row r="6" spans="1:15" ht="15" customHeight="1" x14ac:dyDescent="0.25">
      <c r="A6" s="903" t="s">
        <v>10</v>
      </c>
      <c r="B6" s="885" t="s">
        <v>11</v>
      </c>
      <c r="C6" s="885"/>
      <c r="D6" s="885"/>
      <c r="E6" s="885"/>
      <c r="F6" s="885"/>
      <c r="G6" s="885"/>
      <c r="H6" s="885"/>
      <c r="I6" s="885"/>
      <c r="J6" s="885"/>
      <c r="K6" s="885"/>
      <c r="L6" s="885"/>
      <c r="M6" s="885"/>
      <c r="N6" s="885"/>
      <c r="O6" s="880"/>
    </row>
    <row r="7" spans="1:15" ht="15" customHeight="1" x14ac:dyDescent="0.25">
      <c r="A7" s="903" t="s">
        <v>13</v>
      </c>
      <c r="B7" s="885"/>
      <c r="C7" s="885"/>
      <c r="D7" s="885"/>
      <c r="E7" s="885"/>
      <c r="F7" s="885"/>
      <c r="G7" s="885"/>
      <c r="H7" s="885"/>
      <c r="I7" s="885"/>
      <c r="J7" s="885"/>
      <c r="K7" s="885"/>
      <c r="L7" s="885"/>
      <c r="M7" s="885"/>
      <c r="N7" s="885"/>
      <c r="O7" s="880"/>
    </row>
    <row r="8" spans="1:15" ht="15" customHeight="1" x14ac:dyDescent="0.25">
      <c r="A8" s="889"/>
      <c r="B8" s="885"/>
      <c r="C8" s="885"/>
      <c r="D8" s="885"/>
      <c r="E8" s="885"/>
      <c r="F8" s="885"/>
      <c r="G8" s="885"/>
      <c r="H8" s="885"/>
      <c r="I8" s="885"/>
      <c r="J8" s="885"/>
      <c r="K8" s="885"/>
      <c r="L8" s="885"/>
      <c r="M8" s="885"/>
      <c r="N8" s="885"/>
      <c r="O8" s="880"/>
    </row>
    <row r="9" spans="1:15" ht="15" customHeight="1" x14ac:dyDescent="0.25">
      <c r="A9" s="887" t="s">
        <v>14</v>
      </c>
      <c r="B9" s="886" t="s">
        <v>19</v>
      </c>
      <c r="C9" s="886" t="s">
        <v>20</v>
      </c>
      <c r="D9" s="886" t="s">
        <v>21</v>
      </c>
      <c r="E9" s="886" t="s">
        <v>22</v>
      </c>
      <c r="F9" s="886" t="s">
        <v>23</v>
      </c>
      <c r="G9" s="886" t="s">
        <v>24</v>
      </c>
      <c r="H9" s="886" t="s">
        <v>25</v>
      </c>
      <c r="I9" s="886" t="s">
        <v>26</v>
      </c>
      <c r="J9" s="886" t="s">
        <v>27</v>
      </c>
      <c r="K9" s="886" t="s">
        <v>28</v>
      </c>
      <c r="L9" s="886" t="s">
        <v>29</v>
      </c>
      <c r="M9" s="886" t="s">
        <v>17</v>
      </c>
      <c r="N9" s="886" t="s">
        <v>18</v>
      </c>
      <c r="O9" s="880"/>
    </row>
    <row r="10" spans="1:15" ht="15" customHeight="1" x14ac:dyDescent="0.25">
      <c r="A10" s="902">
        <v>10</v>
      </c>
      <c r="B10" s="899" t="s">
        <v>163</v>
      </c>
      <c r="C10" s="901" t="s">
        <v>812</v>
      </c>
      <c r="D10" s="789">
        <v>2.25</v>
      </c>
      <c r="E10" s="898">
        <f>J10*K10*L10</f>
        <v>0.16091630270768617</v>
      </c>
      <c r="F10" s="419" t="s">
        <v>78</v>
      </c>
      <c r="G10" s="419"/>
      <c r="H10" s="419"/>
      <c r="I10" s="514" t="s">
        <v>811</v>
      </c>
      <c r="J10" s="855">
        <f>(PI()*8*8-PI()*6.5*6.5)/1000000</f>
        <v>6.8329640215577996E-5</v>
      </c>
      <c r="K10" s="859">
        <v>0.3</v>
      </c>
      <c r="L10" s="768">
        <v>7850</v>
      </c>
      <c r="M10" s="900">
        <v>1</v>
      </c>
      <c r="N10" s="626">
        <f>IF(J10="",D10*M10,D10*J10*K10*L10*M10)</f>
        <v>0.36206168109229392</v>
      </c>
      <c r="O10" s="880"/>
    </row>
    <row r="11" spans="1:15" ht="15" customHeight="1" x14ac:dyDescent="0.25">
      <c r="A11" s="834">
        <v>20</v>
      </c>
      <c r="B11" s="899" t="s">
        <v>163</v>
      </c>
      <c r="C11" s="502" t="s">
        <v>810</v>
      </c>
      <c r="D11" s="789">
        <v>2.25</v>
      </c>
      <c r="E11" s="898">
        <f>J11*K11*L11</f>
        <v>4.7100000000000003E-2</v>
      </c>
      <c r="F11" s="502" t="s">
        <v>78</v>
      </c>
      <c r="G11" s="502"/>
      <c r="H11" s="788"/>
      <c r="I11" s="512" t="s">
        <v>809</v>
      </c>
      <c r="J11" s="837">
        <f>100*30/1000000</f>
        <v>3.0000000000000001E-3</v>
      </c>
      <c r="K11" s="835">
        <v>2E-3</v>
      </c>
      <c r="L11" s="836">
        <v>7850</v>
      </c>
      <c r="M11" s="897">
        <v>1</v>
      </c>
      <c r="N11" s="626">
        <f>IF(J11="",D11*M11,D11*J11*K11*L11*M11)</f>
        <v>0.105975</v>
      </c>
      <c r="O11" s="880"/>
    </row>
    <row r="12" spans="1:15" ht="15" customHeight="1" x14ac:dyDescent="0.25">
      <c r="A12" s="884"/>
      <c r="B12" s="881"/>
      <c r="C12" s="881"/>
      <c r="D12" s="881"/>
      <c r="E12" s="881"/>
      <c r="F12" s="881"/>
      <c r="G12" s="881"/>
      <c r="H12" s="881"/>
      <c r="I12" s="881"/>
      <c r="J12" s="881"/>
      <c r="K12" s="881"/>
      <c r="L12" s="881"/>
      <c r="M12" s="883" t="s">
        <v>18</v>
      </c>
      <c r="N12" s="890">
        <f>SUM(N10:N11)</f>
        <v>0.4680366810922939</v>
      </c>
      <c r="O12" s="880"/>
    </row>
    <row r="13" spans="1:15" ht="15" customHeight="1" x14ac:dyDescent="0.25">
      <c r="A13" s="889"/>
      <c r="B13" s="885"/>
      <c r="C13" s="885"/>
      <c r="D13" s="885"/>
      <c r="E13" s="885"/>
      <c r="F13" s="885"/>
      <c r="G13" s="885"/>
      <c r="H13" s="885"/>
      <c r="I13" s="885"/>
      <c r="J13" s="885"/>
      <c r="K13" s="885"/>
      <c r="L13" s="885"/>
      <c r="M13" s="885"/>
      <c r="N13" s="885"/>
      <c r="O13" s="880"/>
    </row>
    <row r="14" spans="1:15" ht="15" customHeight="1" x14ac:dyDescent="0.25">
      <c r="A14" s="887" t="s">
        <v>14</v>
      </c>
      <c r="B14" s="886" t="s">
        <v>31</v>
      </c>
      <c r="C14" s="886" t="s">
        <v>20</v>
      </c>
      <c r="D14" s="886" t="s">
        <v>21</v>
      </c>
      <c r="E14" s="886" t="s">
        <v>32</v>
      </c>
      <c r="F14" s="886" t="s">
        <v>17</v>
      </c>
      <c r="G14" s="886" t="s">
        <v>33</v>
      </c>
      <c r="H14" s="886" t="s">
        <v>34</v>
      </c>
      <c r="I14" s="886" t="s">
        <v>18</v>
      </c>
      <c r="J14" s="881"/>
      <c r="K14" s="881"/>
      <c r="L14" s="881"/>
      <c r="M14" s="881"/>
      <c r="N14" s="881"/>
      <c r="O14" s="880"/>
    </row>
    <row r="15" spans="1:15" ht="15" customHeight="1" x14ac:dyDescent="0.25">
      <c r="A15" s="896">
        <v>10</v>
      </c>
      <c r="B15" s="894" t="s">
        <v>478</v>
      </c>
      <c r="C15" s="893" t="s">
        <v>808</v>
      </c>
      <c r="D15" s="895">
        <v>0.15</v>
      </c>
      <c r="E15" s="894" t="s">
        <v>46</v>
      </c>
      <c r="F15" s="893">
        <v>5</v>
      </c>
      <c r="G15" s="893"/>
      <c r="H15" s="893"/>
      <c r="I15" s="892">
        <f>IF(H15="",D15*F15,D15*F15*H15)</f>
        <v>0.75</v>
      </c>
      <c r="J15" s="885"/>
      <c r="K15" s="885"/>
      <c r="L15" s="885"/>
      <c r="M15" s="885"/>
      <c r="N15" s="885"/>
      <c r="O15" s="880"/>
    </row>
    <row r="16" spans="1:15" ht="30" x14ac:dyDescent="0.25">
      <c r="A16" s="627">
        <v>20</v>
      </c>
      <c r="B16" s="409" t="s">
        <v>700</v>
      </c>
      <c r="C16" s="514" t="s">
        <v>807</v>
      </c>
      <c r="D16" s="423">
        <v>1.3</v>
      </c>
      <c r="E16" s="419" t="s">
        <v>32</v>
      </c>
      <c r="F16" s="495">
        <v>1</v>
      </c>
      <c r="G16" s="409"/>
      <c r="H16" s="420"/>
      <c r="I16" s="626">
        <f>IF(H16="",D16*F16,D16*F16*H16)</f>
        <v>1.3</v>
      </c>
      <c r="J16" s="885"/>
      <c r="K16" s="885"/>
      <c r="L16" s="885"/>
      <c r="M16" s="885"/>
      <c r="N16" s="885"/>
      <c r="O16" s="880"/>
    </row>
    <row r="17" spans="1:15" ht="15" customHeight="1" x14ac:dyDescent="0.25">
      <c r="A17" s="862">
        <v>30</v>
      </c>
      <c r="B17" s="409" t="s">
        <v>361</v>
      </c>
      <c r="C17" s="625" t="s">
        <v>806</v>
      </c>
      <c r="D17" s="423">
        <v>0.1</v>
      </c>
      <c r="E17" s="409" t="s">
        <v>46</v>
      </c>
      <c r="F17" s="420">
        <v>1.5</v>
      </c>
      <c r="G17" s="891" t="s">
        <v>805</v>
      </c>
      <c r="H17" s="420">
        <v>3</v>
      </c>
      <c r="I17" s="626">
        <f>IF(H17="",D17*F17,D17*F17*H17)</f>
        <v>0.45000000000000007</v>
      </c>
      <c r="J17" s="885"/>
      <c r="K17" s="885"/>
      <c r="L17" s="885"/>
      <c r="M17" s="885"/>
      <c r="N17" s="885"/>
      <c r="O17" s="880"/>
    </row>
    <row r="18" spans="1:15" ht="15" customHeight="1" x14ac:dyDescent="0.25">
      <c r="A18" s="627">
        <v>40</v>
      </c>
      <c r="B18" s="409" t="s">
        <v>231</v>
      </c>
      <c r="C18" s="625"/>
      <c r="D18" s="423">
        <v>0.01</v>
      </c>
      <c r="E18" s="409" t="s">
        <v>46</v>
      </c>
      <c r="F18" s="420">
        <v>18</v>
      </c>
      <c r="G18" s="891" t="s">
        <v>805</v>
      </c>
      <c r="H18" s="420">
        <v>3</v>
      </c>
      <c r="I18" s="626">
        <f>IF(H18="",D18*F18,D18*F18*H18)</f>
        <v>0.54</v>
      </c>
      <c r="J18" s="885"/>
      <c r="K18" s="885"/>
      <c r="L18" s="885"/>
      <c r="M18" s="885"/>
      <c r="N18" s="885"/>
      <c r="O18" s="880"/>
    </row>
    <row r="19" spans="1:15" ht="15" customHeight="1" x14ac:dyDescent="0.25">
      <c r="A19" s="862">
        <v>50</v>
      </c>
      <c r="B19" s="409" t="s">
        <v>72</v>
      </c>
      <c r="C19" s="514" t="s">
        <v>804</v>
      </c>
      <c r="D19" s="423">
        <v>0.15</v>
      </c>
      <c r="E19" s="419" t="s">
        <v>46</v>
      </c>
      <c r="F19" s="495">
        <v>12</v>
      </c>
      <c r="G19" s="409"/>
      <c r="H19" s="420"/>
      <c r="I19" s="626">
        <f>IF(H19="",D19*F19,D19*F19*H19)</f>
        <v>1.7999999999999998</v>
      </c>
      <c r="J19" s="885"/>
      <c r="K19" s="885"/>
      <c r="L19" s="885"/>
      <c r="M19" s="885"/>
      <c r="N19" s="885"/>
      <c r="O19" s="880"/>
    </row>
    <row r="20" spans="1:15" ht="15" customHeight="1" x14ac:dyDescent="0.25">
      <c r="A20" s="884"/>
      <c r="B20" s="881"/>
      <c r="C20" s="881"/>
      <c r="D20" s="881"/>
      <c r="E20" s="881"/>
      <c r="F20" s="881"/>
      <c r="G20" s="881"/>
      <c r="H20" s="883" t="s">
        <v>18</v>
      </c>
      <c r="I20" s="890">
        <f>SUM(I15:I19)</f>
        <v>4.84</v>
      </c>
      <c r="J20" s="881"/>
      <c r="K20" s="881"/>
      <c r="L20" s="881"/>
      <c r="M20" s="881"/>
      <c r="N20" s="881"/>
      <c r="O20" s="880"/>
    </row>
    <row r="21" spans="1:15" ht="15" customHeight="1" x14ac:dyDescent="0.25">
      <c r="A21" s="889"/>
      <c r="B21" s="885"/>
      <c r="C21" s="885"/>
      <c r="D21" s="885"/>
      <c r="E21" s="885"/>
      <c r="F21" s="885"/>
      <c r="G21" s="885"/>
      <c r="H21" s="866"/>
      <c r="I21" s="888"/>
      <c r="J21" s="885"/>
      <c r="K21" s="885"/>
      <c r="L21" s="885"/>
      <c r="M21" s="885"/>
      <c r="N21" s="885"/>
      <c r="O21" s="880"/>
    </row>
    <row r="22" spans="1:15" ht="15" customHeight="1" x14ac:dyDescent="0.25">
      <c r="A22" s="887" t="s">
        <v>14</v>
      </c>
      <c r="B22" s="886" t="s">
        <v>39</v>
      </c>
      <c r="C22" s="886" t="s">
        <v>20</v>
      </c>
      <c r="D22" s="886" t="s">
        <v>21</v>
      </c>
      <c r="E22" s="886" t="s">
        <v>32</v>
      </c>
      <c r="F22" s="886" t="s">
        <v>17</v>
      </c>
      <c r="G22" s="886" t="s">
        <v>40</v>
      </c>
      <c r="H22" s="886" t="s">
        <v>476</v>
      </c>
      <c r="I22" s="886" t="s">
        <v>18</v>
      </c>
      <c r="J22" s="881"/>
      <c r="K22" s="881"/>
      <c r="L22" s="881"/>
      <c r="M22" s="881"/>
      <c r="N22" s="881"/>
      <c r="O22" s="880"/>
    </row>
    <row r="23" spans="1:15" ht="15" customHeight="1" x14ac:dyDescent="0.25">
      <c r="A23" s="627">
        <v>10</v>
      </c>
      <c r="B23" s="419" t="s">
        <v>42</v>
      </c>
      <c r="C23" s="419" t="s">
        <v>804</v>
      </c>
      <c r="D23" s="398">
        <v>500</v>
      </c>
      <c r="E23" s="419" t="s">
        <v>43</v>
      </c>
      <c r="F23" s="419">
        <v>14</v>
      </c>
      <c r="G23" s="419">
        <v>3000</v>
      </c>
      <c r="H23" s="419">
        <v>1</v>
      </c>
      <c r="I23" s="626">
        <f>D23*F23/G23*H23</f>
        <v>2.3333333333333335</v>
      </c>
      <c r="J23" s="885"/>
      <c r="K23" s="885"/>
      <c r="L23" s="885"/>
      <c r="M23" s="885"/>
      <c r="N23" s="885"/>
      <c r="O23" s="880"/>
    </row>
    <row r="24" spans="1:15" ht="15" customHeight="1" x14ac:dyDescent="0.25">
      <c r="A24" s="884"/>
      <c r="B24" s="881"/>
      <c r="C24" s="881"/>
      <c r="D24" s="881"/>
      <c r="E24" s="881"/>
      <c r="F24" s="881"/>
      <c r="G24" s="881"/>
      <c r="H24" s="883" t="s">
        <v>18</v>
      </c>
      <c r="I24" s="882">
        <f>I23</f>
        <v>2.3333333333333335</v>
      </c>
      <c r="J24" s="881"/>
      <c r="K24" s="881"/>
      <c r="L24" s="881"/>
      <c r="M24" s="881"/>
      <c r="N24" s="881"/>
      <c r="O24" s="880"/>
    </row>
    <row r="25" spans="1:15" ht="15" customHeight="1" thickBot="1" x14ac:dyDescent="0.3">
      <c r="A25" s="879"/>
      <c r="B25" s="876"/>
      <c r="C25" s="876"/>
      <c r="D25" s="876"/>
      <c r="E25" s="876"/>
      <c r="F25" s="876"/>
      <c r="G25" s="876"/>
      <c r="H25" s="878"/>
      <c r="I25" s="877"/>
      <c r="J25" s="876"/>
      <c r="K25" s="876"/>
      <c r="L25" s="876"/>
      <c r="M25" s="876"/>
      <c r="N25" s="876"/>
      <c r="O25" s="875"/>
    </row>
  </sheetData>
  <hyperlinks>
    <hyperlink ref="F1" location="EN_A0600_BOM" display="Back to BOM" xr:uid="{00000000-0004-0000-0100-000000000000}"/>
    <hyperlink ref="B3" location="EN_A0600" display="Fuel System" xr:uid="{00000000-0004-0000-0100-000001000000}"/>
  </hyperlinks>
  <printOptions horizontalCentered="1"/>
  <pageMargins left="0.3" right="0.3" top="0.3" bottom="0.4" header="0.2" footer="0.2"/>
  <pageSetup paperSize="9" scale="70" orientation="landscape" horizontalDpi="0" verticalDpi="0"/>
  <headerFooter>
    <oddFooter>Page &amp;P</oddFooter>
  </headerFooter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ECC75-C1FB-47CC-96F4-6339326DD965}">
  <sheetPr>
    <tabColor rgb="FFC4D79B"/>
    <pageSetUpPr fitToPage="1"/>
  </sheetPr>
  <dimension ref="A1:O18"/>
  <sheetViews>
    <sheetView zoomScale="70" zoomScaleNormal="70" zoomScalePageLayoutView="49" workbookViewId="0">
      <selection activeCell="F1" sqref="F1"/>
    </sheetView>
  </sheetViews>
  <sheetFormatPr baseColWidth="10" defaultRowHeight="15" customHeight="1" x14ac:dyDescent="0.25"/>
  <cols>
    <col min="1" max="1" width="15.28515625" style="852" bestFit="1" customWidth="1"/>
    <col min="2" max="2" width="36.28515625" style="852" bestFit="1" customWidth="1"/>
    <col min="3" max="3" width="19.140625" style="852" bestFit="1" customWidth="1"/>
    <col min="4" max="4" width="13.7109375" style="852" bestFit="1" customWidth="1"/>
    <col min="5" max="5" width="11.42578125" style="852"/>
    <col min="6" max="6" width="13.42578125" style="852" bestFit="1" customWidth="1"/>
    <col min="7" max="7" width="20.7109375" style="852" bestFit="1" customWidth="1"/>
    <col min="8" max="8" width="14.140625" style="852" bestFit="1" customWidth="1"/>
    <col min="9" max="9" width="29.42578125" style="852" bestFit="1" customWidth="1"/>
    <col min="10" max="10" width="13.7109375" style="852" bestFit="1" customWidth="1"/>
    <col min="11" max="11" width="11" style="852" bestFit="1" customWidth="1"/>
    <col min="12" max="12" width="9.85546875" style="852" customWidth="1"/>
    <col min="13" max="13" width="17.85546875" style="852" customWidth="1"/>
    <col min="14" max="14" width="14.140625" style="852" bestFit="1" customWidth="1"/>
    <col min="15" max="15" width="3.28515625" style="852" customWidth="1"/>
    <col min="16" max="16384" width="11.42578125" style="852"/>
  </cols>
  <sheetData>
    <row r="1" spans="1:15" ht="15" customHeight="1" x14ac:dyDescent="0.25">
      <c r="A1" s="915" t="s">
        <v>0</v>
      </c>
      <c r="B1" s="912" t="s">
        <v>44</v>
      </c>
      <c r="C1" s="912"/>
      <c r="D1" s="912"/>
      <c r="E1" s="912"/>
      <c r="F1" s="747" t="s">
        <v>69</v>
      </c>
      <c r="G1" s="912"/>
      <c r="H1" s="912"/>
      <c r="I1" s="912"/>
      <c r="J1" s="914" t="s">
        <v>1</v>
      </c>
      <c r="K1" s="913">
        <v>81</v>
      </c>
      <c r="L1" s="912"/>
      <c r="M1" s="911" t="s">
        <v>16</v>
      </c>
      <c r="N1" s="918">
        <f>N11+I17</f>
        <v>3.3523958399999998</v>
      </c>
      <c r="O1" s="909"/>
    </row>
    <row r="2" spans="1:15" ht="15" customHeight="1" x14ac:dyDescent="0.25">
      <c r="A2" s="903" t="s">
        <v>3</v>
      </c>
      <c r="B2" s="885" t="s">
        <v>279</v>
      </c>
      <c r="C2" s="885"/>
      <c r="D2" s="906" t="s">
        <v>6</v>
      </c>
      <c r="E2" s="885"/>
      <c r="F2" s="885"/>
      <c r="G2" s="885"/>
      <c r="H2" s="885"/>
      <c r="I2" s="885"/>
      <c r="J2" s="885"/>
      <c r="K2" s="885"/>
      <c r="L2" s="885"/>
      <c r="M2" s="904" t="s">
        <v>4</v>
      </c>
      <c r="N2" s="908">
        <v>1</v>
      </c>
      <c r="O2" s="880"/>
    </row>
    <row r="3" spans="1:15" ht="15" customHeight="1" x14ac:dyDescent="0.25">
      <c r="A3" s="903" t="s">
        <v>5</v>
      </c>
      <c r="B3" s="907" t="s">
        <v>803</v>
      </c>
      <c r="C3" s="885"/>
      <c r="D3" s="904" t="s">
        <v>8</v>
      </c>
      <c r="E3" s="885"/>
      <c r="F3" s="885"/>
      <c r="G3" s="885"/>
      <c r="H3" s="885"/>
      <c r="I3" s="885"/>
      <c r="J3" s="906" t="s">
        <v>6</v>
      </c>
      <c r="K3" s="885"/>
      <c r="L3" s="885"/>
      <c r="M3" s="885"/>
      <c r="N3" s="885"/>
      <c r="O3" s="880"/>
    </row>
    <row r="4" spans="1:15" ht="15" customHeight="1" x14ac:dyDescent="0.25">
      <c r="A4" s="903" t="s">
        <v>15</v>
      </c>
      <c r="B4" s="761" t="s">
        <v>800</v>
      </c>
      <c r="C4" s="885"/>
      <c r="D4" s="904" t="s">
        <v>12</v>
      </c>
      <c r="E4" s="885"/>
      <c r="F4" s="885"/>
      <c r="G4" s="885"/>
      <c r="H4" s="885"/>
      <c r="I4" s="885"/>
      <c r="J4" s="904" t="s">
        <v>8</v>
      </c>
      <c r="K4" s="885"/>
      <c r="L4" s="885"/>
      <c r="M4" s="906" t="s">
        <v>9</v>
      </c>
      <c r="N4" s="888">
        <f>N1*N2</f>
        <v>3.3523958399999998</v>
      </c>
      <c r="O4" s="880"/>
    </row>
    <row r="5" spans="1:15" ht="15" customHeight="1" x14ac:dyDescent="0.25">
      <c r="A5" s="903" t="s">
        <v>7</v>
      </c>
      <c r="B5" s="905" t="s">
        <v>817</v>
      </c>
      <c r="C5" s="885"/>
      <c r="D5" s="885"/>
      <c r="E5" s="885"/>
      <c r="F5" s="885"/>
      <c r="G5" s="885"/>
      <c r="H5" s="885"/>
      <c r="I5" s="885"/>
      <c r="J5" s="904" t="s">
        <v>12</v>
      </c>
      <c r="K5" s="885"/>
      <c r="L5" s="885"/>
      <c r="M5" s="885"/>
      <c r="N5" s="885"/>
      <c r="O5" s="880"/>
    </row>
    <row r="6" spans="1:15" ht="15" customHeight="1" x14ac:dyDescent="0.25">
      <c r="A6" s="903" t="s">
        <v>10</v>
      </c>
      <c r="B6" s="885" t="s">
        <v>11</v>
      </c>
      <c r="C6" s="885"/>
      <c r="D6" s="885"/>
      <c r="E6" s="885"/>
      <c r="F6" s="885"/>
      <c r="G6" s="885"/>
      <c r="H6" s="885"/>
      <c r="I6" s="885"/>
      <c r="J6" s="885"/>
      <c r="K6" s="885"/>
      <c r="L6" s="885"/>
      <c r="M6" s="885"/>
      <c r="N6" s="885"/>
      <c r="O6" s="880"/>
    </row>
    <row r="7" spans="1:15" ht="15" customHeight="1" x14ac:dyDescent="0.25">
      <c r="A7" s="903" t="s">
        <v>13</v>
      </c>
      <c r="B7" s="885"/>
      <c r="C7" s="885"/>
      <c r="D7" s="885"/>
      <c r="E7" s="885"/>
      <c r="F7" s="885"/>
      <c r="G7" s="885"/>
      <c r="H7" s="885"/>
      <c r="I7" s="885"/>
      <c r="J7" s="885"/>
      <c r="K7" s="885"/>
      <c r="L7" s="885"/>
      <c r="M7" s="885"/>
      <c r="N7" s="885"/>
      <c r="O7" s="880"/>
    </row>
    <row r="8" spans="1:15" ht="15" customHeight="1" x14ac:dyDescent="0.25">
      <c r="A8" s="889"/>
      <c r="B8" s="885"/>
      <c r="C8" s="885"/>
      <c r="D8" s="885"/>
      <c r="E8" s="885"/>
      <c r="F8" s="885"/>
      <c r="G8" s="885"/>
      <c r="H8" s="885"/>
      <c r="I8" s="885"/>
      <c r="J8" s="885"/>
      <c r="K8" s="885"/>
      <c r="L8" s="885"/>
      <c r="M8" s="885"/>
      <c r="N8" s="885"/>
      <c r="O8" s="880"/>
    </row>
    <row r="9" spans="1:15" ht="15" customHeight="1" x14ac:dyDescent="0.25">
      <c r="A9" s="887" t="s">
        <v>14</v>
      </c>
      <c r="B9" s="886" t="s">
        <v>19</v>
      </c>
      <c r="C9" s="886" t="s">
        <v>20</v>
      </c>
      <c r="D9" s="886" t="s">
        <v>21</v>
      </c>
      <c r="E9" s="886" t="s">
        <v>22</v>
      </c>
      <c r="F9" s="886" t="s">
        <v>23</v>
      </c>
      <c r="G9" s="886" t="s">
        <v>24</v>
      </c>
      <c r="H9" s="886" t="s">
        <v>25</v>
      </c>
      <c r="I9" s="886" t="s">
        <v>26</v>
      </c>
      <c r="J9" s="886" t="s">
        <v>27</v>
      </c>
      <c r="K9" s="886" t="s">
        <v>28</v>
      </c>
      <c r="L9" s="886" t="s">
        <v>29</v>
      </c>
      <c r="M9" s="886" t="s">
        <v>17</v>
      </c>
      <c r="N9" s="886" t="s">
        <v>18</v>
      </c>
      <c r="O9" s="880"/>
    </row>
    <row r="10" spans="1:15" ht="15" customHeight="1" x14ac:dyDescent="0.25">
      <c r="A10" s="627">
        <v>10</v>
      </c>
      <c r="B10" s="419" t="s">
        <v>816</v>
      </c>
      <c r="C10" s="419" t="s">
        <v>513</v>
      </c>
      <c r="D10" s="398">
        <v>4.2</v>
      </c>
      <c r="E10" s="859">
        <f>J10*K10*L10</f>
        <v>1.2475200000000001E-2</v>
      </c>
      <c r="F10" s="419" t="s">
        <v>78</v>
      </c>
      <c r="G10" s="419"/>
      <c r="H10" s="785"/>
      <c r="I10" s="512" t="s">
        <v>815</v>
      </c>
      <c r="J10" s="858">
        <f>230*20/1000000</f>
        <v>4.5999999999999999E-3</v>
      </c>
      <c r="K10" s="857">
        <f>1/1000</f>
        <v>1E-3</v>
      </c>
      <c r="L10" s="792">
        <v>2712</v>
      </c>
      <c r="M10" s="792">
        <v>1</v>
      </c>
      <c r="N10" s="626">
        <f>IF(J10="",D10*M10,D10*J10*K10*L10*M10)</f>
        <v>5.2395840000000006E-2</v>
      </c>
      <c r="O10" s="880"/>
    </row>
    <row r="11" spans="1:15" ht="15" customHeight="1" x14ac:dyDescent="0.25">
      <c r="A11" s="884"/>
      <c r="B11" s="881"/>
      <c r="C11" s="881"/>
      <c r="D11" s="881"/>
      <c r="E11" s="881"/>
      <c r="F11" s="881"/>
      <c r="G11" s="881"/>
      <c r="H11" s="881"/>
      <c r="I11" s="881"/>
      <c r="J11" s="881"/>
      <c r="K11" s="881"/>
      <c r="L11" s="881"/>
      <c r="M11" s="883" t="s">
        <v>18</v>
      </c>
      <c r="N11" s="890">
        <f>N10</f>
        <v>5.2395840000000006E-2</v>
      </c>
      <c r="O11" s="880"/>
    </row>
    <row r="12" spans="1:15" ht="15" customHeight="1" x14ac:dyDescent="0.25">
      <c r="A12" s="889"/>
      <c r="B12" s="885"/>
      <c r="C12" s="885"/>
      <c r="D12" s="885"/>
      <c r="E12" s="885"/>
      <c r="F12" s="885"/>
      <c r="G12" s="885"/>
      <c r="H12" s="885"/>
      <c r="I12" s="885"/>
      <c r="J12" s="885"/>
      <c r="K12" s="885"/>
      <c r="L12" s="885"/>
      <c r="M12" s="885"/>
      <c r="N12" s="885"/>
      <c r="O12" s="880"/>
    </row>
    <row r="13" spans="1:15" ht="15" customHeight="1" x14ac:dyDescent="0.25">
      <c r="A13" s="887" t="s">
        <v>14</v>
      </c>
      <c r="B13" s="886" t="s">
        <v>31</v>
      </c>
      <c r="C13" s="886" t="s">
        <v>20</v>
      </c>
      <c r="D13" s="886" t="s">
        <v>21</v>
      </c>
      <c r="E13" s="886" t="s">
        <v>32</v>
      </c>
      <c r="F13" s="886" t="s">
        <v>17</v>
      </c>
      <c r="G13" s="886" t="s">
        <v>33</v>
      </c>
      <c r="H13" s="886" t="s">
        <v>34</v>
      </c>
      <c r="I13" s="886" t="s">
        <v>18</v>
      </c>
      <c r="J13" s="881"/>
      <c r="K13" s="881"/>
      <c r="L13" s="881"/>
      <c r="M13" s="881"/>
      <c r="N13" s="881"/>
      <c r="O13" s="880"/>
    </row>
    <row r="14" spans="1:15" ht="15" customHeight="1" x14ac:dyDescent="0.25">
      <c r="A14" s="627">
        <v>10</v>
      </c>
      <c r="B14" s="917" t="s">
        <v>45</v>
      </c>
      <c r="C14" s="779" t="s">
        <v>645</v>
      </c>
      <c r="D14" s="398">
        <v>1.3</v>
      </c>
      <c r="E14" s="419" t="s">
        <v>32</v>
      </c>
      <c r="F14" s="419">
        <v>1</v>
      </c>
      <c r="G14" s="419"/>
      <c r="H14" s="419"/>
      <c r="I14" s="626">
        <f>IF(H14="",D14*F14,D14*F14*H14)</f>
        <v>1.3</v>
      </c>
      <c r="J14" s="885"/>
      <c r="K14" s="885"/>
      <c r="L14" s="885"/>
      <c r="M14" s="885"/>
      <c r="N14" s="885"/>
      <c r="O14" s="880"/>
    </row>
    <row r="15" spans="1:15" ht="15" customHeight="1" x14ac:dyDescent="0.25">
      <c r="A15" s="627">
        <v>20</v>
      </c>
      <c r="B15" s="768" t="s">
        <v>231</v>
      </c>
      <c r="C15" s="768"/>
      <c r="D15" s="398">
        <v>0.01</v>
      </c>
      <c r="E15" s="419" t="s">
        <v>46</v>
      </c>
      <c r="F15" s="419">
        <v>50</v>
      </c>
      <c r="G15" s="419" t="s">
        <v>696</v>
      </c>
      <c r="H15" s="419">
        <v>1</v>
      </c>
      <c r="I15" s="626">
        <f>IF(H15="",D15*F15,D15*F15*H15)</f>
        <v>0.5</v>
      </c>
      <c r="J15" s="885"/>
      <c r="K15" s="885"/>
      <c r="L15" s="885"/>
      <c r="M15" s="885"/>
      <c r="N15" s="885"/>
      <c r="O15" s="880"/>
    </row>
    <row r="16" spans="1:15" ht="15" customHeight="1" x14ac:dyDescent="0.25">
      <c r="A16" s="916">
        <v>30</v>
      </c>
      <c r="B16" s="409" t="s">
        <v>86</v>
      </c>
      <c r="C16" s="779" t="s">
        <v>814</v>
      </c>
      <c r="D16" s="398">
        <v>0.25</v>
      </c>
      <c r="E16" s="419" t="s">
        <v>84</v>
      </c>
      <c r="F16" s="419">
        <v>6</v>
      </c>
      <c r="G16" s="419"/>
      <c r="H16" s="626"/>
      <c r="I16" s="626">
        <f>D16*F16</f>
        <v>1.5</v>
      </c>
      <c r="J16" s="885"/>
      <c r="K16" s="885"/>
      <c r="L16" s="885"/>
      <c r="M16" s="885"/>
      <c r="N16" s="885"/>
      <c r="O16" s="880"/>
    </row>
    <row r="17" spans="1:15" ht="15" customHeight="1" x14ac:dyDescent="0.25">
      <c r="A17" s="884"/>
      <c r="B17" s="881"/>
      <c r="C17" s="881"/>
      <c r="D17" s="881"/>
      <c r="E17" s="881"/>
      <c r="F17" s="881"/>
      <c r="G17" s="881"/>
      <c r="H17" s="883" t="s">
        <v>18</v>
      </c>
      <c r="I17" s="890">
        <f>SUM(I14:I16)</f>
        <v>3.3</v>
      </c>
      <c r="J17" s="881"/>
      <c r="K17" s="881"/>
      <c r="L17" s="881"/>
      <c r="M17" s="881"/>
      <c r="N17" s="881"/>
      <c r="O17" s="880"/>
    </row>
    <row r="18" spans="1:15" ht="15" customHeight="1" thickBot="1" x14ac:dyDescent="0.3">
      <c r="A18" s="879"/>
      <c r="B18" s="876"/>
      <c r="C18" s="876"/>
      <c r="D18" s="876"/>
      <c r="E18" s="876"/>
      <c r="F18" s="876"/>
      <c r="G18" s="876"/>
      <c r="H18" s="878"/>
      <c r="I18" s="877"/>
      <c r="J18" s="876"/>
      <c r="K18" s="876"/>
      <c r="L18" s="876"/>
      <c r="M18" s="876"/>
      <c r="N18" s="876"/>
      <c r="O18" s="875"/>
    </row>
  </sheetData>
  <hyperlinks>
    <hyperlink ref="F1" location="EN_A0600_BOM" display="Back to BOM" xr:uid="{00000000-0004-0000-0200-000000000000}"/>
    <hyperlink ref="B3" location="EN_A0600" display="Fuel System" xr:uid="{00000000-0004-0000-0200-000001000000}"/>
  </hyperlinks>
  <printOptions horizontalCentered="1"/>
  <pageMargins left="0.3" right="0.3" top="0.3" bottom="0.4" header="0.2" footer="0.2"/>
  <pageSetup paperSize="9" scale="75" orientation="landscape" horizontalDpi="0" verticalDpi="0"/>
  <headerFooter>
    <oddFooter>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7061-97ED-4404-8551-9B7C6FDE9A7A}">
  <sheetPr>
    <tabColor rgb="FFC4D79B"/>
    <pageSetUpPr fitToPage="1"/>
  </sheetPr>
  <dimension ref="A1:O17"/>
  <sheetViews>
    <sheetView zoomScale="70" zoomScaleNormal="70" zoomScalePageLayoutView="49" workbookViewId="0">
      <selection activeCell="F1" sqref="F1"/>
    </sheetView>
  </sheetViews>
  <sheetFormatPr baseColWidth="10" defaultRowHeight="15" customHeight="1" x14ac:dyDescent="0.25"/>
  <cols>
    <col min="1" max="1" width="15.28515625" style="852" bestFit="1" customWidth="1"/>
    <col min="2" max="2" width="36.28515625" style="852" bestFit="1" customWidth="1"/>
    <col min="3" max="3" width="20.7109375" style="852" bestFit="1" customWidth="1"/>
    <col min="4" max="4" width="13.7109375" style="852" bestFit="1" customWidth="1"/>
    <col min="5" max="5" width="11.42578125" style="852"/>
    <col min="6" max="6" width="13.42578125" style="852" bestFit="1" customWidth="1"/>
    <col min="7" max="7" width="15.42578125" style="852" bestFit="1" customWidth="1"/>
    <col min="8" max="8" width="14.140625" style="852" bestFit="1" customWidth="1"/>
    <col min="9" max="9" width="28.42578125" style="852" bestFit="1" customWidth="1"/>
    <col min="10" max="10" width="13.7109375" style="852" bestFit="1" customWidth="1"/>
    <col min="11" max="11" width="11" style="852" bestFit="1" customWidth="1"/>
    <col min="12" max="12" width="11.7109375" style="852" bestFit="1" customWidth="1"/>
    <col min="13" max="13" width="20.28515625" style="852" bestFit="1" customWidth="1"/>
    <col min="14" max="14" width="14.140625" style="852" bestFit="1" customWidth="1"/>
    <col min="15" max="15" width="3.5703125" style="852" customWidth="1"/>
    <col min="16" max="16384" width="11.42578125" style="852"/>
  </cols>
  <sheetData>
    <row r="1" spans="1:15" ht="15" customHeight="1" x14ac:dyDescent="0.25">
      <c r="A1" s="915" t="s">
        <v>0</v>
      </c>
      <c r="B1" s="912" t="s">
        <v>44</v>
      </c>
      <c r="C1" s="912"/>
      <c r="D1" s="912"/>
      <c r="E1" s="912"/>
      <c r="F1" s="747" t="s">
        <v>69</v>
      </c>
      <c r="G1" s="912"/>
      <c r="H1" s="912"/>
      <c r="I1" s="912"/>
      <c r="J1" s="914" t="s">
        <v>1</v>
      </c>
      <c r="K1" s="913">
        <v>81</v>
      </c>
      <c r="L1" s="912"/>
      <c r="M1" s="911" t="s">
        <v>16</v>
      </c>
      <c r="N1" s="910">
        <f>N11+I16</f>
        <v>1.8305095</v>
      </c>
      <c r="O1" s="909"/>
    </row>
    <row r="2" spans="1:15" ht="15" customHeight="1" x14ac:dyDescent="0.25">
      <c r="A2" s="903" t="s">
        <v>3</v>
      </c>
      <c r="B2" s="885" t="s">
        <v>279</v>
      </c>
      <c r="C2" s="866" t="s">
        <v>707</v>
      </c>
      <c r="D2" s="921" t="s">
        <v>6</v>
      </c>
      <c r="E2" s="885"/>
      <c r="F2" s="885"/>
      <c r="G2" s="885"/>
      <c r="H2" s="885"/>
      <c r="I2" s="885"/>
      <c r="J2" s="885"/>
      <c r="K2" s="885"/>
      <c r="L2" s="885"/>
      <c r="M2" s="904" t="s">
        <v>4</v>
      </c>
      <c r="N2" s="908">
        <v>1</v>
      </c>
      <c r="O2" s="880"/>
    </row>
    <row r="3" spans="1:15" ht="15" customHeight="1" x14ac:dyDescent="0.25">
      <c r="A3" s="903" t="s">
        <v>5</v>
      </c>
      <c r="B3" s="907" t="s">
        <v>803</v>
      </c>
      <c r="C3" s="885"/>
      <c r="D3" s="904" t="s">
        <v>8</v>
      </c>
      <c r="E3" s="885"/>
      <c r="F3" s="885"/>
      <c r="G3" s="885"/>
      <c r="H3" s="885"/>
      <c r="I3" s="885"/>
      <c r="J3" s="906" t="s">
        <v>6</v>
      </c>
      <c r="K3" s="885"/>
      <c r="L3" s="885"/>
      <c r="M3" s="885"/>
      <c r="N3" s="885"/>
      <c r="O3" s="880"/>
    </row>
    <row r="4" spans="1:15" ht="15" customHeight="1" x14ac:dyDescent="0.25">
      <c r="A4" s="903" t="s">
        <v>15</v>
      </c>
      <c r="B4" s="920" t="s">
        <v>799</v>
      </c>
      <c r="C4" s="885"/>
      <c r="D4" s="904" t="s">
        <v>12</v>
      </c>
      <c r="E4" s="885"/>
      <c r="F4" s="885"/>
      <c r="G4" s="885"/>
      <c r="H4" s="885"/>
      <c r="I4" s="885"/>
      <c r="J4" s="904" t="s">
        <v>8</v>
      </c>
      <c r="K4" s="885"/>
      <c r="L4" s="885"/>
      <c r="M4" s="906" t="s">
        <v>9</v>
      </c>
      <c r="N4" s="888">
        <f>N1*N2</f>
        <v>1.8305095</v>
      </c>
      <c r="O4" s="880"/>
    </row>
    <row r="5" spans="1:15" ht="15" customHeight="1" x14ac:dyDescent="0.25">
      <c r="A5" s="903" t="s">
        <v>7</v>
      </c>
      <c r="B5" s="905" t="s">
        <v>822</v>
      </c>
      <c r="C5" s="885"/>
      <c r="D5" s="885"/>
      <c r="E5" s="885"/>
      <c r="F5" s="885"/>
      <c r="G5" s="885"/>
      <c r="H5" s="885"/>
      <c r="I5" s="885"/>
      <c r="J5" s="904" t="s">
        <v>12</v>
      </c>
      <c r="K5" s="885"/>
      <c r="L5" s="885"/>
      <c r="M5" s="885"/>
      <c r="N5" s="885"/>
      <c r="O5" s="880"/>
    </row>
    <row r="6" spans="1:15" ht="15" customHeight="1" x14ac:dyDescent="0.25">
      <c r="A6" s="903" t="s">
        <v>10</v>
      </c>
      <c r="B6" s="885" t="s">
        <v>11</v>
      </c>
      <c r="C6" s="885"/>
      <c r="D6" s="885"/>
      <c r="E6" s="885"/>
      <c r="F6" s="885"/>
      <c r="G6" s="885"/>
      <c r="H6" s="885"/>
      <c r="I6" s="885"/>
      <c r="J6" s="885"/>
      <c r="K6" s="885"/>
      <c r="L6" s="885"/>
      <c r="M6" s="885"/>
      <c r="N6" s="885"/>
      <c r="O6" s="880"/>
    </row>
    <row r="7" spans="1:15" ht="15" customHeight="1" x14ac:dyDescent="0.25">
      <c r="A7" s="903" t="s">
        <v>13</v>
      </c>
      <c r="B7" s="885"/>
      <c r="C7" s="885"/>
      <c r="D7" s="885"/>
      <c r="E7" s="885"/>
      <c r="F7" s="885"/>
      <c r="G7" s="885"/>
      <c r="H7" s="885"/>
      <c r="I7" s="885"/>
      <c r="J7" s="885"/>
      <c r="K7" s="885"/>
      <c r="L7" s="885"/>
      <c r="M7" s="885"/>
      <c r="N7" s="885"/>
      <c r="O7" s="880"/>
    </row>
    <row r="8" spans="1:15" ht="15" customHeight="1" x14ac:dyDescent="0.25">
      <c r="A8" s="889"/>
      <c r="B8" s="885"/>
      <c r="C8" s="885"/>
      <c r="D8" s="885"/>
      <c r="E8" s="885"/>
      <c r="F8" s="885"/>
      <c r="G8" s="885"/>
      <c r="H8" s="885"/>
      <c r="I8" s="885"/>
      <c r="J8" s="885"/>
      <c r="K8" s="885"/>
      <c r="L8" s="885"/>
      <c r="M8" s="885"/>
      <c r="N8" s="885"/>
      <c r="O8" s="880"/>
    </row>
    <row r="9" spans="1:15" ht="15" customHeight="1" x14ac:dyDescent="0.25">
      <c r="A9" s="887" t="s">
        <v>14</v>
      </c>
      <c r="B9" s="886" t="s">
        <v>19</v>
      </c>
      <c r="C9" s="886" t="s">
        <v>20</v>
      </c>
      <c r="D9" s="886" t="s">
        <v>21</v>
      </c>
      <c r="E9" s="886" t="s">
        <v>22</v>
      </c>
      <c r="F9" s="886" t="s">
        <v>23</v>
      </c>
      <c r="G9" s="886" t="s">
        <v>24</v>
      </c>
      <c r="H9" s="886" t="s">
        <v>25</v>
      </c>
      <c r="I9" s="886" t="s">
        <v>26</v>
      </c>
      <c r="J9" s="886" t="s">
        <v>27</v>
      </c>
      <c r="K9" s="886" t="s">
        <v>28</v>
      </c>
      <c r="L9" s="886" t="s">
        <v>29</v>
      </c>
      <c r="M9" s="886" t="s">
        <v>17</v>
      </c>
      <c r="N9" s="886" t="s">
        <v>18</v>
      </c>
      <c r="O9" s="880"/>
    </row>
    <row r="10" spans="1:15" ht="15" customHeight="1" x14ac:dyDescent="0.25">
      <c r="A10" s="627">
        <v>10</v>
      </c>
      <c r="B10" s="481" t="s">
        <v>821</v>
      </c>
      <c r="C10" s="505" t="s">
        <v>820</v>
      </c>
      <c r="D10" s="423">
        <v>2.25</v>
      </c>
      <c r="E10" s="859">
        <f>J10*K10*L10</f>
        <v>1.9782000000000001E-2</v>
      </c>
      <c r="F10" s="419" t="s">
        <v>78</v>
      </c>
      <c r="G10" s="419"/>
      <c r="H10" s="785"/>
      <c r="I10" s="512" t="s">
        <v>819</v>
      </c>
      <c r="J10" s="858">
        <f>20*42/1000000</f>
        <v>8.4000000000000003E-4</v>
      </c>
      <c r="K10" s="857">
        <f>3/1000</f>
        <v>3.0000000000000001E-3</v>
      </c>
      <c r="L10" s="792">
        <v>7850</v>
      </c>
      <c r="M10" s="792">
        <v>1</v>
      </c>
      <c r="N10" s="626">
        <f>IF(J10="",D10*M10,D10*J10*K10*L10*M10)</f>
        <v>4.4509500000000007E-2</v>
      </c>
      <c r="O10" s="880"/>
    </row>
    <row r="11" spans="1:15" ht="15" customHeight="1" x14ac:dyDescent="0.25">
      <c r="A11" s="884"/>
      <c r="B11" s="881"/>
      <c r="C11" s="881"/>
      <c r="D11" s="881"/>
      <c r="E11" s="881"/>
      <c r="F11" s="881"/>
      <c r="G11" s="881"/>
      <c r="H11" s="881"/>
      <c r="I11" s="919"/>
      <c r="J11" s="881"/>
      <c r="K11" s="881"/>
      <c r="L11" s="881"/>
      <c r="M11" s="883" t="s">
        <v>18</v>
      </c>
      <c r="N11" s="890">
        <f>N10</f>
        <v>4.4509500000000007E-2</v>
      </c>
      <c r="O11" s="880"/>
    </row>
    <row r="12" spans="1:15" ht="15" customHeight="1" x14ac:dyDescent="0.25">
      <c r="A12" s="889"/>
      <c r="B12" s="885"/>
      <c r="C12" s="885"/>
      <c r="D12" s="885"/>
      <c r="E12" s="885"/>
      <c r="F12" s="885"/>
      <c r="G12" s="885"/>
      <c r="H12" s="885"/>
      <c r="I12" s="885"/>
      <c r="J12" s="885"/>
      <c r="K12" s="885"/>
      <c r="L12" s="885"/>
      <c r="M12" s="885"/>
      <c r="N12" s="885"/>
      <c r="O12" s="880"/>
    </row>
    <row r="13" spans="1:15" ht="15" customHeight="1" x14ac:dyDescent="0.25">
      <c r="A13" s="887" t="s">
        <v>14</v>
      </c>
      <c r="B13" s="886" t="s">
        <v>31</v>
      </c>
      <c r="C13" s="886" t="s">
        <v>20</v>
      </c>
      <c r="D13" s="886" t="s">
        <v>21</v>
      </c>
      <c r="E13" s="886" t="s">
        <v>32</v>
      </c>
      <c r="F13" s="886" t="s">
        <v>17</v>
      </c>
      <c r="G13" s="886" t="s">
        <v>33</v>
      </c>
      <c r="H13" s="886" t="s">
        <v>34</v>
      </c>
      <c r="I13" s="886" t="s">
        <v>18</v>
      </c>
      <c r="J13" s="881"/>
      <c r="K13" s="881"/>
      <c r="L13" s="881"/>
      <c r="M13" s="881"/>
      <c r="N13" s="881"/>
      <c r="O13" s="880"/>
    </row>
    <row r="14" spans="1:15" ht="15" customHeight="1" x14ac:dyDescent="0.25">
      <c r="A14" s="627">
        <v>10</v>
      </c>
      <c r="B14" s="917" t="s">
        <v>45</v>
      </c>
      <c r="C14" s="768" t="s">
        <v>304</v>
      </c>
      <c r="D14" s="398">
        <v>1.3</v>
      </c>
      <c r="E14" s="419" t="s">
        <v>32</v>
      </c>
      <c r="F14" s="419">
        <v>1</v>
      </c>
      <c r="G14" s="419"/>
      <c r="H14" s="419"/>
      <c r="I14" s="626">
        <f>IF(H14="",D14*F14,D14*F14*H14)</f>
        <v>1.3</v>
      </c>
      <c r="J14" s="885"/>
      <c r="K14" s="885"/>
      <c r="L14" s="885"/>
      <c r="M14" s="885"/>
      <c r="N14" s="885"/>
      <c r="O14" s="880"/>
    </row>
    <row r="15" spans="1:15" ht="15" customHeight="1" x14ac:dyDescent="0.25">
      <c r="A15" s="627">
        <v>20</v>
      </c>
      <c r="B15" s="768" t="s">
        <v>231</v>
      </c>
      <c r="C15" s="768" t="s">
        <v>818</v>
      </c>
      <c r="D15" s="398">
        <v>0.01</v>
      </c>
      <c r="E15" s="419" t="s">
        <v>46</v>
      </c>
      <c r="F15" s="419">
        <v>16.2</v>
      </c>
      <c r="G15" s="419" t="s">
        <v>316</v>
      </c>
      <c r="H15" s="419">
        <v>3</v>
      </c>
      <c r="I15" s="626">
        <f>IF(H15="",D15*F15,D15*F15*H15)</f>
        <v>0.48599999999999999</v>
      </c>
      <c r="J15" s="885"/>
      <c r="K15" s="885"/>
      <c r="L15" s="885"/>
      <c r="M15" s="885"/>
      <c r="N15" s="885"/>
      <c r="O15" s="880"/>
    </row>
    <row r="16" spans="1:15" ht="15" customHeight="1" x14ac:dyDescent="0.25">
      <c r="A16" s="884"/>
      <c r="B16" s="881"/>
      <c r="C16" s="881"/>
      <c r="D16" s="881"/>
      <c r="E16" s="881"/>
      <c r="F16" s="881"/>
      <c r="G16" s="881"/>
      <c r="H16" s="883" t="s">
        <v>18</v>
      </c>
      <c r="I16" s="890">
        <f>I14+I15</f>
        <v>1.786</v>
      </c>
      <c r="J16" s="881"/>
      <c r="K16" s="881"/>
      <c r="L16" s="881"/>
      <c r="M16" s="881"/>
      <c r="N16" s="881"/>
      <c r="O16" s="880"/>
    </row>
    <row r="17" spans="1:15" ht="15" customHeight="1" thickBot="1" x14ac:dyDescent="0.3">
      <c r="A17" s="879"/>
      <c r="B17" s="876"/>
      <c r="C17" s="876"/>
      <c r="D17" s="876"/>
      <c r="E17" s="876"/>
      <c r="F17" s="876"/>
      <c r="G17" s="876"/>
      <c r="H17" s="878"/>
      <c r="I17" s="877"/>
      <c r="J17" s="876"/>
      <c r="K17" s="876"/>
      <c r="L17" s="876"/>
      <c r="M17" s="876"/>
      <c r="N17" s="876"/>
      <c r="O17" s="875"/>
    </row>
  </sheetData>
  <hyperlinks>
    <hyperlink ref="F1" location="EN_A0600_BOM" display="Back to BOM" xr:uid="{00000000-0004-0000-0300-000000000000}"/>
    <hyperlink ref="B3" location="EN_A0600" display="Fuel System" xr:uid="{00000000-0004-0000-0300-000001000000}"/>
    <hyperlink ref="D2" location="'dEN 06003'!A1" display="FileLink1" xr:uid="{00000000-0004-0000-0300-000002000000}"/>
  </hyperlinks>
  <printOptions horizontalCentered="1"/>
  <pageMargins left="0.3" right="0.3" top="0.3" bottom="0.4" header="0.2" footer="0.2"/>
  <pageSetup paperSize="9" scale="75" orientation="landscape" horizontalDpi="0" verticalDpi="0"/>
  <headerFooter>
    <oddFooter>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5263-C98D-4C07-9EF1-787570A4247D}">
  <sheetPr>
    <tabColor rgb="FFC4D79B"/>
    <pageSetUpPr fitToPage="1"/>
  </sheetPr>
  <dimension ref="A1"/>
  <sheetViews>
    <sheetView zoomScale="90" zoomScaleNormal="90" zoomScalePageLayoutView="49" workbookViewId="0">
      <selection activeCell="B4" sqref="B4"/>
    </sheetView>
  </sheetViews>
  <sheetFormatPr baseColWidth="10" defaultRowHeight="15" x14ac:dyDescent="0.25"/>
  <cols>
    <col min="1" max="16384" width="11.42578125" style="852"/>
  </cols>
  <sheetData>
    <row r="1" spans="1:1" x14ac:dyDescent="0.25">
      <c r="A1" s="706" t="s">
        <v>822</v>
      </c>
    </row>
  </sheetData>
  <hyperlinks>
    <hyperlink ref="A1" location="EN_06003" display="EN 06003" xr:uid="{00000000-0004-0000-0400-000000000000}"/>
  </hyperlinks>
  <printOptions horizontalCentered="1"/>
  <pageMargins left="0.3" right="0.3" top="0.3" bottom="0.4" header="0.2" footer="0.2"/>
  <pageSetup paperSize="9" scale="88" orientation="landscape" horizontalDpi="0" verticalDpi="0"/>
  <headerFooter>
    <oddFooter>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4116-39D3-4F05-9CAA-48DC586399D3}">
  <sheetPr>
    <tabColor rgb="FFC4D79B"/>
    <pageSetUpPr fitToPage="1"/>
  </sheetPr>
  <dimension ref="A1:O18"/>
  <sheetViews>
    <sheetView zoomScale="80" zoomScaleNormal="80" zoomScalePageLayoutView="49" workbookViewId="0">
      <selection activeCell="M21" sqref="M21"/>
    </sheetView>
  </sheetViews>
  <sheetFormatPr baseColWidth="10" defaultColWidth="9.140625" defaultRowHeight="15" x14ac:dyDescent="0.25"/>
  <cols>
    <col min="1" max="1" width="10.28515625" style="645" bestFit="1" customWidth="1"/>
    <col min="2" max="2" width="30.7109375" style="645" bestFit="1" customWidth="1"/>
    <col min="3" max="3" width="14.42578125" style="645" bestFit="1" customWidth="1"/>
    <col min="4" max="4" width="8.7109375" style="645" bestFit="1" customWidth="1"/>
    <col min="5" max="5" width="11.42578125" style="645" customWidth="1"/>
    <col min="6" max="6" width="8.7109375" style="645" bestFit="1" customWidth="1"/>
    <col min="7" max="7" width="14.42578125" style="645" bestFit="1" customWidth="1"/>
    <col min="8" max="8" width="12.28515625" style="645" customWidth="1"/>
    <col min="9" max="9" width="23.140625" style="645" bestFit="1" customWidth="1"/>
    <col min="10" max="10" width="12.7109375" style="645" customWidth="1"/>
    <col min="11" max="11" width="7" style="645" bestFit="1" customWidth="1"/>
    <col min="12" max="12" width="7.7109375" style="645" bestFit="1" customWidth="1"/>
    <col min="13" max="13" width="13.7109375" style="645" bestFit="1" customWidth="1"/>
    <col min="14" max="14" width="11.140625" style="645" customWidth="1"/>
    <col min="15" max="15" width="9.140625" style="645"/>
    <col min="16" max="16" width="9.42578125" style="645" bestFit="1" customWidth="1"/>
    <col min="17" max="18" width="9.140625" style="645"/>
    <col min="19" max="19" width="10.42578125" style="645" bestFit="1" customWidth="1"/>
    <col min="20" max="20" width="9.42578125" style="645" bestFit="1" customWidth="1"/>
    <col min="21" max="21" width="9.140625" style="645"/>
    <col min="22" max="22" width="9.42578125" style="645" bestFit="1" customWidth="1"/>
    <col min="23" max="23" width="9.140625" style="645"/>
    <col min="24" max="25" width="10.140625" style="645" bestFit="1" customWidth="1"/>
    <col min="26" max="28" width="9.28515625" style="645" bestFit="1" customWidth="1"/>
    <col min="29" max="16384" width="9.140625" style="645"/>
  </cols>
  <sheetData>
    <row r="1" spans="1:15" x14ac:dyDescent="0.25">
      <c r="A1" s="687" t="s">
        <v>0</v>
      </c>
      <c r="B1" s="708" t="s">
        <v>44</v>
      </c>
      <c r="C1" s="708"/>
      <c r="D1" s="708"/>
      <c r="E1" s="708"/>
      <c r="F1" s="747" t="s">
        <v>69</v>
      </c>
      <c r="G1" s="708"/>
      <c r="H1" s="708"/>
      <c r="I1" s="708"/>
      <c r="J1" s="742" t="s">
        <v>1</v>
      </c>
      <c r="K1" s="741">
        <v>81</v>
      </c>
      <c r="L1" s="708"/>
      <c r="M1" s="687" t="s">
        <v>16</v>
      </c>
      <c r="N1" s="649">
        <f>N11+I16</f>
        <v>1.9460502534247164</v>
      </c>
      <c r="O1" s="710"/>
    </row>
    <row r="2" spans="1:15" x14ac:dyDescent="0.25">
      <c r="A2" s="687" t="s">
        <v>3</v>
      </c>
      <c r="B2" s="645" t="s">
        <v>279</v>
      </c>
      <c r="D2" s="743" t="s">
        <v>6</v>
      </c>
      <c r="E2" s="744" t="s">
        <v>67</v>
      </c>
      <c r="M2" s="687" t="s">
        <v>4</v>
      </c>
      <c r="N2" s="740">
        <v>2</v>
      </c>
      <c r="O2" s="711"/>
    </row>
    <row r="3" spans="1:15" x14ac:dyDescent="0.25">
      <c r="A3" s="687" t="s">
        <v>5</v>
      </c>
      <c r="B3" s="306" t="s">
        <v>617</v>
      </c>
      <c r="D3" s="687" t="s">
        <v>8</v>
      </c>
      <c r="J3" s="687" t="s">
        <v>6</v>
      </c>
      <c r="O3" s="711"/>
    </row>
    <row r="4" spans="1:15" x14ac:dyDescent="0.25">
      <c r="A4" s="687" t="s">
        <v>15</v>
      </c>
      <c r="B4" s="684" t="s">
        <v>613</v>
      </c>
      <c r="D4" s="687" t="s">
        <v>12</v>
      </c>
      <c r="J4" s="687" t="s">
        <v>8</v>
      </c>
      <c r="M4" s="687" t="s">
        <v>9</v>
      </c>
      <c r="N4" s="649">
        <f>N1*N2</f>
        <v>3.8921005068494328</v>
      </c>
      <c r="O4" s="711"/>
    </row>
    <row r="5" spans="1:15" x14ac:dyDescent="0.25">
      <c r="A5" s="687" t="s">
        <v>7</v>
      </c>
      <c r="B5" s="645" t="s">
        <v>652</v>
      </c>
      <c r="F5" s="704"/>
      <c r="J5" s="687" t="s">
        <v>12</v>
      </c>
      <c r="O5" s="711"/>
    </row>
    <row r="6" spans="1:15" x14ac:dyDescent="0.25">
      <c r="A6" s="687" t="s">
        <v>10</v>
      </c>
      <c r="B6" s="645" t="s">
        <v>11</v>
      </c>
      <c r="O6" s="711"/>
    </row>
    <row r="7" spans="1:15" x14ac:dyDescent="0.25">
      <c r="A7" s="687" t="s">
        <v>13</v>
      </c>
      <c r="B7" s="645" t="s">
        <v>647</v>
      </c>
      <c r="O7" s="711"/>
    </row>
    <row r="8" spans="1:15" x14ac:dyDescent="0.25">
      <c r="A8" s="712"/>
      <c r="O8" s="711"/>
    </row>
    <row r="9" spans="1:15" s="646" customFormat="1" x14ac:dyDescent="0.25">
      <c r="A9" s="720" t="s">
        <v>14</v>
      </c>
      <c r="B9" s="687" t="s">
        <v>19</v>
      </c>
      <c r="C9" s="687" t="s">
        <v>20</v>
      </c>
      <c r="D9" s="687" t="s">
        <v>21</v>
      </c>
      <c r="E9" s="687" t="s">
        <v>22</v>
      </c>
      <c r="F9" s="687" t="s">
        <v>23</v>
      </c>
      <c r="G9" s="687" t="s">
        <v>24</v>
      </c>
      <c r="H9" s="687" t="s">
        <v>25</v>
      </c>
      <c r="I9" s="687" t="s">
        <v>26</v>
      </c>
      <c r="J9" s="687" t="s">
        <v>27</v>
      </c>
      <c r="K9" s="687" t="s">
        <v>28</v>
      </c>
      <c r="L9" s="687" t="s">
        <v>29</v>
      </c>
      <c r="M9" s="687" t="s">
        <v>17</v>
      </c>
      <c r="N9" s="687" t="s">
        <v>18</v>
      </c>
      <c r="O9" s="716"/>
    </row>
    <row r="10" spans="1:15" x14ac:dyDescent="0.25">
      <c r="A10" s="714">
        <v>10</v>
      </c>
      <c r="B10" s="650" t="s">
        <v>359</v>
      </c>
      <c r="C10" s="650"/>
      <c r="D10" s="651">
        <v>2.25</v>
      </c>
      <c r="E10" s="673">
        <f>J10*K10*L10</f>
        <v>6.3133445966540483E-2</v>
      </c>
      <c r="F10" s="650" t="s">
        <v>78</v>
      </c>
      <c r="G10" s="650"/>
      <c r="H10" s="678"/>
      <c r="I10" s="677" t="s">
        <v>651</v>
      </c>
      <c r="J10" s="702">
        <f>PI()*8*8/1000000</f>
        <v>2.0106192982974677E-4</v>
      </c>
      <c r="K10" s="703">
        <f>40/1000</f>
        <v>0.04</v>
      </c>
      <c r="L10" s="674">
        <v>7850</v>
      </c>
      <c r="M10" s="674">
        <v>1</v>
      </c>
      <c r="N10" s="649">
        <f>IF(J10="",D10*M10,D10*J10*K10*L10*M10)</f>
        <v>0.14205025342471611</v>
      </c>
      <c r="O10" s="711"/>
    </row>
    <row r="11" spans="1:15" s="646" customFormat="1" x14ac:dyDescent="0.25">
      <c r="A11" s="715"/>
      <c r="J11" s="646" t="s">
        <v>650</v>
      </c>
      <c r="M11" s="686" t="s">
        <v>18</v>
      </c>
      <c r="N11" s="690">
        <f>SUM(N10:N10)</f>
        <v>0.14205025342471611</v>
      </c>
      <c r="O11" s="716"/>
    </row>
    <row r="12" spans="1:15" x14ac:dyDescent="0.25">
      <c r="A12" s="712"/>
      <c r="O12" s="711"/>
    </row>
    <row r="13" spans="1:15" s="646" customFormat="1" x14ac:dyDescent="0.25">
      <c r="A13" s="720" t="s">
        <v>14</v>
      </c>
      <c r="B13" s="687" t="s">
        <v>31</v>
      </c>
      <c r="C13" s="687" t="s">
        <v>20</v>
      </c>
      <c r="D13" s="687" t="s">
        <v>21</v>
      </c>
      <c r="E13" s="687" t="s">
        <v>32</v>
      </c>
      <c r="F13" s="687" t="s">
        <v>17</v>
      </c>
      <c r="G13" s="687" t="s">
        <v>33</v>
      </c>
      <c r="H13" s="687" t="s">
        <v>34</v>
      </c>
      <c r="I13" s="687" t="s">
        <v>18</v>
      </c>
      <c r="O13" s="716"/>
    </row>
    <row r="14" spans="1:15" ht="30" x14ac:dyDescent="0.25">
      <c r="A14" s="714">
        <v>10</v>
      </c>
      <c r="B14" s="689" t="s">
        <v>623</v>
      </c>
      <c r="C14" s="659"/>
      <c r="D14" s="651">
        <v>1.3</v>
      </c>
      <c r="E14" s="650" t="s">
        <v>32</v>
      </c>
      <c r="F14" s="650">
        <v>1</v>
      </c>
      <c r="G14" s="680"/>
      <c r="H14" s="650">
        <v>1</v>
      </c>
      <c r="I14" s="651">
        <f>H14*F14*D14</f>
        <v>1.3</v>
      </c>
      <c r="O14" s="711"/>
    </row>
    <row r="15" spans="1:15" ht="30" x14ac:dyDescent="0.25">
      <c r="A15" s="714">
        <v>20</v>
      </c>
      <c r="B15" s="659" t="s">
        <v>79</v>
      </c>
      <c r="C15" s="659" t="s">
        <v>649</v>
      </c>
      <c r="D15" s="651">
        <v>0.04</v>
      </c>
      <c r="E15" s="650" t="s">
        <v>81</v>
      </c>
      <c r="F15" s="650">
        <v>4.2</v>
      </c>
      <c r="G15" s="680" t="s">
        <v>82</v>
      </c>
      <c r="H15" s="650">
        <v>3</v>
      </c>
      <c r="I15" s="651">
        <f>H15*F15*D15</f>
        <v>0.50400000000000011</v>
      </c>
      <c r="O15" s="711"/>
    </row>
    <row r="16" spans="1:15" s="646" customFormat="1" x14ac:dyDescent="0.25">
      <c r="A16" s="715"/>
      <c r="H16" s="686" t="s">
        <v>18</v>
      </c>
      <c r="I16" s="688">
        <f>SUM(I14:I15)</f>
        <v>1.8040000000000003</v>
      </c>
      <c r="O16" s="716"/>
    </row>
    <row r="17" spans="1:15" x14ac:dyDescent="0.25">
      <c r="A17" s="712"/>
      <c r="O17" s="711"/>
    </row>
    <row r="18" spans="1:15" ht="15.75" thickBot="1" x14ac:dyDescent="0.3">
      <c r="A18" s="717"/>
      <c r="B18" s="718"/>
      <c r="C18" s="718"/>
      <c r="D18" s="718"/>
      <c r="E18" s="718"/>
      <c r="F18" s="718"/>
      <c r="G18" s="718"/>
      <c r="H18" s="718"/>
      <c r="I18" s="718"/>
      <c r="J18" s="718"/>
      <c r="K18" s="718"/>
      <c r="L18" s="718"/>
      <c r="M18" s="718"/>
      <c r="N18" s="718"/>
      <c r="O18" s="719"/>
    </row>
  </sheetData>
  <hyperlinks>
    <hyperlink ref="F1" location="EN_A0100_BOM" display="Back to BOM" xr:uid="{00000000-0004-0000-0600-000000000000}"/>
    <hyperlink ref="B3" location="EN_A0100" display="Engine" xr:uid="{00000000-0004-0000-0600-000002000000}"/>
    <hyperlink ref="E2" location="'dEN 01003'!A1" display="Drawing" xr:uid="{554139BD-AC70-4C40-B7C2-A996B1104F67}"/>
  </hyperlinks>
  <printOptions horizontalCentered="1"/>
  <pageMargins left="0.3" right="0.3" top="0.3" bottom="0.4" header="0.2" footer="0.2"/>
  <pageSetup paperSize="9" scale="77" orientation="landscape" horizontalDpi="0" verticalDpi="0"/>
  <headerFooter>
    <oddFooter>Page &amp;P</oddFooter>
  </headerFooter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6958-58B4-40DE-BAE4-8EA23BC2CDB3}">
  <sheetPr>
    <tabColor rgb="FFC4D79B"/>
    <pageSetUpPr fitToPage="1"/>
  </sheetPr>
  <dimension ref="A1:O17"/>
  <sheetViews>
    <sheetView zoomScale="70" zoomScaleNormal="70" zoomScalePageLayoutView="49" workbookViewId="0">
      <selection activeCell="F1" sqref="F1"/>
    </sheetView>
  </sheetViews>
  <sheetFormatPr baseColWidth="10" defaultRowHeight="15" customHeight="1" x14ac:dyDescent="0.25"/>
  <cols>
    <col min="1" max="1" width="15.28515625" style="852" bestFit="1" customWidth="1"/>
    <col min="2" max="2" width="36.28515625" style="852" bestFit="1" customWidth="1"/>
    <col min="3" max="3" width="20.7109375" style="852" bestFit="1" customWidth="1"/>
    <col min="4" max="4" width="13.7109375" style="852" bestFit="1" customWidth="1"/>
    <col min="5" max="5" width="11.42578125" style="852"/>
    <col min="6" max="6" width="13.42578125" style="852" bestFit="1" customWidth="1"/>
    <col min="7" max="7" width="15.42578125" style="852" bestFit="1" customWidth="1"/>
    <col min="8" max="8" width="14.140625" style="852" bestFit="1" customWidth="1"/>
    <col min="9" max="9" width="28.140625" style="852" bestFit="1" customWidth="1"/>
    <col min="10" max="10" width="13.7109375" style="852" bestFit="1" customWidth="1"/>
    <col min="11" max="11" width="11" style="852" bestFit="1" customWidth="1"/>
    <col min="12" max="12" width="11.7109375" style="852" bestFit="1" customWidth="1"/>
    <col min="13" max="13" width="20.28515625" style="852" bestFit="1" customWidth="1"/>
    <col min="14" max="14" width="14.140625" style="852" bestFit="1" customWidth="1"/>
    <col min="15" max="15" width="2" style="852" customWidth="1"/>
    <col min="16" max="16384" width="11.42578125" style="852"/>
  </cols>
  <sheetData>
    <row r="1" spans="1:15" ht="15" customHeight="1" x14ac:dyDescent="0.25">
      <c r="A1" s="915" t="s">
        <v>0</v>
      </c>
      <c r="B1" s="912" t="s">
        <v>44</v>
      </c>
      <c r="C1" s="912"/>
      <c r="D1" s="912"/>
      <c r="E1" s="912"/>
      <c r="F1" s="747" t="s">
        <v>69</v>
      </c>
      <c r="G1" s="912"/>
      <c r="H1" s="912"/>
      <c r="I1" s="912"/>
      <c r="J1" s="914" t="s">
        <v>1</v>
      </c>
      <c r="K1" s="913">
        <v>81</v>
      </c>
      <c r="L1" s="912"/>
      <c r="M1" s="911" t="s">
        <v>16</v>
      </c>
      <c r="N1" s="910">
        <f>N11+I16</f>
        <v>1.5539844999999999</v>
      </c>
      <c r="O1" s="909"/>
    </row>
    <row r="2" spans="1:15" ht="15" customHeight="1" x14ac:dyDescent="0.25">
      <c r="A2" s="903" t="s">
        <v>3</v>
      </c>
      <c r="B2" s="885" t="s">
        <v>279</v>
      </c>
      <c r="C2" s="866" t="s">
        <v>707</v>
      </c>
      <c r="D2" s="921" t="s">
        <v>6</v>
      </c>
      <c r="E2" s="885"/>
      <c r="F2" s="885"/>
      <c r="G2" s="885"/>
      <c r="H2" s="885"/>
      <c r="I2" s="885"/>
      <c r="J2" s="885"/>
      <c r="K2" s="885"/>
      <c r="L2" s="885"/>
      <c r="M2" s="904" t="s">
        <v>4</v>
      </c>
      <c r="N2" s="908">
        <v>1</v>
      </c>
      <c r="O2" s="880"/>
    </row>
    <row r="3" spans="1:15" ht="15" customHeight="1" x14ac:dyDescent="0.25">
      <c r="A3" s="903" t="s">
        <v>5</v>
      </c>
      <c r="B3" s="907" t="s">
        <v>803</v>
      </c>
      <c r="C3" s="885"/>
      <c r="D3" s="904" t="s">
        <v>8</v>
      </c>
      <c r="E3" s="885"/>
      <c r="F3" s="885"/>
      <c r="G3" s="885"/>
      <c r="H3" s="885"/>
      <c r="I3" s="885"/>
      <c r="J3" s="906" t="s">
        <v>6</v>
      </c>
      <c r="K3" s="885"/>
      <c r="L3" s="885"/>
      <c r="M3" s="885"/>
      <c r="N3" s="885"/>
      <c r="O3" s="880"/>
    </row>
    <row r="4" spans="1:15" ht="15" customHeight="1" x14ac:dyDescent="0.25">
      <c r="A4" s="903" t="s">
        <v>15</v>
      </c>
      <c r="B4" s="920" t="s">
        <v>798</v>
      </c>
      <c r="C4" s="885"/>
      <c r="D4" s="904" t="s">
        <v>12</v>
      </c>
      <c r="E4" s="885"/>
      <c r="F4" s="885"/>
      <c r="G4" s="885"/>
      <c r="H4" s="885"/>
      <c r="I4" s="885"/>
      <c r="J4" s="904" t="s">
        <v>8</v>
      </c>
      <c r="K4" s="885"/>
      <c r="L4" s="885"/>
      <c r="M4" s="906" t="s">
        <v>9</v>
      </c>
      <c r="N4" s="888">
        <f>N1*N2</f>
        <v>1.5539844999999999</v>
      </c>
      <c r="O4" s="880"/>
    </row>
    <row r="5" spans="1:15" ht="15" customHeight="1" x14ac:dyDescent="0.25">
      <c r="A5" s="903" t="s">
        <v>7</v>
      </c>
      <c r="B5" s="905" t="s">
        <v>824</v>
      </c>
      <c r="C5" s="885"/>
      <c r="D5" s="885"/>
      <c r="E5" s="885"/>
      <c r="F5" s="885"/>
      <c r="G5" s="885"/>
      <c r="H5" s="885"/>
      <c r="I5" s="885"/>
      <c r="J5" s="904" t="s">
        <v>12</v>
      </c>
      <c r="K5" s="885"/>
      <c r="L5" s="885"/>
      <c r="M5" s="885"/>
      <c r="N5" s="885"/>
      <c r="O5" s="880"/>
    </row>
    <row r="6" spans="1:15" ht="15" customHeight="1" x14ac:dyDescent="0.25">
      <c r="A6" s="903" t="s">
        <v>10</v>
      </c>
      <c r="B6" s="885" t="s">
        <v>11</v>
      </c>
      <c r="C6" s="885"/>
      <c r="D6" s="885"/>
      <c r="E6" s="885"/>
      <c r="F6" s="885"/>
      <c r="G6" s="885"/>
      <c r="H6" s="885"/>
      <c r="I6" s="885"/>
      <c r="J6" s="885"/>
      <c r="K6" s="885"/>
      <c r="L6" s="885"/>
      <c r="M6" s="885"/>
      <c r="N6" s="885"/>
      <c r="O6" s="880"/>
    </row>
    <row r="7" spans="1:15" ht="15" customHeight="1" x14ac:dyDescent="0.25">
      <c r="A7" s="903" t="s">
        <v>13</v>
      </c>
      <c r="B7" s="885"/>
      <c r="C7" s="885"/>
      <c r="D7" s="885"/>
      <c r="E7" s="885"/>
      <c r="F7" s="885"/>
      <c r="G7" s="885"/>
      <c r="H7" s="885"/>
      <c r="I7" s="885"/>
      <c r="J7" s="885"/>
      <c r="K7" s="885"/>
      <c r="L7" s="885"/>
      <c r="M7" s="885"/>
      <c r="N7" s="885"/>
      <c r="O7" s="880"/>
    </row>
    <row r="8" spans="1:15" ht="15" customHeight="1" x14ac:dyDescent="0.25">
      <c r="A8" s="889"/>
      <c r="B8" s="885"/>
      <c r="C8" s="885"/>
      <c r="D8" s="885"/>
      <c r="E8" s="885"/>
      <c r="F8" s="885"/>
      <c r="G8" s="885"/>
      <c r="H8" s="885"/>
      <c r="I8" s="885"/>
      <c r="J8" s="885"/>
      <c r="K8" s="885"/>
      <c r="L8" s="885"/>
      <c r="M8" s="885"/>
      <c r="N8" s="885"/>
      <c r="O8" s="880"/>
    </row>
    <row r="9" spans="1:15" ht="15" customHeight="1" x14ac:dyDescent="0.25">
      <c r="A9" s="887" t="s">
        <v>14</v>
      </c>
      <c r="B9" s="886" t="s">
        <v>19</v>
      </c>
      <c r="C9" s="886" t="s">
        <v>20</v>
      </c>
      <c r="D9" s="886" t="s">
        <v>21</v>
      </c>
      <c r="E9" s="886" t="s">
        <v>22</v>
      </c>
      <c r="F9" s="886" t="s">
        <v>23</v>
      </c>
      <c r="G9" s="886" t="s">
        <v>24</v>
      </c>
      <c r="H9" s="886" t="s">
        <v>25</v>
      </c>
      <c r="I9" s="886" t="s">
        <v>26</v>
      </c>
      <c r="J9" s="886" t="s">
        <v>27</v>
      </c>
      <c r="K9" s="886" t="s">
        <v>28</v>
      </c>
      <c r="L9" s="886" t="s">
        <v>29</v>
      </c>
      <c r="M9" s="886" t="s">
        <v>17</v>
      </c>
      <c r="N9" s="886" t="s">
        <v>18</v>
      </c>
      <c r="O9" s="880"/>
    </row>
    <row r="10" spans="1:15" ht="15" customHeight="1" x14ac:dyDescent="0.25">
      <c r="A10" s="926">
        <v>10</v>
      </c>
      <c r="B10" s="899" t="s">
        <v>163</v>
      </c>
      <c r="C10" s="505" t="s">
        <v>820</v>
      </c>
      <c r="D10" s="925">
        <v>2.25</v>
      </c>
      <c r="E10" s="898">
        <f>J10*K10*L10</f>
        <v>4.0819999999999997E-3</v>
      </c>
      <c r="F10" s="419" t="s">
        <v>78</v>
      </c>
      <c r="G10" s="419"/>
      <c r="H10" s="419"/>
      <c r="I10" s="512" t="s">
        <v>823</v>
      </c>
      <c r="J10" s="855">
        <f>13*20/1000000</f>
        <v>2.5999999999999998E-4</v>
      </c>
      <c r="K10" s="419">
        <f>2/1000</f>
        <v>2E-3</v>
      </c>
      <c r="L10" s="419">
        <v>7850</v>
      </c>
      <c r="M10" s="924">
        <v>1</v>
      </c>
      <c r="N10" s="626">
        <f>L10*K10*J10*D10</f>
        <v>9.1845E-3</v>
      </c>
      <c r="O10" s="880"/>
    </row>
    <row r="11" spans="1:15" ht="15" customHeight="1" x14ac:dyDescent="0.25">
      <c r="A11" s="884"/>
      <c r="B11" s="881"/>
      <c r="C11" s="881"/>
      <c r="D11" s="881"/>
      <c r="E11" s="881"/>
      <c r="F11" s="881"/>
      <c r="G11" s="881"/>
      <c r="H11" s="881"/>
      <c r="I11" s="881"/>
      <c r="J11" s="881"/>
      <c r="K11" s="881"/>
      <c r="L11" s="881"/>
      <c r="M11" s="883" t="s">
        <v>18</v>
      </c>
      <c r="N11" s="890">
        <f>N10</f>
        <v>9.1845E-3</v>
      </c>
      <c r="O11" s="880"/>
    </row>
    <row r="12" spans="1:15" ht="15" customHeight="1" x14ac:dyDescent="0.25">
      <c r="A12" s="889"/>
      <c r="B12" s="885"/>
      <c r="C12" s="885"/>
      <c r="D12" s="885"/>
      <c r="E12" s="885"/>
      <c r="F12" s="885"/>
      <c r="G12" s="885"/>
      <c r="H12" s="885"/>
      <c r="I12" s="885"/>
      <c r="J12" s="885"/>
      <c r="K12" s="885"/>
      <c r="L12" s="885"/>
      <c r="M12" s="885"/>
      <c r="N12" s="885"/>
      <c r="O12" s="880"/>
    </row>
    <row r="13" spans="1:15" ht="15" customHeight="1" x14ac:dyDescent="0.25">
      <c r="A13" s="887" t="s">
        <v>14</v>
      </c>
      <c r="B13" s="886" t="s">
        <v>31</v>
      </c>
      <c r="C13" s="886" t="s">
        <v>20</v>
      </c>
      <c r="D13" s="886" t="s">
        <v>21</v>
      </c>
      <c r="E13" s="886" t="s">
        <v>32</v>
      </c>
      <c r="F13" s="886" t="s">
        <v>17</v>
      </c>
      <c r="G13" s="886" t="s">
        <v>33</v>
      </c>
      <c r="H13" s="886" t="s">
        <v>34</v>
      </c>
      <c r="I13" s="886" t="s">
        <v>18</v>
      </c>
      <c r="J13" s="881"/>
      <c r="K13" s="881"/>
      <c r="L13" s="881"/>
      <c r="M13" s="881"/>
      <c r="N13" s="881"/>
      <c r="O13" s="880"/>
    </row>
    <row r="14" spans="1:15" ht="15" customHeight="1" x14ac:dyDescent="0.25">
      <c r="A14" s="627">
        <v>10</v>
      </c>
      <c r="B14" s="917" t="s">
        <v>45</v>
      </c>
      <c r="C14" s="768" t="s">
        <v>304</v>
      </c>
      <c r="D14" s="398">
        <v>1.3</v>
      </c>
      <c r="E14" s="419" t="s">
        <v>32</v>
      </c>
      <c r="F14" s="419">
        <v>1</v>
      </c>
      <c r="G14" s="419"/>
      <c r="H14" s="419"/>
      <c r="I14" s="626">
        <f>IF(H14="",D14*F14,D14*F14*H14)</f>
        <v>1.3</v>
      </c>
      <c r="J14" s="885"/>
      <c r="K14" s="885"/>
      <c r="L14" s="885"/>
      <c r="M14" s="885"/>
      <c r="N14" s="885"/>
      <c r="O14" s="880"/>
    </row>
    <row r="15" spans="1:15" ht="15" customHeight="1" x14ac:dyDescent="0.25">
      <c r="A15" s="627">
        <v>20</v>
      </c>
      <c r="B15" s="768" t="s">
        <v>231</v>
      </c>
      <c r="C15" s="768" t="s">
        <v>818</v>
      </c>
      <c r="D15" s="398">
        <v>0.01</v>
      </c>
      <c r="E15" s="419" t="s">
        <v>46</v>
      </c>
      <c r="F15" s="419">
        <v>8.16</v>
      </c>
      <c r="G15" s="419" t="s">
        <v>316</v>
      </c>
      <c r="H15" s="419">
        <v>3</v>
      </c>
      <c r="I15" s="626">
        <f>IF(H15="",D15*F15,D15*F15*H15)</f>
        <v>0.24480000000000002</v>
      </c>
      <c r="J15" s="885"/>
      <c r="K15" s="885"/>
      <c r="L15" s="885"/>
      <c r="M15" s="885"/>
      <c r="N15" s="885"/>
      <c r="O15" s="880"/>
    </row>
    <row r="16" spans="1:15" ht="15" customHeight="1" x14ac:dyDescent="0.25">
      <c r="A16" s="884"/>
      <c r="B16" s="881"/>
      <c r="C16" s="881"/>
      <c r="D16" s="881"/>
      <c r="E16" s="881"/>
      <c r="F16" s="881"/>
      <c r="G16" s="881"/>
      <c r="H16" s="883" t="s">
        <v>18</v>
      </c>
      <c r="I16" s="890">
        <f>SUM(I14:I15)</f>
        <v>1.5448</v>
      </c>
      <c r="J16" s="881"/>
      <c r="K16" s="881"/>
      <c r="L16" s="881"/>
      <c r="M16" s="881"/>
      <c r="N16" s="881"/>
      <c r="O16" s="880"/>
    </row>
    <row r="17" spans="1:15" ht="15" customHeight="1" thickBot="1" x14ac:dyDescent="0.3">
      <c r="A17" s="923"/>
      <c r="B17" s="922"/>
      <c r="C17" s="922"/>
      <c r="D17" s="922"/>
      <c r="E17" s="922"/>
      <c r="F17" s="922"/>
      <c r="G17" s="922"/>
      <c r="H17" s="922"/>
      <c r="I17" s="922"/>
      <c r="J17" s="922"/>
      <c r="K17" s="922"/>
      <c r="L17" s="922"/>
      <c r="M17" s="922"/>
      <c r="N17" s="922"/>
      <c r="O17" s="875"/>
    </row>
  </sheetData>
  <hyperlinks>
    <hyperlink ref="F1" location="EN_A0600_BOM" display="Back to BOM" xr:uid="{00000000-0004-0000-0500-000000000000}"/>
    <hyperlink ref="B3" location="EN_A0600" display="Fuel System" xr:uid="{00000000-0004-0000-0500-000001000000}"/>
    <hyperlink ref="D2" location="'dEN 06004'!A1" display="FileLink1" xr:uid="{00000000-0004-0000-0500-000002000000}"/>
  </hyperlinks>
  <printOptions horizontalCentered="1"/>
  <pageMargins left="0.3" right="0.3" top="0.3" bottom="0.4" header="0.2" footer="0.2"/>
  <pageSetup paperSize="9" scale="74" orientation="landscape" horizontalDpi="0" verticalDpi="0"/>
  <headerFooter>
    <oddFooter>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48B78-E518-4716-BC5E-EF3ADB63A414}">
  <sheetPr>
    <tabColor rgb="FFC4D79B"/>
    <pageSetUpPr fitToPage="1"/>
  </sheetPr>
  <dimension ref="A1"/>
  <sheetViews>
    <sheetView zoomScale="90" zoomScaleNormal="90" zoomScalePageLayoutView="49" workbookViewId="0">
      <selection activeCell="B4" sqref="B4"/>
    </sheetView>
  </sheetViews>
  <sheetFormatPr baseColWidth="10" defaultRowHeight="15" x14ac:dyDescent="0.25"/>
  <cols>
    <col min="1" max="16384" width="11.42578125" style="852"/>
  </cols>
  <sheetData>
    <row r="1" spans="1:1" x14ac:dyDescent="0.25">
      <c r="A1" s="706" t="s">
        <v>824</v>
      </c>
    </row>
  </sheetData>
  <hyperlinks>
    <hyperlink ref="A1" location="EN_06004" display="EN 06004" xr:uid="{00000000-0004-0000-0600-000000000000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64F3-9848-4803-95FF-1A81ABBCBC9A}">
  <sheetPr>
    <tabColor rgb="FF76933C"/>
    <pageSetUpPr fitToPage="1"/>
  </sheetPr>
  <dimension ref="A1:O40"/>
  <sheetViews>
    <sheetView zoomScale="70" zoomScaleNormal="70" zoomScalePageLayoutView="49" workbookViewId="0">
      <selection activeCell="D1" sqref="D1"/>
    </sheetView>
  </sheetViews>
  <sheetFormatPr baseColWidth="10" defaultColWidth="9.140625" defaultRowHeight="15" x14ac:dyDescent="0.25"/>
  <cols>
    <col min="1" max="1" width="10.42578125" style="761" bestFit="1" customWidth="1"/>
    <col min="2" max="2" width="45.7109375" style="761" bestFit="1" customWidth="1"/>
    <col min="3" max="3" width="60" style="761" customWidth="1"/>
    <col min="4" max="4" width="12.28515625" style="761" bestFit="1" customWidth="1"/>
    <col min="5" max="5" width="11.85546875" style="761" customWidth="1"/>
    <col min="6" max="6" width="8.7109375" style="761" bestFit="1" customWidth="1"/>
    <col min="7" max="7" width="11.5703125" style="761" customWidth="1"/>
    <col min="8" max="8" width="12.140625" style="761" customWidth="1"/>
    <col min="9" max="9" width="11" style="761" bestFit="1" customWidth="1"/>
    <col min="10" max="10" width="9.140625" style="761" bestFit="1" customWidth="1"/>
    <col min="11" max="11" width="10.42578125" style="761" customWidth="1"/>
    <col min="12" max="12" width="7.7109375" style="761" bestFit="1" customWidth="1"/>
    <col min="13" max="13" width="13.7109375" style="761" bestFit="1" customWidth="1"/>
    <col min="14" max="14" width="9.140625" style="761" bestFit="1" customWidth="1"/>
    <col min="15" max="15" width="2.7109375" style="761" customWidth="1"/>
    <col min="16" max="16384" width="9.140625" style="761"/>
  </cols>
  <sheetData>
    <row r="1" spans="1:15" x14ac:dyDescent="0.25">
      <c r="A1" s="874" t="s">
        <v>0</v>
      </c>
      <c r="B1" s="848" t="s">
        <v>44</v>
      </c>
      <c r="C1" s="848"/>
      <c r="D1" s="747" t="s">
        <v>69</v>
      </c>
      <c r="E1" s="848"/>
      <c r="F1" s="848"/>
      <c r="G1" s="848"/>
      <c r="H1" s="848"/>
      <c r="I1" s="848"/>
      <c r="J1" s="873" t="s">
        <v>1</v>
      </c>
      <c r="K1" s="849">
        <v>81</v>
      </c>
      <c r="L1" s="848"/>
      <c r="M1" s="873" t="s">
        <v>2</v>
      </c>
      <c r="N1" s="846">
        <f>N14+I30+J39</f>
        <v>26.183297910649134</v>
      </c>
      <c r="O1" s="845"/>
    </row>
    <row r="2" spans="1:15" x14ac:dyDescent="0.25">
      <c r="A2" s="972" t="s">
        <v>3</v>
      </c>
      <c r="B2" s="761" t="s">
        <v>279</v>
      </c>
      <c r="M2" s="973" t="s">
        <v>4</v>
      </c>
      <c r="N2" s="843">
        <v>1</v>
      </c>
      <c r="O2" s="823"/>
    </row>
    <row r="3" spans="1:15" x14ac:dyDescent="0.25">
      <c r="A3" s="972" t="s">
        <v>5</v>
      </c>
      <c r="B3" s="761" t="s">
        <v>852</v>
      </c>
      <c r="J3" s="973" t="s">
        <v>6</v>
      </c>
      <c r="O3" s="823"/>
    </row>
    <row r="4" spans="1:15" x14ac:dyDescent="0.25">
      <c r="A4" s="972" t="s">
        <v>7</v>
      </c>
      <c r="B4" s="809" t="s">
        <v>851</v>
      </c>
      <c r="J4" s="973" t="s">
        <v>8</v>
      </c>
      <c r="M4" s="973" t="s">
        <v>9</v>
      </c>
      <c r="N4" s="842">
        <f>N1*N2</f>
        <v>26.183297910649134</v>
      </c>
      <c r="O4" s="823"/>
    </row>
    <row r="5" spans="1:15" x14ac:dyDescent="0.25">
      <c r="A5" s="972" t="s">
        <v>10</v>
      </c>
      <c r="B5" s="761" t="s">
        <v>11</v>
      </c>
      <c r="J5" s="973" t="s">
        <v>12</v>
      </c>
      <c r="O5" s="823"/>
    </row>
    <row r="6" spans="1:15" x14ac:dyDescent="0.25">
      <c r="A6" s="972" t="s">
        <v>13</v>
      </c>
      <c r="B6" s="761" t="s">
        <v>850</v>
      </c>
      <c r="O6" s="823"/>
    </row>
    <row r="7" spans="1:15" x14ac:dyDescent="0.25">
      <c r="A7" s="828"/>
      <c r="O7" s="823"/>
    </row>
    <row r="8" spans="1:15" x14ac:dyDescent="0.25">
      <c r="A8" s="828"/>
      <c r="O8" s="823"/>
    </row>
    <row r="9" spans="1:15" x14ac:dyDescent="0.25">
      <c r="A9" s="867" t="s">
        <v>14</v>
      </c>
      <c r="B9" s="954" t="s">
        <v>19</v>
      </c>
      <c r="C9" s="954" t="s">
        <v>20</v>
      </c>
      <c r="D9" s="954" t="s">
        <v>21</v>
      </c>
      <c r="E9" s="954" t="s">
        <v>22</v>
      </c>
      <c r="F9" s="954" t="s">
        <v>23</v>
      </c>
      <c r="G9" s="954" t="s">
        <v>24</v>
      </c>
      <c r="H9" s="954" t="s">
        <v>25</v>
      </c>
      <c r="I9" s="954" t="s">
        <v>26</v>
      </c>
      <c r="J9" s="954" t="s">
        <v>27</v>
      </c>
      <c r="K9" s="954" t="s">
        <v>28</v>
      </c>
      <c r="L9" s="954" t="s">
        <v>29</v>
      </c>
      <c r="M9" s="954" t="s">
        <v>17</v>
      </c>
      <c r="N9" s="954" t="s">
        <v>18</v>
      </c>
      <c r="O9" s="823"/>
    </row>
    <row r="10" spans="1:15" x14ac:dyDescent="0.25">
      <c r="A10" s="870">
        <v>10</v>
      </c>
      <c r="B10" s="938" t="s">
        <v>849</v>
      </c>
      <c r="C10" s="938" t="s">
        <v>848</v>
      </c>
      <c r="D10" s="384">
        <v>1</v>
      </c>
      <c r="E10" s="938"/>
      <c r="F10" s="938" t="s">
        <v>32</v>
      </c>
      <c r="G10" s="938"/>
      <c r="H10" s="968"/>
      <c r="I10" s="971"/>
      <c r="J10" s="969"/>
      <c r="K10" s="968"/>
      <c r="L10" s="968"/>
      <c r="M10" s="966">
        <v>2</v>
      </c>
      <c r="N10" s="965">
        <f>IF(J10="",D10*M10,D10*J10*K10*L10*M10)</f>
        <v>2</v>
      </c>
      <c r="O10" s="823"/>
    </row>
    <row r="11" spans="1:15" x14ac:dyDescent="0.25">
      <c r="A11" s="870">
        <v>20</v>
      </c>
      <c r="B11" s="938" t="s">
        <v>791</v>
      </c>
      <c r="C11" s="938" t="s">
        <v>847</v>
      </c>
      <c r="D11" s="384">
        <f xml:space="preserve"> 2.23*E11+3.52</f>
        <v>6.8650000000000002</v>
      </c>
      <c r="E11" s="938">
        <v>1.5</v>
      </c>
      <c r="F11" s="938" t="s">
        <v>71</v>
      </c>
      <c r="G11" s="938"/>
      <c r="H11" s="968"/>
      <c r="I11" s="971"/>
      <c r="J11" s="969"/>
      <c r="K11" s="968"/>
      <c r="L11" s="968"/>
      <c r="M11" s="966"/>
      <c r="N11" s="965">
        <f>E11*D11</f>
        <v>10.297499999999999</v>
      </c>
      <c r="O11" s="823"/>
    </row>
    <row r="12" spans="1:15" ht="13.9" customHeight="1" x14ac:dyDescent="0.25">
      <c r="A12" s="870">
        <v>30</v>
      </c>
      <c r="B12" s="938" t="s">
        <v>264</v>
      </c>
      <c r="C12" s="938" t="s">
        <v>846</v>
      </c>
      <c r="D12" s="384">
        <v>10</v>
      </c>
      <c r="E12" s="938">
        <v>0.192</v>
      </c>
      <c r="F12" s="938" t="s">
        <v>89</v>
      </c>
      <c r="G12" s="938"/>
      <c r="H12" s="968"/>
      <c r="I12" s="970"/>
      <c r="J12" s="969"/>
      <c r="K12" s="968"/>
      <c r="L12" s="967"/>
      <c r="M12" s="966">
        <v>0.192</v>
      </c>
      <c r="N12" s="965">
        <f>IF(J12="",D12*M12,D12*J12*K12*L12*M12)</f>
        <v>1.92</v>
      </c>
      <c r="O12" s="823"/>
    </row>
    <row r="13" spans="1:15" x14ac:dyDescent="0.25">
      <c r="A13" s="870">
        <v>40</v>
      </c>
      <c r="B13" s="964" t="s">
        <v>845</v>
      </c>
      <c r="C13" s="963" t="s">
        <v>843</v>
      </c>
      <c r="D13" s="379">
        <v>200</v>
      </c>
      <c r="E13" s="961">
        <f>J13*K13*L13</f>
        <v>8.0000000000000026E-4</v>
      </c>
      <c r="F13" s="963" t="s">
        <v>78</v>
      </c>
      <c r="G13" s="963"/>
      <c r="H13" s="962"/>
      <c r="I13" s="961"/>
      <c r="J13" s="960">
        <f>0.4*0.025</f>
        <v>1.0000000000000002E-2</v>
      </c>
      <c r="K13" s="959">
        <f>0.08/L13</f>
        <v>5.0632911392405066E-5</v>
      </c>
      <c r="L13" s="958">
        <v>1580</v>
      </c>
      <c r="M13" s="957">
        <v>1</v>
      </c>
      <c r="N13" s="379">
        <f>IF(J13="",D13*M13,D13*J13*K13*L13*M13)</f>
        <v>0.16000000000000006</v>
      </c>
      <c r="O13" s="823"/>
    </row>
    <row r="14" spans="1:15" s="764" customFormat="1" x14ac:dyDescent="0.25">
      <c r="A14" s="822"/>
      <c r="M14" s="956" t="s">
        <v>18</v>
      </c>
      <c r="N14" s="955">
        <f>SUM(N10:N13)</f>
        <v>14.3775</v>
      </c>
      <c r="O14" s="819"/>
    </row>
    <row r="15" spans="1:15" x14ac:dyDescent="0.25">
      <c r="A15" s="828"/>
      <c r="O15" s="823"/>
    </row>
    <row r="16" spans="1:15" s="764" customFormat="1" x14ac:dyDescent="0.25">
      <c r="A16" s="867" t="s">
        <v>14</v>
      </c>
      <c r="B16" s="954" t="s">
        <v>31</v>
      </c>
      <c r="C16" s="954" t="s">
        <v>20</v>
      </c>
      <c r="D16" s="954" t="s">
        <v>21</v>
      </c>
      <c r="E16" s="954" t="s">
        <v>32</v>
      </c>
      <c r="F16" s="954" t="s">
        <v>17</v>
      </c>
      <c r="G16" s="954" t="s">
        <v>33</v>
      </c>
      <c r="H16" s="954" t="s">
        <v>34</v>
      </c>
      <c r="I16" s="954" t="s">
        <v>18</v>
      </c>
      <c r="O16" s="819"/>
    </row>
    <row r="17" spans="1:15" s="944" customFormat="1" x14ac:dyDescent="0.25">
      <c r="A17" s="627">
        <v>10</v>
      </c>
      <c r="B17" s="366" t="s">
        <v>602</v>
      </c>
      <c r="C17" s="953" t="s">
        <v>844</v>
      </c>
      <c r="D17" s="939">
        <v>0.06</v>
      </c>
      <c r="E17" s="953" t="s">
        <v>46</v>
      </c>
      <c r="F17" s="365">
        <v>84</v>
      </c>
      <c r="G17" s="365"/>
      <c r="H17" s="365"/>
      <c r="I17" s="316">
        <f>IF(H17="",D17*F17,D17*F17*H17)</f>
        <v>5.04</v>
      </c>
      <c r="J17" s="946"/>
      <c r="K17" s="946"/>
      <c r="L17" s="946"/>
      <c r="M17" s="946"/>
      <c r="N17" s="946"/>
      <c r="O17" s="945"/>
    </row>
    <row r="18" spans="1:15" s="944" customFormat="1" x14ac:dyDescent="0.25">
      <c r="A18" s="301">
        <v>20</v>
      </c>
      <c r="B18" s="950" t="s">
        <v>512</v>
      </c>
      <c r="C18" s="947" t="s">
        <v>843</v>
      </c>
      <c r="D18" s="951">
        <v>35</v>
      </c>
      <c r="E18" s="952" t="s">
        <v>89</v>
      </c>
      <c r="F18" s="949">
        <f>J13</f>
        <v>1.0000000000000002E-2</v>
      </c>
      <c r="G18" s="948"/>
      <c r="H18" s="948"/>
      <c r="I18" s="951">
        <f>IF(H18="",D18*F18,D18*F18*H18)</f>
        <v>0.35000000000000009</v>
      </c>
      <c r="J18" s="946"/>
      <c r="K18" s="946"/>
      <c r="L18" s="946"/>
      <c r="M18" s="946"/>
      <c r="N18" s="946"/>
      <c r="O18" s="945"/>
    </row>
    <row r="19" spans="1:15" s="944" customFormat="1" x14ac:dyDescent="0.25">
      <c r="A19" s="627">
        <v>30</v>
      </c>
      <c r="B19" s="950" t="s">
        <v>511</v>
      </c>
      <c r="C19" s="947" t="s">
        <v>843</v>
      </c>
      <c r="D19" s="360">
        <v>5</v>
      </c>
      <c r="E19" s="947" t="s">
        <v>89</v>
      </c>
      <c r="F19" s="949">
        <f>J13</f>
        <v>1.0000000000000002E-2</v>
      </c>
      <c r="G19" s="948"/>
      <c r="H19" s="947"/>
      <c r="I19" s="360">
        <f>IF(H19="",D19*F19,D19*F19*H19)</f>
        <v>5.000000000000001E-2</v>
      </c>
      <c r="J19" s="946"/>
      <c r="K19" s="946"/>
      <c r="L19" s="946"/>
      <c r="M19" s="946"/>
      <c r="N19" s="946"/>
      <c r="O19" s="945"/>
    </row>
    <row r="20" spans="1:15" x14ac:dyDescent="0.25">
      <c r="A20" s="627">
        <v>40</v>
      </c>
      <c r="B20" s="425" t="s">
        <v>289</v>
      </c>
      <c r="C20" s="943" t="s">
        <v>842</v>
      </c>
      <c r="D20" s="942">
        <v>0.35</v>
      </c>
      <c r="E20" s="425" t="s">
        <v>217</v>
      </c>
      <c r="F20" s="941">
        <v>2</v>
      </c>
      <c r="G20" s="940"/>
      <c r="H20" s="940"/>
      <c r="I20" s="322">
        <f>IF(H20="",D20*F20,D20*F20*H20)</f>
        <v>0.7</v>
      </c>
      <c r="O20" s="823"/>
    </row>
    <row r="21" spans="1:15" x14ac:dyDescent="0.25">
      <c r="A21" s="301">
        <v>50</v>
      </c>
      <c r="B21" s="938" t="s">
        <v>172</v>
      </c>
      <c r="C21" s="938" t="s">
        <v>841</v>
      </c>
      <c r="D21" s="939">
        <v>0.06</v>
      </c>
      <c r="E21" s="938" t="s">
        <v>32</v>
      </c>
      <c r="F21" s="365">
        <v>1</v>
      </c>
      <c r="G21" s="938"/>
      <c r="H21" s="938"/>
      <c r="I21" s="937">
        <f>IF(H21="",D21*F21,D21*F21*H21)</f>
        <v>0.06</v>
      </c>
      <c r="O21" s="823"/>
    </row>
    <row r="22" spans="1:15" x14ac:dyDescent="0.25">
      <c r="A22" s="627">
        <v>60</v>
      </c>
      <c r="B22" s="938" t="s">
        <v>286</v>
      </c>
      <c r="C22" s="938" t="s">
        <v>840</v>
      </c>
      <c r="D22" s="939">
        <v>0.75</v>
      </c>
      <c r="E22" s="938" t="s">
        <v>32</v>
      </c>
      <c r="F22" s="365">
        <v>1</v>
      </c>
      <c r="G22" s="938"/>
      <c r="H22" s="938"/>
      <c r="I22" s="937">
        <f>IF(H22="",D22*F22,D22*F22*H22)</f>
        <v>0.75</v>
      </c>
      <c r="O22" s="823"/>
    </row>
    <row r="23" spans="1:15" x14ac:dyDescent="0.25">
      <c r="A23" s="627">
        <v>70</v>
      </c>
      <c r="B23" s="799" t="s">
        <v>380</v>
      </c>
      <c r="C23" s="772" t="s">
        <v>840</v>
      </c>
      <c r="D23" s="935">
        <v>0.25</v>
      </c>
      <c r="E23" s="799" t="s">
        <v>32</v>
      </c>
      <c r="F23" s="934">
        <v>1</v>
      </c>
      <c r="G23" s="799"/>
      <c r="H23" s="799"/>
      <c r="I23" s="936">
        <f>IF(H23="",D23*F23,D23*F23*H23)</f>
        <v>0.25</v>
      </c>
      <c r="O23" s="823"/>
    </row>
    <row r="24" spans="1:15" x14ac:dyDescent="0.25">
      <c r="A24" s="301">
        <v>80</v>
      </c>
      <c r="B24" s="669" t="s">
        <v>289</v>
      </c>
      <c r="C24" s="899" t="s">
        <v>839</v>
      </c>
      <c r="D24" s="935">
        <v>0.35</v>
      </c>
      <c r="E24" s="899" t="s">
        <v>217</v>
      </c>
      <c r="F24" s="934">
        <v>2</v>
      </c>
      <c r="G24" s="899"/>
      <c r="H24" s="899"/>
      <c r="I24" s="321">
        <f>IF(H24="",D24*F24,D24*F24*H24)</f>
        <v>0.7</v>
      </c>
      <c r="O24" s="823"/>
    </row>
    <row r="25" spans="1:15" x14ac:dyDescent="0.25">
      <c r="A25" s="627">
        <v>90</v>
      </c>
      <c r="B25" s="409" t="s">
        <v>73</v>
      </c>
      <c r="C25" s="933" t="s">
        <v>838</v>
      </c>
      <c r="D25" s="626">
        <v>0.06</v>
      </c>
      <c r="E25" s="933" t="s">
        <v>32</v>
      </c>
      <c r="F25" s="772">
        <v>2</v>
      </c>
      <c r="G25" s="933"/>
      <c r="H25" s="933"/>
      <c r="I25" s="932">
        <f>IF(H25="",D25*F25,D25*F25*H25)</f>
        <v>0.12</v>
      </c>
      <c r="O25" s="823"/>
    </row>
    <row r="26" spans="1:15" x14ac:dyDescent="0.25">
      <c r="A26" s="627">
        <v>100</v>
      </c>
      <c r="B26" s="409" t="s">
        <v>73</v>
      </c>
      <c r="C26" s="933" t="s">
        <v>837</v>
      </c>
      <c r="D26" s="626">
        <v>0.06</v>
      </c>
      <c r="E26" s="933" t="s">
        <v>32</v>
      </c>
      <c r="F26" s="772">
        <v>2</v>
      </c>
      <c r="G26" s="933"/>
      <c r="H26" s="933"/>
      <c r="I26" s="932">
        <f>IF(H26="",D26*F26,D26*F26*H26)</f>
        <v>0.12</v>
      </c>
      <c r="O26" s="823"/>
    </row>
    <row r="27" spans="1:15" x14ac:dyDescent="0.25">
      <c r="A27" s="301">
        <v>110</v>
      </c>
      <c r="B27" s="409" t="s">
        <v>602</v>
      </c>
      <c r="C27" s="419" t="s">
        <v>836</v>
      </c>
      <c r="D27" s="423">
        <v>0.06</v>
      </c>
      <c r="E27" s="419" t="s">
        <v>32</v>
      </c>
      <c r="F27" s="420">
        <v>4</v>
      </c>
      <c r="G27" s="420"/>
      <c r="H27" s="420"/>
      <c r="I27" s="316">
        <f>IF(H27="",D27*F27,D27*F27*H27)</f>
        <v>0.24</v>
      </c>
      <c r="O27" s="823"/>
    </row>
    <row r="28" spans="1:15" x14ac:dyDescent="0.25">
      <c r="A28" s="627">
        <v>120</v>
      </c>
      <c r="B28" s="804" t="s">
        <v>105</v>
      </c>
      <c r="C28" s="804" t="s">
        <v>835</v>
      </c>
      <c r="D28" s="398">
        <v>0.5</v>
      </c>
      <c r="E28" s="772" t="s">
        <v>32</v>
      </c>
      <c r="F28" s="772">
        <v>1</v>
      </c>
      <c r="G28" s="772"/>
      <c r="H28" s="772"/>
      <c r="I28" s="316">
        <f>IF(H28="",D28*F28,D28*F28*H28)</f>
        <v>0.5</v>
      </c>
      <c r="O28" s="823"/>
    </row>
    <row r="29" spans="1:15" x14ac:dyDescent="0.25">
      <c r="A29" s="627">
        <v>130</v>
      </c>
      <c r="B29" s="804" t="s">
        <v>75</v>
      </c>
      <c r="C29" s="804" t="s">
        <v>834</v>
      </c>
      <c r="D29" s="398">
        <v>0.19</v>
      </c>
      <c r="E29" s="772" t="s">
        <v>32</v>
      </c>
      <c r="F29" s="772">
        <v>5</v>
      </c>
      <c r="G29" s="772"/>
      <c r="H29" s="772"/>
      <c r="I29" s="316">
        <f>IF(H29="",D29*F29,D29*F29*H29)</f>
        <v>0.95</v>
      </c>
      <c r="O29" s="823"/>
    </row>
    <row r="30" spans="1:15" s="764" customFormat="1" x14ac:dyDescent="0.25">
      <c r="A30" s="822"/>
      <c r="H30" s="763" t="s">
        <v>18</v>
      </c>
      <c r="I30" s="931">
        <f>SUM(I17:I29)</f>
        <v>9.8299999999999983</v>
      </c>
      <c r="O30" s="819"/>
    </row>
    <row r="31" spans="1:15" x14ac:dyDescent="0.25">
      <c r="A31" s="828"/>
      <c r="O31" s="823"/>
    </row>
    <row r="32" spans="1:15" s="764" customFormat="1" x14ac:dyDescent="0.25">
      <c r="A32" s="867" t="s">
        <v>14</v>
      </c>
      <c r="B32" s="765" t="s">
        <v>36</v>
      </c>
      <c r="C32" s="765" t="s">
        <v>20</v>
      </c>
      <c r="D32" s="765" t="s">
        <v>21</v>
      </c>
      <c r="E32" s="765" t="s">
        <v>22</v>
      </c>
      <c r="F32" s="765" t="s">
        <v>23</v>
      </c>
      <c r="G32" s="765" t="s">
        <v>24</v>
      </c>
      <c r="H32" s="765" t="s">
        <v>25</v>
      </c>
      <c r="I32" s="765" t="s">
        <v>17</v>
      </c>
      <c r="J32" s="765" t="s">
        <v>18</v>
      </c>
      <c r="O32" s="819"/>
    </row>
    <row r="33" spans="1:15" x14ac:dyDescent="0.25">
      <c r="A33" s="870">
        <v>10</v>
      </c>
      <c r="B33" s="772" t="s">
        <v>833</v>
      </c>
      <c r="C33" s="772" t="s">
        <v>832</v>
      </c>
      <c r="D33" s="398">
        <f>0.004*E33+0.02</f>
        <v>7.5999999999999998E-2</v>
      </c>
      <c r="E33" s="772">
        <v>14</v>
      </c>
      <c r="F33" s="774" t="s">
        <v>30</v>
      </c>
      <c r="G33" s="772"/>
      <c r="H33" s="804"/>
      <c r="I33" s="861">
        <v>4</v>
      </c>
      <c r="J33" s="398">
        <f>D33*I33</f>
        <v>0.30399999999999999</v>
      </c>
      <c r="O33" s="823"/>
    </row>
    <row r="34" spans="1:15" x14ac:dyDescent="0.25">
      <c r="A34" s="870">
        <v>20</v>
      </c>
      <c r="B34" s="772" t="s">
        <v>436</v>
      </c>
      <c r="C34" s="772" t="s">
        <v>831</v>
      </c>
      <c r="D34" s="398">
        <f>0.01*E34+0.01</f>
        <v>0.36000000000000004</v>
      </c>
      <c r="E34" s="772">
        <v>35</v>
      </c>
      <c r="F34" s="774" t="s">
        <v>30</v>
      </c>
      <c r="G34" s="772"/>
      <c r="H34" s="804"/>
      <c r="I34" s="861">
        <v>2</v>
      </c>
      <c r="J34" s="398">
        <f>D34*I34</f>
        <v>0.72000000000000008</v>
      </c>
      <c r="O34" s="823"/>
    </row>
    <row r="35" spans="1:15" x14ac:dyDescent="0.25">
      <c r="A35" s="870">
        <v>30</v>
      </c>
      <c r="B35" s="772" t="s">
        <v>830</v>
      </c>
      <c r="C35" s="772" t="s">
        <v>829</v>
      </c>
      <c r="D35" s="398">
        <f>1/105154*E35^2*G35*SQRT(G35)+(0.005*EXP(0.319*E35))</f>
        <v>0.37625579841068207</v>
      </c>
      <c r="E35" s="761">
        <v>6</v>
      </c>
      <c r="F35" s="774" t="s">
        <v>30</v>
      </c>
      <c r="G35" s="772">
        <v>100</v>
      </c>
      <c r="H35" s="804" t="s">
        <v>30</v>
      </c>
      <c r="I35" s="861">
        <v>2</v>
      </c>
      <c r="J35" s="398">
        <f>D35*I35</f>
        <v>0.75251159682136415</v>
      </c>
      <c r="O35" s="823"/>
    </row>
    <row r="36" spans="1:15" x14ac:dyDescent="0.25">
      <c r="A36" s="870">
        <v>40</v>
      </c>
      <c r="B36" s="772" t="s">
        <v>38</v>
      </c>
      <c r="C36" s="772" t="s">
        <v>828</v>
      </c>
      <c r="D36" s="398">
        <f>(0.009*EXP(0.2*E36))</f>
        <v>2.9881052304628931E-2</v>
      </c>
      <c r="E36" s="772">
        <v>6</v>
      </c>
      <c r="F36" s="774" t="s">
        <v>30</v>
      </c>
      <c r="G36" s="772"/>
      <c r="H36" s="804"/>
      <c r="I36" s="861">
        <v>6</v>
      </c>
      <c r="J36" s="398">
        <f>D36*I36</f>
        <v>0.1792863138277736</v>
      </c>
      <c r="O36" s="823"/>
    </row>
    <row r="37" spans="1:15" x14ac:dyDescent="0.25">
      <c r="A37" s="870">
        <v>50</v>
      </c>
      <c r="B37" s="772" t="s">
        <v>37</v>
      </c>
      <c r="C37" s="772" t="s">
        <v>827</v>
      </c>
      <c r="D37" s="398">
        <v>0.01</v>
      </c>
      <c r="E37" s="772">
        <v>6</v>
      </c>
      <c r="F37" s="774" t="s">
        <v>30</v>
      </c>
      <c r="G37" s="772"/>
      <c r="H37" s="804"/>
      <c r="I37" s="861">
        <v>2</v>
      </c>
      <c r="J37" s="398">
        <f>D37*I37</f>
        <v>0.02</v>
      </c>
      <c r="O37" s="823"/>
    </row>
    <row r="38" spans="1:15" x14ac:dyDescent="0.25">
      <c r="A38" s="870">
        <v>60</v>
      </c>
      <c r="B38" s="771" t="s">
        <v>826</v>
      </c>
      <c r="C38" s="772" t="s">
        <v>825</v>
      </c>
      <c r="D38" s="930">
        <v>3.0000000000000001E-3</v>
      </c>
      <c r="E38" s="771">
        <f>30*5</f>
        <v>150</v>
      </c>
      <c r="F38" s="772" t="s">
        <v>87</v>
      </c>
      <c r="G38" s="772"/>
      <c r="H38" s="804"/>
      <c r="I38" s="772">
        <v>2</v>
      </c>
      <c r="J38" s="929">
        <f>I38*D38*E38</f>
        <v>0.9</v>
      </c>
      <c r="O38" s="823"/>
    </row>
    <row r="39" spans="1:15" s="764" customFormat="1" x14ac:dyDescent="0.25">
      <c r="A39" s="822"/>
      <c r="I39" s="928" t="s">
        <v>18</v>
      </c>
      <c r="J39" s="927">
        <f>SUM(J33:J37)</f>
        <v>1.9757979106491377</v>
      </c>
      <c r="O39" s="819"/>
    </row>
    <row r="40" spans="1:15" ht="15.75" thickBot="1" x14ac:dyDescent="0.3">
      <c r="A40" s="818"/>
      <c r="B40" s="815"/>
      <c r="C40" s="815"/>
      <c r="D40" s="815"/>
      <c r="E40" s="815"/>
      <c r="F40" s="815"/>
      <c r="G40" s="815"/>
      <c r="H40" s="815"/>
      <c r="I40" s="815"/>
      <c r="J40" s="815"/>
      <c r="K40" s="815"/>
      <c r="L40" s="815"/>
      <c r="M40" s="815"/>
      <c r="N40" s="815"/>
      <c r="O40" s="814"/>
    </row>
  </sheetData>
  <hyperlinks>
    <hyperlink ref="D1" location="EN_A0700_BOM" display="Back to BOM" xr:uid="{00000000-0004-0000-0000-000000000000}"/>
  </hyperlinks>
  <printOptions horizontalCentered="1"/>
  <pageMargins left="0.3" right="0.3" top="0.3" bottom="0.4" header="0.2" footer="0.2"/>
  <pageSetup paperSize="9" scale="60" orientation="landscape" r:id="rId1"/>
  <headerFooter>
    <oddFooter>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147C-E485-4854-A7A7-E650044CD866}">
  <sheetPr>
    <tabColor rgb="FF76933C"/>
    <pageSetUpPr fitToPage="1"/>
  </sheetPr>
  <dimension ref="A1:P67"/>
  <sheetViews>
    <sheetView zoomScale="80" zoomScaleNormal="80" zoomScalePageLayoutView="80" workbookViewId="0">
      <selection activeCell="D1" sqref="D1"/>
    </sheetView>
  </sheetViews>
  <sheetFormatPr baseColWidth="10" defaultColWidth="7.5703125" defaultRowHeight="15" x14ac:dyDescent="0.25"/>
  <cols>
    <col min="1" max="1" width="10.42578125" style="974" bestFit="1" customWidth="1"/>
    <col min="2" max="2" width="30.42578125" style="974" bestFit="1" customWidth="1"/>
    <col min="3" max="3" width="61" style="974" bestFit="1" customWidth="1"/>
    <col min="4" max="4" width="13.140625" style="974" bestFit="1" customWidth="1"/>
    <col min="5" max="5" width="9.42578125" style="974" bestFit="1" customWidth="1"/>
    <col min="6" max="6" width="8.85546875" style="974" bestFit="1" customWidth="1"/>
    <col min="7" max="7" width="10" style="974" bestFit="1" customWidth="1"/>
    <col min="8" max="8" width="15.85546875" style="974" bestFit="1" customWidth="1"/>
    <col min="9" max="9" width="11.42578125" style="974" bestFit="1" customWidth="1"/>
    <col min="10" max="10" width="9.42578125" style="974" bestFit="1" customWidth="1"/>
    <col min="11" max="11" width="7.140625" style="974" bestFit="1" customWidth="1"/>
    <col min="12" max="12" width="8" style="974" bestFit="1" customWidth="1"/>
    <col min="13" max="13" width="13.5703125" style="974" bestFit="1" customWidth="1"/>
    <col min="14" max="14" width="9.42578125" style="974" bestFit="1" customWidth="1"/>
    <col min="15" max="16384" width="7.5703125" style="974"/>
  </cols>
  <sheetData>
    <row r="1" spans="1:15" x14ac:dyDescent="0.25">
      <c r="A1" s="1057" t="s">
        <v>0</v>
      </c>
      <c r="B1" s="1006" t="s">
        <v>44</v>
      </c>
      <c r="C1" s="1006"/>
      <c r="D1" s="747" t="s">
        <v>69</v>
      </c>
      <c r="E1" s="1006"/>
      <c r="F1" s="1006"/>
      <c r="G1" s="1006"/>
      <c r="H1" s="1006"/>
      <c r="I1" s="1006"/>
      <c r="J1" s="1056" t="s">
        <v>1</v>
      </c>
      <c r="K1" s="1007">
        <v>81</v>
      </c>
      <c r="L1" s="1006"/>
      <c r="M1" s="1056" t="s">
        <v>2</v>
      </c>
      <c r="N1" s="1055">
        <f>EN_A0800_pa+EN_A0800_m+EN_A0800_p+EN_A0800_f+EN_A0800_t</f>
        <v>357.72462980339628</v>
      </c>
      <c r="O1" s="1004"/>
    </row>
    <row r="2" spans="1:15" x14ac:dyDescent="0.25">
      <c r="A2" s="1052" t="s">
        <v>3</v>
      </c>
      <c r="B2" s="974" t="s">
        <v>279</v>
      </c>
      <c r="M2" s="1053" t="s">
        <v>4</v>
      </c>
      <c r="N2" s="843">
        <v>1</v>
      </c>
      <c r="O2" s="985"/>
    </row>
    <row r="3" spans="1:15" x14ac:dyDescent="0.25">
      <c r="A3" s="1052" t="s">
        <v>5</v>
      </c>
      <c r="B3" s="974" t="s">
        <v>857</v>
      </c>
      <c r="J3" s="1053" t="s">
        <v>6</v>
      </c>
      <c r="O3" s="985"/>
    </row>
    <row r="4" spans="1:15" x14ac:dyDescent="0.25">
      <c r="A4" s="1052" t="s">
        <v>7</v>
      </c>
      <c r="B4" s="1000" t="s">
        <v>901</v>
      </c>
      <c r="J4" s="1053" t="s">
        <v>8</v>
      </c>
      <c r="M4" s="1053" t="s">
        <v>9</v>
      </c>
      <c r="N4" s="1054">
        <f>N1*N2</f>
        <v>357.72462980339628</v>
      </c>
      <c r="O4" s="985"/>
    </row>
    <row r="5" spans="1:15" x14ac:dyDescent="0.25">
      <c r="A5" s="1052" t="s">
        <v>10</v>
      </c>
      <c r="B5" s="974" t="s">
        <v>11</v>
      </c>
      <c r="J5" s="1053" t="s">
        <v>12</v>
      </c>
      <c r="O5" s="985"/>
    </row>
    <row r="6" spans="1:15" x14ac:dyDescent="0.25">
      <c r="A6" s="1052" t="s">
        <v>13</v>
      </c>
      <c r="B6" s="974" t="s">
        <v>900</v>
      </c>
      <c r="O6" s="985"/>
    </row>
    <row r="7" spans="1:15" x14ac:dyDescent="0.25">
      <c r="A7" s="994"/>
      <c r="O7" s="985"/>
    </row>
    <row r="8" spans="1:15" x14ac:dyDescent="0.25">
      <c r="A8" s="1016" t="s">
        <v>14</v>
      </c>
      <c r="B8" s="1015" t="s">
        <v>15</v>
      </c>
      <c r="C8" s="1015" t="s">
        <v>16</v>
      </c>
      <c r="D8" s="1015" t="s">
        <v>17</v>
      </c>
      <c r="E8" s="1015" t="s">
        <v>18</v>
      </c>
      <c r="O8" s="985"/>
    </row>
    <row r="9" spans="1:15" x14ac:dyDescent="0.25">
      <c r="A9" s="988">
        <v>10</v>
      </c>
      <c r="B9" s="805" t="s">
        <v>899</v>
      </c>
      <c r="C9" s="423">
        <f>EN_08001!N1</f>
        <v>189.3719449297335</v>
      </c>
      <c r="D9" s="786">
        <v>1</v>
      </c>
      <c r="E9" s="1049">
        <f>C9*D9</f>
        <v>189.3719449297335</v>
      </c>
      <c r="O9" s="985"/>
    </row>
    <row r="10" spans="1:15" x14ac:dyDescent="0.25">
      <c r="A10" s="988">
        <v>20</v>
      </c>
      <c r="B10" s="805" t="s">
        <v>898</v>
      </c>
      <c r="C10" s="423">
        <f>EN_08002!N1</f>
        <v>1.7906290000000002</v>
      </c>
      <c r="D10" s="786">
        <v>1</v>
      </c>
      <c r="E10" s="1049">
        <f>C10*D10</f>
        <v>1.7906290000000002</v>
      </c>
      <c r="O10" s="985"/>
    </row>
    <row r="11" spans="1:15" x14ac:dyDescent="0.25">
      <c r="A11" s="988">
        <v>30</v>
      </c>
      <c r="B11" s="805" t="s">
        <v>897</v>
      </c>
      <c r="C11" s="423">
        <f>EN_08003!N1</f>
        <v>2.5271720024703863</v>
      </c>
      <c r="D11" s="786">
        <v>1</v>
      </c>
      <c r="E11" s="1049">
        <f>C11*D11</f>
        <v>2.5271720024703863</v>
      </c>
      <c r="O11" s="985"/>
    </row>
    <row r="12" spans="1:15" x14ac:dyDescent="0.25">
      <c r="A12" s="988">
        <v>40</v>
      </c>
      <c r="B12" s="805" t="s">
        <v>896</v>
      </c>
      <c r="C12" s="423">
        <f>EN_08004!N1</f>
        <v>1.614127375</v>
      </c>
      <c r="D12" s="786">
        <v>1</v>
      </c>
      <c r="E12" s="1049">
        <f>C12*D12</f>
        <v>1.614127375</v>
      </c>
      <c r="O12" s="985"/>
    </row>
    <row r="13" spans="1:15" x14ac:dyDescent="0.25">
      <c r="A13" s="988">
        <v>50</v>
      </c>
      <c r="B13" s="805" t="s">
        <v>895</v>
      </c>
      <c r="C13" s="423">
        <f>EN_08005!N1</f>
        <v>38.15621592366692</v>
      </c>
      <c r="D13" s="786">
        <v>1</v>
      </c>
      <c r="E13" s="1049">
        <f>C13*D13</f>
        <v>38.15621592366692</v>
      </c>
      <c r="O13" s="985"/>
    </row>
    <row r="14" spans="1:15" x14ac:dyDescent="0.25">
      <c r="A14" s="988">
        <v>60</v>
      </c>
      <c r="B14" s="805" t="s">
        <v>894</v>
      </c>
      <c r="C14" s="423">
        <f>EN_08006!N1</f>
        <v>30.77</v>
      </c>
      <c r="D14" s="786">
        <v>1</v>
      </c>
      <c r="E14" s="1049">
        <f>C14*D14</f>
        <v>30.77</v>
      </c>
      <c r="O14" s="985"/>
    </row>
    <row r="15" spans="1:15" x14ac:dyDescent="0.25">
      <c r="A15" s="988">
        <v>70</v>
      </c>
      <c r="B15" s="805" t="s">
        <v>893</v>
      </c>
      <c r="C15" s="423">
        <f>EN_08007!N1</f>
        <v>22.729890633701562</v>
      </c>
      <c r="D15" s="786">
        <v>1</v>
      </c>
      <c r="E15" s="1049">
        <f>C15*D15</f>
        <v>22.729890633701562</v>
      </c>
      <c r="O15" s="985"/>
    </row>
    <row r="16" spans="1:15" ht="15.75" customHeight="1" x14ac:dyDescent="0.35">
      <c r="A16" s="988">
        <v>80</v>
      </c>
      <c r="B16" s="805" t="s">
        <v>892</v>
      </c>
      <c r="C16" s="423">
        <f>EN_08008!N1</f>
        <v>1.5446910625000001</v>
      </c>
      <c r="D16" s="786">
        <v>2</v>
      </c>
      <c r="E16" s="1049">
        <f>C16*D16</f>
        <v>3.0893821250000002</v>
      </c>
      <c r="H16" s="1051"/>
      <c r="O16" s="985"/>
    </row>
    <row r="17" spans="1:16" x14ac:dyDescent="0.25">
      <c r="A17" s="988">
        <v>90</v>
      </c>
      <c r="B17" s="805" t="s">
        <v>891</v>
      </c>
      <c r="C17" s="423">
        <f>EN_08009!N1</f>
        <v>3.1535134468570387</v>
      </c>
      <c r="D17" s="786">
        <v>1</v>
      </c>
      <c r="E17" s="1049">
        <f>C17*D17</f>
        <v>3.1535134468570387</v>
      </c>
      <c r="H17" s="1050"/>
      <c r="O17" s="985"/>
    </row>
    <row r="18" spans="1:16" x14ac:dyDescent="0.25">
      <c r="A18" s="988">
        <v>100</v>
      </c>
      <c r="B18" s="805" t="s">
        <v>890</v>
      </c>
      <c r="C18" s="423">
        <f>EN_08010!N1</f>
        <v>15.483797116966837</v>
      </c>
      <c r="D18" s="786">
        <v>1</v>
      </c>
      <c r="E18" s="1049">
        <f>C18*D18</f>
        <v>15.483797116966837</v>
      </c>
      <c r="O18" s="985"/>
    </row>
    <row r="19" spans="1:16" x14ac:dyDescent="0.25">
      <c r="A19" s="994"/>
      <c r="D19" s="1012" t="s">
        <v>18</v>
      </c>
      <c r="E19" s="1031">
        <f>SUM(E9:E18)</f>
        <v>308.68667255339631</v>
      </c>
      <c r="O19" s="985"/>
    </row>
    <row r="20" spans="1:16" x14ac:dyDescent="0.25">
      <c r="A20" s="994"/>
      <c r="O20" s="985"/>
    </row>
    <row r="21" spans="1:16" x14ac:dyDescent="0.25">
      <c r="A21" s="1016" t="s">
        <v>14</v>
      </c>
      <c r="B21" s="1015" t="s">
        <v>19</v>
      </c>
      <c r="C21" s="1015" t="s">
        <v>20</v>
      </c>
      <c r="D21" s="1015" t="s">
        <v>21</v>
      </c>
      <c r="E21" s="1015" t="s">
        <v>22</v>
      </c>
      <c r="F21" s="1015" t="s">
        <v>23</v>
      </c>
      <c r="G21" s="1015" t="s">
        <v>24</v>
      </c>
      <c r="H21" s="1015" t="s">
        <v>25</v>
      </c>
      <c r="I21" s="1015" t="s">
        <v>26</v>
      </c>
      <c r="J21" s="1015" t="s">
        <v>27</v>
      </c>
      <c r="K21" s="1015" t="s">
        <v>28</v>
      </c>
      <c r="L21" s="1015" t="s">
        <v>29</v>
      </c>
      <c r="M21" s="1015" t="s">
        <v>17</v>
      </c>
      <c r="N21" s="1015" t="s">
        <v>18</v>
      </c>
      <c r="O21" s="985"/>
    </row>
    <row r="22" spans="1:16" ht="30" x14ac:dyDescent="0.25">
      <c r="A22" s="988">
        <v>10</v>
      </c>
      <c r="B22" s="1034" t="s">
        <v>889</v>
      </c>
      <c r="C22" s="986"/>
      <c r="D22" s="423">
        <f>0.27*E22</f>
        <v>5.4</v>
      </c>
      <c r="E22" s="986">
        <v>20</v>
      </c>
      <c r="F22" s="986" t="s">
        <v>30</v>
      </c>
      <c r="G22" s="986"/>
      <c r="H22" s="785"/>
      <c r="I22" s="1033"/>
      <c r="J22" s="786"/>
      <c r="K22" s="785"/>
      <c r="L22" s="785"/>
      <c r="M22" s="924">
        <v>3</v>
      </c>
      <c r="N22" s="1013">
        <f>IF(J22="",D22*M22,D22*J22*K22*L22*M22)</f>
        <v>16.200000000000003</v>
      </c>
      <c r="O22" s="1001"/>
    </row>
    <row r="23" spans="1:16" s="1035" customFormat="1" x14ac:dyDescent="0.25">
      <c r="A23" s="1048">
        <v>20</v>
      </c>
      <c r="B23" s="1045" t="s">
        <v>888</v>
      </c>
      <c r="C23" s="1045" t="s">
        <v>887</v>
      </c>
      <c r="D23" s="1047">
        <f>0.032*E23*G23+1.33</f>
        <v>3.6340000000000003</v>
      </c>
      <c r="E23" s="1046">
        <v>8</v>
      </c>
      <c r="F23" s="1045" t="s">
        <v>30</v>
      </c>
      <c r="G23" s="1045">
        <v>9</v>
      </c>
      <c r="H23" s="1044" t="s">
        <v>30</v>
      </c>
      <c r="I23" s="1043"/>
      <c r="J23" s="1042"/>
      <c r="K23" s="1041"/>
      <c r="L23" s="1040"/>
      <c r="M23" s="1039">
        <v>1</v>
      </c>
      <c r="N23" s="1038">
        <f>IF(J23="",D23*M23,D23*J23*K23*L23*M23)</f>
        <v>3.6340000000000003</v>
      </c>
      <c r="O23" s="1037"/>
      <c r="P23" s="1036"/>
    </row>
    <row r="24" spans="1:16" x14ac:dyDescent="0.25">
      <c r="A24" s="988">
        <v>30</v>
      </c>
      <c r="B24" s="1034" t="s">
        <v>264</v>
      </c>
      <c r="C24" s="986" t="s">
        <v>886</v>
      </c>
      <c r="D24" s="423">
        <v>10</v>
      </c>
      <c r="E24" s="1030">
        <v>2.1000000000000001E-2</v>
      </c>
      <c r="F24" s="986" t="s">
        <v>89</v>
      </c>
      <c r="G24" s="986"/>
      <c r="H24" s="785"/>
      <c r="I24" s="1033"/>
      <c r="J24" s="786"/>
      <c r="K24" s="785"/>
      <c r="L24" s="785"/>
      <c r="M24" s="793">
        <v>2.1000000000000001E-2</v>
      </c>
      <c r="N24" s="1013">
        <f>IF(J24="",D24*M24,D24*J24*K24*L24*M24)</f>
        <v>0.21000000000000002</v>
      </c>
      <c r="O24" s="1001"/>
    </row>
    <row r="25" spans="1:16" x14ac:dyDescent="0.25">
      <c r="A25" s="988">
        <v>40</v>
      </c>
      <c r="B25" s="1014" t="s">
        <v>885</v>
      </c>
      <c r="C25" s="986" t="s">
        <v>884</v>
      </c>
      <c r="D25" s="423">
        <v>0</v>
      </c>
      <c r="E25" s="986">
        <v>2.5</v>
      </c>
      <c r="F25" s="986" t="s">
        <v>607</v>
      </c>
      <c r="G25" s="986"/>
      <c r="H25" s="785"/>
      <c r="I25" s="1032"/>
      <c r="J25" s="786"/>
      <c r="K25" s="785"/>
      <c r="L25" s="858"/>
      <c r="M25" s="924">
        <v>1</v>
      </c>
      <c r="N25" s="1013">
        <f>IF(J25="",D25*M25,D25*J25*K25*L25*M25)</f>
        <v>0</v>
      </c>
      <c r="O25" s="1001"/>
    </row>
    <row r="26" spans="1:16" s="980" customFormat="1" x14ac:dyDescent="0.25">
      <c r="A26" s="984"/>
      <c r="M26" s="1012" t="s">
        <v>18</v>
      </c>
      <c r="N26" s="1031">
        <f>SUM(N22:N25)</f>
        <v>20.044000000000004</v>
      </c>
      <c r="O26" s="981"/>
    </row>
    <row r="27" spans="1:16" x14ac:dyDescent="0.25">
      <c r="A27" s="994"/>
      <c r="O27" s="985"/>
    </row>
    <row r="28" spans="1:16" s="980" customFormat="1" x14ac:dyDescent="0.25">
      <c r="A28" s="1016" t="s">
        <v>14</v>
      </c>
      <c r="B28" s="1015" t="s">
        <v>31</v>
      </c>
      <c r="C28" s="1015" t="s">
        <v>20</v>
      </c>
      <c r="D28" s="1015" t="s">
        <v>21</v>
      </c>
      <c r="E28" s="1015" t="s">
        <v>32</v>
      </c>
      <c r="F28" s="1015" t="s">
        <v>17</v>
      </c>
      <c r="G28" s="1015" t="s">
        <v>33</v>
      </c>
      <c r="H28" s="1015" t="s">
        <v>34</v>
      </c>
      <c r="I28" s="1015" t="s">
        <v>18</v>
      </c>
      <c r="O28" s="981"/>
    </row>
    <row r="29" spans="1:16" x14ac:dyDescent="0.25">
      <c r="A29" s="988">
        <v>10</v>
      </c>
      <c r="B29" s="987" t="s">
        <v>72</v>
      </c>
      <c r="C29" s="987" t="s">
        <v>883</v>
      </c>
      <c r="D29" s="423">
        <v>0.15</v>
      </c>
      <c r="E29" s="986" t="s">
        <v>46</v>
      </c>
      <c r="F29" s="986">
        <v>2.5</v>
      </c>
      <c r="G29" s="986"/>
      <c r="H29" s="986">
        <v>1</v>
      </c>
      <c r="I29" s="423">
        <f>D29*F29*H29</f>
        <v>0.375</v>
      </c>
      <c r="O29" s="985"/>
    </row>
    <row r="30" spans="1:16" x14ac:dyDescent="0.25">
      <c r="A30" s="988">
        <v>20</v>
      </c>
      <c r="B30" s="987" t="s">
        <v>72</v>
      </c>
      <c r="C30" s="987" t="s">
        <v>882</v>
      </c>
      <c r="D30" s="423">
        <v>0.15</v>
      </c>
      <c r="E30" s="986" t="s">
        <v>46</v>
      </c>
      <c r="F30" s="986">
        <v>3</v>
      </c>
      <c r="G30" s="986"/>
      <c r="H30" s="986">
        <v>1</v>
      </c>
      <c r="I30" s="423">
        <f>D30*F30*H30</f>
        <v>0.44999999999999996</v>
      </c>
      <c r="O30" s="985"/>
    </row>
    <row r="31" spans="1:16" x14ac:dyDescent="0.25">
      <c r="A31" s="988">
        <v>30</v>
      </c>
      <c r="B31" s="987" t="s">
        <v>72</v>
      </c>
      <c r="C31" s="987" t="s">
        <v>881</v>
      </c>
      <c r="D31" s="423">
        <v>0.15</v>
      </c>
      <c r="E31" s="986" t="s">
        <v>46</v>
      </c>
      <c r="F31" s="986">
        <v>3</v>
      </c>
      <c r="G31" s="986"/>
      <c r="H31" s="986">
        <v>1</v>
      </c>
      <c r="I31" s="423">
        <f>D31*F31*H31</f>
        <v>0.44999999999999996</v>
      </c>
      <c r="O31" s="985"/>
    </row>
    <row r="32" spans="1:16" x14ac:dyDescent="0.25">
      <c r="A32" s="988">
        <v>40</v>
      </c>
      <c r="B32" s="987" t="s">
        <v>258</v>
      </c>
      <c r="C32" s="986" t="s">
        <v>880</v>
      </c>
      <c r="D32" s="423">
        <v>5.25</v>
      </c>
      <c r="E32" s="986" t="s">
        <v>89</v>
      </c>
      <c r="F32" s="1030">
        <v>1.2449E-2</v>
      </c>
      <c r="G32" s="986"/>
      <c r="H32" s="986">
        <v>1</v>
      </c>
      <c r="I32" s="423">
        <f>D32*F32*H32</f>
        <v>6.5357250000000006E-2</v>
      </c>
      <c r="O32" s="985"/>
    </row>
    <row r="33" spans="1:15" x14ac:dyDescent="0.25">
      <c r="A33" s="988">
        <v>50</v>
      </c>
      <c r="B33" s="987" t="s">
        <v>172</v>
      </c>
      <c r="C33" s="987" t="s">
        <v>879</v>
      </c>
      <c r="D33" s="423">
        <v>0.06</v>
      </c>
      <c r="E33" s="986" t="s">
        <v>32</v>
      </c>
      <c r="F33" s="986">
        <v>6</v>
      </c>
      <c r="G33" s="986"/>
      <c r="H33" s="986">
        <v>1</v>
      </c>
      <c r="I33" s="423">
        <f>D33*F33*H33</f>
        <v>0.36</v>
      </c>
      <c r="O33" s="985"/>
    </row>
    <row r="34" spans="1:15" x14ac:dyDescent="0.25">
      <c r="A34" s="988">
        <v>60</v>
      </c>
      <c r="B34" s="987" t="s">
        <v>172</v>
      </c>
      <c r="C34" s="1029" t="s">
        <v>878</v>
      </c>
      <c r="D34" s="398">
        <v>0.06</v>
      </c>
      <c r="E34" s="986" t="s">
        <v>32</v>
      </c>
      <c r="F34" s="986">
        <v>6</v>
      </c>
      <c r="G34" s="986"/>
      <c r="H34" s="986">
        <v>1</v>
      </c>
      <c r="I34" s="423">
        <f>D34*F34*H34</f>
        <v>0.36</v>
      </c>
      <c r="O34" s="985"/>
    </row>
    <row r="35" spans="1:15" x14ac:dyDescent="0.25">
      <c r="A35" s="988">
        <v>70</v>
      </c>
      <c r="B35" s="1025" t="s">
        <v>286</v>
      </c>
      <c r="C35" s="1029" t="s">
        <v>878</v>
      </c>
      <c r="D35" s="398">
        <v>0.75</v>
      </c>
      <c r="E35" s="986" t="s">
        <v>32</v>
      </c>
      <c r="F35" s="986">
        <v>6</v>
      </c>
      <c r="G35" s="986"/>
      <c r="H35" s="986">
        <v>1</v>
      </c>
      <c r="I35" s="423">
        <f>D35*F35*H35</f>
        <v>4.5</v>
      </c>
      <c r="O35" s="985"/>
    </row>
    <row r="36" spans="1:15" x14ac:dyDescent="0.25">
      <c r="A36" s="988">
        <v>90</v>
      </c>
      <c r="B36" s="987" t="s">
        <v>877</v>
      </c>
      <c r="C36" s="987" t="s">
        <v>876</v>
      </c>
      <c r="D36" s="423">
        <v>0.38</v>
      </c>
      <c r="E36" s="986" t="s">
        <v>32</v>
      </c>
      <c r="F36" s="986">
        <v>1</v>
      </c>
      <c r="G36" s="986"/>
      <c r="H36" s="986">
        <v>1</v>
      </c>
      <c r="I36" s="423">
        <f>D36*F36*H36</f>
        <v>0.38</v>
      </c>
      <c r="O36" s="985"/>
    </row>
    <row r="37" spans="1:15" x14ac:dyDescent="0.25">
      <c r="A37" s="988">
        <v>100</v>
      </c>
      <c r="B37" s="1025" t="s">
        <v>286</v>
      </c>
      <c r="C37" s="987" t="s">
        <v>875</v>
      </c>
      <c r="D37" s="423">
        <v>0.75</v>
      </c>
      <c r="E37" s="986" t="s">
        <v>32</v>
      </c>
      <c r="F37" s="986">
        <v>4</v>
      </c>
      <c r="G37" s="986"/>
      <c r="H37" s="986">
        <v>1</v>
      </c>
      <c r="I37" s="423">
        <f>D37*F37*H37</f>
        <v>3</v>
      </c>
      <c r="O37" s="985"/>
    </row>
    <row r="38" spans="1:15" x14ac:dyDescent="0.25">
      <c r="A38" s="988">
        <v>110</v>
      </c>
      <c r="B38" s="1025" t="s">
        <v>870</v>
      </c>
      <c r="C38" s="987" t="s">
        <v>875</v>
      </c>
      <c r="D38" s="423">
        <v>0.5</v>
      </c>
      <c r="E38" s="986" t="s">
        <v>32</v>
      </c>
      <c r="F38" s="986">
        <v>4</v>
      </c>
      <c r="G38" s="986"/>
      <c r="H38" s="986">
        <v>1</v>
      </c>
      <c r="I38" s="423">
        <f>D38*F38*H38</f>
        <v>2</v>
      </c>
      <c r="O38" s="985"/>
    </row>
    <row r="39" spans="1:15" x14ac:dyDescent="0.25">
      <c r="A39" s="988">
        <v>120</v>
      </c>
      <c r="B39" s="1025" t="s">
        <v>598</v>
      </c>
      <c r="C39" s="1029" t="s">
        <v>874</v>
      </c>
      <c r="D39" s="423">
        <v>0.13</v>
      </c>
      <c r="E39" s="986" t="s">
        <v>32</v>
      </c>
      <c r="F39" s="986">
        <v>2</v>
      </c>
      <c r="G39" s="986"/>
      <c r="H39" s="986">
        <v>1</v>
      </c>
      <c r="I39" s="423">
        <f>D39*F39*H39</f>
        <v>0.26</v>
      </c>
      <c r="O39" s="985"/>
    </row>
    <row r="40" spans="1:15" x14ac:dyDescent="0.25">
      <c r="A40" s="988">
        <v>130</v>
      </c>
      <c r="B40" s="1025" t="s">
        <v>73</v>
      </c>
      <c r="C40" s="1029" t="s">
        <v>873</v>
      </c>
      <c r="D40" s="423">
        <v>0.06</v>
      </c>
      <c r="E40" s="986" t="s">
        <v>32</v>
      </c>
      <c r="F40" s="986">
        <v>2</v>
      </c>
      <c r="G40" s="986"/>
      <c r="H40" s="986">
        <v>1</v>
      </c>
      <c r="I40" s="423">
        <f>D40*F40*H40</f>
        <v>0.12</v>
      </c>
      <c r="O40" s="985"/>
    </row>
    <row r="41" spans="1:15" x14ac:dyDescent="0.25">
      <c r="A41" s="988">
        <v>140</v>
      </c>
      <c r="B41" s="1025" t="s">
        <v>286</v>
      </c>
      <c r="C41" s="1029" t="s">
        <v>873</v>
      </c>
      <c r="D41" s="423">
        <v>0.75</v>
      </c>
      <c r="E41" s="986" t="s">
        <v>32</v>
      </c>
      <c r="F41" s="986">
        <v>2</v>
      </c>
      <c r="G41" s="986"/>
      <c r="H41" s="986">
        <v>1</v>
      </c>
      <c r="I41" s="423">
        <f>D41*F41*H41</f>
        <v>1.5</v>
      </c>
      <c r="O41" s="985"/>
    </row>
    <row r="42" spans="1:15" x14ac:dyDescent="0.25">
      <c r="A42" s="988">
        <v>150</v>
      </c>
      <c r="B42" s="1025" t="s">
        <v>870</v>
      </c>
      <c r="C42" s="1029" t="s">
        <v>873</v>
      </c>
      <c r="D42" s="423">
        <v>0.25</v>
      </c>
      <c r="E42" s="986" t="s">
        <v>32</v>
      </c>
      <c r="F42" s="986">
        <v>2</v>
      </c>
      <c r="G42" s="986"/>
      <c r="H42" s="986">
        <v>1</v>
      </c>
      <c r="I42" s="423">
        <f>D42*F42*H42</f>
        <v>0.5</v>
      </c>
      <c r="O42" s="985"/>
    </row>
    <row r="43" spans="1:15" x14ac:dyDescent="0.25">
      <c r="A43" s="988">
        <v>160</v>
      </c>
      <c r="B43" s="1025" t="s">
        <v>73</v>
      </c>
      <c r="C43" s="987" t="s">
        <v>872</v>
      </c>
      <c r="D43" s="423">
        <v>0.06</v>
      </c>
      <c r="E43" s="986" t="s">
        <v>32</v>
      </c>
      <c r="F43" s="986">
        <v>2</v>
      </c>
      <c r="G43" s="986"/>
      <c r="H43" s="986">
        <v>1</v>
      </c>
      <c r="I43" s="423">
        <f>D43*F43*H43</f>
        <v>0.12</v>
      </c>
      <c r="O43" s="985"/>
    </row>
    <row r="44" spans="1:15" x14ac:dyDescent="0.25">
      <c r="A44" s="988">
        <v>170</v>
      </c>
      <c r="B44" s="1025" t="s">
        <v>73</v>
      </c>
      <c r="C44" s="1029" t="s">
        <v>871</v>
      </c>
      <c r="D44" s="398">
        <v>0.06</v>
      </c>
      <c r="E44" s="986" t="s">
        <v>32</v>
      </c>
      <c r="F44" s="986">
        <v>2</v>
      </c>
      <c r="G44" s="986"/>
      <c r="H44" s="986">
        <v>1</v>
      </c>
      <c r="I44" s="423">
        <f>D44*F44*H44</f>
        <v>0.12</v>
      </c>
      <c r="O44" s="985"/>
    </row>
    <row r="45" spans="1:15" x14ac:dyDescent="0.25">
      <c r="A45" s="988">
        <v>180</v>
      </c>
      <c r="B45" s="1025" t="s">
        <v>73</v>
      </c>
      <c r="C45" s="1029" t="s">
        <v>869</v>
      </c>
      <c r="D45" s="398">
        <v>0.06</v>
      </c>
      <c r="E45" s="986" t="s">
        <v>32</v>
      </c>
      <c r="F45" s="986">
        <v>2</v>
      </c>
      <c r="G45" s="986"/>
      <c r="H45" s="986">
        <v>1</v>
      </c>
      <c r="I45" s="423">
        <f>D45*F45*H45</f>
        <v>0.12</v>
      </c>
      <c r="O45" s="985"/>
    </row>
    <row r="46" spans="1:15" x14ac:dyDescent="0.25">
      <c r="A46" s="988">
        <v>190</v>
      </c>
      <c r="B46" s="1025" t="s">
        <v>286</v>
      </c>
      <c r="C46" s="1029" t="s">
        <v>869</v>
      </c>
      <c r="D46" s="423">
        <v>0.75</v>
      </c>
      <c r="E46" s="986" t="s">
        <v>32</v>
      </c>
      <c r="F46" s="986">
        <v>2</v>
      </c>
      <c r="G46" s="986"/>
      <c r="H46" s="986">
        <v>1</v>
      </c>
      <c r="I46" s="423">
        <f>D46*F46*H46</f>
        <v>1.5</v>
      </c>
      <c r="O46" s="985"/>
    </row>
    <row r="47" spans="1:15" x14ac:dyDescent="0.25">
      <c r="A47" s="988">
        <v>200</v>
      </c>
      <c r="B47" s="1025" t="s">
        <v>870</v>
      </c>
      <c r="C47" s="1029" t="s">
        <v>869</v>
      </c>
      <c r="D47" s="423">
        <v>0.25</v>
      </c>
      <c r="E47" s="986" t="s">
        <v>32</v>
      </c>
      <c r="F47" s="986">
        <v>2</v>
      </c>
      <c r="G47" s="986"/>
      <c r="H47" s="986">
        <v>1</v>
      </c>
      <c r="I47" s="423">
        <f>D47*F47*H47</f>
        <v>0.5</v>
      </c>
      <c r="O47" s="985"/>
    </row>
    <row r="48" spans="1:15" x14ac:dyDescent="0.25">
      <c r="A48" s="988">
        <v>210</v>
      </c>
      <c r="B48" s="1029" t="s">
        <v>252</v>
      </c>
      <c r="C48" s="1029" t="s">
        <v>868</v>
      </c>
      <c r="D48" s="398">
        <v>0.19</v>
      </c>
      <c r="E48" s="986" t="s">
        <v>32</v>
      </c>
      <c r="F48" s="986">
        <v>2</v>
      </c>
      <c r="G48" s="986"/>
      <c r="H48" s="986">
        <v>1</v>
      </c>
      <c r="I48" s="423">
        <f>D48*F48*H48</f>
        <v>0.38</v>
      </c>
      <c r="O48" s="985"/>
    </row>
    <row r="49" spans="1:16" ht="30" x14ac:dyDescent="0.25">
      <c r="A49" s="988">
        <v>220</v>
      </c>
      <c r="B49" s="1029" t="s">
        <v>252</v>
      </c>
      <c r="C49" s="1029" t="s">
        <v>867</v>
      </c>
      <c r="D49" s="398">
        <v>0.19</v>
      </c>
      <c r="E49" s="986" t="s">
        <v>32</v>
      </c>
      <c r="F49" s="986">
        <v>2</v>
      </c>
      <c r="G49" s="986"/>
      <c r="H49" s="986">
        <v>1</v>
      </c>
      <c r="I49" s="423">
        <f>D49*F49*H49</f>
        <v>0.38</v>
      </c>
      <c r="O49" s="985"/>
    </row>
    <row r="50" spans="1:16" x14ac:dyDescent="0.25">
      <c r="A50" s="988">
        <v>230</v>
      </c>
      <c r="B50" s="1029" t="s">
        <v>76</v>
      </c>
      <c r="C50" s="1029" t="s">
        <v>866</v>
      </c>
      <c r="D50" s="398">
        <v>0.5</v>
      </c>
      <c r="E50" s="986" t="s">
        <v>32</v>
      </c>
      <c r="F50" s="986">
        <v>4</v>
      </c>
      <c r="G50" s="986"/>
      <c r="H50" s="986">
        <v>1</v>
      </c>
      <c r="I50" s="423">
        <f>D50*F50*H50</f>
        <v>2</v>
      </c>
      <c r="O50" s="985"/>
    </row>
    <row r="51" spans="1:16" s="980" customFormat="1" x14ac:dyDescent="0.25">
      <c r="A51" s="984"/>
      <c r="H51" s="1012" t="s">
        <v>18</v>
      </c>
      <c r="I51" s="1011">
        <f>SUM(I29:I50)</f>
        <v>19.440357249999991</v>
      </c>
      <c r="O51" s="981"/>
    </row>
    <row r="52" spans="1:16" x14ac:dyDescent="0.25">
      <c r="A52" s="994"/>
      <c r="O52" s="985"/>
    </row>
    <row r="53" spans="1:16" x14ac:dyDescent="0.25">
      <c r="A53" s="994"/>
      <c r="O53" s="985"/>
    </row>
    <row r="54" spans="1:16" x14ac:dyDescent="0.25">
      <c r="A54" s="994"/>
      <c r="O54" s="985"/>
    </row>
    <row r="55" spans="1:16" s="980" customFormat="1" x14ac:dyDescent="0.25">
      <c r="A55" s="1016" t="s">
        <v>14</v>
      </c>
      <c r="B55" s="1015" t="s">
        <v>36</v>
      </c>
      <c r="C55" s="1015" t="s">
        <v>20</v>
      </c>
      <c r="D55" s="1015" t="s">
        <v>21</v>
      </c>
      <c r="E55" s="1015" t="s">
        <v>22</v>
      </c>
      <c r="F55" s="1015" t="s">
        <v>23</v>
      </c>
      <c r="G55" s="1015" t="s">
        <v>24</v>
      </c>
      <c r="H55" s="1015" t="s">
        <v>25</v>
      </c>
      <c r="I55" s="1015" t="s">
        <v>17</v>
      </c>
      <c r="J55" s="1015" t="s">
        <v>18</v>
      </c>
      <c r="O55" s="981"/>
    </row>
    <row r="56" spans="1:16" x14ac:dyDescent="0.25">
      <c r="A56" s="988">
        <v>10</v>
      </c>
      <c r="B56" s="1014" t="s">
        <v>90</v>
      </c>
      <c r="C56" s="1014" t="s">
        <v>865</v>
      </c>
      <c r="D56" s="1028">
        <v>0.05</v>
      </c>
      <c r="E56" s="986">
        <v>3</v>
      </c>
      <c r="F56" s="769" t="s">
        <v>30</v>
      </c>
      <c r="G56" s="986">
        <v>25</v>
      </c>
      <c r="H56" s="987" t="s">
        <v>30</v>
      </c>
      <c r="I56" s="767">
        <v>4</v>
      </c>
      <c r="J56" s="423">
        <f>D56*I56</f>
        <v>0.2</v>
      </c>
      <c r="O56" s="985"/>
    </row>
    <row r="57" spans="1:16" x14ac:dyDescent="0.25">
      <c r="A57" s="988">
        <v>20</v>
      </c>
      <c r="B57" s="1014" t="s">
        <v>38</v>
      </c>
      <c r="C57" s="1026" t="s">
        <v>864</v>
      </c>
      <c r="D57" s="1020">
        <v>0.03</v>
      </c>
      <c r="E57" s="986">
        <v>6</v>
      </c>
      <c r="F57" s="769" t="s">
        <v>30</v>
      </c>
      <c r="G57" s="986"/>
      <c r="H57" s="987"/>
      <c r="I57" s="767">
        <v>8</v>
      </c>
      <c r="J57" s="423">
        <f>D57*I57</f>
        <v>0.24</v>
      </c>
      <c r="O57" s="985"/>
    </row>
    <row r="58" spans="1:16" x14ac:dyDescent="0.25">
      <c r="A58" s="988">
        <v>30</v>
      </c>
      <c r="B58" s="775" t="s">
        <v>167</v>
      </c>
      <c r="C58" s="986" t="s">
        <v>863</v>
      </c>
      <c r="D58" s="1020">
        <f>0.004*E58+0.5</f>
        <v>0.60160000000000002</v>
      </c>
      <c r="E58" s="986">
        <v>25.4</v>
      </c>
      <c r="F58" s="769" t="s">
        <v>30</v>
      </c>
      <c r="G58" s="986"/>
      <c r="H58" s="987"/>
      <c r="I58" s="767">
        <v>2</v>
      </c>
      <c r="J58" s="423">
        <f>D58*I58</f>
        <v>1.2032</v>
      </c>
      <c r="O58" s="985"/>
    </row>
    <row r="59" spans="1:16" x14ac:dyDescent="0.25">
      <c r="A59" s="988">
        <v>40</v>
      </c>
      <c r="B59" s="775" t="s">
        <v>167</v>
      </c>
      <c r="C59" s="986" t="s">
        <v>862</v>
      </c>
      <c r="D59" s="1020">
        <f>0.004*E59+0.5</f>
        <v>0.54800000000000004</v>
      </c>
      <c r="E59" s="986">
        <v>12</v>
      </c>
      <c r="F59" s="769" t="s">
        <v>30</v>
      </c>
      <c r="G59" s="986"/>
      <c r="H59" s="987"/>
      <c r="I59" s="767">
        <v>2</v>
      </c>
      <c r="J59" s="423">
        <f>D59*I59</f>
        <v>1.0960000000000001</v>
      </c>
      <c r="O59" s="985"/>
    </row>
    <row r="60" spans="1:16" s="1021" customFormat="1" x14ac:dyDescent="0.25">
      <c r="A60" s="1027">
        <v>50</v>
      </c>
      <c r="B60" s="1026" t="s">
        <v>167</v>
      </c>
      <c r="C60" s="1026" t="s">
        <v>861</v>
      </c>
      <c r="D60" s="1020">
        <f>0.004*E60+0.5</f>
        <v>0.60160000000000002</v>
      </c>
      <c r="E60" s="1014">
        <v>25.4</v>
      </c>
      <c r="F60" s="774" t="s">
        <v>30</v>
      </c>
      <c r="G60" s="1014"/>
      <c r="H60" s="1025"/>
      <c r="I60" s="861">
        <v>9</v>
      </c>
      <c r="J60" s="423">
        <f>D60*I60</f>
        <v>5.4144000000000005</v>
      </c>
      <c r="K60" s="1022"/>
      <c r="L60" s="1024"/>
      <c r="M60" s="1022"/>
      <c r="N60" s="1022"/>
      <c r="O60" s="1023"/>
      <c r="P60" s="1022"/>
    </row>
    <row r="61" spans="1:16" x14ac:dyDescent="0.25">
      <c r="A61" s="988">
        <v>60</v>
      </c>
      <c r="B61" s="986" t="s">
        <v>860</v>
      </c>
      <c r="C61" s="986" t="s">
        <v>859</v>
      </c>
      <c r="D61" s="1020">
        <v>0.1</v>
      </c>
      <c r="E61" s="986">
        <v>4</v>
      </c>
      <c r="F61" s="769" t="s">
        <v>35</v>
      </c>
      <c r="G61" s="986"/>
      <c r="H61" s="987"/>
      <c r="I61" s="767">
        <v>4</v>
      </c>
      <c r="J61" s="423">
        <f>D61*I61</f>
        <v>0.4</v>
      </c>
      <c r="L61" s="1019"/>
      <c r="O61" s="985"/>
    </row>
    <row r="62" spans="1:16" s="980" customFormat="1" x14ac:dyDescent="0.25">
      <c r="A62" s="984"/>
      <c r="I62" s="1012" t="s">
        <v>18</v>
      </c>
      <c r="J62" s="1011">
        <f>SUM(J56:J61)</f>
        <v>8.5536000000000012</v>
      </c>
      <c r="O62" s="981"/>
    </row>
    <row r="63" spans="1:16" x14ac:dyDescent="0.25">
      <c r="A63" s="994"/>
      <c r="H63" s="1018"/>
      <c r="I63" s="1017"/>
      <c r="O63" s="985"/>
    </row>
    <row r="64" spans="1:16" s="980" customFormat="1" x14ac:dyDescent="0.25">
      <c r="A64" s="1016" t="s">
        <v>14</v>
      </c>
      <c r="B64" s="1015" t="s">
        <v>39</v>
      </c>
      <c r="C64" s="1015" t="s">
        <v>20</v>
      </c>
      <c r="D64" s="1015" t="s">
        <v>21</v>
      </c>
      <c r="E64" s="1015" t="s">
        <v>32</v>
      </c>
      <c r="F64" s="1015" t="s">
        <v>17</v>
      </c>
      <c r="G64" s="1015" t="s">
        <v>40</v>
      </c>
      <c r="H64" s="1015" t="s">
        <v>41</v>
      </c>
      <c r="I64" s="1015" t="s">
        <v>18</v>
      </c>
      <c r="O64" s="981"/>
    </row>
    <row r="65" spans="1:15" x14ac:dyDescent="0.25">
      <c r="A65" s="988">
        <v>10</v>
      </c>
      <c r="B65" s="986" t="s">
        <v>858</v>
      </c>
      <c r="C65" s="1014" t="s">
        <v>656</v>
      </c>
      <c r="D65" s="398">
        <v>500</v>
      </c>
      <c r="E65" s="986" t="s">
        <v>655</v>
      </c>
      <c r="F65" s="986">
        <v>6</v>
      </c>
      <c r="G65" s="986">
        <v>3000</v>
      </c>
      <c r="H65" s="986">
        <v>1</v>
      </c>
      <c r="I65" s="1013">
        <f>D65*F65/G65*H65</f>
        <v>1</v>
      </c>
      <c r="O65" s="985"/>
    </row>
    <row r="66" spans="1:15" s="980" customFormat="1" x14ac:dyDescent="0.25">
      <c r="A66" s="984"/>
      <c r="H66" s="1012" t="s">
        <v>18</v>
      </c>
      <c r="I66" s="1011">
        <f>SUM(I65:I65)</f>
        <v>1</v>
      </c>
      <c r="O66" s="981"/>
    </row>
    <row r="67" spans="1:15" ht="15.75" thickBot="1" x14ac:dyDescent="0.3">
      <c r="A67" s="979"/>
      <c r="B67" s="976"/>
      <c r="C67" s="976"/>
      <c r="D67" s="976"/>
      <c r="E67" s="976"/>
      <c r="F67" s="976"/>
      <c r="G67" s="976"/>
      <c r="H67" s="976"/>
      <c r="I67" s="976"/>
      <c r="J67" s="976"/>
      <c r="K67" s="976"/>
      <c r="L67" s="976"/>
      <c r="M67" s="976"/>
      <c r="N67" s="976"/>
      <c r="O67" s="975"/>
    </row>
  </sheetData>
  <hyperlinks>
    <hyperlink ref="C29" location="BOM!A1" display="Back to BOM" xr:uid="{069C7549-03C8-47C9-85BC-BA5A27C050E0}"/>
    <hyperlink ref="D1" location="EN_A0800_BOM" display="Back to BOM" xr:uid="{65FCA13F-22C8-4015-9A2E-4899797022F2}"/>
    <hyperlink ref="B9" location="EN_08001!A1" display="Radiator" xr:uid="{CD42A73A-570D-47CF-96A0-A7F8360F800E}"/>
    <hyperlink ref="B10" location="EN_08002!A1" display="Radiator lateral upper tab" xr:uid="{BD7AA3AF-2A8B-4705-B57B-37345D82C2A6}"/>
    <hyperlink ref="B11" location="EN_08003!A1" display="Radiator lateral lower tab" xr:uid="{6E3A6C8B-5390-42B6-976F-3A668F575C91}"/>
    <hyperlink ref="B12" location="EN_08004!A1" display="Radiator back tab" xr:uid="{98A7204D-B443-4907-94B4-3D23E8F7FC3D}"/>
    <hyperlink ref="B13" location="EN_08005!A1" display="Main Coolant Line " xr:uid="{9119711B-7E42-4BC9-A39B-38C9116762B4}"/>
    <hyperlink ref="B14" location="EN_08006!A1" display="Fan" xr:uid="{4A585966-60B6-4943-BEBA-09CB5977C51D}"/>
    <hyperlink ref="B15" location="EN_08007!A1" display="Expansion Tank" xr:uid="{16EBB87F-4067-446F-B107-90B6BE8CCCBA}"/>
    <hyperlink ref="B16" location="EN_08008!A1" display="Expansion Tank tabs" xr:uid="{A232BEB3-1AD1-486E-8B5C-E354C044E96C}"/>
    <hyperlink ref="B17" location="EN_08009" display="Lateral Tube" xr:uid="{D6581DDD-3C26-40C0-8D19-A49BF9893294}"/>
    <hyperlink ref="B18" location="EN_08010" display="Secondary Coolant Line" xr:uid="{0A463A7C-3847-4AFF-B2FD-139ADC175E21}"/>
  </hyperlinks>
  <printOptions horizontalCentered="1"/>
  <pageMargins left="0.3" right="0.3" top="0.3" bottom="0.4" header="0.2" footer="0.2"/>
  <pageSetup paperSize="9" scale="63" fitToHeight="2" orientation="landscape" r:id="rId1"/>
  <headerFooter>
    <oddFooter>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AF47-18AF-4C27-8499-1A107BF7A98F}">
  <sheetPr>
    <tabColor rgb="FFC4D79B"/>
    <pageSetUpPr fitToPage="1"/>
  </sheetPr>
  <dimension ref="A1:O18"/>
  <sheetViews>
    <sheetView zoomScale="70" zoomScaleNormal="70" workbookViewId="0">
      <selection activeCell="F1" sqref="F1"/>
    </sheetView>
  </sheetViews>
  <sheetFormatPr baseColWidth="10" defaultColWidth="7.5703125" defaultRowHeight="15" x14ac:dyDescent="0.25"/>
  <cols>
    <col min="1" max="1" width="10.42578125" style="974" bestFit="1" customWidth="1"/>
    <col min="2" max="2" width="35.7109375" style="974" customWidth="1"/>
    <col min="3" max="3" width="27.42578125" style="974" bestFit="1" customWidth="1"/>
    <col min="4" max="4" width="11.85546875" style="974" customWidth="1"/>
    <col min="5" max="5" width="5.5703125" style="974" bestFit="1" customWidth="1"/>
    <col min="6" max="6" width="12.42578125" style="974" bestFit="1" customWidth="1"/>
    <col min="7" max="7" width="20.140625" style="974" bestFit="1" customWidth="1"/>
    <col min="8" max="8" width="9.5703125" style="974" bestFit="1" customWidth="1"/>
    <col min="9" max="9" width="18.140625" style="974" bestFit="1" customWidth="1"/>
    <col min="10" max="10" width="9.7109375" style="974" customWidth="1"/>
    <col min="11" max="11" width="7.140625" style="974" bestFit="1" customWidth="1"/>
    <col min="12" max="12" width="7.5703125" style="974" bestFit="1" customWidth="1"/>
    <col min="13" max="13" width="13.85546875" style="974" bestFit="1" customWidth="1"/>
    <col min="14" max="14" width="11" style="974" customWidth="1"/>
    <col min="15" max="15" width="7.5703125" style="974"/>
    <col min="16" max="16" width="7.85546875" style="974" bestFit="1" customWidth="1"/>
    <col min="17" max="18" width="7.5703125" style="974"/>
    <col min="19" max="19" width="8.5703125" style="974" bestFit="1" customWidth="1"/>
    <col min="20" max="20" width="7.85546875" style="974" bestFit="1" customWidth="1"/>
    <col min="21" max="21" width="7.5703125" style="974"/>
    <col min="22" max="22" width="7.85546875" style="974" bestFit="1" customWidth="1"/>
    <col min="23" max="23" width="7.5703125" style="974"/>
    <col min="24" max="25" width="8.42578125" style="974" bestFit="1" customWidth="1"/>
    <col min="26" max="28" width="7.85546875" style="974" bestFit="1" customWidth="1"/>
    <col min="29" max="16384" width="7.5703125" style="974"/>
  </cols>
  <sheetData>
    <row r="1" spans="1:15" x14ac:dyDescent="0.25">
      <c r="A1" s="1010" t="s">
        <v>0</v>
      </c>
      <c r="B1" s="1006" t="s">
        <v>44</v>
      </c>
      <c r="C1" s="1006"/>
      <c r="D1" s="1006"/>
      <c r="E1" s="1006"/>
      <c r="F1" s="747" t="s">
        <v>69</v>
      </c>
      <c r="G1" s="1006"/>
      <c r="H1" s="1006"/>
      <c r="I1" s="1006"/>
      <c r="J1" s="1008" t="s">
        <v>1</v>
      </c>
      <c r="K1" s="1073">
        <v>81</v>
      </c>
      <c r="L1" s="1006"/>
      <c r="M1" s="1005" t="s">
        <v>16</v>
      </c>
      <c r="N1" s="1072">
        <f>N12+I17</f>
        <v>189.3719449297335</v>
      </c>
      <c r="O1" s="1004"/>
    </row>
    <row r="2" spans="1:15" x14ac:dyDescent="0.25">
      <c r="A2" s="1066" t="s">
        <v>3</v>
      </c>
      <c r="B2" s="974" t="s">
        <v>279</v>
      </c>
      <c r="C2" s="1018" t="s">
        <v>740</v>
      </c>
      <c r="D2" s="1071" t="s">
        <v>6</v>
      </c>
      <c r="M2" s="1065" t="s">
        <v>4</v>
      </c>
      <c r="N2" s="1070">
        <v>1</v>
      </c>
      <c r="O2" s="985"/>
    </row>
    <row r="3" spans="1:15" x14ac:dyDescent="0.25">
      <c r="A3" s="1066" t="s">
        <v>5</v>
      </c>
      <c r="B3" s="813" t="s">
        <v>857</v>
      </c>
      <c r="D3" s="1065" t="s">
        <v>8</v>
      </c>
      <c r="J3" s="1065" t="s">
        <v>6</v>
      </c>
      <c r="O3" s="985"/>
    </row>
    <row r="4" spans="1:15" x14ac:dyDescent="0.25">
      <c r="A4" s="1066" t="s">
        <v>15</v>
      </c>
      <c r="B4" s="1000" t="s">
        <v>899</v>
      </c>
      <c r="D4" s="1065" t="s">
        <v>12</v>
      </c>
      <c r="J4" s="1065" t="s">
        <v>8</v>
      </c>
      <c r="M4" s="1065" t="s">
        <v>9</v>
      </c>
      <c r="N4" s="965">
        <f>N1*N2</f>
        <v>189.3719449297335</v>
      </c>
      <c r="O4" s="985"/>
    </row>
    <row r="5" spans="1:15" x14ac:dyDescent="0.25">
      <c r="A5" s="1066" t="s">
        <v>7</v>
      </c>
      <c r="B5" s="1000" t="s">
        <v>908</v>
      </c>
      <c r="J5" s="1065" t="s">
        <v>12</v>
      </c>
      <c r="O5" s="985"/>
    </row>
    <row r="6" spans="1:15" x14ac:dyDescent="0.25">
      <c r="A6" s="1066" t="s">
        <v>10</v>
      </c>
      <c r="B6" s="974" t="s">
        <v>11</v>
      </c>
      <c r="O6" s="985"/>
    </row>
    <row r="7" spans="1:15" x14ac:dyDescent="0.25">
      <c r="A7" s="1066" t="s">
        <v>13</v>
      </c>
      <c r="B7" s="974" t="s">
        <v>220</v>
      </c>
      <c r="O7" s="985"/>
    </row>
    <row r="8" spans="1:15" x14ac:dyDescent="0.25">
      <c r="A8" s="994"/>
      <c r="O8" s="985"/>
    </row>
    <row r="9" spans="1:15" s="980" customFormat="1" x14ac:dyDescent="0.25">
      <c r="A9" s="1066" t="s">
        <v>14</v>
      </c>
      <c r="B9" s="1065" t="s">
        <v>19</v>
      </c>
      <c r="C9" s="1065" t="s">
        <v>20</v>
      </c>
      <c r="D9" s="1065" t="s">
        <v>21</v>
      </c>
      <c r="E9" s="1065" t="s">
        <v>22</v>
      </c>
      <c r="F9" s="1065" t="s">
        <v>23</v>
      </c>
      <c r="G9" s="1065" t="s">
        <v>24</v>
      </c>
      <c r="H9" s="1065" t="s">
        <v>25</v>
      </c>
      <c r="I9" s="1065" t="s">
        <v>26</v>
      </c>
      <c r="J9" s="1065" t="s">
        <v>27</v>
      </c>
      <c r="K9" s="1065" t="s">
        <v>28</v>
      </c>
      <c r="L9" s="1065" t="s">
        <v>29</v>
      </c>
      <c r="M9" s="1065" t="s">
        <v>17</v>
      </c>
      <c r="N9" s="1065" t="s">
        <v>18</v>
      </c>
      <c r="O9" s="981"/>
    </row>
    <row r="10" spans="1:15" x14ac:dyDescent="0.25">
      <c r="A10" s="1062">
        <v>10</v>
      </c>
      <c r="B10" s="1060" t="s">
        <v>907</v>
      </c>
      <c r="C10" s="1060" t="s">
        <v>899</v>
      </c>
      <c r="D10" s="1069">
        <v>3.5000000000000001E-3</v>
      </c>
      <c r="E10" s="1060">
        <v>4890</v>
      </c>
      <c r="F10" s="1060" t="s">
        <v>81</v>
      </c>
      <c r="G10" s="1060"/>
      <c r="H10" s="968"/>
      <c r="I10" s="970" t="s">
        <v>853</v>
      </c>
      <c r="J10" s="969"/>
      <c r="K10" s="968"/>
      <c r="L10" s="968"/>
      <c r="M10" s="966">
        <v>1</v>
      </c>
      <c r="N10" s="965">
        <f>D10*E10</f>
        <v>17.115000000000002</v>
      </c>
      <c r="O10" s="985"/>
    </row>
    <row r="11" spans="1:15" s="980" customFormat="1" x14ac:dyDescent="0.25">
      <c r="A11" s="1062">
        <v>20</v>
      </c>
      <c r="B11" s="1060" t="s">
        <v>906</v>
      </c>
      <c r="C11" s="1060" t="s">
        <v>905</v>
      </c>
      <c r="D11" s="384">
        <v>4.2</v>
      </c>
      <c r="E11" s="1068">
        <f>J11*K11*L11</f>
        <v>9.851249163494194E-2</v>
      </c>
      <c r="F11" s="1060" t="s">
        <v>78</v>
      </c>
      <c r="G11" s="1060"/>
      <c r="H11" s="968"/>
      <c r="I11" s="970" t="s">
        <v>904</v>
      </c>
      <c r="J11" s="967">
        <f>PI()*12.5*12.5/1000000</f>
        <v>4.9087385212340522E-4</v>
      </c>
      <c r="K11" s="968">
        <f>74/1000</f>
        <v>7.3999999999999996E-2</v>
      </c>
      <c r="L11" s="966">
        <v>2712</v>
      </c>
      <c r="M11" s="966">
        <v>2</v>
      </c>
      <c r="N11" s="965">
        <f>D11*E11*M11</f>
        <v>0.82750492973351231</v>
      </c>
      <c r="O11" s="985"/>
    </row>
    <row r="12" spans="1:15" x14ac:dyDescent="0.25">
      <c r="A12" s="984"/>
      <c r="B12" s="980"/>
      <c r="C12" s="980"/>
      <c r="D12" s="980"/>
      <c r="E12" s="980"/>
      <c r="F12" s="980"/>
      <c r="G12" s="980"/>
      <c r="H12" s="980"/>
      <c r="I12" s="980"/>
      <c r="J12" s="980"/>
      <c r="K12" s="980"/>
      <c r="L12" s="980"/>
      <c r="M12" s="1059" t="s">
        <v>18</v>
      </c>
      <c r="N12" s="1067">
        <f>SUM(N10:N11)</f>
        <v>17.942504929733513</v>
      </c>
      <c r="O12" s="981"/>
    </row>
    <row r="13" spans="1:15" x14ac:dyDescent="0.25">
      <c r="A13" s="1066" t="s">
        <v>14</v>
      </c>
      <c r="B13" s="1065" t="s">
        <v>31</v>
      </c>
      <c r="C13" s="1065" t="s">
        <v>20</v>
      </c>
      <c r="D13" s="1065" t="s">
        <v>21</v>
      </c>
      <c r="E13" s="1065" t="s">
        <v>32</v>
      </c>
      <c r="F13" s="1065" t="s">
        <v>17</v>
      </c>
      <c r="G13" s="1065" t="s">
        <v>33</v>
      </c>
      <c r="H13" s="1065" t="s">
        <v>34</v>
      </c>
      <c r="I13" s="1065" t="s">
        <v>18</v>
      </c>
      <c r="J13" s="980"/>
      <c r="K13" s="980"/>
      <c r="L13" s="980"/>
      <c r="M13" s="980"/>
      <c r="N13" s="980"/>
      <c r="O13" s="981"/>
    </row>
    <row r="14" spans="1:15" x14ac:dyDescent="0.25">
      <c r="A14" s="1062">
        <v>10</v>
      </c>
      <c r="B14" s="1064" t="s">
        <v>700</v>
      </c>
      <c r="C14" s="1064" t="s">
        <v>903</v>
      </c>
      <c r="D14" s="384">
        <v>1.3</v>
      </c>
      <c r="E14" s="1060" t="s">
        <v>32</v>
      </c>
      <c r="F14" s="1060">
        <v>2</v>
      </c>
      <c r="G14" s="1060"/>
      <c r="H14" s="1060"/>
      <c r="I14" s="384">
        <f>F14*D14</f>
        <v>2.6</v>
      </c>
      <c r="O14" s="985"/>
    </row>
    <row r="15" spans="1:15" x14ac:dyDescent="0.25">
      <c r="A15" s="1062">
        <v>20</v>
      </c>
      <c r="B15" s="1061" t="s">
        <v>79</v>
      </c>
      <c r="C15" s="1061" t="s">
        <v>902</v>
      </c>
      <c r="D15" s="384">
        <v>0.04</v>
      </c>
      <c r="E15" s="1060" t="s">
        <v>81</v>
      </c>
      <c r="F15" s="1063">
        <f>25.2*35.4*4.2</f>
        <v>3746.7359999999999</v>
      </c>
      <c r="G15" s="1060" t="s">
        <v>308</v>
      </c>
      <c r="H15" s="1060">
        <v>1</v>
      </c>
      <c r="I15" s="384">
        <f>F15*D15*H15</f>
        <v>149.86944</v>
      </c>
      <c r="O15" s="985"/>
    </row>
    <row r="16" spans="1:15" x14ac:dyDescent="0.25">
      <c r="A16" s="1062">
        <v>30</v>
      </c>
      <c r="B16" s="1061" t="s">
        <v>72</v>
      </c>
      <c r="C16" s="1061"/>
      <c r="D16" s="384">
        <v>0.15</v>
      </c>
      <c r="E16" s="1060" t="s">
        <v>46</v>
      </c>
      <c r="F16" s="1060">
        <f>27.4*4+4.2*4</f>
        <v>126.39999999999999</v>
      </c>
      <c r="G16" s="1060"/>
      <c r="H16" s="1060"/>
      <c r="I16" s="384">
        <f>D16*F16</f>
        <v>18.959999999999997</v>
      </c>
      <c r="O16" s="985"/>
    </row>
    <row r="17" spans="1:15" x14ac:dyDescent="0.25">
      <c r="A17" s="984"/>
      <c r="B17" s="980"/>
      <c r="C17" s="980"/>
      <c r="D17" s="980"/>
      <c r="E17" s="980"/>
      <c r="F17" s="980"/>
      <c r="G17" s="980"/>
      <c r="H17" s="1059" t="s">
        <v>18</v>
      </c>
      <c r="I17" s="1058">
        <f>SUM(I14:I16)</f>
        <v>171.42944</v>
      </c>
      <c r="J17" s="980"/>
      <c r="K17" s="980"/>
      <c r="L17" s="980"/>
      <c r="M17" s="980"/>
      <c r="N17" s="980"/>
      <c r="O17" s="981"/>
    </row>
    <row r="18" spans="1:15" ht="15.75" thickBot="1" x14ac:dyDescent="0.3">
      <c r="A18" s="979"/>
      <c r="B18" s="976"/>
      <c r="C18" s="976"/>
      <c r="D18" s="976"/>
      <c r="E18" s="976"/>
      <c r="F18" s="976"/>
      <c r="G18" s="976"/>
      <c r="H18" s="976"/>
      <c r="I18" s="976"/>
      <c r="J18" s="976"/>
      <c r="K18" s="976"/>
      <c r="L18" s="976"/>
      <c r="M18" s="976"/>
      <c r="N18" s="976"/>
      <c r="O18" s="975"/>
    </row>
  </sheetData>
  <hyperlinks>
    <hyperlink ref="F1" location="EN_A0800_BOM" display="Back to BOM" xr:uid="{0D1B7550-A5EA-4FA9-96D8-40A97561F695}"/>
    <hyperlink ref="B3" location="EN_A0800" display="Cooling System" xr:uid="{EE973080-151F-4D06-9058-1D32CAF08864}"/>
    <hyperlink ref="D2" location="dEN_08001!A1" display="FileLink1" xr:uid="{0212945D-79AB-4636-9552-F183995D03F2}"/>
  </hyperlinks>
  <printOptions horizontalCentered="1"/>
  <pageMargins left="0.3" right="0.3" top="0.3" bottom="0.4" header="0.2" footer="0.2"/>
  <pageSetup paperSize="9" scale="68" orientation="landscape" r:id="rId1"/>
  <headerFooter>
    <oddFooter>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0314-50B1-4EC5-AF52-40C5A5A68E45}">
  <sheetPr>
    <tabColor rgb="FFC4D79B"/>
  </sheetPr>
  <dimension ref="A1:B1"/>
  <sheetViews>
    <sheetView workbookViewId="0">
      <selection activeCell="B4" sqref="B4"/>
    </sheetView>
  </sheetViews>
  <sheetFormatPr baseColWidth="10" defaultRowHeight="15" x14ac:dyDescent="0.25"/>
  <cols>
    <col min="1" max="1" width="13.42578125" style="852" customWidth="1"/>
    <col min="2" max="16384" width="11.42578125" style="852"/>
  </cols>
  <sheetData>
    <row r="1" spans="1:2" x14ac:dyDescent="0.25">
      <c r="A1" s="852" t="s">
        <v>654</v>
      </c>
      <c r="B1" s="706" t="s">
        <v>909</v>
      </c>
    </row>
  </sheetData>
  <hyperlinks>
    <hyperlink ref="B1" location="EN_08001" display="EN_08001" xr:uid="{9EF533C8-05AB-4841-BDEA-69DE4D8222AB}"/>
  </hyperlinks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FC7A6-D838-4887-8D1F-C939B26D6F8A}">
  <sheetPr>
    <tabColor rgb="FFC4D79B"/>
    <pageSetUpPr fitToPage="1"/>
  </sheetPr>
  <dimension ref="A1:O23"/>
  <sheetViews>
    <sheetView zoomScale="85" zoomScaleNormal="85" zoomScalePageLayoutView="49" workbookViewId="0">
      <selection activeCell="F1" sqref="F1"/>
    </sheetView>
  </sheetViews>
  <sheetFormatPr baseColWidth="10" defaultColWidth="7.5703125" defaultRowHeight="15" x14ac:dyDescent="0.25"/>
  <cols>
    <col min="1" max="1" width="10.42578125" style="974" bestFit="1" customWidth="1"/>
    <col min="2" max="2" width="34.140625" style="974" bestFit="1" customWidth="1"/>
    <col min="3" max="3" width="26.140625" style="974" customWidth="1"/>
    <col min="4" max="4" width="9" style="974" bestFit="1" customWidth="1"/>
    <col min="5" max="5" width="8.5703125" style="974" customWidth="1"/>
    <col min="6" max="6" width="12.42578125" style="974" bestFit="1" customWidth="1"/>
    <col min="7" max="7" width="14.42578125" style="974" bestFit="1" customWidth="1"/>
    <col min="8" max="8" width="9.5703125" style="974" bestFit="1" customWidth="1"/>
    <col min="9" max="9" width="16.140625" style="974" bestFit="1" customWidth="1"/>
    <col min="10" max="10" width="8.85546875" style="974" bestFit="1" customWidth="1"/>
    <col min="11" max="11" width="7.140625" style="974" bestFit="1" customWidth="1"/>
    <col min="12" max="12" width="7.5703125" style="974" bestFit="1" customWidth="1"/>
    <col min="13" max="13" width="13.85546875" style="974" bestFit="1" customWidth="1"/>
    <col min="14" max="14" width="12.7109375" style="974" customWidth="1"/>
    <col min="15" max="15" width="7.5703125" style="974"/>
    <col min="16" max="16" width="7.85546875" style="974" bestFit="1" customWidth="1"/>
    <col min="17" max="18" width="7.5703125" style="974"/>
    <col min="19" max="19" width="8.5703125" style="974" bestFit="1" customWidth="1"/>
    <col min="20" max="20" width="7.85546875" style="974" bestFit="1" customWidth="1"/>
    <col min="21" max="21" width="7.5703125" style="974"/>
    <col min="22" max="22" width="7.85546875" style="974" bestFit="1" customWidth="1"/>
    <col min="23" max="23" width="7.5703125" style="974"/>
    <col min="24" max="25" width="8.42578125" style="974" bestFit="1" customWidth="1"/>
    <col min="26" max="28" width="7.85546875" style="974" bestFit="1" customWidth="1"/>
    <col min="29" max="16384" width="7.5703125" style="974"/>
  </cols>
  <sheetData>
    <row r="1" spans="1:15" x14ac:dyDescent="0.25">
      <c r="A1" s="1010" t="s">
        <v>0</v>
      </c>
      <c r="B1" s="1006" t="s">
        <v>44</v>
      </c>
      <c r="C1" s="1006"/>
      <c r="D1" s="1006"/>
      <c r="E1" s="1006"/>
      <c r="F1" s="747" t="s">
        <v>69</v>
      </c>
      <c r="G1" s="1006"/>
      <c r="H1" s="1006"/>
      <c r="I1" s="1006"/>
      <c r="J1" s="1082" t="s">
        <v>1</v>
      </c>
      <c r="K1" s="1007">
        <v>81</v>
      </c>
      <c r="L1" s="1006"/>
      <c r="M1" s="1081" t="s">
        <v>16</v>
      </c>
      <c r="N1" s="846">
        <f>N11+I16</f>
        <v>1.7906290000000002</v>
      </c>
      <c r="O1" s="1004"/>
    </row>
    <row r="2" spans="1:15" x14ac:dyDescent="0.25">
      <c r="A2" s="1066" t="s">
        <v>3</v>
      </c>
      <c r="B2" s="974" t="s">
        <v>279</v>
      </c>
      <c r="C2" s="1003" t="s">
        <v>707</v>
      </c>
      <c r="D2" s="1080" t="s">
        <v>6</v>
      </c>
      <c r="M2" s="1079" t="s">
        <v>4</v>
      </c>
      <c r="N2" s="843">
        <v>1</v>
      </c>
      <c r="O2" s="985"/>
    </row>
    <row r="3" spans="1:15" x14ac:dyDescent="0.25">
      <c r="A3" s="1066" t="s">
        <v>5</v>
      </c>
      <c r="B3" s="813" t="s">
        <v>857</v>
      </c>
      <c r="D3" s="1079" t="s">
        <v>8</v>
      </c>
      <c r="J3" s="1079" t="s">
        <v>6</v>
      </c>
      <c r="O3" s="985"/>
    </row>
    <row r="4" spans="1:15" x14ac:dyDescent="0.25">
      <c r="A4" s="1066" t="s">
        <v>15</v>
      </c>
      <c r="B4" s="974" t="s">
        <v>898</v>
      </c>
      <c r="D4" s="1079" t="s">
        <v>12</v>
      </c>
      <c r="J4" s="1079" t="s">
        <v>8</v>
      </c>
      <c r="M4" s="1079" t="s">
        <v>9</v>
      </c>
      <c r="N4" s="842">
        <f>N1*N2</f>
        <v>1.7906290000000002</v>
      </c>
      <c r="O4" s="985"/>
    </row>
    <row r="5" spans="1:15" x14ac:dyDescent="0.25">
      <c r="A5" s="1066" t="s">
        <v>7</v>
      </c>
      <c r="B5" s="1000" t="s">
        <v>911</v>
      </c>
      <c r="J5" s="1079" t="s">
        <v>12</v>
      </c>
      <c r="O5" s="985"/>
    </row>
    <row r="6" spans="1:15" x14ac:dyDescent="0.25">
      <c r="A6" s="993" t="s">
        <v>10</v>
      </c>
      <c r="B6" s="974" t="s">
        <v>11</v>
      </c>
      <c r="O6" s="985"/>
    </row>
    <row r="7" spans="1:15" x14ac:dyDescent="0.25">
      <c r="A7" s="993" t="s">
        <v>13</v>
      </c>
      <c r="O7" s="985"/>
    </row>
    <row r="8" spans="1:15" x14ac:dyDescent="0.25">
      <c r="A8" s="1078"/>
      <c r="O8" s="985"/>
    </row>
    <row r="9" spans="1:15" s="980" customFormat="1" x14ac:dyDescent="0.25">
      <c r="A9" s="993" t="s">
        <v>14</v>
      </c>
      <c r="B9" s="992" t="s">
        <v>19</v>
      </c>
      <c r="C9" s="992" t="s">
        <v>20</v>
      </c>
      <c r="D9" s="992" t="s">
        <v>21</v>
      </c>
      <c r="E9" s="992" t="s">
        <v>22</v>
      </c>
      <c r="F9" s="992" t="s">
        <v>23</v>
      </c>
      <c r="G9" s="992" t="s">
        <v>24</v>
      </c>
      <c r="H9" s="992" t="s">
        <v>25</v>
      </c>
      <c r="I9" s="992" t="s">
        <v>26</v>
      </c>
      <c r="J9" s="992" t="s">
        <v>27</v>
      </c>
      <c r="K9" s="992" t="s">
        <v>28</v>
      </c>
      <c r="L9" s="992" t="s">
        <v>29</v>
      </c>
      <c r="M9" s="992" t="s">
        <v>17</v>
      </c>
      <c r="N9" s="992" t="s">
        <v>18</v>
      </c>
      <c r="O9" s="981"/>
    </row>
    <row r="10" spans="1:15" x14ac:dyDescent="0.25">
      <c r="A10" s="988">
        <v>10</v>
      </c>
      <c r="B10" s="986" t="s">
        <v>469</v>
      </c>
      <c r="C10" s="986" t="s">
        <v>910</v>
      </c>
      <c r="D10" s="398">
        <v>2.25</v>
      </c>
      <c r="E10" s="1077">
        <v>8.9999999999999993E-3</v>
      </c>
      <c r="F10" s="986" t="s">
        <v>78</v>
      </c>
      <c r="G10" s="986"/>
      <c r="H10" s="785"/>
      <c r="I10" s="787" t="s">
        <v>853</v>
      </c>
      <c r="J10" s="858">
        <v>8.8000000000000003E-4</v>
      </c>
      <c r="K10" s="1076">
        <v>3.0000000000000001E-3</v>
      </c>
      <c r="L10" s="792">
        <v>7850</v>
      </c>
      <c r="M10" s="792">
        <v>1</v>
      </c>
      <c r="N10" s="803">
        <f>IF(J10="",D10*M10,D10*J10*K10*L10*M10)</f>
        <v>4.6628999999999997E-2</v>
      </c>
      <c r="O10" s="985"/>
    </row>
    <row r="11" spans="1:15" s="980" customFormat="1" x14ac:dyDescent="0.25">
      <c r="A11" s="984"/>
      <c r="M11" s="983" t="s">
        <v>18</v>
      </c>
      <c r="N11" s="995">
        <f>SUM(N10:N10)</f>
        <v>4.6628999999999997E-2</v>
      </c>
      <c r="O11" s="981"/>
    </row>
    <row r="12" spans="1:15" x14ac:dyDescent="0.25">
      <c r="A12" s="994"/>
      <c r="O12" s="985"/>
    </row>
    <row r="13" spans="1:15" s="980" customFormat="1" x14ac:dyDescent="0.25">
      <c r="A13" s="993" t="s">
        <v>14</v>
      </c>
      <c r="B13" s="992" t="s">
        <v>31</v>
      </c>
      <c r="C13" s="992" t="s">
        <v>20</v>
      </c>
      <c r="D13" s="992" t="s">
        <v>21</v>
      </c>
      <c r="E13" s="992" t="s">
        <v>32</v>
      </c>
      <c r="F13" s="992" t="s">
        <v>17</v>
      </c>
      <c r="G13" s="992" t="s">
        <v>33</v>
      </c>
      <c r="H13" s="992" t="s">
        <v>34</v>
      </c>
      <c r="I13" s="992" t="s">
        <v>18</v>
      </c>
      <c r="O13" s="981"/>
    </row>
    <row r="14" spans="1:15" x14ac:dyDescent="0.25">
      <c r="A14" s="988">
        <v>10</v>
      </c>
      <c r="B14" s="1075" t="s">
        <v>700</v>
      </c>
      <c r="C14" s="1075" t="s">
        <v>645</v>
      </c>
      <c r="D14" s="398">
        <v>1.3</v>
      </c>
      <c r="E14" s="986" t="s">
        <v>32</v>
      </c>
      <c r="F14" s="986">
        <v>1</v>
      </c>
      <c r="G14" s="986"/>
      <c r="H14" s="986"/>
      <c r="I14" s="398">
        <f>F14*D14</f>
        <v>1.3</v>
      </c>
      <c r="O14" s="985"/>
    </row>
    <row r="15" spans="1:15" x14ac:dyDescent="0.25">
      <c r="A15" s="988">
        <v>20</v>
      </c>
      <c r="B15" s="987" t="s">
        <v>83</v>
      </c>
      <c r="C15" s="987" t="s">
        <v>231</v>
      </c>
      <c r="D15" s="398">
        <v>0.01</v>
      </c>
      <c r="E15" s="986" t="s">
        <v>46</v>
      </c>
      <c r="F15" s="986">
        <v>14.8</v>
      </c>
      <c r="G15" s="986" t="s">
        <v>82</v>
      </c>
      <c r="H15" s="986">
        <v>3</v>
      </c>
      <c r="I15" s="398">
        <f>F15*D15*H15</f>
        <v>0.44400000000000006</v>
      </c>
      <c r="O15" s="985"/>
    </row>
    <row r="16" spans="1:15" s="980" customFormat="1" x14ac:dyDescent="0.25">
      <c r="A16" s="984"/>
      <c r="H16" s="983" t="s">
        <v>18</v>
      </c>
      <c r="I16" s="982">
        <f>SUM(I14:I15)</f>
        <v>1.7440000000000002</v>
      </c>
      <c r="O16" s="981"/>
    </row>
    <row r="17" spans="1:15" ht="15.75" thickBot="1" x14ac:dyDescent="0.3">
      <c r="A17" s="979"/>
      <c r="B17" s="976"/>
      <c r="C17" s="976"/>
      <c r="D17" s="976"/>
      <c r="E17" s="976"/>
      <c r="F17" s="976"/>
      <c r="G17" s="976"/>
      <c r="H17" s="978"/>
      <c r="I17" s="977"/>
      <c r="J17" s="976"/>
      <c r="K17" s="976"/>
      <c r="L17" s="976"/>
      <c r="M17" s="976"/>
      <c r="N17" s="976"/>
      <c r="O17" s="975"/>
    </row>
    <row r="23" spans="1:15" x14ac:dyDescent="0.25">
      <c r="E23" s="1074"/>
    </row>
  </sheetData>
  <hyperlinks>
    <hyperlink ref="F1" location="EN_A0800_BOM" display="Back to BOM" xr:uid="{6361716B-7232-4FED-B67E-F908B0A8BD3C}"/>
    <hyperlink ref="B3" location="EN_A0800" display="Cooling System" xr:uid="{1313D7F1-77D0-48EC-8500-FCE50A3288A3}"/>
    <hyperlink ref="D2" location="dEN_08002!A1" display="FileLink1" xr:uid="{34CD335A-8B3E-4CEC-B247-B89CDA46D685}"/>
  </hyperlinks>
  <printOptions horizontalCentered="1"/>
  <pageMargins left="0.3" right="0.3" top="0.3" bottom="0.4" header="0.2" footer="0.2"/>
  <pageSetup paperSize="9" scale="72" orientation="landscape" r:id="rId1"/>
  <headerFooter>
    <oddFooter>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AB8D-7D40-4B3F-AE7D-A8C544917DC5}">
  <sheetPr>
    <tabColor rgb="FFC4D79B"/>
    <pageSetUpPr fitToPage="1"/>
  </sheetPr>
  <dimension ref="A1"/>
  <sheetViews>
    <sheetView zoomScale="49" zoomScaleNormal="49" zoomScalePageLayoutView="49" workbookViewId="0">
      <selection activeCell="B4" sqref="B4"/>
    </sheetView>
  </sheetViews>
  <sheetFormatPr baseColWidth="10" defaultColWidth="10.85546875" defaultRowHeight="15" x14ac:dyDescent="0.25"/>
  <cols>
    <col min="1" max="16384" width="10.85546875" style="1083"/>
  </cols>
  <sheetData>
    <row r="1" spans="1:1" x14ac:dyDescent="0.25">
      <c r="A1" s="706" t="s">
        <v>911</v>
      </c>
    </row>
  </sheetData>
  <hyperlinks>
    <hyperlink ref="A1" location="EN_08002" display="EN 08002" xr:uid="{3BFC61DE-BDB1-4F77-B307-16529F0C01DA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5EEC-FF64-48BA-AD5E-D5707B9E8572}">
  <sheetPr>
    <tabColor rgb="FFC4D79B"/>
    <pageSetUpPr fitToPage="1"/>
  </sheetPr>
  <dimension ref="A1:O18"/>
  <sheetViews>
    <sheetView zoomScale="70" zoomScaleNormal="70" zoomScalePageLayoutView="90" workbookViewId="0">
      <selection activeCell="F1" sqref="F1"/>
    </sheetView>
  </sheetViews>
  <sheetFormatPr baseColWidth="10" defaultColWidth="7.5703125" defaultRowHeight="15" x14ac:dyDescent="0.25"/>
  <cols>
    <col min="1" max="1" width="10.42578125" style="974" bestFit="1" customWidth="1"/>
    <col min="2" max="2" width="34.140625" style="974" bestFit="1" customWidth="1"/>
    <col min="3" max="3" width="25" style="974" bestFit="1" customWidth="1"/>
    <col min="4" max="4" width="9" style="974" bestFit="1" customWidth="1"/>
    <col min="5" max="5" width="8.42578125" style="974" customWidth="1"/>
    <col min="6" max="6" width="12.42578125" style="974" bestFit="1" customWidth="1"/>
    <col min="7" max="7" width="14.42578125" style="974" bestFit="1" customWidth="1"/>
    <col min="8" max="8" width="9.5703125" style="974" bestFit="1" customWidth="1"/>
    <col min="9" max="9" width="16" style="974" bestFit="1" customWidth="1"/>
    <col min="10" max="10" width="10.42578125" style="974" customWidth="1"/>
    <col min="11" max="11" width="11.5703125" style="974" customWidth="1"/>
    <col min="12" max="12" width="7.5703125" style="974" bestFit="1" customWidth="1"/>
    <col min="13" max="13" width="13.85546875" style="974" bestFit="1" customWidth="1"/>
    <col min="14" max="14" width="12" style="974" customWidth="1"/>
    <col min="15" max="15" width="7.5703125" style="974"/>
    <col min="16" max="16" width="7.85546875" style="974" bestFit="1" customWidth="1"/>
    <col min="17" max="18" width="7.5703125" style="974"/>
    <col min="19" max="19" width="8.5703125" style="974" bestFit="1" customWidth="1"/>
    <col min="20" max="20" width="7.85546875" style="974" bestFit="1" customWidth="1"/>
    <col min="21" max="21" width="7.5703125" style="974"/>
    <col min="22" max="22" width="7.85546875" style="974" bestFit="1" customWidth="1"/>
    <col min="23" max="23" width="7.5703125" style="974"/>
    <col min="24" max="25" width="8.42578125" style="974" bestFit="1" customWidth="1"/>
    <col min="26" max="28" width="7.85546875" style="974" bestFit="1" customWidth="1"/>
    <col min="29" max="16384" width="7.5703125" style="974"/>
  </cols>
  <sheetData>
    <row r="1" spans="1:15" x14ac:dyDescent="0.25">
      <c r="A1" s="1010" t="s">
        <v>0</v>
      </c>
      <c r="B1" s="1006" t="s">
        <v>44</v>
      </c>
      <c r="C1" s="1006"/>
      <c r="D1" s="1006"/>
      <c r="E1" s="1006"/>
      <c r="F1" s="747" t="s">
        <v>69</v>
      </c>
      <c r="G1" s="1006"/>
      <c r="H1" s="1006"/>
      <c r="I1" s="1006"/>
      <c r="J1" s="1008" t="s">
        <v>1</v>
      </c>
      <c r="K1" s="1007">
        <v>81</v>
      </c>
      <c r="L1" s="1006"/>
      <c r="M1" s="1005" t="s">
        <v>16</v>
      </c>
      <c r="N1" s="846">
        <f>N11+I17</f>
        <v>2.5271720024703863</v>
      </c>
      <c r="O1" s="1004"/>
    </row>
    <row r="2" spans="1:15" x14ac:dyDescent="0.25">
      <c r="A2" s="993" t="s">
        <v>3</v>
      </c>
      <c r="B2" s="974" t="s">
        <v>279</v>
      </c>
      <c r="C2" s="1003" t="s">
        <v>707</v>
      </c>
      <c r="D2" s="1002" t="s">
        <v>6</v>
      </c>
      <c r="M2" s="992" t="s">
        <v>4</v>
      </c>
      <c r="N2" s="843">
        <v>1</v>
      </c>
      <c r="O2" s="985"/>
    </row>
    <row r="3" spans="1:15" x14ac:dyDescent="0.25">
      <c r="A3" s="993" t="s">
        <v>5</v>
      </c>
      <c r="B3" s="813" t="s">
        <v>857</v>
      </c>
      <c r="D3" s="992" t="s">
        <v>8</v>
      </c>
      <c r="J3" s="992" t="s">
        <v>6</v>
      </c>
      <c r="O3" s="985"/>
    </row>
    <row r="4" spans="1:15" x14ac:dyDescent="0.25">
      <c r="A4" s="993" t="s">
        <v>15</v>
      </c>
      <c r="B4" s="974" t="s">
        <v>897</v>
      </c>
      <c r="D4" s="992" t="s">
        <v>12</v>
      </c>
      <c r="J4" s="992" t="s">
        <v>8</v>
      </c>
      <c r="M4" s="992" t="s">
        <v>9</v>
      </c>
      <c r="N4" s="842">
        <f>N1*N2</f>
        <v>2.5271720024703863</v>
      </c>
      <c r="O4" s="985"/>
    </row>
    <row r="5" spans="1:15" x14ac:dyDescent="0.25">
      <c r="A5" s="993" t="s">
        <v>7</v>
      </c>
      <c r="B5" s="1000" t="s">
        <v>915</v>
      </c>
      <c r="J5" s="992" t="s">
        <v>12</v>
      </c>
      <c r="O5" s="985"/>
    </row>
    <row r="6" spans="1:15" x14ac:dyDescent="0.25">
      <c r="A6" s="993" t="s">
        <v>10</v>
      </c>
      <c r="B6" s="974" t="s">
        <v>11</v>
      </c>
      <c r="O6" s="985"/>
    </row>
    <row r="7" spans="1:15" x14ac:dyDescent="0.25">
      <c r="A7" s="993" t="s">
        <v>13</v>
      </c>
      <c r="O7" s="985"/>
    </row>
    <row r="8" spans="1:15" x14ac:dyDescent="0.25">
      <c r="A8" s="994"/>
      <c r="O8" s="985"/>
    </row>
    <row r="9" spans="1:15" s="980" customFormat="1" x14ac:dyDescent="0.25">
      <c r="A9" s="993" t="s">
        <v>14</v>
      </c>
      <c r="B9" s="992" t="s">
        <v>19</v>
      </c>
      <c r="C9" s="992" t="s">
        <v>20</v>
      </c>
      <c r="D9" s="992" t="s">
        <v>21</v>
      </c>
      <c r="E9" s="992" t="s">
        <v>22</v>
      </c>
      <c r="F9" s="992" t="s">
        <v>23</v>
      </c>
      <c r="G9" s="992" t="s">
        <v>24</v>
      </c>
      <c r="H9" s="992" t="s">
        <v>25</v>
      </c>
      <c r="I9" s="992" t="s">
        <v>26</v>
      </c>
      <c r="J9" s="992" t="s">
        <v>27</v>
      </c>
      <c r="K9" s="992" t="s">
        <v>28</v>
      </c>
      <c r="L9" s="992" t="s">
        <v>29</v>
      </c>
      <c r="M9" s="992" t="s">
        <v>17</v>
      </c>
      <c r="N9" s="992" t="s">
        <v>18</v>
      </c>
      <c r="O9" s="981"/>
    </row>
    <row r="10" spans="1:15" x14ac:dyDescent="0.25">
      <c r="A10" s="991">
        <v>10</v>
      </c>
      <c r="B10" s="989" t="s">
        <v>469</v>
      </c>
      <c r="C10" s="989" t="s">
        <v>914</v>
      </c>
      <c r="D10" s="794">
        <v>2.25</v>
      </c>
      <c r="E10" s="999">
        <v>4.8000000000000001E-2</v>
      </c>
      <c r="F10" s="989" t="s">
        <v>78</v>
      </c>
      <c r="G10" s="989"/>
      <c r="H10" s="796"/>
      <c r="I10" s="998" t="s">
        <v>853</v>
      </c>
      <c r="J10" s="997">
        <v>5.0000000000000001E-3</v>
      </c>
      <c r="K10" s="997">
        <v>3.0000000000000001E-3</v>
      </c>
      <c r="L10" s="795">
        <v>7850</v>
      </c>
      <c r="M10" s="795">
        <v>1</v>
      </c>
      <c r="N10" s="806">
        <f>IF(J10="",D10*M10,D10*J10*K10*L10*M10)</f>
        <v>0.26493749999999999</v>
      </c>
      <c r="O10" s="985"/>
    </row>
    <row r="11" spans="1:15" s="980" customFormat="1" x14ac:dyDescent="0.25">
      <c r="A11" s="984"/>
      <c r="M11" s="983" t="s">
        <v>18</v>
      </c>
      <c r="N11" s="995">
        <f>SUM(N10:N10)</f>
        <v>0.26493749999999999</v>
      </c>
      <c r="O11" s="981"/>
    </row>
    <row r="12" spans="1:15" x14ac:dyDescent="0.25">
      <c r="A12" s="994"/>
      <c r="O12" s="985"/>
    </row>
    <row r="13" spans="1:15" s="980" customFormat="1" x14ac:dyDescent="0.25">
      <c r="A13" s="993" t="s">
        <v>14</v>
      </c>
      <c r="B13" s="992" t="s">
        <v>31</v>
      </c>
      <c r="C13" s="992" t="s">
        <v>20</v>
      </c>
      <c r="D13" s="992" t="s">
        <v>21</v>
      </c>
      <c r="E13" s="992" t="s">
        <v>32</v>
      </c>
      <c r="F13" s="992" t="s">
        <v>17</v>
      </c>
      <c r="G13" s="992" t="s">
        <v>33</v>
      </c>
      <c r="H13" s="992" t="s">
        <v>34</v>
      </c>
      <c r="I13" s="992" t="s">
        <v>18</v>
      </c>
      <c r="O13" s="981"/>
    </row>
    <row r="14" spans="1:15" x14ac:dyDescent="0.25">
      <c r="A14" s="991">
        <v>10</v>
      </c>
      <c r="B14" s="990" t="s">
        <v>700</v>
      </c>
      <c r="C14" s="990" t="s">
        <v>645</v>
      </c>
      <c r="D14" s="794">
        <v>1.3</v>
      </c>
      <c r="E14" s="989" t="s">
        <v>32</v>
      </c>
      <c r="F14" s="989">
        <v>1</v>
      </c>
      <c r="G14" s="989"/>
      <c r="H14" s="989"/>
      <c r="I14" s="794">
        <v>1.3</v>
      </c>
      <c r="O14" s="985"/>
    </row>
    <row r="15" spans="1:15" x14ac:dyDescent="0.25">
      <c r="A15" s="988">
        <v>20</v>
      </c>
      <c r="B15" s="987" t="s">
        <v>83</v>
      </c>
      <c r="C15" s="987" t="s">
        <v>231</v>
      </c>
      <c r="D15" s="398">
        <v>0.01</v>
      </c>
      <c r="E15" s="986" t="s">
        <v>46</v>
      </c>
      <c r="F15" s="1084">
        <f>5.9+5.6+PI()*0.7/2+3*2+PI()+2</f>
        <v>23.74115008234622</v>
      </c>
      <c r="G15" s="986" t="s">
        <v>82</v>
      </c>
      <c r="H15" s="986">
        <v>3</v>
      </c>
      <c r="I15" s="398">
        <f>F15*D15*H15</f>
        <v>0.71223450247038667</v>
      </c>
      <c r="O15" s="985"/>
    </row>
    <row r="16" spans="1:15" x14ac:dyDescent="0.25">
      <c r="A16" s="988">
        <v>30</v>
      </c>
      <c r="B16" s="987" t="s">
        <v>913</v>
      </c>
      <c r="C16" s="987" t="s">
        <v>912</v>
      </c>
      <c r="D16" s="398">
        <v>0.25</v>
      </c>
      <c r="E16" s="986" t="s">
        <v>32</v>
      </c>
      <c r="F16" s="986">
        <v>1</v>
      </c>
      <c r="G16" s="986"/>
      <c r="H16" s="986"/>
      <c r="I16" s="803">
        <f>D16*F16</f>
        <v>0.25</v>
      </c>
      <c r="O16" s="985"/>
    </row>
    <row r="17" spans="1:15" s="980" customFormat="1" x14ac:dyDescent="0.25">
      <c r="A17" s="984"/>
      <c r="H17" s="983" t="s">
        <v>18</v>
      </c>
      <c r="I17" s="982">
        <f>SUM(I14:I16)</f>
        <v>2.2622345024703865</v>
      </c>
      <c r="O17" s="981"/>
    </row>
    <row r="18" spans="1:15" ht="15.75" thickBot="1" x14ac:dyDescent="0.3">
      <c r="A18" s="979"/>
      <c r="B18" s="976"/>
      <c r="C18" s="976"/>
      <c r="D18" s="976"/>
      <c r="E18" s="976"/>
      <c r="F18" s="976"/>
      <c r="G18" s="976"/>
      <c r="H18" s="978"/>
      <c r="I18" s="977"/>
      <c r="J18" s="976"/>
      <c r="K18" s="976"/>
      <c r="L18" s="976"/>
      <c r="M18" s="976"/>
      <c r="N18" s="976"/>
      <c r="O18" s="975"/>
    </row>
  </sheetData>
  <hyperlinks>
    <hyperlink ref="F1" location="EN_A0800_BOM" display="Back to BOM" xr:uid="{383332F1-10BF-4E85-8505-B6F81723212A}"/>
    <hyperlink ref="B3" location="EN_A0800" display="Cooling System" xr:uid="{8E97BCB6-B5A2-4B3E-8487-E568E89B4F78}"/>
    <hyperlink ref="D2" location="dEN_08003!A1" display="FileLink1" xr:uid="{DFBEB89C-B285-46CC-A052-5E69DD2DE4D9}"/>
  </hyperlinks>
  <printOptions horizontalCentered="1"/>
  <pageMargins left="0.3" right="0.3" top="0.3" bottom="0.4" header="0.2" footer="0.2"/>
  <pageSetup paperSize="9" scale="73" orientation="landscape" r:id="rId1"/>
  <headerFooter>
    <oddFooter>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BC3D-2134-41FD-AAF3-B694FE5E0C0D}">
  <sheetPr>
    <tabColor rgb="FFC4D79B"/>
    <pageSetUpPr fitToPage="1"/>
  </sheetPr>
  <dimension ref="A1"/>
  <sheetViews>
    <sheetView zoomScaleNormal="100" zoomScalePageLayoutView="49" workbookViewId="0">
      <selection activeCell="B4" sqref="B4"/>
    </sheetView>
  </sheetViews>
  <sheetFormatPr baseColWidth="10" defaultColWidth="10.85546875" defaultRowHeight="15" x14ac:dyDescent="0.25"/>
  <cols>
    <col min="1" max="16384" width="10.85546875" style="1083"/>
  </cols>
  <sheetData>
    <row r="1" spans="1:1" x14ac:dyDescent="0.25">
      <c r="A1" s="706" t="s">
        <v>915</v>
      </c>
    </row>
  </sheetData>
  <hyperlinks>
    <hyperlink ref="A1" location="EN_08003" display="EN 08003" xr:uid="{E5D1FA11-6976-424C-8CA0-4CC366705836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C115-CF3F-4586-89D8-13AFD79D935F}">
  <sheetPr>
    <tabColor rgb="FFC4D79B"/>
    <pageSetUpPr fitToPage="1"/>
  </sheetPr>
  <dimension ref="A1:B1"/>
  <sheetViews>
    <sheetView zoomScale="85" zoomScaleNormal="85" zoomScalePageLayoutView="49" workbookViewId="0">
      <selection activeCell="M15" sqref="M15"/>
    </sheetView>
  </sheetViews>
  <sheetFormatPr baseColWidth="10" defaultColWidth="11.5703125" defaultRowHeight="15" x14ac:dyDescent="0.25"/>
  <cols>
    <col min="1" max="1" width="13.7109375" style="705" customWidth="1"/>
    <col min="2" max="16384" width="11.5703125" style="705"/>
  </cols>
  <sheetData>
    <row r="1" spans="1:2" x14ac:dyDescent="0.25">
      <c r="A1" s="707" t="s">
        <v>654</v>
      </c>
      <c r="B1" s="706" t="s">
        <v>652</v>
      </c>
    </row>
  </sheetData>
  <hyperlinks>
    <hyperlink ref="B1" location="'EN 01003'!A1" display="EN 01003" xr:uid="{00000000-0004-0000-0700-000000000000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4DAC-D496-4C18-9625-43ADCC5E9689}">
  <sheetPr>
    <tabColor rgb="FFC4D79B"/>
    <pageSetUpPr fitToPage="1"/>
  </sheetPr>
  <dimension ref="A1:O17"/>
  <sheetViews>
    <sheetView zoomScale="85" zoomScaleNormal="85" zoomScalePageLayoutView="49" workbookViewId="0">
      <selection activeCell="B4" sqref="B4"/>
    </sheetView>
  </sheetViews>
  <sheetFormatPr baseColWidth="10" defaultColWidth="7.5703125" defaultRowHeight="15" x14ac:dyDescent="0.25"/>
  <cols>
    <col min="1" max="1" width="10.42578125" style="974" bestFit="1" customWidth="1"/>
    <col min="2" max="2" width="34.140625" style="974" bestFit="1" customWidth="1"/>
    <col min="3" max="3" width="17.140625" style="974" bestFit="1" customWidth="1"/>
    <col min="4" max="4" width="9" style="974" bestFit="1" customWidth="1"/>
    <col min="5" max="5" width="6.42578125" style="974" bestFit="1" customWidth="1"/>
    <col min="6" max="6" width="12.42578125" style="974" bestFit="1" customWidth="1"/>
    <col min="7" max="7" width="14.42578125" style="974" bestFit="1" customWidth="1"/>
    <col min="8" max="8" width="9.5703125" style="974" bestFit="1" customWidth="1"/>
    <col min="9" max="9" width="17.85546875" style="974" bestFit="1" customWidth="1"/>
    <col min="10" max="11" width="8.85546875" style="974" bestFit="1" customWidth="1"/>
    <col min="12" max="12" width="7.5703125" style="974" bestFit="1" customWidth="1"/>
    <col min="13" max="13" width="12.5703125" style="974" customWidth="1"/>
    <col min="14" max="14" width="9.140625" style="974" bestFit="1" customWidth="1"/>
    <col min="15" max="15" width="7.5703125" style="974"/>
    <col min="16" max="16" width="7.85546875" style="974" bestFit="1" customWidth="1"/>
    <col min="17" max="18" width="7.5703125" style="974"/>
    <col min="19" max="19" width="8.5703125" style="974" bestFit="1" customWidth="1"/>
    <col min="20" max="20" width="7.85546875" style="974" bestFit="1" customWidth="1"/>
    <col min="21" max="21" width="7.5703125" style="974"/>
    <col min="22" max="22" width="7.85546875" style="974" bestFit="1" customWidth="1"/>
    <col min="23" max="23" width="7.5703125" style="974"/>
    <col min="24" max="25" width="8.42578125" style="974" bestFit="1" customWidth="1"/>
    <col min="26" max="28" width="7.85546875" style="974" bestFit="1" customWidth="1"/>
    <col min="29" max="16384" width="7.5703125" style="974"/>
  </cols>
  <sheetData>
    <row r="1" spans="1:15" x14ac:dyDescent="0.25">
      <c r="A1" s="1010" t="s">
        <v>0</v>
      </c>
      <c r="B1" s="1006" t="s">
        <v>44</v>
      </c>
      <c r="C1" s="1006"/>
      <c r="D1" s="1006"/>
      <c r="E1" s="1006"/>
      <c r="F1" s="1009" t="s">
        <v>69</v>
      </c>
      <c r="G1" s="1006"/>
      <c r="H1" s="1006"/>
      <c r="I1" s="1006"/>
      <c r="J1" s="1008" t="s">
        <v>1</v>
      </c>
      <c r="K1" s="1007">
        <v>81</v>
      </c>
      <c r="L1" s="1006"/>
      <c r="M1" s="1005" t="s">
        <v>16</v>
      </c>
      <c r="N1" s="846">
        <f>N11+I16</f>
        <v>1.614127375</v>
      </c>
      <c r="O1" s="1004"/>
    </row>
    <row r="2" spans="1:15" x14ac:dyDescent="0.25">
      <c r="A2" s="993" t="s">
        <v>3</v>
      </c>
      <c r="B2" s="974" t="s">
        <v>279</v>
      </c>
      <c r="C2" s="1003" t="s">
        <v>707</v>
      </c>
      <c r="D2" s="1002" t="s">
        <v>6</v>
      </c>
      <c r="M2" s="992" t="s">
        <v>4</v>
      </c>
      <c r="N2" s="843">
        <v>1</v>
      </c>
      <c r="O2" s="985"/>
    </row>
    <row r="3" spans="1:15" x14ac:dyDescent="0.25">
      <c r="A3" s="993" t="s">
        <v>5</v>
      </c>
      <c r="B3" s="813" t="s">
        <v>857</v>
      </c>
      <c r="D3" s="992" t="s">
        <v>8</v>
      </c>
      <c r="J3" s="992" t="s">
        <v>6</v>
      </c>
      <c r="O3" s="985"/>
    </row>
    <row r="4" spans="1:15" x14ac:dyDescent="0.25">
      <c r="A4" s="993" t="s">
        <v>15</v>
      </c>
      <c r="B4" s="974" t="s">
        <v>918</v>
      </c>
      <c r="D4" s="992" t="s">
        <v>12</v>
      </c>
      <c r="J4" s="992" t="s">
        <v>8</v>
      </c>
      <c r="M4" s="992" t="s">
        <v>9</v>
      </c>
      <c r="N4" s="842">
        <f>N1*N2</f>
        <v>1.614127375</v>
      </c>
      <c r="O4" s="985"/>
    </row>
    <row r="5" spans="1:15" x14ac:dyDescent="0.25">
      <c r="A5" s="993" t="s">
        <v>7</v>
      </c>
      <c r="B5" s="1000" t="s">
        <v>917</v>
      </c>
      <c r="J5" s="992" t="s">
        <v>12</v>
      </c>
      <c r="O5" s="985"/>
    </row>
    <row r="6" spans="1:15" x14ac:dyDescent="0.25">
      <c r="A6" s="993" t="s">
        <v>10</v>
      </c>
      <c r="B6" s="974" t="s">
        <v>11</v>
      </c>
      <c r="O6" s="985"/>
    </row>
    <row r="7" spans="1:15" x14ac:dyDescent="0.25">
      <c r="A7" s="993" t="s">
        <v>13</v>
      </c>
      <c r="O7" s="985"/>
    </row>
    <row r="8" spans="1:15" x14ac:dyDescent="0.25">
      <c r="A8" s="994"/>
      <c r="O8" s="985"/>
    </row>
    <row r="9" spans="1:15" s="980" customFormat="1" x14ac:dyDescent="0.25">
      <c r="A9" s="993" t="s">
        <v>14</v>
      </c>
      <c r="B9" s="992" t="s">
        <v>19</v>
      </c>
      <c r="C9" s="992" t="s">
        <v>20</v>
      </c>
      <c r="D9" s="992" t="s">
        <v>21</v>
      </c>
      <c r="E9" s="992" t="s">
        <v>22</v>
      </c>
      <c r="F9" s="992" t="s">
        <v>23</v>
      </c>
      <c r="G9" s="992" t="s">
        <v>24</v>
      </c>
      <c r="H9" s="992" t="s">
        <v>25</v>
      </c>
      <c r="I9" s="992" t="s">
        <v>26</v>
      </c>
      <c r="J9" s="992" t="s">
        <v>27</v>
      </c>
      <c r="K9" s="992" t="s">
        <v>28</v>
      </c>
      <c r="L9" s="992" t="s">
        <v>29</v>
      </c>
      <c r="M9" s="992" t="s">
        <v>17</v>
      </c>
      <c r="N9" s="992" t="s">
        <v>18</v>
      </c>
      <c r="O9" s="981"/>
    </row>
    <row r="10" spans="1:15" x14ac:dyDescent="0.25">
      <c r="A10" s="991">
        <v>10</v>
      </c>
      <c r="B10" s="989" t="s">
        <v>469</v>
      </c>
      <c r="C10" s="989" t="s">
        <v>916</v>
      </c>
      <c r="D10" s="794">
        <v>2.25</v>
      </c>
      <c r="E10" s="999">
        <f>J10*K10*L10</f>
        <v>4.9455000000000002E-3</v>
      </c>
      <c r="F10" s="989" t="s">
        <v>78</v>
      </c>
      <c r="G10" s="989"/>
      <c r="H10" s="796"/>
      <c r="I10" s="998" t="s">
        <v>853</v>
      </c>
      <c r="J10" s="997">
        <v>4.2000000000000002E-4</v>
      </c>
      <c r="K10" s="997">
        <v>1.5E-3</v>
      </c>
      <c r="L10" s="795">
        <v>7850</v>
      </c>
      <c r="M10" s="795">
        <v>1</v>
      </c>
      <c r="N10" s="806">
        <f>IF(J10="",D10*M10,D10*J10*K10*L10*M10)</f>
        <v>1.1127375000000002E-2</v>
      </c>
      <c r="O10" s="985"/>
    </row>
    <row r="11" spans="1:15" s="980" customFormat="1" x14ac:dyDescent="0.25">
      <c r="A11" s="984"/>
      <c r="M11" s="983" t="s">
        <v>18</v>
      </c>
      <c r="N11" s="995">
        <f>SUM(N10:N10)</f>
        <v>1.1127375000000002E-2</v>
      </c>
      <c r="O11" s="981"/>
    </row>
    <row r="12" spans="1:15" x14ac:dyDescent="0.25">
      <c r="A12" s="994"/>
      <c r="O12" s="985"/>
    </row>
    <row r="13" spans="1:15" s="980" customFormat="1" x14ac:dyDescent="0.25">
      <c r="A13" s="993" t="s">
        <v>14</v>
      </c>
      <c r="B13" s="992" t="s">
        <v>31</v>
      </c>
      <c r="C13" s="992" t="s">
        <v>20</v>
      </c>
      <c r="D13" s="992" t="s">
        <v>21</v>
      </c>
      <c r="E13" s="992" t="s">
        <v>32</v>
      </c>
      <c r="F13" s="992" t="s">
        <v>17</v>
      </c>
      <c r="G13" s="992" t="s">
        <v>33</v>
      </c>
      <c r="H13" s="992" t="s">
        <v>34</v>
      </c>
      <c r="I13" s="992" t="s">
        <v>18</v>
      </c>
      <c r="O13" s="981"/>
    </row>
    <row r="14" spans="1:15" x14ac:dyDescent="0.25">
      <c r="A14" s="991">
        <v>10</v>
      </c>
      <c r="B14" s="990" t="s">
        <v>700</v>
      </c>
      <c r="C14" s="990" t="s">
        <v>645</v>
      </c>
      <c r="D14" s="794">
        <v>1.3</v>
      </c>
      <c r="E14" s="989" t="s">
        <v>32</v>
      </c>
      <c r="F14" s="989">
        <v>1</v>
      </c>
      <c r="G14" s="989"/>
      <c r="H14" s="989"/>
      <c r="I14" s="794">
        <f>F14*D14</f>
        <v>1.3</v>
      </c>
      <c r="O14" s="985"/>
    </row>
    <row r="15" spans="1:15" x14ac:dyDescent="0.25">
      <c r="A15" s="988">
        <v>20</v>
      </c>
      <c r="B15" s="987" t="s">
        <v>83</v>
      </c>
      <c r="C15" s="987" t="s">
        <v>231</v>
      </c>
      <c r="D15" s="398">
        <v>0.01</v>
      </c>
      <c r="E15" s="986" t="s">
        <v>46</v>
      </c>
      <c r="F15" s="986">
        <v>10.1</v>
      </c>
      <c r="G15" s="986" t="s">
        <v>82</v>
      </c>
      <c r="H15" s="986">
        <v>3</v>
      </c>
      <c r="I15" s="398">
        <f>F15*D15*H15</f>
        <v>0.30299999999999999</v>
      </c>
      <c r="O15" s="985"/>
    </row>
    <row r="16" spans="1:15" s="980" customFormat="1" x14ac:dyDescent="0.25">
      <c r="A16" s="984"/>
      <c r="H16" s="983" t="s">
        <v>18</v>
      </c>
      <c r="I16" s="982">
        <f>SUM(I14:I15)</f>
        <v>1.603</v>
      </c>
      <c r="O16" s="981"/>
    </row>
    <row r="17" spans="1:15" ht="15.75" thickBot="1" x14ac:dyDescent="0.3">
      <c r="A17" s="979"/>
      <c r="B17" s="976"/>
      <c r="C17" s="976"/>
      <c r="D17" s="976"/>
      <c r="E17" s="976"/>
      <c r="F17" s="976"/>
      <c r="G17" s="976"/>
      <c r="H17" s="978"/>
      <c r="I17" s="977"/>
      <c r="J17" s="976"/>
      <c r="K17" s="976"/>
      <c r="L17" s="976"/>
      <c r="M17" s="976"/>
      <c r="N17" s="976"/>
      <c r="O17" s="975"/>
    </row>
  </sheetData>
  <hyperlinks>
    <hyperlink ref="F1" location="BOM!A1" display="Back to BOM" xr:uid="{3286920C-23D3-4372-857E-AE22F6FB6D9D}"/>
    <hyperlink ref="B3" location="EN_A0800" display="Cooling System" xr:uid="{F55D7E2D-77D7-4F13-9114-523BBC43741C}"/>
    <hyperlink ref="D2" location="dEN_08004!A1" display="FileLink1" xr:uid="{B594A346-1E0B-44D5-A108-37F8EEA9C187}"/>
  </hyperlinks>
  <printOptions horizontalCentered="1"/>
  <pageMargins left="0.3" right="0.3" top="0.3" bottom="0.4" header="0.2" footer="0.2"/>
  <pageSetup paperSize="9" scale="76" orientation="landscape" r:id="rId1"/>
  <headerFooter>
    <oddFooter>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521A-79BA-4AD6-9F33-2FDB1A541883}">
  <sheetPr>
    <tabColor rgb="FFC4D79B"/>
    <pageSetUpPr fitToPage="1"/>
  </sheetPr>
  <dimension ref="A1"/>
  <sheetViews>
    <sheetView zoomScale="49" zoomScaleNormal="49" zoomScalePageLayoutView="49" workbookViewId="0">
      <selection activeCell="B4" sqref="B4"/>
    </sheetView>
  </sheetViews>
  <sheetFormatPr baseColWidth="10" defaultColWidth="10.85546875" defaultRowHeight="15" x14ac:dyDescent="0.25"/>
  <cols>
    <col min="1" max="16384" width="10.85546875" style="1083"/>
  </cols>
  <sheetData>
    <row r="1" spans="1:1" x14ac:dyDescent="0.25">
      <c r="A1" s="706" t="s">
        <v>917</v>
      </c>
    </row>
  </sheetData>
  <hyperlinks>
    <hyperlink ref="A1" location="EN_08004" display="EN 08004" xr:uid="{90E5F183-9A39-40A7-96DA-9ABE9CE901AC}"/>
  </hyperlinks>
  <printOptions horizontalCentered="1"/>
  <pageMargins left="0.3" right="0.3" top="0.3" bottom="0.4" header="0.2" footer="0.2"/>
  <pageSetup paperSize="9" scale="88" orientation="landscape" horizontalDpi="0" verticalDpi="0"/>
  <headerFooter>
    <oddFooter>Page &amp;P</oddFooter>
  </headerFooter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AA072-0088-4F57-9CF8-B71C79B1B4B2}">
  <sheetPr>
    <tabColor rgb="FFC4D79B"/>
    <pageSetUpPr fitToPage="1"/>
  </sheetPr>
  <dimension ref="A1:P25"/>
  <sheetViews>
    <sheetView zoomScale="70" zoomScaleNormal="70" zoomScalePageLayoutView="90" workbookViewId="0">
      <selection activeCell="F1" sqref="F1"/>
    </sheetView>
  </sheetViews>
  <sheetFormatPr baseColWidth="10" defaultColWidth="7.5703125" defaultRowHeight="15" x14ac:dyDescent="0.25"/>
  <cols>
    <col min="1" max="1" width="10.42578125" style="974" bestFit="1" customWidth="1"/>
    <col min="2" max="2" width="26.5703125" style="974" bestFit="1" customWidth="1"/>
    <col min="3" max="3" width="23.140625" style="974" customWidth="1"/>
    <col min="4" max="4" width="8.85546875" style="974" bestFit="1" customWidth="1"/>
    <col min="5" max="5" width="6.140625" style="974" bestFit="1" customWidth="1"/>
    <col min="6" max="6" width="12.42578125" style="974" bestFit="1" customWidth="1"/>
    <col min="7" max="7" width="10" style="974" bestFit="1" customWidth="1"/>
    <col min="8" max="8" width="9.5703125" style="974" bestFit="1" customWidth="1"/>
    <col min="9" max="9" width="19" style="974" customWidth="1"/>
    <col min="10" max="10" width="11" style="974" customWidth="1"/>
    <col min="11" max="11" width="7.140625" style="974" bestFit="1" customWidth="1"/>
    <col min="12" max="12" width="7.5703125" style="974" bestFit="1" customWidth="1"/>
    <col min="13" max="13" width="13.85546875" style="974" bestFit="1" customWidth="1"/>
    <col min="14" max="14" width="11.42578125" style="974" customWidth="1"/>
    <col min="15" max="15" width="7.5703125" style="974"/>
    <col min="16" max="16" width="7.85546875" style="974" bestFit="1" customWidth="1"/>
    <col min="17" max="18" width="7.5703125" style="974"/>
    <col min="19" max="19" width="8.5703125" style="974" bestFit="1" customWidth="1"/>
    <col min="20" max="20" width="7.85546875" style="974" bestFit="1" customWidth="1"/>
    <col min="21" max="21" width="7.5703125" style="974"/>
    <col min="22" max="22" width="7.85546875" style="974" bestFit="1" customWidth="1"/>
    <col min="23" max="23" width="7.5703125" style="974"/>
    <col min="24" max="25" width="8.42578125" style="974" bestFit="1" customWidth="1"/>
    <col min="26" max="28" width="7.85546875" style="974" bestFit="1" customWidth="1"/>
    <col min="29" max="16384" width="7.5703125" style="974"/>
  </cols>
  <sheetData>
    <row r="1" spans="1:16" x14ac:dyDescent="0.25">
      <c r="A1" s="1010" t="s">
        <v>0</v>
      </c>
      <c r="B1" s="1006" t="s">
        <v>44</v>
      </c>
      <c r="C1" s="1006"/>
      <c r="D1" s="1006"/>
      <c r="E1" s="1006"/>
      <c r="F1" s="747" t="s">
        <v>69</v>
      </c>
      <c r="G1" s="1006"/>
      <c r="H1" s="1006"/>
      <c r="I1" s="1006"/>
      <c r="J1" s="1008" t="s">
        <v>1</v>
      </c>
      <c r="K1" s="1073">
        <v>81</v>
      </c>
      <c r="L1" s="1006"/>
      <c r="M1" s="1005" t="s">
        <v>16</v>
      </c>
      <c r="N1" s="1072">
        <f>N12+I19+J23</f>
        <v>38.15621592366692</v>
      </c>
      <c r="O1" s="1004"/>
    </row>
    <row r="2" spans="1:16" x14ac:dyDescent="0.25">
      <c r="A2" s="993" t="s">
        <v>3</v>
      </c>
      <c r="B2" s="974" t="s">
        <v>279</v>
      </c>
      <c r="D2" s="992" t="s">
        <v>6</v>
      </c>
      <c r="M2" s="992" t="s">
        <v>4</v>
      </c>
      <c r="N2" s="1096">
        <v>1</v>
      </c>
      <c r="O2" s="985"/>
    </row>
    <row r="3" spans="1:16" x14ac:dyDescent="0.25">
      <c r="A3" s="993" t="s">
        <v>5</v>
      </c>
      <c r="B3" s="813" t="s">
        <v>857</v>
      </c>
      <c r="D3" s="992" t="s">
        <v>8</v>
      </c>
      <c r="J3" s="992" t="s">
        <v>6</v>
      </c>
      <c r="O3" s="985"/>
    </row>
    <row r="4" spans="1:16" x14ac:dyDescent="0.25">
      <c r="A4" s="993" t="s">
        <v>15</v>
      </c>
      <c r="B4" s="974" t="s">
        <v>895</v>
      </c>
      <c r="D4" s="992" t="s">
        <v>12</v>
      </c>
      <c r="J4" s="992" t="s">
        <v>8</v>
      </c>
      <c r="M4" s="992" t="s">
        <v>9</v>
      </c>
      <c r="N4" s="803">
        <f>N1*N2</f>
        <v>38.15621592366692</v>
      </c>
      <c r="O4" s="985"/>
    </row>
    <row r="5" spans="1:16" x14ac:dyDescent="0.25">
      <c r="A5" s="993" t="s">
        <v>7</v>
      </c>
      <c r="B5" s="1000" t="s">
        <v>928</v>
      </c>
      <c r="J5" s="992" t="s">
        <v>12</v>
      </c>
      <c r="O5" s="985"/>
    </row>
    <row r="6" spans="1:16" x14ac:dyDescent="0.25">
      <c r="A6" s="993" t="s">
        <v>10</v>
      </c>
      <c r="B6" s="974" t="s">
        <v>11</v>
      </c>
      <c r="O6" s="985"/>
    </row>
    <row r="7" spans="1:16" x14ac:dyDescent="0.25">
      <c r="A7" s="993" t="s">
        <v>13</v>
      </c>
      <c r="O7" s="985"/>
    </row>
    <row r="8" spans="1:16" x14ac:dyDescent="0.25">
      <c r="A8" s="994"/>
      <c r="O8" s="985"/>
    </row>
    <row r="9" spans="1:16" s="980" customFormat="1" x14ac:dyDescent="0.25">
      <c r="A9" s="993" t="s">
        <v>14</v>
      </c>
      <c r="B9" s="992" t="s">
        <v>19</v>
      </c>
      <c r="C9" s="1095" t="s">
        <v>20</v>
      </c>
      <c r="D9" s="992" t="s">
        <v>21</v>
      </c>
      <c r="E9" s="992" t="s">
        <v>22</v>
      </c>
      <c r="F9" s="992" t="s">
        <v>23</v>
      </c>
      <c r="G9" s="992" t="s">
        <v>24</v>
      </c>
      <c r="H9" s="992" t="s">
        <v>25</v>
      </c>
      <c r="I9" s="992" t="s">
        <v>26</v>
      </c>
      <c r="J9" s="992" t="s">
        <v>27</v>
      </c>
      <c r="K9" s="992" t="s">
        <v>28</v>
      </c>
      <c r="L9" s="992" t="s">
        <v>29</v>
      </c>
      <c r="M9" s="992" t="s">
        <v>17</v>
      </c>
      <c r="N9" s="992" t="s">
        <v>18</v>
      </c>
      <c r="O9" s="981"/>
    </row>
    <row r="10" spans="1:16" s="1021" customFormat="1" x14ac:dyDescent="0.25">
      <c r="A10" s="1094">
        <v>10</v>
      </c>
      <c r="B10" s="1014" t="s">
        <v>680</v>
      </c>
      <c r="C10" s="1093" t="s">
        <v>927</v>
      </c>
      <c r="D10" s="398">
        <f>0.47*E10</f>
        <v>11.937999999999999</v>
      </c>
      <c r="E10" s="1014">
        <v>25.4</v>
      </c>
      <c r="F10" s="1014" t="s">
        <v>30</v>
      </c>
      <c r="G10" s="1014"/>
      <c r="H10" s="785"/>
      <c r="I10" s="1091" t="s">
        <v>926</v>
      </c>
      <c r="J10" s="858"/>
      <c r="K10" s="785"/>
      <c r="L10" s="792"/>
      <c r="M10" s="900">
        <v>0.4</v>
      </c>
      <c r="N10" s="803">
        <f>IF(J10="",D10*M10,D10*J10*K10*L10*M10)</f>
        <v>4.7751999999999999</v>
      </c>
      <c r="O10" s="1090"/>
      <c r="P10" s="1022"/>
    </row>
    <row r="11" spans="1:16" s="1021" customFormat="1" x14ac:dyDescent="0.25">
      <c r="A11" s="1094">
        <v>20</v>
      </c>
      <c r="B11" s="1014" t="s">
        <v>481</v>
      </c>
      <c r="C11" s="1093" t="s">
        <v>925</v>
      </c>
      <c r="D11" s="398">
        <v>2.25</v>
      </c>
      <c r="E11" s="1092">
        <f>J11*K11*L11</f>
        <v>0.19837095937240681</v>
      </c>
      <c r="F11" s="1014" t="s">
        <v>78</v>
      </c>
      <c r="G11" s="1014"/>
      <c r="H11" s="785"/>
      <c r="I11" s="1091" t="s">
        <v>924</v>
      </c>
      <c r="J11" s="858">
        <f>(PI()*12.5*12.5-PI()*12.25*12.25)/1000000</f>
        <v>1.9438604544086899E-5</v>
      </c>
      <c r="K11" s="785">
        <v>1.3</v>
      </c>
      <c r="L11" s="792">
        <v>7850</v>
      </c>
      <c r="M11" s="900">
        <v>1</v>
      </c>
      <c r="N11" s="803">
        <v>7.484734125000001</v>
      </c>
      <c r="O11" s="1090"/>
      <c r="P11" s="1022"/>
    </row>
    <row r="12" spans="1:16" s="980" customFormat="1" x14ac:dyDescent="0.25">
      <c r="A12" s="984"/>
      <c r="M12" s="983" t="s">
        <v>18</v>
      </c>
      <c r="N12" s="995">
        <f>SUM(N10:N11)</f>
        <v>12.259934125000001</v>
      </c>
      <c r="O12" s="981"/>
    </row>
    <row r="13" spans="1:16" x14ac:dyDescent="0.25">
      <c r="A13" s="994"/>
      <c r="O13" s="985"/>
    </row>
    <row r="14" spans="1:16" s="980" customFormat="1" x14ac:dyDescent="0.25">
      <c r="A14" s="993" t="s">
        <v>14</v>
      </c>
      <c r="B14" s="992" t="s">
        <v>31</v>
      </c>
      <c r="C14" s="992" t="s">
        <v>20</v>
      </c>
      <c r="D14" s="992" t="s">
        <v>21</v>
      </c>
      <c r="E14" s="992" t="s">
        <v>32</v>
      </c>
      <c r="F14" s="992" t="s">
        <v>17</v>
      </c>
      <c r="G14" s="992" t="s">
        <v>33</v>
      </c>
      <c r="H14" s="992" t="s">
        <v>34</v>
      </c>
      <c r="I14" s="992" t="s">
        <v>18</v>
      </c>
      <c r="O14" s="981"/>
    </row>
    <row r="15" spans="1:16" s="1021" customFormat="1" x14ac:dyDescent="0.25">
      <c r="A15" s="1027">
        <v>10</v>
      </c>
      <c r="B15" s="1029" t="s">
        <v>602</v>
      </c>
      <c r="C15" s="1025" t="s">
        <v>923</v>
      </c>
      <c r="D15" s="398">
        <v>0.06</v>
      </c>
      <c r="E15" s="1014" t="s">
        <v>46</v>
      </c>
      <c r="F15" s="1087">
        <f>2*PI()*1.25*8</f>
        <v>62.831853071795862</v>
      </c>
      <c r="G15" s="1014"/>
      <c r="H15" s="1014">
        <v>1</v>
      </c>
      <c r="I15" s="626">
        <f>IF(H15="",D15*F15,D15*F15*H15)</f>
        <v>3.7699111843077517</v>
      </c>
      <c r="J15" s="1089"/>
      <c r="K15" s="1089"/>
      <c r="L15" s="1089"/>
      <c r="M15" s="1089"/>
      <c r="N15" s="1089"/>
      <c r="O15" s="1088"/>
      <c r="P15" s="1022"/>
    </row>
    <row r="16" spans="1:16" s="1021" customFormat="1" x14ac:dyDescent="0.25">
      <c r="A16" s="1027">
        <v>20</v>
      </c>
      <c r="B16" s="1029" t="s">
        <v>922</v>
      </c>
      <c r="C16" s="1025" t="s">
        <v>921</v>
      </c>
      <c r="D16" s="398">
        <v>0.4</v>
      </c>
      <c r="E16" s="1014" t="s">
        <v>46</v>
      </c>
      <c r="F16" s="1087">
        <f>F15/2</f>
        <v>31.415926535897931</v>
      </c>
      <c r="G16" s="1014"/>
      <c r="H16" s="1014"/>
      <c r="I16" s="626">
        <f>IF(H16="",D16*F16,D16*F16*H16)</f>
        <v>12.566370614359172</v>
      </c>
      <c r="J16" s="1022"/>
      <c r="K16" s="1022"/>
      <c r="L16" s="1022"/>
      <c r="M16" s="1022"/>
      <c r="N16" s="1022"/>
      <c r="O16" s="1023"/>
      <c r="P16" s="1022"/>
    </row>
    <row r="17" spans="1:16" s="1021" customFormat="1" ht="30" x14ac:dyDescent="0.25">
      <c r="A17" s="1027">
        <v>30</v>
      </c>
      <c r="B17" s="1029" t="s">
        <v>252</v>
      </c>
      <c r="C17" s="1029" t="s">
        <v>920</v>
      </c>
      <c r="D17" s="398">
        <v>0.19</v>
      </c>
      <c r="E17" s="1014" t="s">
        <v>919</v>
      </c>
      <c r="F17" s="1014">
        <v>4</v>
      </c>
      <c r="G17" s="1014"/>
      <c r="H17" s="1014"/>
      <c r="I17" s="626">
        <f>IF(H17="",D17*F17,D17*F17*H17)</f>
        <v>0.76</v>
      </c>
      <c r="J17" s="1086"/>
      <c r="K17" s="1086"/>
      <c r="L17" s="1022"/>
      <c r="M17" s="1086"/>
      <c r="N17" s="1086"/>
      <c r="O17" s="1085"/>
      <c r="P17" s="1022"/>
    </row>
    <row r="18" spans="1:16" s="1021" customFormat="1" x14ac:dyDescent="0.25">
      <c r="A18" s="1027">
        <v>40</v>
      </c>
      <c r="B18" s="1029" t="s">
        <v>76</v>
      </c>
      <c r="C18" s="1025" t="s">
        <v>866</v>
      </c>
      <c r="D18" s="398">
        <v>0.5</v>
      </c>
      <c r="E18" s="1014" t="s">
        <v>919</v>
      </c>
      <c r="F18" s="1014">
        <v>8</v>
      </c>
      <c r="G18" s="1014"/>
      <c r="H18" s="1014"/>
      <c r="I18" s="626">
        <f>IF(H18="",D18*F18,D18*F18*H18)</f>
        <v>4</v>
      </c>
      <c r="J18" s="1022"/>
      <c r="K18" s="1022"/>
      <c r="L18" s="1022"/>
      <c r="M18" s="1022"/>
      <c r="N18" s="1022"/>
      <c r="O18" s="1023"/>
      <c r="P18" s="1022"/>
    </row>
    <row r="19" spans="1:16" s="980" customFormat="1" x14ac:dyDescent="0.25">
      <c r="A19" s="984"/>
      <c r="H19" s="983" t="s">
        <v>18</v>
      </c>
      <c r="I19" s="982">
        <f>SUM(I15:I18)</f>
        <v>21.096281798666926</v>
      </c>
      <c r="O19" s="981"/>
    </row>
    <row r="20" spans="1:16" x14ac:dyDescent="0.25">
      <c r="A20" s="994"/>
      <c r="O20" s="985"/>
    </row>
    <row r="21" spans="1:16" s="980" customFormat="1" x14ac:dyDescent="0.25">
      <c r="A21" s="993" t="s">
        <v>14</v>
      </c>
      <c r="B21" s="992" t="s">
        <v>36</v>
      </c>
      <c r="C21" s="992" t="s">
        <v>20</v>
      </c>
      <c r="D21" s="992" t="s">
        <v>21</v>
      </c>
      <c r="E21" s="992" t="s">
        <v>22</v>
      </c>
      <c r="F21" s="992" t="s">
        <v>23</v>
      </c>
      <c r="G21" s="992" t="s">
        <v>24</v>
      </c>
      <c r="H21" s="992" t="s">
        <v>25</v>
      </c>
      <c r="I21" s="992" t="s">
        <v>17</v>
      </c>
      <c r="J21" s="992" t="s">
        <v>18</v>
      </c>
      <c r="O21" s="981"/>
    </row>
    <row r="22" spans="1:16" s="1021" customFormat="1" x14ac:dyDescent="0.25">
      <c r="A22" s="1027">
        <v>10</v>
      </c>
      <c r="B22" s="1026" t="s">
        <v>167</v>
      </c>
      <c r="C22" s="1026" t="s">
        <v>861</v>
      </c>
      <c r="D22" s="398">
        <v>0.6</v>
      </c>
      <c r="E22" s="1014">
        <v>25.4</v>
      </c>
      <c r="F22" s="774" t="s">
        <v>30</v>
      </c>
      <c r="G22" s="1014"/>
      <c r="H22" s="1025"/>
      <c r="I22" s="861">
        <v>8</v>
      </c>
      <c r="J22" s="626">
        <f>I22*D22</f>
        <v>4.8</v>
      </c>
      <c r="K22" s="1022"/>
      <c r="L22" s="1024"/>
      <c r="M22" s="1022"/>
      <c r="N22" s="1022"/>
      <c r="O22" s="1023"/>
      <c r="P22" s="1022"/>
    </row>
    <row r="23" spans="1:16" s="980" customFormat="1" x14ac:dyDescent="0.25">
      <c r="A23" s="984"/>
      <c r="I23" s="983" t="s">
        <v>18</v>
      </c>
      <c r="J23" s="982">
        <f>SUM(J22)</f>
        <v>4.8</v>
      </c>
      <c r="O23" s="981"/>
    </row>
    <row r="24" spans="1:16" ht="15.75" thickBot="1" x14ac:dyDescent="0.3">
      <c r="A24" s="979"/>
      <c r="B24" s="976"/>
      <c r="C24" s="976"/>
      <c r="D24" s="976"/>
      <c r="E24" s="976"/>
      <c r="F24" s="976"/>
      <c r="G24" s="976"/>
      <c r="H24" s="978"/>
      <c r="I24" s="977"/>
      <c r="J24" s="976"/>
      <c r="K24" s="976"/>
      <c r="L24" s="976"/>
      <c r="M24" s="976"/>
      <c r="N24" s="976"/>
      <c r="O24" s="975"/>
    </row>
    <row r="25" spans="1:16" x14ac:dyDescent="0.25">
      <c r="H25" s="1018"/>
      <c r="I25" s="1017"/>
    </row>
  </sheetData>
  <hyperlinks>
    <hyperlink ref="F1" location="EN_A0800_BOM" display="Back to BOM" xr:uid="{9116626D-5AC6-42F4-B650-DA7705F6C5D9}"/>
    <hyperlink ref="B3" location="EN_A0800" display="Cooling System" xr:uid="{D8962F8D-ED71-4ED8-87C8-8245D2A9812A}"/>
  </hyperlinks>
  <printOptions horizontalCentered="1"/>
  <pageMargins left="0.3" right="0.3" top="0.3" bottom="0.4" header="0.2" footer="0.2"/>
  <pageSetup paperSize="9" scale="79" orientation="landscape" r:id="rId1"/>
  <headerFooter>
    <oddFooter>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AC95E-9593-478D-BA07-417C6E898E42}">
  <sheetPr>
    <tabColor rgb="FFC4D79B"/>
    <pageSetUpPr fitToPage="1"/>
  </sheetPr>
  <dimension ref="A1:O21"/>
  <sheetViews>
    <sheetView zoomScale="90" zoomScaleNormal="90" zoomScalePageLayoutView="49" workbookViewId="0">
      <selection activeCell="F1" sqref="F1"/>
    </sheetView>
  </sheetViews>
  <sheetFormatPr baseColWidth="10" defaultColWidth="7.5703125" defaultRowHeight="15" x14ac:dyDescent="0.25"/>
  <cols>
    <col min="1" max="1" width="10.42578125" style="974" bestFit="1" customWidth="1"/>
    <col min="2" max="2" width="27" style="974" bestFit="1" customWidth="1"/>
    <col min="3" max="3" width="24.42578125" style="974" bestFit="1" customWidth="1"/>
    <col min="4" max="4" width="8.85546875" style="974" bestFit="1" customWidth="1"/>
    <col min="5" max="5" width="6.140625" style="974" bestFit="1" customWidth="1"/>
    <col min="6" max="6" width="12.42578125" style="974" bestFit="1" customWidth="1"/>
    <col min="7" max="7" width="10" style="974" bestFit="1" customWidth="1"/>
    <col min="8" max="8" width="9.5703125" style="974" bestFit="1" customWidth="1"/>
    <col min="9" max="9" width="11" style="974" bestFit="1" customWidth="1"/>
    <col min="10" max="10" width="9.140625" style="974" bestFit="1" customWidth="1"/>
    <col min="11" max="11" width="7.140625" style="974" bestFit="1" customWidth="1"/>
    <col min="12" max="12" width="7.5703125" style="974" bestFit="1" customWidth="1"/>
    <col min="13" max="13" width="13.85546875" style="974" bestFit="1" customWidth="1"/>
    <col min="14" max="14" width="9.140625" style="974" bestFit="1" customWidth="1"/>
    <col min="15" max="15" width="7.5703125" style="974"/>
    <col min="16" max="16" width="7.85546875" style="974" bestFit="1" customWidth="1"/>
    <col min="17" max="18" width="7.5703125" style="974"/>
    <col min="19" max="19" width="8.5703125" style="974" bestFit="1" customWidth="1"/>
    <col min="20" max="20" width="7.85546875" style="974" bestFit="1" customWidth="1"/>
    <col min="21" max="21" width="7.5703125" style="974"/>
    <col min="22" max="22" width="7.85546875" style="974" bestFit="1" customWidth="1"/>
    <col min="23" max="23" width="7.5703125" style="974"/>
    <col min="24" max="25" width="8.42578125" style="974" bestFit="1" customWidth="1"/>
    <col min="26" max="28" width="7.85546875" style="974" bestFit="1" customWidth="1"/>
    <col min="29" max="16384" width="7.5703125" style="974"/>
  </cols>
  <sheetData>
    <row r="1" spans="1:15" x14ac:dyDescent="0.25">
      <c r="A1" s="1010" t="s">
        <v>0</v>
      </c>
      <c r="B1" s="1006" t="s">
        <v>44</v>
      </c>
      <c r="C1" s="1006"/>
      <c r="D1" s="1006"/>
      <c r="E1" s="1006"/>
      <c r="F1" s="747" t="s">
        <v>69</v>
      </c>
      <c r="G1" s="1006"/>
      <c r="H1" s="1006"/>
      <c r="I1" s="1006"/>
      <c r="J1" s="1008" t="s">
        <v>1</v>
      </c>
      <c r="K1" s="1073">
        <v>81</v>
      </c>
      <c r="L1" s="1006"/>
      <c r="M1" s="1005" t="s">
        <v>16</v>
      </c>
      <c r="N1" s="1072">
        <f>N11+I16+J20</f>
        <v>30.77</v>
      </c>
      <c r="O1" s="1004"/>
    </row>
    <row r="2" spans="1:15" x14ac:dyDescent="0.25">
      <c r="A2" s="993" t="s">
        <v>3</v>
      </c>
      <c r="B2" s="974" t="s">
        <v>279</v>
      </c>
      <c r="D2" s="992" t="s">
        <v>6</v>
      </c>
      <c r="M2" s="992" t="s">
        <v>4</v>
      </c>
      <c r="N2" s="810">
        <v>1</v>
      </c>
      <c r="O2" s="985"/>
    </row>
    <row r="3" spans="1:15" x14ac:dyDescent="0.25">
      <c r="A3" s="993" t="s">
        <v>5</v>
      </c>
      <c r="B3" s="813" t="s">
        <v>857</v>
      </c>
      <c r="D3" s="992" t="s">
        <v>8</v>
      </c>
      <c r="J3" s="992" t="s">
        <v>6</v>
      </c>
      <c r="O3" s="985"/>
    </row>
    <row r="4" spans="1:15" x14ac:dyDescent="0.25">
      <c r="A4" s="993" t="s">
        <v>15</v>
      </c>
      <c r="B4" s="974" t="s">
        <v>894</v>
      </c>
      <c r="D4" s="992" t="s">
        <v>12</v>
      </c>
      <c r="J4" s="992" t="s">
        <v>8</v>
      </c>
      <c r="M4" s="992" t="s">
        <v>9</v>
      </c>
      <c r="N4" s="803">
        <f>N1*N2</f>
        <v>30.77</v>
      </c>
      <c r="O4" s="985"/>
    </row>
    <row r="5" spans="1:15" x14ac:dyDescent="0.25">
      <c r="A5" s="993" t="s">
        <v>7</v>
      </c>
      <c r="B5" s="1000" t="s">
        <v>933</v>
      </c>
      <c r="J5" s="992" t="s">
        <v>12</v>
      </c>
      <c r="O5" s="985"/>
    </row>
    <row r="6" spans="1:15" x14ac:dyDescent="0.25">
      <c r="A6" s="993" t="s">
        <v>10</v>
      </c>
      <c r="B6" s="974" t="s">
        <v>11</v>
      </c>
      <c r="O6" s="985"/>
    </row>
    <row r="7" spans="1:15" x14ac:dyDescent="0.25">
      <c r="A7" s="993" t="s">
        <v>13</v>
      </c>
      <c r="O7" s="985"/>
    </row>
    <row r="8" spans="1:15" x14ac:dyDescent="0.25">
      <c r="A8" s="994"/>
      <c r="O8" s="985"/>
    </row>
    <row r="9" spans="1:15" s="980" customFormat="1" x14ac:dyDescent="0.25">
      <c r="A9" s="993" t="s">
        <v>14</v>
      </c>
      <c r="B9" s="992" t="s">
        <v>19</v>
      </c>
      <c r="C9" s="992" t="s">
        <v>20</v>
      </c>
      <c r="D9" s="992" t="s">
        <v>21</v>
      </c>
      <c r="E9" s="992" t="s">
        <v>22</v>
      </c>
      <c r="F9" s="992" t="s">
        <v>23</v>
      </c>
      <c r="G9" s="992" t="s">
        <v>24</v>
      </c>
      <c r="H9" s="992" t="s">
        <v>25</v>
      </c>
      <c r="I9" s="992" t="s">
        <v>26</v>
      </c>
      <c r="J9" s="992" t="s">
        <v>27</v>
      </c>
      <c r="K9" s="992" t="s">
        <v>28</v>
      </c>
      <c r="L9" s="992" t="s">
        <v>29</v>
      </c>
      <c r="M9" s="992" t="s">
        <v>17</v>
      </c>
      <c r="N9" s="992" t="s">
        <v>18</v>
      </c>
      <c r="O9" s="981"/>
    </row>
    <row r="10" spans="1:15" x14ac:dyDescent="0.25">
      <c r="A10" s="988">
        <v>10</v>
      </c>
      <c r="B10" s="986" t="s">
        <v>932</v>
      </c>
      <c r="C10" s="986"/>
      <c r="D10" s="398">
        <v>30</v>
      </c>
      <c r="E10" s="986"/>
      <c r="F10" s="986"/>
      <c r="G10" s="986"/>
      <c r="H10" s="785"/>
      <c r="I10" s="787"/>
      <c r="J10" s="786"/>
      <c r="K10" s="785"/>
      <c r="L10" s="785"/>
      <c r="M10" s="792">
        <v>1</v>
      </c>
      <c r="N10" s="803">
        <f>IF(J10="",D10*M10,D10*J10*K10*L10*M10)</f>
        <v>30</v>
      </c>
      <c r="O10" s="985"/>
    </row>
    <row r="11" spans="1:15" s="980" customFormat="1" x14ac:dyDescent="0.25">
      <c r="A11" s="984"/>
      <c r="M11" s="983" t="s">
        <v>18</v>
      </c>
      <c r="N11" s="995">
        <f>SUM(N10:N10)</f>
        <v>30</v>
      </c>
      <c r="O11" s="981"/>
    </row>
    <row r="12" spans="1:15" x14ac:dyDescent="0.25">
      <c r="A12" s="994"/>
      <c r="O12" s="985"/>
    </row>
    <row r="13" spans="1:15" s="980" customFormat="1" x14ac:dyDescent="0.25">
      <c r="A13" s="993" t="s">
        <v>14</v>
      </c>
      <c r="B13" s="992" t="s">
        <v>31</v>
      </c>
      <c r="C13" s="992" t="s">
        <v>20</v>
      </c>
      <c r="D13" s="992" t="s">
        <v>21</v>
      </c>
      <c r="E13" s="992" t="s">
        <v>32</v>
      </c>
      <c r="F13" s="992" t="s">
        <v>17</v>
      </c>
      <c r="G13" s="992" t="s">
        <v>33</v>
      </c>
      <c r="H13" s="992" t="s">
        <v>34</v>
      </c>
      <c r="I13" s="992" t="s">
        <v>18</v>
      </c>
      <c r="O13" s="981"/>
    </row>
    <row r="14" spans="1:15" x14ac:dyDescent="0.25">
      <c r="A14" s="988">
        <v>10</v>
      </c>
      <c r="B14" s="987" t="s">
        <v>931</v>
      </c>
      <c r="C14" s="987" t="s">
        <v>859</v>
      </c>
      <c r="D14" s="398">
        <v>0.13</v>
      </c>
      <c r="E14" s="986" t="s">
        <v>929</v>
      </c>
      <c r="F14" s="986">
        <v>1</v>
      </c>
      <c r="G14" s="986"/>
      <c r="H14" s="986">
        <v>1</v>
      </c>
      <c r="I14" s="398">
        <f>D14*F14*H14</f>
        <v>0.13</v>
      </c>
      <c r="O14" s="985"/>
    </row>
    <row r="15" spans="1:15" x14ac:dyDescent="0.25">
      <c r="A15" s="988">
        <v>20</v>
      </c>
      <c r="B15" s="987" t="s">
        <v>172</v>
      </c>
      <c r="C15" s="987" t="s">
        <v>930</v>
      </c>
      <c r="D15" s="398">
        <v>0.06</v>
      </c>
      <c r="E15" s="986" t="s">
        <v>929</v>
      </c>
      <c r="F15" s="986">
        <v>4</v>
      </c>
      <c r="G15" s="986"/>
      <c r="H15" s="986">
        <v>1</v>
      </c>
      <c r="I15" s="398">
        <f>D15*F15*H15</f>
        <v>0.24</v>
      </c>
      <c r="O15" s="985"/>
    </row>
    <row r="16" spans="1:15" s="980" customFormat="1" x14ac:dyDescent="0.25">
      <c r="A16" s="984"/>
      <c r="H16" s="983" t="s">
        <v>18</v>
      </c>
      <c r="I16" s="982">
        <f>SUM(I14:I15)</f>
        <v>0.37</v>
      </c>
      <c r="O16" s="981"/>
    </row>
    <row r="17" spans="1:15" x14ac:dyDescent="0.25">
      <c r="A17" s="994"/>
      <c r="O17" s="985"/>
    </row>
    <row r="18" spans="1:15" s="980" customFormat="1" x14ac:dyDescent="0.25">
      <c r="A18" s="993" t="s">
        <v>14</v>
      </c>
      <c r="B18" s="992" t="s">
        <v>36</v>
      </c>
      <c r="C18" s="992" t="s">
        <v>20</v>
      </c>
      <c r="D18" s="992" t="s">
        <v>21</v>
      </c>
      <c r="E18" s="992" t="s">
        <v>22</v>
      </c>
      <c r="F18" s="992" t="s">
        <v>23</v>
      </c>
      <c r="G18" s="992" t="s">
        <v>24</v>
      </c>
      <c r="H18" s="992" t="s">
        <v>25</v>
      </c>
      <c r="I18" s="992" t="s">
        <v>17</v>
      </c>
      <c r="J18" s="992" t="s">
        <v>18</v>
      </c>
      <c r="O18" s="981"/>
    </row>
    <row r="19" spans="1:15" x14ac:dyDescent="0.25">
      <c r="A19" s="988">
        <v>10</v>
      </c>
      <c r="B19" s="986" t="s">
        <v>860</v>
      </c>
      <c r="C19" s="986" t="s">
        <v>859</v>
      </c>
      <c r="D19" s="986">
        <v>0.1</v>
      </c>
      <c r="E19" s="986"/>
      <c r="F19" s="774"/>
      <c r="G19" s="986"/>
      <c r="H19" s="987"/>
      <c r="I19" s="861">
        <v>4</v>
      </c>
      <c r="J19" s="398">
        <f>D19*I19</f>
        <v>0.4</v>
      </c>
      <c r="L19" s="1019"/>
      <c r="O19" s="985"/>
    </row>
    <row r="20" spans="1:15" s="980" customFormat="1" x14ac:dyDescent="0.25">
      <c r="A20" s="984"/>
      <c r="I20" s="983" t="s">
        <v>18</v>
      </c>
      <c r="J20" s="982">
        <f>SUM(J19)</f>
        <v>0.4</v>
      </c>
      <c r="O20" s="981"/>
    </row>
    <row r="21" spans="1:15" ht="15.75" thickBot="1" x14ac:dyDescent="0.3">
      <c r="A21" s="979"/>
      <c r="B21" s="976"/>
      <c r="C21" s="976"/>
      <c r="D21" s="976"/>
      <c r="E21" s="976"/>
      <c r="F21" s="976"/>
      <c r="G21" s="976"/>
      <c r="H21" s="978"/>
      <c r="I21" s="977"/>
      <c r="J21" s="976"/>
      <c r="K21" s="976"/>
      <c r="L21" s="976"/>
      <c r="M21" s="976"/>
      <c r="N21" s="976"/>
      <c r="O21" s="975"/>
    </row>
  </sheetData>
  <hyperlinks>
    <hyperlink ref="F1" location="EN_A0800_BOM" display="Back to BOM" xr:uid="{697C884F-CE2B-4E97-A9D7-2757A36C2E14}"/>
    <hyperlink ref="B3" location="EN_A0800" display="Cooling System" xr:uid="{A09ACACD-C40E-45CC-974D-C36997F5279B}"/>
  </hyperlinks>
  <printOptions horizontalCentered="1"/>
  <pageMargins left="0.3" right="0.3" top="0.3" bottom="0.4" header="0.2" footer="0.2"/>
  <pageSetup paperSize="9" scale="72" orientation="landscape" r:id="rId1"/>
  <headerFooter>
    <oddFooter>Page &amp;P</oddFooter>
  </headerFooter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5991-6C59-4A4C-8374-0C3748004995}">
  <sheetPr>
    <tabColor rgb="FFC4D79B"/>
    <pageSetUpPr fitToPage="1"/>
  </sheetPr>
  <dimension ref="A1:Q38"/>
  <sheetViews>
    <sheetView topLeftCell="A13" zoomScale="70" zoomScaleNormal="70" workbookViewId="0">
      <selection activeCell="F1" sqref="F1"/>
    </sheetView>
  </sheetViews>
  <sheetFormatPr baseColWidth="10" defaultColWidth="7.5703125" defaultRowHeight="15" x14ac:dyDescent="0.25"/>
  <cols>
    <col min="1" max="1" width="10.42578125" style="974" bestFit="1" customWidth="1"/>
    <col min="2" max="2" width="33.5703125" style="974" bestFit="1" customWidth="1"/>
    <col min="3" max="3" width="40.140625" style="974" bestFit="1" customWidth="1"/>
    <col min="4" max="4" width="11.140625" style="974" customWidth="1"/>
    <col min="5" max="5" width="5.5703125" style="974" bestFit="1" customWidth="1"/>
    <col min="6" max="6" width="12" style="974" bestFit="1" customWidth="1"/>
    <col min="7" max="7" width="35.140625" style="974" bestFit="1" customWidth="1"/>
    <col min="8" max="8" width="9.5703125" style="974" bestFit="1" customWidth="1"/>
    <col min="9" max="9" width="25.85546875" style="974" bestFit="1" customWidth="1"/>
    <col min="10" max="10" width="10.7109375" style="974" customWidth="1"/>
    <col min="11" max="11" width="7" style="974" bestFit="1" customWidth="1"/>
    <col min="12" max="12" width="7.5703125" style="974" bestFit="1" customWidth="1"/>
    <col min="13" max="13" width="13.5703125" style="974" bestFit="1" customWidth="1"/>
    <col min="14" max="14" width="10.7109375" style="974" customWidth="1"/>
    <col min="15" max="15" width="7.5703125" style="974"/>
    <col min="16" max="16" width="7.85546875" style="974" bestFit="1" customWidth="1"/>
    <col min="17" max="18" width="7.5703125" style="974"/>
    <col min="19" max="19" width="8.5703125" style="974" bestFit="1" customWidth="1"/>
    <col min="20" max="20" width="7.85546875" style="974" bestFit="1" customWidth="1"/>
    <col min="21" max="21" width="7.5703125" style="974"/>
    <col min="22" max="22" width="7.85546875" style="974" bestFit="1" customWidth="1"/>
    <col min="23" max="23" width="7.5703125" style="974"/>
    <col min="24" max="25" width="8.42578125" style="974" bestFit="1" customWidth="1"/>
    <col min="26" max="28" width="7.85546875" style="974" bestFit="1" customWidth="1"/>
    <col min="29" max="16384" width="7.5703125" style="974"/>
  </cols>
  <sheetData>
    <row r="1" spans="1:16" x14ac:dyDescent="0.25">
      <c r="A1" s="1133" t="s">
        <v>0</v>
      </c>
      <c r="B1" s="1132" t="s">
        <v>44</v>
      </c>
      <c r="C1" s="1132"/>
      <c r="D1" s="1132"/>
      <c r="E1" s="1132"/>
      <c r="F1" s="1192" t="s">
        <v>69</v>
      </c>
      <c r="G1" s="1132"/>
      <c r="H1" s="1132"/>
      <c r="I1" s="1132"/>
      <c r="J1" s="1008" t="s">
        <v>1</v>
      </c>
      <c r="K1" s="1073">
        <v>81</v>
      </c>
      <c r="L1" s="1132"/>
      <c r="M1" s="1131" t="s">
        <v>16</v>
      </c>
      <c r="N1" s="1072">
        <f>N16+I33+I37</f>
        <v>22.729890633701562</v>
      </c>
      <c r="O1" s="1004"/>
    </row>
    <row r="2" spans="1:16" x14ac:dyDescent="0.25">
      <c r="A2" s="1104" t="s">
        <v>3</v>
      </c>
      <c r="B2" s="1100" t="s">
        <v>279</v>
      </c>
      <c r="C2" s="1003" t="s">
        <v>707</v>
      </c>
      <c r="D2" s="1130" t="s">
        <v>6</v>
      </c>
      <c r="E2" s="1100"/>
      <c r="F2" s="1100"/>
      <c r="G2" s="1100"/>
      <c r="H2" s="1100"/>
      <c r="I2" s="1100"/>
      <c r="J2" s="1100"/>
      <c r="K2" s="1100"/>
      <c r="L2" s="1100"/>
      <c r="M2" s="1103" t="s">
        <v>4</v>
      </c>
      <c r="N2" s="810">
        <v>1</v>
      </c>
      <c r="O2" s="985"/>
    </row>
    <row r="3" spans="1:16" x14ac:dyDescent="0.25">
      <c r="A3" s="1104" t="s">
        <v>5</v>
      </c>
      <c r="B3" s="1129" t="s">
        <v>857</v>
      </c>
      <c r="C3" s="1100"/>
      <c r="D3" s="1103" t="s">
        <v>8</v>
      </c>
      <c r="E3" s="1100"/>
      <c r="F3" s="1100"/>
      <c r="G3" s="1100"/>
      <c r="H3" s="1100"/>
      <c r="I3" s="1100"/>
      <c r="J3" s="1103" t="s">
        <v>6</v>
      </c>
      <c r="K3" s="1100"/>
      <c r="L3" s="1100"/>
      <c r="M3" s="1100"/>
      <c r="O3" s="985"/>
    </row>
    <row r="4" spans="1:16" x14ac:dyDescent="0.25">
      <c r="A4" s="1104" t="s">
        <v>15</v>
      </c>
      <c r="B4" s="1100" t="s">
        <v>893</v>
      </c>
      <c r="C4" s="1100"/>
      <c r="D4" s="1103" t="s">
        <v>12</v>
      </c>
      <c r="E4" s="1100"/>
      <c r="F4" s="1100"/>
      <c r="G4" s="1100"/>
      <c r="H4" s="1100"/>
      <c r="I4" s="1100"/>
      <c r="J4" s="1103" t="s">
        <v>8</v>
      </c>
      <c r="K4" s="1100"/>
      <c r="L4" s="1100"/>
      <c r="M4" s="1103" t="s">
        <v>9</v>
      </c>
      <c r="N4" s="803">
        <f>N1*N2</f>
        <v>22.729890633701562</v>
      </c>
      <c r="O4" s="985"/>
    </row>
    <row r="5" spans="1:16" x14ac:dyDescent="0.25">
      <c r="A5" s="1104" t="s">
        <v>7</v>
      </c>
      <c r="B5" s="1000" t="s">
        <v>963</v>
      </c>
      <c r="C5" s="1100"/>
      <c r="D5" s="1100"/>
      <c r="E5" s="1100"/>
      <c r="F5" s="1100"/>
      <c r="G5" s="1100"/>
      <c r="H5" s="1100"/>
      <c r="I5" s="1100"/>
      <c r="J5" s="1103" t="s">
        <v>12</v>
      </c>
      <c r="K5" s="1100"/>
      <c r="L5" s="1100"/>
      <c r="M5" s="1100"/>
      <c r="O5" s="985"/>
    </row>
    <row r="6" spans="1:16" x14ac:dyDescent="0.25">
      <c r="A6" s="1104" t="s">
        <v>10</v>
      </c>
      <c r="B6" s="1100" t="s">
        <v>11</v>
      </c>
      <c r="C6" s="1100"/>
      <c r="D6" s="1100"/>
      <c r="E6" s="1100"/>
      <c r="F6" s="1100"/>
      <c r="G6" s="1100"/>
      <c r="H6" s="1100"/>
      <c r="I6" s="1100"/>
      <c r="J6" s="1100"/>
      <c r="K6" s="1100"/>
      <c r="L6" s="1100"/>
      <c r="M6" s="1100"/>
      <c r="O6" s="985"/>
    </row>
    <row r="7" spans="1:16" x14ac:dyDescent="0.25">
      <c r="A7" s="1104" t="s">
        <v>13</v>
      </c>
      <c r="B7" s="1100"/>
      <c r="C7" s="1100"/>
      <c r="D7" s="1100"/>
      <c r="E7" s="1100"/>
      <c r="F7" s="1100"/>
      <c r="G7" s="1100"/>
      <c r="H7" s="1100"/>
      <c r="I7" s="1100"/>
      <c r="J7" s="1100"/>
      <c r="K7" s="1100"/>
      <c r="L7" s="1100"/>
      <c r="M7" s="1100"/>
      <c r="O7" s="985"/>
    </row>
    <row r="8" spans="1:16" x14ac:dyDescent="0.25">
      <c r="A8" s="1106"/>
      <c r="B8" s="1100"/>
      <c r="C8" s="1100"/>
      <c r="D8" s="1100"/>
      <c r="E8" s="1100"/>
      <c r="F8" s="1100"/>
      <c r="G8" s="1100"/>
      <c r="H8" s="1100"/>
      <c r="I8" s="1100"/>
      <c r="J8" s="1100"/>
      <c r="K8" s="1100"/>
      <c r="L8" s="1100"/>
      <c r="M8" s="1100"/>
      <c r="O8" s="985"/>
    </row>
    <row r="9" spans="1:16" s="980" customFormat="1" x14ac:dyDescent="0.25">
      <c r="A9" s="1104" t="s">
        <v>14</v>
      </c>
      <c r="B9" s="1103" t="s">
        <v>19</v>
      </c>
      <c r="C9" s="1103" t="s">
        <v>20</v>
      </c>
      <c r="D9" s="1103" t="s">
        <v>21</v>
      </c>
      <c r="E9" s="1103" t="s">
        <v>22</v>
      </c>
      <c r="F9" s="1103" t="s">
        <v>23</v>
      </c>
      <c r="G9" s="1103" t="s">
        <v>24</v>
      </c>
      <c r="H9" s="1103" t="s">
        <v>25</v>
      </c>
      <c r="I9" s="1103" t="s">
        <v>26</v>
      </c>
      <c r="J9" s="1103" t="s">
        <v>27</v>
      </c>
      <c r="K9" s="1103" t="s">
        <v>28</v>
      </c>
      <c r="L9" s="1103" t="s">
        <v>29</v>
      </c>
      <c r="M9" s="1103" t="s">
        <v>17</v>
      </c>
      <c r="N9" s="992" t="s">
        <v>18</v>
      </c>
      <c r="O9" s="981"/>
    </row>
    <row r="10" spans="1:16" s="1021" customFormat="1" x14ac:dyDescent="0.25">
      <c r="A10" s="1048">
        <v>10</v>
      </c>
      <c r="B10" s="1045" t="s">
        <v>906</v>
      </c>
      <c r="C10" s="1045" t="s">
        <v>962</v>
      </c>
      <c r="D10" s="1047">
        <v>4.2</v>
      </c>
      <c r="E10" s="1124">
        <f>J10*K10*L10</f>
        <v>9.8423031642538392E-2</v>
      </c>
      <c r="F10" s="1045" t="s">
        <v>78</v>
      </c>
      <c r="G10" s="1045"/>
      <c r="H10" s="1044"/>
      <c r="I10" s="1043" t="s">
        <v>961</v>
      </c>
      <c r="J10" s="1042">
        <f>PI()*(0.02^2-0.018^2)</f>
        <v>2.3876104167282447E-4</v>
      </c>
      <c r="K10" s="1041">
        <v>0.152</v>
      </c>
      <c r="L10" s="1040">
        <v>2712</v>
      </c>
      <c r="M10" s="1039">
        <v>1</v>
      </c>
      <c r="N10" s="1123">
        <f>IF(J10="",D10*M10,D10*J10*K10*L10*M10)</f>
        <v>0.41337673289866128</v>
      </c>
      <c r="O10" s="1090"/>
      <c r="P10" s="1022"/>
    </row>
    <row r="11" spans="1:16" s="1021" customFormat="1" x14ac:dyDescent="0.25">
      <c r="A11" s="1048">
        <v>20</v>
      </c>
      <c r="B11" s="1045" t="s">
        <v>906</v>
      </c>
      <c r="C11" s="1045" t="s">
        <v>960</v>
      </c>
      <c r="D11" s="1047">
        <v>4.2</v>
      </c>
      <c r="E11" s="1124">
        <f>J11*K11*L11</f>
        <v>1.0848E-2</v>
      </c>
      <c r="F11" s="1045" t="s">
        <v>78</v>
      </c>
      <c r="G11" s="1045"/>
      <c r="H11" s="1044"/>
      <c r="I11" s="1043" t="s">
        <v>959</v>
      </c>
      <c r="J11" s="1042">
        <f>0.002</f>
        <v>2E-3</v>
      </c>
      <c r="K11" s="1041">
        <v>2E-3</v>
      </c>
      <c r="L11" s="1040">
        <v>2712</v>
      </c>
      <c r="M11" s="1039">
        <v>1</v>
      </c>
      <c r="N11" s="1123"/>
      <c r="O11" s="1090"/>
      <c r="P11" s="1022"/>
    </row>
    <row r="12" spans="1:16" s="1021" customFormat="1" x14ac:dyDescent="0.25">
      <c r="A12" s="1048">
        <v>30</v>
      </c>
      <c r="B12" s="481" t="s">
        <v>631</v>
      </c>
      <c r="C12" s="502" t="s">
        <v>958</v>
      </c>
      <c r="D12" s="789">
        <f>1.3*EXP(0.044*E12)</f>
        <v>2.4069593356828998</v>
      </c>
      <c r="E12" s="502">
        <v>14</v>
      </c>
      <c r="F12" s="502" t="s">
        <v>30</v>
      </c>
      <c r="G12" s="502"/>
      <c r="H12" s="1128"/>
      <c r="I12" s="512"/>
      <c r="J12" s="1127"/>
      <c r="K12" s="1126"/>
      <c r="L12" s="831"/>
      <c r="M12" s="1125">
        <v>1</v>
      </c>
      <c r="N12" s="1123">
        <f>IF(J12="",D12*M12,D12*J12*K12*L12*M12)</f>
        <v>2.4069593356828998</v>
      </c>
      <c r="O12" s="1090"/>
      <c r="P12" s="1022"/>
    </row>
    <row r="13" spans="1:16" s="1021" customFormat="1" x14ac:dyDescent="0.25">
      <c r="A13" s="1048">
        <v>40</v>
      </c>
      <c r="B13" s="1045" t="s">
        <v>906</v>
      </c>
      <c r="C13" s="1045" t="s">
        <v>953</v>
      </c>
      <c r="D13" s="1047">
        <v>4.2</v>
      </c>
      <c r="E13" s="1124">
        <f>J13*K13*L13</f>
        <v>2.451648E-2</v>
      </c>
      <c r="F13" s="1045" t="s">
        <v>78</v>
      </c>
      <c r="G13" s="1045"/>
      <c r="H13" s="1044"/>
      <c r="I13" s="1043" t="s">
        <v>957</v>
      </c>
      <c r="J13" s="1042">
        <v>4.5199999999999998E-4</v>
      </c>
      <c r="K13" s="1041">
        <v>0.02</v>
      </c>
      <c r="L13" s="1040">
        <v>2712</v>
      </c>
      <c r="M13" s="1039">
        <v>1</v>
      </c>
      <c r="N13" s="1123">
        <f>IF(J13="",D13*M13,D13*J13*K13*L13*M13)</f>
        <v>0.102969216</v>
      </c>
      <c r="O13" s="1090"/>
      <c r="P13" s="1022"/>
    </row>
    <row r="14" spans="1:16" s="1021" customFormat="1" x14ac:dyDescent="0.25">
      <c r="A14" s="1048">
        <v>60</v>
      </c>
      <c r="B14" s="1045" t="s">
        <v>906</v>
      </c>
      <c r="C14" s="1045" t="s">
        <v>937</v>
      </c>
      <c r="D14" s="1047">
        <v>2.25</v>
      </c>
      <c r="E14" s="1124">
        <f>J14*K14*L14</f>
        <v>3.8347679999999995E-2</v>
      </c>
      <c r="F14" s="1045" t="s">
        <v>78</v>
      </c>
      <c r="G14" s="1045"/>
      <c r="H14" s="1044"/>
      <c r="I14" s="1043" t="s">
        <v>956</v>
      </c>
      <c r="J14" s="1042">
        <v>7.0699999999999995E-4</v>
      </c>
      <c r="K14" s="1041">
        <v>0.02</v>
      </c>
      <c r="L14" s="1040">
        <v>2712</v>
      </c>
      <c r="M14" s="1039">
        <v>1</v>
      </c>
      <c r="N14" s="1123">
        <f>IF(J14="",D14*M14,D14*J14*K14*L14*M14)</f>
        <v>8.6282280000000003E-2</v>
      </c>
      <c r="O14" s="1090"/>
      <c r="P14" s="1022"/>
    </row>
    <row r="15" spans="1:16" s="1021" customFormat="1" x14ac:dyDescent="0.25">
      <c r="A15" s="1048">
        <v>70</v>
      </c>
      <c r="B15" s="1045" t="s">
        <v>906</v>
      </c>
      <c r="C15" s="1045" t="s">
        <v>955</v>
      </c>
      <c r="D15" s="1047">
        <v>4.2</v>
      </c>
      <c r="E15" s="1124">
        <f>J15*K15*L15</f>
        <v>1.1089368000000001E-3</v>
      </c>
      <c r="F15" s="1045" t="s">
        <v>78</v>
      </c>
      <c r="G15" s="1045"/>
      <c r="H15" s="1044"/>
      <c r="I15" s="1043" t="s">
        <v>954</v>
      </c>
      <c r="J15" s="1042">
        <v>1.3630000000000001E-4</v>
      </c>
      <c r="K15" s="1041">
        <v>3.0000000000000001E-3</v>
      </c>
      <c r="L15" s="1040">
        <v>2712</v>
      </c>
      <c r="M15" s="1039">
        <v>2</v>
      </c>
      <c r="N15" s="1123">
        <f>IF(J15="",D15*M15,D15*J15*K15*L15*M15)</f>
        <v>9.31506912E-3</v>
      </c>
      <c r="O15" s="1090"/>
      <c r="P15" s="1022"/>
    </row>
    <row r="16" spans="1:16" s="980" customFormat="1" x14ac:dyDescent="0.25">
      <c r="A16" s="1099"/>
      <c r="B16" s="1097"/>
      <c r="C16" s="1097"/>
      <c r="D16" s="1097"/>
      <c r="E16" s="1097"/>
      <c r="F16" s="1097"/>
      <c r="G16" s="1097"/>
      <c r="H16" s="1097"/>
      <c r="I16" s="1097"/>
      <c r="J16" s="1097"/>
      <c r="K16" s="1097"/>
      <c r="L16" s="1097"/>
      <c r="M16" s="983" t="s">
        <v>18</v>
      </c>
      <c r="N16" s="995">
        <f>SUM(N10:N15)</f>
        <v>3.0189026337015608</v>
      </c>
      <c r="O16" s="981"/>
    </row>
    <row r="17" spans="1:17" s="1117" customFormat="1" x14ac:dyDescent="0.25">
      <c r="A17" s="1122"/>
      <c r="B17" s="856"/>
      <c r="C17" s="856"/>
      <c r="D17" s="856"/>
      <c r="E17" s="1121"/>
      <c r="F17" s="856"/>
      <c r="G17" s="761"/>
      <c r="H17" s="761"/>
      <c r="I17" s="761"/>
      <c r="J17" s="856"/>
      <c r="K17" s="856"/>
      <c r="L17" s="1120"/>
      <c r="M17" s="1119"/>
      <c r="N17" s="761"/>
      <c r="O17" s="1118"/>
    </row>
    <row r="18" spans="1:17" s="980" customFormat="1" x14ac:dyDescent="0.25">
      <c r="A18" s="1104" t="s">
        <v>14</v>
      </c>
      <c r="B18" s="1103" t="s">
        <v>31</v>
      </c>
      <c r="C18" s="1103" t="s">
        <v>20</v>
      </c>
      <c r="D18" s="1103" t="s">
        <v>21</v>
      </c>
      <c r="E18" s="1103" t="s">
        <v>32</v>
      </c>
      <c r="F18" s="1103" t="s">
        <v>17</v>
      </c>
      <c r="G18" s="1103" t="s">
        <v>33</v>
      </c>
      <c r="H18" s="1103" t="s">
        <v>34</v>
      </c>
      <c r="I18" s="1103" t="s">
        <v>18</v>
      </c>
      <c r="J18" s="1097"/>
      <c r="K18" s="1097"/>
      <c r="L18" s="1097"/>
      <c r="M18" s="1097"/>
      <c r="O18" s="981"/>
    </row>
    <row r="19" spans="1:17" s="1021" customFormat="1" x14ac:dyDescent="0.25">
      <c r="A19" s="1102">
        <v>20</v>
      </c>
      <c r="B19" s="1112" t="s">
        <v>45</v>
      </c>
      <c r="C19" s="1112" t="s">
        <v>938</v>
      </c>
      <c r="D19" s="538">
        <v>1.3</v>
      </c>
      <c r="E19" s="1101" t="s">
        <v>32</v>
      </c>
      <c r="F19" s="1101">
        <v>1</v>
      </c>
      <c r="G19" s="1101"/>
      <c r="H19" s="1101">
        <v>1</v>
      </c>
      <c r="I19" s="626">
        <f>IF(H19="",D19*F19,D19*F19*H19)</f>
        <v>1.3</v>
      </c>
      <c r="J19" s="1107"/>
      <c r="K19" s="1107"/>
      <c r="L19" s="1107"/>
      <c r="M19" s="1107"/>
      <c r="N19" s="1089"/>
      <c r="O19" s="1088"/>
      <c r="P19" s="1022"/>
      <c r="Q19" s="1022"/>
    </row>
    <row r="20" spans="1:17" s="1021" customFormat="1" x14ac:dyDescent="0.25">
      <c r="A20" s="1102">
        <v>30</v>
      </c>
      <c r="B20" s="1112" t="s">
        <v>79</v>
      </c>
      <c r="C20" s="1101" t="s">
        <v>953</v>
      </c>
      <c r="D20" s="538">
        <v>0.04</v>
      </c>
      <c r="E20" s="1101" t="s">
        <v>81</v>
      </c>
      <c r="F20" s="1116">
        <v>11.774699999999999</v>
      </c>
      <c r="G20" s="1101" t="s">
        <v>952</v>
      </c>
      <c r="H20" s="1101">
        <v>1</v>
      </c>
      <c r="I20" s="626">
        <f>IF(H20="",D20*F20,D20*F20*H20)</f>
        <v>0.47098799999999996</v>
      </c>
      <c r="J20" s="1107"/>
      <c r="K20" s="1107"/>
      <c r="L20" s="1107"/>
      <c r="M20" s="1107"/>
      <c r="N20" s="1089"/>
      <c r="O20" s="1088"/>
      <c r="P20" s="1022"/>
      <c r="Q20" s="1022"/>
    </row>
    <row r="21" spans="1:17" s="1021" customFormat="1" x14ac:dyDescent="0.25">
      <c r="A21" s="1102">
        <v>40</v>
      </c>
      <c r="B21" s="1112" t="s">
        <v>951</v>
      </c>
      <c r="C21" s="1112" t="s">
        <v>950</v>
      </c>
      <c r="D21" s="538">
        <v>0.35</v>
      </c>
      <c r="E21" s="1101" t="s">
        <v>217</v>
      </c>
      <c r="F21" s="1101">
        <v>1</v>
      </c>
      <c r="G21" s="1101"/>
      <c r="H21" s="1101">
        <v>1</v>
      </c>
      <c r="I21" s="626">
        <f>IF(H21="",D21*F21,D21*F21*H21)</f>
        <v>0.35</v>
      </c>
      <c r="J21" s="1107"/>
      <c r="K21" s="1107"/>
      <c r="L21" s="1107"/>
      <c r="M21" s="1107"/>
      <c r="N21" s="1089"/>
      <c r="O21" s="1088"/>
      <c r="P21" s="1022"/>
      <c r="Q21" s="1022"/>
    </row>
    <row r="22" spans="1:17" s="1021" customFormat="1" x14ac:dyDescent="0.25">
      <c r="A22" s="1102">
        <v>50</v>
      </c>
      <c r="B22" s="1112" t="s">
        <v>45</v>
      </c>
      <c r="C22" s="1112" t="s">
        <v>949</v>
      </c>
      <c r="D22" s="538">
        <v>1.3</v>
      </c>
      <c r="E22" s="1101" t="s">
        <v>32</v>
      </c>
      <c r="F22" s="1101">
        <v>1</v>
      </c>
      <c r="G22" s="1101"/>
      <c r="H22" s="1101">
        <v>1</v>
      </c>
      <c r="I22" s="626">
        <f>IF(H22="",D22*F22,D22*F22*H22)</f>
        <v>1.3</v>
      </c>
      <c r="J22" s="1107"/>
      <c r="K22" s="1107"/>
      <c r="L22" s="1107"/>
      <c r="M22" s="1107"/>
      <c r="N22" s="1089"/>
      <c r="O22" s="1088"/>
      <c r="P22" s="1022"/>
      <c r="Q22" s="1022"/>
    </row>
    <row r="23" spans="1:17" s="1021" customFormat="1" x14ac:dyDescent="0.25">
      <c r="A23" s="1102">
        <v>60</v>
      </c>
      <c r="B23" s="1112" t="s">
        <v>231</v>
      </c>
      <c r="C23" s="1112" t="s">
        <v>948</v>
      </c>
      <c r="D23" s="538">
        <v>0.01</v>
      </c>
      <c r="E23" s="1101" t="s">
        <v>46</v>
      </c>
      <c r="F23" s="1115">
        <f>15.7+2*9.8</f>
        <v>35.299999999999997</v>
      </c>
      <c r="G23" s="1101" t="s">
        <v>936</v>
      </c>
      <c r="H23" s="1101">
        <v>1</v>
      </c>
      <c r="I23" s="626">
        <f>IF(H23="",D23*F23,D23*F23*H23)</f>
        <v>0.35299999999999998</v>
      </c>
      <c r="J23" s="1107"/>
      <c r="K23" s="1107"/>
      <c r="L23" s="1107"/>
      <c r="M23" s="1107"/>
      <c r="N23" s="1089"/>
      <c r="O23" s="1088"/>
      <c r="P23" s="1022"/>
      <c r="Q23" s="1022"/>
    </row>
    <row r="24" spans="1:17" s="1021" customFormat="1" x14ac:dyDescent="0.25">
      <c r="A24" s="1102"/>
      <c r="B24" s="1112" t="s">
        <v>478</v>
      </c>
      <c r="C24" s="1112" t="s">
        <v>947</v>
      </c>
      <c r="D24" s="538">
        <v>0.15</v>
      </c>
      <c r="E24" s="1101" t="s">
        <v>46</v>
      </c>
      <c r="F24" s="1101">
        <v>4</v>
      </c>
      <c r="G24" s="1101" t="s">
        <v>946</v>
      </c>
      <c r="H24" s="1101">
        <v>2</v>
      </c>
      <c r="I24" s="626">
        <f>IF(H24="",D24*F24,D24*F24*H24)</f>
        <v>1.2</v>
      </c>
      <c r="J24" s="1107"/>
      <c r="K24" s="1107"/>
      <c r="L24" s="1107"/>
      <c r="M24" s="1107"/>
      <c r="N24" s="1089"/>
      <c r="O24" s="1088"/>
      <c r="P24" s="1022"/>
      <c r="Q24" s="1022"/>
    </row>
    <row r="25" spans="1:17" s="1021" customFormat="1" x14ac:dyDescent="0.25">
      <c r="A25" s="1102"/>
      <c r="B25" s="633" t="s">
        <v>451</v>
      </c>
      <c r="C25" s="1112" t="s">
        <v>945</v>
      </c>
      <c r="D25" s="538">
        <v>0.75</v>
      </c>
      <c r="E25" s="1101" t="s">
        <v>449</v>
      </c>
      <c r="F25" s="1101">
        <v>4</v>
      </c>
      <c r="G25" s="1101"/>
      <c r="H25" s="1101"/>
      <c r="I25" s="626">
        <f>IF(H25="",D25*F25,D25*F25*H25)</f>
        <v>3</v>
      </c>
      <c r="J25" s="1107"/>
      <c r="K25" s="1107"/>
      <c r="L25" s="1107"/>
      <c r="M25" s="1107"/>
      <c r="N25" s="1022"/>
      <c r="O25" s="1023"/>
      <c r="P25" s="1022"/>
      <c r="Q25" s="1022"/>
    </row>
    <row r="26" spans="1:17" s="1021" customFormat="1" x14ac:dyDescent="0.25">
      <c r="A26" s="1102"/>
      <c r="B26" s="1114" t="s">
        <v>448</v>
      </c>
      <c r="C26" s="1112" t="s">
        <v>944</v>
      </c>
      <c r="D26" s="538">
        <v>0.38</v>
      </c>
      <c r="E26" s="1101" t="s">
        <v>449</v>
      </c>
      <c r="F26" s="1101">
        <v>4</v>
      </c>
      <c r="G26" s="1101"/>
      <c r="H26" s="1101"/>
      <c r="I26" s="626">
        <f>IF(H26="",D26*F26,D26*F26*H26)</f>
        <v>1.52</v>
      </c>
      <c r="J26" s="1107"/>
      <c r="K26" s="1107"/>
      <c r="L26" s="1107"/>
      <c r="M26" s="1107"/>
      <c r="N26" s="1022"/>
      <c r="O26" s="1023"/>
      <c r="P26" s="1022"/>
      <c r="Q26" s="1022"/>
    </row>
    <row r="27" spans="1:17" s="1021" customFormat="1" x14ac:dyDescent="0.25">
      <c r="A27" s="1102">
        <v>90</v>
      </c>
      <c r="B27" s="1112" t="s">
        <v>45</v>
      </c>
      <c r="C27" s="1112" t="s">
        <v>943</v>
      </c>
      <c r="D27" s="538">
        <v>1.3</v>
      </c>
      <c r="E27" s="1101" t="s">
        <v>32</v>
      </c>
      <c r="F27" s="1101">
        <v>1</v>
      </c>
      <c r="G27" s="1101" t="s">
        <v>942</v>
      </c>
      <c r="H27" s="1101">
        <f>1/2</f>
        <v>0.5</v>
      </c>
      <c r="I27" s="626">
        <f>IF(H27="",D27*F27,D27*F27*H27)</f>
        <v>0.65</v>
      </c>
      <c r="J27" s="1113"/>
      <c r="K27" s="1113"/>
      <c r="L27" s="1113"/>
      <c r="M27" s="1113"/>
      <c r="N27" s="1086"/>
      <c r="O27" s="1085"/>
      <c r="P27" s="1022"/>
      <c r="Q27" s="1022"/>
    </row>
    <row r="28" spans="1:17" s="1021" customFormat="1" x14ac:dyDescent="0.25">
      <c r="A28" s="1102">
        <v>100</v>
      </c>
      <c r="B28" s="1112" t="s">
        <v>231</v>
      </c>
      <c r="C28" s="1112" t="s">
        <v>941</v>
      </c>
      <c r="D28" s="538">
        <v>0.01</v>
      </c>
      <c r="E28" s="1101" t="s">
        <v>46</v>
      </c>
      <c r="F28" s="1101">
        <v>6.77</v>
      </c>
      <c r="G28" s="1101" t="s">
        <v>940</v>
      </c>
      <c r="H28" s="1101">
        <v>2</v>
      </c>
      <c r="I28" s="626">
        <f>IF(H28="",D28*F28,D28*F28*H28)</f>
        <v>0.13539999999999999</v>
      </c>
      <c r="J28" s="1107"/>
      <c r="K28" s="1107"/>
      <c r="L28" s="1107"/>
      <c r="M28" s="1107"/>
      <c r="N28" s="1022"/>
      <c r="O28" s="1023"/>
      <c r="P28" s="1022"/>
      <c r="Q28" s="1022"/>
    </row>
    <row r="29" spans="1:17" s="1021" customFormat="1" x14ac:dyDescent="0.25">
      <c r="A29" s="1102">
        <v>110</v>
      </c>
      <c r="B29" s="1112" t="s">
        <v>72</v>
      </c>
      <c r="C29" s="1112" t="s">
        <v>939</v>
      </c>
      <c r="D29" s="538">
        <v>0.15</v>
      </c>
      <c r="E29" s="1101" t="s">
        <v>46</v>
      </c>
      <c r="F29" s="1101">
        <f>19*2</f>
        <v>38</v>
      </c>
      <c r="G29" s="1101"/>
      <c r="H29" s="1101"/>
      <c r="I29" s="626">
        <f>IF(H29="",D29*F29,D29*F29*H29)</f>
        <v>5.7</v>
      </c>
      <c r="J29" s="1107"/>
      <c r="K29" s="1107"/>
      <c r="L29" s="1107"/>
      <c r="M29" s="1107"/>
      <c r="N29" s="1022"/>
      <c r="O29" s="1023"/>
      <c r="P29" s="1022"/>
      <c r="Q29" s="1022"/>
    </row>
    <row r="30" spans="1:17" s="1021" customFormat="1" x14ac:dyDescent="0.25">
      <c r="A30" s="1102">
        <v>120</v>
      </c>
      <c r="B30" s="1112" t="s">
        <v>45</v>
      </c>
      <c r="C30" s="1112" t="s">
        <v>938</v>
      </c>
      <c r="D30" s="538">
        <v>1.3</v>
      </c>
      <c r="E30" s="1101" t="s">
        <v>32</v>
      </c>
      <c r="F30" s="1101">
        <v>1</v>
      </c>
      <c r="G30" s="1101"/>
      <c r="H30" s="1101">
        <v>1</v>
      </c>
      <c r="I30" s="626">
        <f>IF(H30="",D30*F30,D30*F30*H30)</f>
        <v>1.3</v>
      </c>
      <c r="J30" s="1107"/>
      <c r="K30" s="1107"/>
      <c r="L30" s="1107"/>
      <c r="M30" s="1107"/>
      <c r="N30" s="1022"/>
      <c r="O30" s="1023"/>
      <c r="P30" s="1022"/>
      <c r="Q30" s="1022"/>
    </row>
    <row r="31" spans="1:17" s="1021" customFormat="1" x14ac:dyDescent="0.25">
      <c r="A31" s="1102">
        <v>130</v>
      </c>
      <c r="B31" s="1112" t="s">
        <v>79</v>
      </c>
      <c r="C31" s="1101" t="s">
        <v>937</v>
      </c>
      <c r="D31" s="538">
        <v>0.04</v>
      </c>
      <c r="E31" s="1101" t="s">
        <v>81</v>
      </c>
      <c r="F31" s="1101">
        <v>6.04</v>
      </c>
      <c r="G31" s="1101" t="s">
        <v>936</v>
      </c>
      <c r="H31" s="1101">
        <v>1</v>
      </c>
      <c r="I31" s="626">
        <f>IF(H31="",D31*F31,D31*F31*H31)</f>
        <v>0.24160000000000001</v>
      </c>
      <c r="J31" s="1107"/>
      <c r="K31" s="1107"/>
      <c r="L31" s="1107"/>
      <c r="M31" s="1107"/>
      <c r="N31" s="1022"/>
      <c r="O31" s="1023"/>
      <c r="P31" s="1022"/>
      <c r="Q31" s="1022"/>
    </row>
    <row r="32" spans="1:17" s="1021" customFormat="1" x14ac:dyDescent="0.25">
      <c r="A32" s="1102">
        <v>140</v>
      </c>
      <c r="B32" s="1112" t="s">
        <v>252</v>
      </c>
      <c r="C32" s="1112" t="s">
        <v>935</v>
      </c>
      <c r="D32" s="538">
        <v>0.19</v>
      </c>
      <c r="E32" s="1101" t="s">
        <v>32</v>
      </c>
      <c r="F32" s="1101">
        <v>1</v>
      </c>
      <c r="G32" s="1101"/>
      <c r="H32" s="1101"/>
      <c r="I32" s="626">
        <f>IF(H32="",D32*F32,D32*F32*H32)</f>
        <v>0.19</v>
      </c>
      <c r="J32" s="1107"/>
      <c r="K32" s="1107"/>
      <c r="L32" s="1107"/>
      <c r="M32" s="1107"/>
      <c r="N32" s="1022"/>
      <c r="O32" s="1023"/>
      <c r="P32" s="1022"/>
      <c r="Q32" s="1022"/>
    </row>
    <row r="33" spans="1:17" s="1021" customFormat="1" x14ac:dyDescent="0.25">
      <c r="A33" s="1111"/>
      <c r="B33" s="1110"/>
      <c r="C33" s="1110"/>
      <c r="D33" s="1109"/>
      <c r="E33" s="1108"/>
      <c r="F33" s="1108"/>
      <c r="G33" s="1108"/>
      <c r="H33" s="983" t="s">
        <v>18</v>
      </c>
      <c r="I33" s="1098">
        <f>SUM(I19:I32)</f>
        <v>17.710988</v>
      </c>
      <c r="J33" s="1107"/>
      <c r="K33" s="1107"/>
      <c r="L33" s="1107"/>
      <c r="M33" s="1107"/>
      <c r="N33" s="1022"/>
      <c r="O33" s="1023"/>
      <c r="P33" s="1022"/>
      <c r="Q33" s="1022"/>
    </row>
    <row r="34" spans="1:17" x14ac:dyDescent="0.25">
      <c r="A34" s="1106"/>
      <c r="B34" s="1100"/>
      <c r="C34" s="1100"/>
      <c r="D34" s="1100"/>
      <c r="E34" s="1100"/>
      <c r="F34" s="1100"/>
      <c r="G34" s="1100"/>
      <c r="H34" s="1018"/>
      <c r="I34" s="1105"/>
      <c r="J34" s="1100"/>
      <c r="K34" s="1100"/>
      <c r="L34" s="1100"/>
      <c r="M34" s="1100"/>
      <c r="O34" s="985"/>
    </row>
    <row r="35" spans="1:17" s="980" customFormat="1" x14ac:dyDescent="0.25">
      <c r="A35" s="1104" t="s">
        <v>14</v>
      </c>
      <c r="B35" s="1103" t="s">
        <v>39</v>
      </c>
      <c r="C35" s="1103" t="s">
        <v>20</v>
      </c>
      <c r="D35" s="1103" t="s">
        <v>21</v>
      </c>
      <c r="E35" s="1103" t="s">
        <v>32</v>
      </c>
      <c r="F35" s="1103" t="s">
        <v>17</v>
      </c>
      <c r="G35" s="1103" t="s">
        <v>40</v>
      </c>
      <c r="H35" s="1103" t="s">
        <v>476</v>
      </c>
      <c r="I35" s="1103" t="s">
        <v>18</v>
      </c>
      <c r="J35" s="1097"/>
      <c r="K35" s="1097"/>
      <c r="L35" s="1097"/>
      <c r="M35" s="1097"/>
      <c r="O35" s="981"/>
    </row>
    <row r="36" spans="1:17" x14ac:dyDescent="0.25">
      <c r="A36" s="1102">
        <v>10</v>
      </c>
      <c r="B36" s="1101" t="s">
        <v>858</v>
      </c>
      <c r="C36" s="1101" t="s">
        <v>934</v>
      </c>
      <c r="D36" s="538">
        <v>500</v>
      </c>
      <c r="E36" s="1101" t="s">
        <v>43</v>
      </c>
      <c r="F36" s="1101">
        <v>12</v>
      </c>
      <c r="G36" s="1101">
        <v>3000</v>
      </c>
      <c r="H36" s="1101">
        <v>1</v>
      </c>
      <c r="I36" s="626">
        <f>D36*F36/G36*H36</f>
        <v>2</v>
      </c>
      <c r="J36" s="1100"/>
      <c r="K36" s="1100"/>
      <c r="L36" s="1100"/>
      <c r="M36" s="1100"/>
      <c r="O36" s="985"/>
    </row>
    <row r="37" spans="1:17" s="980" customFormat="1" x14ac:dyDescent="0.25">
      <c r="A37" s="1099"/>
      <c r="B37" s="1097"/>
      <c r="C37" s="1097"/>
      <c r="D37" s="1097"/>
      <c r="E37" s="1097"/>
      <c r="F37" s="1097"/>
      <c r="G37" s="1097"/>
      <c r="H37" s="983" t="s">
        <v>18</v>
      </c>
      <c r="I37" s="1098">
        <f>SUM(I36:I36)</f>
        <v>2</v>
      </c>
      <c r="J37" s="1097"/>
      <c r="K37" s="1097"/>
      <c r="L37" s="1097"/>
      <c r="M37" s="1097"/>
      <c r="O37" s="981"/>
    </row>
    <row r="38" spans="1:17" ht="15.75" thickBot="1" x14ac:dyDescent="0.3">
      <c r="A38" s="979"/>
      <c r="B38" s="976"/>
      <c r="C38" s="976"/>
      <c r="D38" s="976"/>
      <c r="E38" s="976"/>
      <c r="F38" s="976"/>
      <c r="G38" s="976"/>
      <c r="H38" s="978"/>
      <c r="I38" s="977"/>
      <c r="J38" s="976"/>
      <c r="K38" s="976"/>
      <c r="L38" s="976"/>
      <c r="M38" s="976"/>
      <c r="N38" s="976"/>
      <c r="O38" s="975"/>
    </row>
  </sheetData>
  <hyperlinks>
    <hyperlink ref="F1" location="EN_A0800_BOM" display="Back to BOM" xr:uid="{04A30A0C-0010-4366-A676-555272271DE3}"/>
    <hyperlink ref="B3" location="EN_A0800" display="Cooling System" xr:uid="{F92D7234-3F9B-4261-86ED-BD87BDE02912}"/>
    <hyperlink ref="D2" location="pEN_08007!A1" display="FileLink1" xr:uid="{080725DD-D51B-45DE-941C-7035FCB651A9}"/>
  </hyperlinks>
  <printOptions horizontalCentered="1"/>
  <pageMargins left="0.3" right="0.3" top="0.3" bottom="0.4" header="0.2" footer="0.2"/>
  <pageSetup paperSize="9" scale="56" orientation="landscape" r:id="rId1"/>
  <headerFooter>
    <oddFooter>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0CE2-AB91-4673-8C70-F98B9DD76167}">
  <sheetPr>
    <tabColor rgb="FFC4D79B"/>
    <pageSetUpPr fitToPage="1"/>
  </sheetPr>
  <dimension ref="A1"/>
  <sheetViews>
    <sheetView zoomScale="49" zoomScaleNormal="49" zoomScalePageLayoutView="49" workbookViewId="0">
      <selection activeCell="B4" sqref="B4"/>
    </sheetView>
  </sheetViews>
  <sheetFormatPr baseColWidth="10" defaultColWidth="10.85546875" defaultRowHeight="15" x14ac:dyDescent="0.25"/>
  <cols>
    <col min="1" max="16384" width="10.85546875" style="1083"/>
  </cols>
  <sheetData>
    <row r="1" spans="1:1" x14ac:dyDescent="0.25">
      <c r="A1" s="706" t="s">
        <v>963</v>
      </c>
    </row>
  </sheetData>
  <hyperlinks>
    <hyperlink ref="A1" location="EN_08007" display="EN 08007" xr:uid="{D097EF7D-3BB7-451C-B02D-08AFF2BF07C0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4E4A8-97FD-4DE8-9118-CB723F4F7BBA}">
  <sheetPr>
    <tabColor rgb="FFC4D79B"/>
    <pageSetUpPr fitToPage="1"/>
  </sheetPr>
  <dimension ref="A1:O17"/>
  <sheetViews>
    <sheetView zoomScale="85" zoomScaleNormal="85" zoomScalePageLayoutView="49" workbookViewId="0">
      <selection activeCell="F1" sqref="F1"/>
    </sheetView>
  </sheetViews>
  <sheetFormatPr baseColWidth="10" defaultColWidth="7.5703125" defaultRowHeight="15" x14ac:dyDescent="0.25"/>
  <cols>
    <col min="1" max="1" width="10.42578125" style="974" bestFit="1" customWidth="1"/>
    <col min="2" max="2" width="34.140625" style="974" bestFit="1" customWidth="1"/>
    <col min="3" max="3" width="18.5703125" style="974" bestFit="1" customWidth="1"/>
    <col min="4" max="4" width="9" style="974" bestFit="1" customWidth="1"/>
    <col min="5" max="5" width="6.42578125" style="974" bestFit="1" customWidth="1"/>
    <col min="6" max="6" width="12.42578125" style="974" bestFit="1" customWidth="1"/>
    <col min="7" max="7" width="14.42578125" style="974" bestFit="1" customWidth="1"/>
    <col min="8" max="8" width="9.5703125" style="974" bestFit="1" customWidth="1"/>
    <col min="9" max="9" width="16.140625" style="974" bestFit="1" customWidth="1"/>
    <col min="10" max="10" width="8.85546875" style="974" bestFit="1" customWidth="1"/>
    <col min="11" max="11" width="7.140625" style="974" bestFit="1" customWidth="1"/>
    <col min="12" max="12" width="7.5703125" style="974" bestFit="1" customWidth="1"/>
    <col min="13" max="13" width="13.85546875" style="974" bestFit="1" customWidth="1"/>
    <col min="14" max="14" width="9.140625" style="974" bestFit="1" customWidth="1"/>
    <col min="15" max="15" width="7.5703125" style="974"/>
    <col min="16" max="16" width="7.85546875" style="974" bestFit="1" customWidth="1"/>
    <col min="17" max="18" width="7.5703125" style="974"/>
    <col min="19" max="19" width="8.5703125" style="974" bestFit="1" customWidth="1"/>
    <col min="20" max="20" width="7.85546875" style="974" bestFit="1" customWidth="1"/>
    <col min="21" max="21" width="7.5703125" style="974"/>
    <col min="22" max="22" width="7.85546875" style="974" bestFit="1" customWidth="1"/>
    <col min="23" max="23" width="7.5703125" style="974"/>
    <col min="24" max="25" width="8.42578125" style="974" bestFit="1" customWidth="1"/>
    <col min="26" max="28" width="7.85546875" style="974" bestFit="1" customWidth="1"/>
    <col min="29" max="16384" width="7.5703125" style="974"/>
  </cols>
  <sheetData>
    <row r="1" spans="1:15" x14ac:dyDescent="0.25">
      <c r="A1" s="1010" t="s">
        <v>0</v>
      </c>
      <c r="B1" s="1006" t="s">
        <v>44</v>
      </c>
      <c r="C1" s="1006"/>
      <c r="D1" s="1006"/>
      <c r="E1" s="1006"/>
      <c r="F1" s="747" t="s">
        <v>69</v>
      </c>
      <c r="G1" s="1006"/>
      <c r="H1" s="1006"/>
      <c r="I1" s="1006"/>
      <c r="J1" s="1008" t="s">
        <v>1</v>
      </c>
      <c r="K1" s="1007">
        <v>81</v>
      </c>
      <c r="L1" s="1006"/>
      <c r="M1" s="1005" t="s">
        <v>16</v>
      </c>
      <c r="N1" s="846">
        <f>N11+I16</f>
        <v>1.5446910625000001</v>
      </c>
      <c r="O1" s="1004"/>
    </row>
    <row r="2" spans="1:15" x14ac:dyDescent="0.25">
      <c r="A2" s="993" t="s">
        <v>3</v>
      </c>
      <c r="B2" s="974" t="s">
        <v>279</v>
      </c>
      <c r="C2" s="1003" t="s">
        <v>707</v>
      </c>
      <c r="D2" s="1002" t="s">
        <v>6</v>
      </c>
      <c r="M2" s="992" t="s">
        <v>4</v>
      </c>
      <c r="N2" s="843">
        <v>1</v>
      </c>
      <c r="O2" s="1001"/>
    </row>
    <row r="3" spans="1:15" x14ac:dyDescent="0.25">
      <c r="A3" s="993" t="s">
        <v>5</v>
      </c>
      <c r="B3" s="813" t="s">
        <v>857</v>
      </c>
      <c r="D3" s="992" t="s">
        <v>8</v>
      </c>
      <c r="J3" s="992" t="s">
        <v>6</v>
      </c>
      <c r="O3" s="985"/>
    </row>
    <row r="4" spans="1:15" x14ac:dyDescent="0.25">
      <c r="A4" s="993" t="s">
        <v>15</v>
      </c>
      <c r="B4" s="974" t="s">
        <v>856</v>
      </c>
      <c r="D4" s="992" t="s">
        <v>12</v>
      </c>
      <c r="J4" s="992" t="s">
        <v>8</v>
      </c>
      <c r="M4" s="992" t="s">
        <v>9</v>
      </c>
      <c r="N4" s="842">
        <f>N1*N2</f>
        <v>1.5446910625000001</v>
      </c>
      <c r="O4" s="985"/>
    </row>
    <row r="5" spans="1:15" x14ac:dyDescent="0.25">
      <c r="A5" s="993" t="s">
        <v>7</v>
      </c>
      <c r="B5" s="1000" t="s">
        <v>855</v>
      </c>
      <c r="J5" s="992" t="s">
        <v>12</v>
      </c>
      <c r="O5" s="985"/>
    </row>
    <row r="6" spans="1:15" x14ac:dyDescent="0.25">
      <c r="A6" s="993" t="s">
        <v>10</v>
      </c>
      <c r="B6" s="974" t="s">
        <v>11</v>
      </c>
      <c r="O6" s="985"/>
    </row>
    <row r="7" spans="1:15" x14ac:dyDescent="0.25">
      <c r="A7" s="993" t="s">
        <v>13</v>
      </c>
      <c r="O7" s="985"/>
    </row>
    <row r="8" spans="1:15" x14ac:dyDescent="0.25">
      <c r="A8" s="994"/>
      <c r="O8" s="985"/>
    </row>
    <row r="9" spans="1:15" s="980" customFormat="1" x14ac:dyDescent="0.25">
      <c r="A9" s="993" t="s">
        <v>14</v>
      </c>
      <c r="B9" s="992" t="s">
        <v>19</v>
      </c>
      <c r="C9" s="992" t="s">
        <v>20</v>
      </c>
      <c r="D9" s="992" t="s">
        <v>21</v>
      </c>
      <c r="E9" s="992" t="s">
        <v>22</v>
      </c>
      <c r="F9" s="992" t="s">
        <v>23</v>
      </c>
      <c r="G9" s="992" t="s">
        <v>24</v>
      </c>
      <c r="H9" s="992" t="s">
        <v>25</v>
      </c>
      <c r="I9" s="992" t="s">
        <v>26</v>
      </c>
      <c r="J9" s="992" t="s">
        <v>27</v>
      </c>
      <c r="K9" s="992" t="s">
        <v>28</v>
      </c>
      <c r="L9" s="992" t="s">
        <v>29</v>
      </c>
      <c r="M9" s="992" t="s">
        <v>17</v>
      </c>
      <c r="N9" s="992" t="s">
        <v>18</v>
      </c>
      <c r="O9" s="981"/>
    </row>
    <row r="10" spans="1:15" x14ac:dyDescent="0.25">
      <c r="A10" s="991">
        <v>10</v>
      </c>
      <c r="B10" s="989" t="s">
        <v>469</v>
      </c>
      <c r="C10" s="989" t="s">
        <v>854</v>
      </c>
      <c r="D10" s="794">
        <v>2.25</v>
      </c>
      <c r="E10" s="999">
        <f>J10*K10*L10</f>
        <v>7.4182500000000004E-3</v>
      </c>
      <c r="F10" s="989" t="s">
        <v>78</v>
      </c>
      <c r="G10" s="989"/>
      <c r="H10" s="796"/>
      <c r="I10" s="998" t="s">
        <v>853</v>
      </c>
      <c r="J10" s="997">
        <f>14*27/1000000</f>
        <v>3.7800000000000003E-4</v>
      </c>
      <c r="K10" s="996">
        <v>2.5000000000000001E-3</v>
      </c>
      <c r="L10" s="795">
        <v>7850</v>
      </c>
      <c r="M10" s="795">
        <v>1</v>
      </c>
      <c r="N10" s="806">
        <f>IF(J10="",D10*M10,D10*J10*K10*L10*M10)</f>
        <v>1.6691062500000003E-2</v>
      </c>
      <c r="O10" s="985"/>
    </row>
    <row r="11" spans="1:15" s="980" customFormat="1" x14ac:dyDescent="0.25">
      <c r="A11" s="984"/>
      <c r="M11" s="983" t="s">
        <v>18</v>
      </c>
      <c r="N11" s="995">
        <f>SUM(N10:N10)</f>
        <v>1.6691062500000003E-2</v>
      </c>
      <c r="O11" s="981"/>
    </row>
    <row r="12" spans="1:15" x14ac:dyDescent="0.25">
      <c r="A12" s="994"/>
      <c r="O12" s="985"/>
    </row>
    <row r="13" spans="1:15" s="980" customFormat="1" x14ac:dyDescent="0.25">
      <c r="A13" s="993" t="s">
        <v>14</v>
      </c>
      <c r="B13" s="992" t="s">
        <v>31</v>
      </c>
      <c r="C13" s="992" t="s">
        <v>20</v>
      </c>
      <c r="D13" s="992" t="s">
        <v>21</v>
      </c>
      <c r="E13" s="992" t="s">
        <v>32</v>
      </c>
      <c r="F13" s="992" t="s">
        <v>17</v>
      </c>
      <c r="G13" s="992" t="s">
        <v>33</v>
      </c>
      <c r="H13" s="992" t="s">
        <v>34</v>
      </c>
      <c r="I13" s="992" t="s">
        <v>18</v>
      </c>
      <c r="O13" s="981"/>
    </row>
    <row r="14" spans="1:15" x14ac:dyDescent="0.25">
      <c r="A14" s="991">
        <v>10</v>
      </c>
      <c r="B14" s="990" t="s">
        <v>700</v>
      </c>
      <c r="C14" s="990" t="s">
        <v>645</v>
      </c>
      <c r="D14" s="794">
        <v>1.3</v>
      </c>
      <c r="E14" s="989" t="s">
        <v>32</v>
      </c>
      <c r="F14" s="989">
        <v>1</v>
      </c>
      <c r="G14" s="989"/>
      <c r="H14" s="989"/>
      <c r="I14" s="794">
        <f>F14*D14</f>
        <v>1.3</v>
      </c>
      <c r="O14" s="985"/>
    </row>
    <row r="15" spans="1:15" x14ac:dyDescent="0.25">
      <c r="A15" s="988">
        <v>20</v>
      </c>
      <c r="B15" s="987" t="s">
        <v>83</v>
      </c>
      <c r="C15" s="987" t="s">
        <v>231</v>
      </c>
      <c r="D15" s="398">
        <v>0.01</v>
      </c>
      <c r="E15" s="986" t="s">
        <v>46</v>
      </c>
      <c r="F15" s="986">
        <v>7.6</v>
      </c>
      <c r="G15" s="986" t="s">
        <v>82</v>
      </c>
      <c r="H15" s="986">
        <v>3</v>
      </c>
      <c r="I15" s="398">
        <f>F15*D15*H15</f>
        <v>0.22799999999999998</v>
      </c>
      <c r="O15" s="985"/>
    </row>
    <row r="16" spans="1:15" s="980" customFormat="1" x14ac:dyDescent="0.25">
      <c r="A16" s="984"/>
      <c r="H16" s="983" t="s">
        <v>18</v>
      </c>
      <c r="I16" s="982">
        <f>SUM(I14:I15)</f>
        <v>1.528</v>
      </c>
      <c r="O16" s="981"/>
    </row>
    <row r="17" spans="1:15" ht="15.75" thickBot="1" x14ac:dyDescent="0.3">
      <c r="A17" s="979"/>
      <c r="B17" s="976"/>
      <c r="C17" s="976"/>
      <c r="D17" s="976"/>
      <c r="E17" s="976"/>
      <c r="F17" s="976"/>
      <c r="G17" s="976"/>
      <c r="H17" s="978"/>
      <c r="I17" s="977"/>
      <c r="J17" s="976"/>
      <c r="K17" s="976"/>
      <c r="L17" s="976"/>
      <c r="M17" s="976"/>
      <c r="N17" s="976"/>
      <c r="O17" s="975"/>
    </row>
  </sheetData>
  <hyperlinks>
    <hyperlink ref="F1" location="EN_A0800_BOM" display="Back to BOM" xr:uid="{12A1AC67-D90A-4CFE-A208-0BB2894F221C}"/>
    <hyperlink ref="B3" location="EN_A0800" display="Cooling System" xr:uid="{F125A9DE-98ED-47DB-9BAA-79906E4B0D4A}"/>
    <hyperlink ref="D2" location="dEN_08008!A1" display="FileLink1" xr:uid="{EBCB6F57-AAA5-48C2-9FD7-D117B6B02690}"/>
  </hyperlinks>
  <printOptions horizontalCentered="1"/>
  <pageMargins left="0.3" right="0.3" top="0.3" bottom="0.4" header="0.2" footer="0.2"/>
  <pageSetup paperSize="9" scale="74" orientation="landscape" r:id="rId1"/>
  <headerFooter>
    <oddFooter>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EEC40-C040-4378-9A19-287D81676D7B}">
  <sheetPr>
    <tabColor rgb="FFC4D79B"/>
    <pageSetUpPr fitToPage="1"/>
  </sheetPr>
  <dimension ref="A1"/>
  <sheetViews>
    <sheetView zoomScale="49" zoomScaleNormal="49" zoomScalePageLayoutView="49" workbookViewId="0">
      <selection activeCell="B4" sqref="B4"/>
    </sheetView>
  </sheetViews>
  <sheetFormatPr baseColWidth="10" defaultColWidth="10.85546875" defaultRowHeight="15" x14ac:dyDescent="0.25"/>
  <cols>
    <col min="1" max="16384" width="10.85546875" style="1083"/>
  </cols>
  <sheetData>
    <row r="1" spans="1:1" x14ac:dyDescent="0.25">
      <c r="A1" s="706" t="s">
        <v>855</v>
      </c>
    </row>
  </sheetData>
  <hyperlinks>
    <hyperlink ref="A1" location="EN_08008" display="EN 08008" xr:uid="{7FF5C4BE-AD73-451C-A13D-ED68929FCC55}"/>
  </hyperlinks>
  <printOptions horizontalCentered="1"/>
  <pageMargins left="0.3" right="0.3" top="0.3" bottom="0.4" header="0.2" footer="0.2"/>
  <pageSetup paperSize="9" scale="88" orientation="landscape" horizontalDpi="0" verticalDpi="0"/>
  <headerFooter>
    <oddFooter>Page &amp;P</oddFooter>
  </headerFooter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8FA2-044A-4AC6-A4E9-69422D815F46}">
  <sheetPr>
    <tabColor rgb="FFC4D79B"/>
    <pageSetUpPr fitToPage="1"/>
  </sheetPr>
  <dimension ref="A1:P18"/>
  <sheetViews>
    <sheetView zoomScale="85" zoomScaleNormal="85" zoomScalePageLayoutView="49" workbookViewId="0">
      <selection activeCell="F1" sqref="F1"/>
    </sheetView>
  </sheetViews>
  <sheetFormatPr baseColWidth="10" defaultColWidth="7.5703125" defaultRowHeight="15" x14ac:dyDescent="0.25"/>
  <cols>
    <col min="1" max="1" width="10.42578125" style="974" bestFit="1" customWidth="1"/>
    <col min="2" max="2" width="24.42578125" style="974" customWidth="1"/>
    <col min="3" max="3" width="22.42578125" style="974" customWidth="1"/>
    <col min="4" max="4" width="9" style="974" bestFit="1" customWidth="1"/>
    <col min="5" max="5" width="5.42578125" style="974" bestFit="1" customWidth="1"/>
    <col min="6" max="6" width="12.42578125" style="974" bestFit="1" customWidth="1"/>
    <col min="7" max="7" width="10" style="974" bestFit="1" customWidth="1"/>
    <col min="8" max="8" width="9.5703125" style="974" bestFit="1" customWidth="1"/>
    <col min="9" max="9" width="12.85546875" style="974" bestFit="1" customWidth="1"/>
    <col min="10" max="10" width="8.85546875" style="974" bestFit="1" customWidth="1"/>
    <col min="11" max="11" width="7.140625" style="974" bestFit="1" customWidth="1"/>
    <col min="12" max="12" width="7.5703125" style="974" bestFit="1" customWidth="1"/>
    <col min="13" max="13" width="13.85546875" style="974" bestFit="1" customWidth="1"/>
    <col min="14" max="14" width="9.140625" style="974" bestFit="1" customWidth="1"/>
    <col min="15" max="15" width="7.5703125" style="974"/>
    <col min="16" max="16" width="7.85546875" style="974" bestFit="1" customWidth="1"/>
    <col min="17" max="18" width="7.5703125" style="974"/>
    <col min="19" max="19" width="8.5703125" style="974" bestFit="1" customWidth="1"/>
    <col min="20" max="20" width="7.85546875" style="974" bestFit="1" customWidth="1"/>
    <col min="21" max="21" width="7.5703125" style="974"/>
    <col min="22" max="22" width="7.85546875" style="974" bestFit="1" customWidth="1"/>
    <col min="23" max="23" width="7.5703125" style="974"/>
    <col min="24" max="25" width="8.42578125" style="974" bestFit="1" customWidth="1"/>
    <col min="26" max="28" width="7.85546875" style="974" bestFit="1" customWidth="1"/>
    <col min="29" max="16384" width="7.5703125" style="974"/>
  </cols>
  <sheetData>
    <row r="1" spans="1:16" x14ac:dyDescent="0.25">
      <c r="A1" s="1010" t="s">
        <v>0</v>
      </c>
      <c r="B1" s="1006" t="s">
        <v>44</v>
      </c>
      <c r="C1" s="1006"/>
      <c r="D1" s="1006"/>
      <c r="E1" s="1006"/>
      <c r="F1" s="747" t="s">
        <v>69</v>
      </c>
      <c r="G1" s="1006"/>
      <c r="H1" s="1006"/>
      <c r="I1" s="1006"/>
      <c r="J1" s="1008" t="s">
        <v>1</v>
      </c>
      <c r="K1" s="1073">
        <v>81</v>
      </c>
      <c r="L1" s="1006"/>
      <c r="M1" s="1005" t="s">
        <v>16</v>
      </c>
      <c r="N1" s="1072">
        <f>N11+I17</f>
        <v>3.1535134468570387</v>
      </c>
      <c r="O1" s="1004"/>
    </row>
    <row r="2" spans="1:16" x14ac:dyDescent="0.25">
      <c r="A2" s="993" t="s">
        <v>3</v>
      </c>
      <c r="B2" s="974" t="s">
        <v>279</v>
      </c>
      <c r="C2" s="1003" t="s">
        <v>707</v>
      </c>
      <c r="D2" s="1002" t="s">
        <v>6</v>
      </c>
      <c r="M2" s="992" t="s">
        <v>4</v>
      </c>
      <c r="N2" s="810">
        <v>1</v>
      </c>
      <c r="O2" s="985"/>
    </row>
    <row r="3" spans="1:16" x14ac:dyDescent="0.25">
      <c r="A3" s="993" t="s">
        <v>5</v>
      </c>
      <c r="B3" s="813" t="s">
        <v>857</v>
      </c>
      <c r="D3" s="992" t="s">
        <v>8</v>
      </c>
      <c r="J3" s="992" t="s">
        <v>6</v>
      </c>
      <c r="O3" s="985"/>
    </row>
    <row r="4" spans="1:16" x14ac:dyDescent="0.25">
      <c r="A4" s="993" t="s">
        <v>15</v>
      </c>
      <c r="B4" s="974" t="s">
        <v>891</v>
      </c>
      <c r="D4" s="992" t="s">
        <v>12</v>
      </c>
      <c r="J4" s="992" t="s">
        <v>8</v>
      </c>
      <c r="M4" s="992" t="s">
        <v>9</v>
      </c>
      <c r="N4" s="803">
        <f>N1*N2</f>
        <v>3.1535134468570387</v>
      </c>
      <c r="O4" s="985"/>
    </row>
    <row r="5" spans="1:16" x14ac:dyDescent="0.25">
      <c r="A5" s="993" t="s">
        <v>7</v>
      </c>
      <c r="B5" s="1000" t="s">
        <v>970</v>
      </c>
      <c r="J5" s="992" t="s">
        <v>12</v>
      </c>
      <c r="O5" s="985"/>
    </row>
    <row r="6" spans="1:16" x14ac:dyDescent="0.25">
      <c r="A6" s="993" t="s">
        <v>10</v>
      </c>
      <c r="B6" s="974" t="s">
        <v>11</v>
      </c>
      <c r="O6" s="985"/>
    </row>
    <row r="7" spans="1:16" x14ac:dyDescent="0.25">
      <c r="A7" s="993" t="s">
        <v>13</v>
      </c>
      <c r="O7" s="985"/>
    </row>
    <row r="8" spans="1:16" x14ac:dyDescent="0.25">
      <c r="A8" s="994"/>
      <c r="O8" s="985"/>
    </row>
    <row r="9" spans="1:16" s="980" customFormat="1" x14ac:dyDescent="0.25">
      <c r="A9" s="993" t="s">
        <v>14</v>
      </c>
      <c r="B9" s="992" t="s">
        <v>19</v>
      </c>
      <c r="C9" s="992" t="s">
        <v>20</v>
      </c>
      <c r="D9" s="992" t="s">
        <v>21</v>
      </c>
      <c r="E9" s="992" t="s">
        <v>22</v>
      </c>
      <c r="F9" s="992" t="s">
        <v>23</v>
      </c>
      <c r="G9" s="992" t="s">
        <v>24</v>
      </c>
      <c r="H9" s="992" t="s">
        <v>25</v>
      </c>
      <c r="I9" s="992" t="s">
        <v>26</v>
      </c>
      <c r="J9" s="992" t="s">
        <v>27</v>
      </c>
      <c r="K9" s="992" t="s">
        <v>28</v>
      </c>
      <c r="L9" s="992" t="s">
        <v>29</v>
      </c>
      <c r="M9" s="992" t="s">
        <v>17</v>
      </c>
      <c r="N9" s="992" t="s">
        <v>18</v>
      </c>
      <c r="O9" s="981"/>
    </row>
    <row r="10" spans="1:16" s="1100" customFormat="1" ht="14.45" customHeight="1" x14ac:dyDescent="0.25">
      <c r="A10" s="1138">
        <v>10</v>
      </c>
      <c r="B10" s="1142" t="s">
        <v>703</v>
      </c>
      <c r="C10" s="1136" t="s">
        <v>969</v>
      </c>
      <c r="D10" s="538">
        <v>4.2</v>
      </c>
      <c r="E10" s="1136">
        <v>0.34499999999999997</v>
      </c>
      <c r="F10" s="1136" t="s">
        <v>71</v>
      </c>
      <c r="G10" s="1136">
        <v>1.2E-2</v>
      </c>
      <c r="H10" s="788" t="s">
        <v>71</v>
      </c>
      <c r="I10" s="1141" t="s">
        <v>968</v>
      </c>
      <c r="J10" s="833">
        <f>PI()*G10^2</f>
        <v>4.523893421169302E-4</v>
      </c>
      <c r="K10" s="788">
        <v>0.35</v>
      </c>
      <c r="L10" s="835">
        <v>2712</v>
      </c>
      <c r="M10" s="835">
        <v>1</v>
      </c>
      <c r="N10" s="1135">
        <f>IF(J10="",D10*M10,D10*J10*K10*L10*M10)</f>
        <v>1.8035134468570386</v>
      </c>
      <c r="O10" s="1134"/>
      <c r="P10" s="1140"/>
    </row>
    <row r="11" spans="1:16" s="980" customFormat="1" x14ac:dyDescent="0.25">
      <c r="A11" s="984"/>
      <c r="M11" s="983" t="s">
        <v>18</v>
      </c>
      <c r="N11" s="995">
        <f>SUM(N10:N10)</f>
        <v>1.8035134468570386</v>
      </c>
      <c r="O11" s="981"/>
    </row>
    <row r="12" spans="1:16" x14ac:dyDescent="0.25">
      <c r="A12" s="994"/>
      <c r="O12" s="985"/>
    </row>
    <row r="13" spans="1:16" s="980" customFormat="1" x14ac:dyDescent="0.25">
      <c r="A13" s="993" t="s">
        <v>14</v>
      </c>
      <c r="B13" s="992" t="s">
        <v>31</v>
      </c>
      <c r="C13" s="992" t="s">
        <v>20</v>
      </c>
      <c r="D13" s="992" t="s">
        <v>21</v>
      </c>
      <c r="E13" s="992" t="s">
        <v>32</v>
      </c>
      <c r="F13" s="992" t="s">
        <v>17</v>
      </c>
      <c r="G13" s="992" t="s">
        <v>33</v>
      </c>
      <c r="H13" s="992" t="s">
        <v>34</v>
      </c>
      <c r="I13" s="992" t="s">
        <v>18</v>
      </c>
      <c r="O13" s="981"/>
    </row>
    <row r="14" spans="1:16" s="1100" customFormat="1" x14ac:dyDescent="0.25">
      <c r="A14" s="1138">
        <v>10</v>
      </c>
      <c r="B14" s="628" t="s">
        <v>967</v>
      </c>
      <c r="C14" s="1137" t="s">
        <v>966</v>
      </c>
      <c r="D14" s="538">
        <v>0.2</v>
      </c>
      <c r="E14" s="1136" t="s">
        <v>46</v>
      </c>
      <c r="F14" s="1136">
        <v>2</v>
      </c>
      <c r="G14" s="1136"/>
      <c r="H14" s="1136"/>
      <c r="I14" s="1135">
        <f>D14*F14</f>
        <v>0.4</v>
      </c>
      <c r="O14" s="1134"/>
    </row>
    <row r="15" spans="1:16" s="1100" customFormat="1" ht="15.6" customHeight="1" x14ac:dyDescent="0.25">
      <c r="A15" s="1138">
        <v>20</v>
      </c>
      <c r="B15" s="633" t="s">
        <v>289</v>
      </c>
      <c r="C15" s="1139" t="s">
        <v>965</v>
      </c>
      <c r="D15" s="538">
        <v>0.35</v>
      </c>
      <c r="E15" s="1136" t="s">
        <v>32</v>
      </c>
      <c r="F15" s="1136">
        <v>2</v>
      </c>
      <c r="G15" s="1136"/>
      <c r="H15" s="1136"/>
      <c r="I15" s="1135">
        <f>D15*F15</f>
        <v>0.7</v>
      </c>
      <c r="O15" s="1134"/>
    </row>
    <row r="16" spans="1:16" s="1100" customFormat="1" x14ac:dyDescent="0.25">
      <c r="A16" s="1138">
        <v>30</v>
      </c>
      <c r="B16" s="633" t="s">
        <v>86</v>
      </c>
      <c r="C16" s="1137" t="s">
        <v>964</v>
      </c>
      <c r="D16" s="538">
        <v>0.25</v>
      </c>
      <c r="E16" s="1136" t="s">
        <v>692</v>
      </c>
      <c r="F16" s="1136">
        <v>1</v>
      </c>
      <c r="G16" s="1136"/>
      <c r="H16" s="1136"/>
      <c r="I16" s="1135">
        <f>F16*D16</f>
        <v>0.25</v>
      </c>
      <c r="O16" s="1134"/>
    </row>
    <row r="17" spans="1:15" s="980" customFormat="1" x14ac:dyDescent="0.25">
      <c r="A17" s="984"/>
      <c r="H17" s="983" t="s">
        <v>18</v>
      </c>
      <c r="I17" s="982">
        <f>SUM(I14:I16)</f>
        <v>1.35</v>
      </c>
      <c r="O17" s="981"/>
    </row>
    <row r="18" spans="1:15" ht="15.75" thickBot="1" x14ac:dyDescent="0.3">
      <c r="A18" s="979"/>
      <c r="B18" s="976"/>
      <c r="C18" s="976"/>
      <c r="D18" s="976"/>
      <c r="E18" s="976"/>
      <c r="F18" s="976"/>
      <c r="G18" s="976"/>
      <c r="H18" s="978"/>
      <c r="I18" s="977"/>
      <c r="J18" s="976"/>
      <c r="K18" s="976"/>
      <c r="L18" s="976"/>
      <c r="M18" s="976"/>
      <c r="N18" s="976"/>
      <c r="O18" s="975"/>
    </row>
  </sheetData>
  <hyperlinks>
    <hyperlink ref="F1" location="EN_A0800_BOM" display="Back to BOM" xr:uid="{EACFF2A4-95C6-4A2E-9096-615C5BFF1139}"/>
    <hyperlink ref="B3" location="EN_A0800" display="Cooling System" xr:uid="{A84632D5-ED71-4302-8CE2-1B3CC714EB29}"/>
    <hyperlink ref="D2" location="dEN_08009!A1" display="FileLink1" xr:uid="{8B857AA0-8E28-4A6A-A7FF-A0665CCB53FA}"/>
  </hyperlinks>
  <printOptions horizontalCentered="1"/>
  <pageMargins left="0.3" right="0.3" top="0.3" bottom="0.4" header="0.2" footer="0.2"/>
  <pageSetup paperSize="9" scale="84" orientation="landscape" r:id="rId1"/>
  <headerFooter>
    <oddFooter>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D123-D5D1-4ACF-BF8A-FCC41F5E5A08}">
  <sheetPr>
    <tabColor rgb="FFC4D79B"/>
    <pageSetUpPr fitToPage="1"/>
  </sheetPr>
  <dimension ref="A1"/>
  <sheetViews>
    <sheetView zoomScale="70" zoomScaleNormal="70" zoomScalePageLayoutView="49" workbookViewId="0">
      <selection activeCell="B4" sqref="B4"/>
    </sheetView>
  </sheetViews>
  <sheetFormatPr baseColWidth="10" defaultColWidth="10.85546875" defaultRowHeight="15" x14ac:dyDescent="0.25"/>
  <cols>
    <col min="1" max="16384" width="10.85546875" style="1083"/>
  </cols>
  <sheetData>
    <row r="1" spans="1:1" x14ac:dyDescent="0.25">
      <c r="A1" s="706" t="s">
        <v>970</v>
      </c>
    </row>
  </sheetData>
  <hyperlinks>
    <hyperlink ref="A1" location="EN_08009" display="EN 08009" xr:uid="{7FB6A60E-F17A-4E71-AC34-C49E283C38C2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249977111117893"/>
    <pageSetUpPr fitToPage="1"/>
  </sheetPr>
  <dimension ref="A1:O59"/>
  <sheetViews>
    <sheetView zoomScale="70" zoomScaleNormal="70" zoomScaleSheetLayoutView="80" workbookViewId="0">
      <selection activeCell="E2" sqref="E2"/>
    </sheetView>
  </sheetViews>
  <sheetFormatPr baseColWidth="10" defaultColWidth="9.140625" defaultRowHeight="15" x14ac:dyDescent="0.25"/>
  <cols>
    <col min="2" max="2" width="37.85546875" customWidth="1"/>
    <col min="3" max="3" width="49.28515625" customWidth="1"/>
    <col min="7" max="7" width="16.28515625" customWidth="1"/>
    <col min="10" max="10" width="13.42578125" customWidth="1"/>
    <col min="15" max="15" width="5.28515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94" t="s">
        <v>0</v>
      </c>
      <c r="B2" s="11" t="s">
        <v>44</v>
      </c>
      <c r="C2" s="41"/>
      <c r="D2" s="41"/>
      <c r="E2" s="68" t="s">
        <v>69</v>
      </c>
      <c r="F2" s="41"/>
      <c r="G2" s="41"/>
      <c r="H2" s="41"/>
      <c r="I2" s="41"/>
      <c r="J2" s="94" t="s">
        <v>1</v>
      </c>
      <c r="K2" s="65">
        <v>81</v>
      </c>
      <c r="L2" s="41"/>
      <c r="M2" s="94" t="s">
        <v>2</v>
      </c>
      <c r="N2" s="73">
        <f>EN_A0200_pa+EN_A0200_m+EN_A0200_p+EN_A0200_f+EN_A0200_t</f>
        <v>361.4250322955744</v>
      </c>
      <c r="O2" s="47"/>
    </row>
    <row r="3" spans="1:15" x14ac:dyDescent="0.25">
      <c r="A3" s="94" t="s">
        <v>3</v>
      </c>
      <c r="B3" s="11" t="s">
        <v>70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94" t="s">
        <v>4</v>
      </c>
      <c r="N3" s="64">
        <v>1</v>
      </c>
      <c r="O3" s="47"/>
    </row>
    <row r="4" spans="1:15" x14ac:dyDescent="0.25">
      <c r="A4" s="94" t="s">
        <v>5</v>
      </c>
      <c r="B4" s="42" t="s">
        <v>462</v>
      </c>
      <c r="C4" s="41"/>
      <c r="D4" s="41"/>
      <c r="E4" s="41"/>
      <c r="F4" s="41"/>
      <c r="G4" s="41"/>
      <c r="H4" s="41"/>
      <c r="I4" s="41"/>
      <c r="J4" s="97" t="s">
        <v>6</v>
      </c>
      <c r="K4" s="41"/>
      <c r="L4" s="41"/>
      <c r="M4" s="41"/>
      <c r="N4" s="41"/>
      <c r="O4" s="47"/>
    </row>
    <row r="5" spans="1:15" x14ac:dyDescent="0.25">
      <c r="A5" s="94" t="s">
        <v>7</v>
      </c>
      <c r="B5" s="13" t="s">
        <v>461</v>
      </c>
      <c r="C5" s="41"/>
      <c r="D5" s="41"/>
      <c r="E5" s="41"/>
      <c r="F5" s="41"/>
      <c r="G5" s="41"/>
      <c r="H5" s="41"/>
      <c r="I5" s="41"/>
      <c r="J5" s="97" t="s">
        <v>8</v>
      </c>
      <c r="K5" s="41"/>
      <c r="L5" s="41"/>
      <c r="M5" s="94" t="s">
        <v>9</v>
      </c>
      <c r="N5" s="58">
        <f>N2*N3</f>
        <v>361.4250322955744</v>
      </c>
      <c r="O5" s="47"/>
    </row>
    <row r="6" spans="1:15" x14ac:dyDescent="0.25">
      <c r="A6" s="94" t="s">
        <v>10</v>
      </c>
      <c r="B6" s="11" t="s">
        <v>11</v>
      </c>
      <c r="C6" s="41"/>
      <c r="D6" s="41"/>
      <c r="E6" s="41"/>
      <c r="F6" s="41"/>
      <c r="G6" s="41"/>
      <c r="H6" s="41"/>
      <c r="I6" s="41"/>
      <c r="J6" s="97" t="s">
        <v>12</v>
      </c>
      <c r="K6" s="41"/>
      <c r="L6" s="41"/>
      <c r="M6" s="41"/>
      <c r="N6" s="41"/>
      <c r="O6" s="47"/>
    </row>
    <row r="7" spans="1:15" x14ac:dyDescent="0.25">
      <c r="A7" s="94" t="s">
        <v>13</v>
      </c>
      <c r="B7" s="1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48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94" t="s">
        <v>14</v>
      </c>
      <c r="B9" s="94" t="s">
        <v>15</v>
      </c>
      <c r="C9" s="94" t="s">
        <v>16</v>
      </c>
      <c r="D9" s="94" t="s">
        <v>17</v>
      </c>
      <c r="E9" s="94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435">
        <v>10</v>
      </c>
      <c r="B10" s="448" t="str">
        <f>EN_02001!B5</f>
        <v>Exhaust Tip</v>
      </c>
      <c r="C10" s="447">
        <f>EN_02001!N2</f>
        <v>4.3537375941950689</v>
      </c>
      <c r="D10" s="446">
        <f>EN_02001_q</f>
        <v>4</v>
      </c>
      <c r="E10" s="386">
        <f t="shared" ref="E10:E19" si="0">C10*D10</f>
        <v>17.414950376780276</v>
      </c>
      <c r="F10" s="41"/>
      <c r="G10" s="41"/>
      <c r="H10" s="41"/>
      <c r="I10" s="41"/>
      <c r="J10" s="41"/>
      <c r="K10" s="41"/>
      <c r="L10" s="41"/>
      <c r="M10" s="41"/>
      <c r="N10" s="41"/>
      <c r="O10" s="47"/>
    </row>
    <row r="11" spans="1:15" x14ac:dyDescent="0.25">
      <c r="A11" s="411">
        <v>20</v>
      </c>
      <c r="B11" s="434" t="str">
        <f>EN_02002!B5</f>
        <v>Exhaust Flange</v>
      </c>
      <c r="C11" s="445">
        <f>EN_02002!N2</f>
        <v>1.75075</v>
      </c>
      <c r="D11" s="444">
        <f>EN_02002_q</f>
        <v>4</v>
      </c>
      <c r="E11" s="432">
        <f t="shared" si="0"/>
        <v>7.0030000000000001</v>
      </c>
      <c r="F11" s="42"/>
      <c r="G11" s="42"/>
      <c r="H11" s="42"/>
      <c r="I11" s="42"/>
      <c r="J11" s="42"/>
      <c r="K11" s="42"/>
      <c r="L11" s="42"/>
      <c r="M11" s="42"/>
      <c r="N11" s="42"/>
      <c r="O11" s="47"/>
    </row>
    <row r="12" spans="1:15" x14ac:dyDescent="0.25">
      <c r="A12" s="441">
        <v>30</v>
      </c>
      <c r="B12" s="443" t="str">
        <f>EN_02003!B5</f>
        <v>Exhaust headers</v>
      </c>
      <c r="C12" s="442">
        <f>EN_02003!N2</f>
        <v>109.43393911329514</v>
      </c>
      <c r="D12" s="441">
        <f>EN_02003_q</f>
        <v>1</v>
      </c>
      <c r="E12" s="440">
        <f t="shared" si="0"/>
        <v>109.43393911329514</v>
      </c>
      <c r="F12" s="42"/>
      <c r="G12" s="42"/>
      <c r="H12" s="42"/>
      <c r="I12" s="42"/>
      <c r="J12" s="42"/>
      <c r="K12" s="42"/>
      <c r="L12" s="42"/>
      <c r="M12" s="42"/>
      <c r="N12" s="42"/>
      <c r="O12" s="49"/>
    </row>
    <row r="13" spans="1:15" s="12" customFormat="1" x14ac:dyDescent="0.25">
      <c r="A13" s="57">
        <v>40</v>
      </c>
      <c r="B13" s="67" t="str">
        <f>EN_02004!B5</f>
        <v>Primary collector</v>
      </c>
      <c r="C13" s="73">
        <f>EN_02004!N2</f>
        <v>20.228377789788073</v>
      </c>
      <c r="D13" s="57">
        <f>EN_02004_q</f>
        <v>2</v>
      </c>
      <c r="E13" s="58">
        <f t="shared" si="0"/>
        <v>40.456755579576146</v>
      </c>
      <c r="F13" s="42"/>
      <c r="G13" s="42"/>
      <c r="H13" s="42"/>
      <c r="I13" s="42"/>
      <c r="J13" s="42"/>
      <c r="K13" s="42"/>
      <c r="L13" s="42"/>
      <c r="M13" s="42"/>
      <c r="N13" s="42"/>
      <c r="O13" s="49"/>
    </row>
    <row r="14" spans="1:15" s="12" customFormat="1" x14ac:dyDescent="0.25">
      <c r="A14" s="57">
        <v>50</v>
      </c>
      <c r="B14" s="67" t="str">
        <f>EN_02005!B5</f>
        <v>Primary collector tubing</v>
      </c>
      <c r="C14" s="73">
        <f>EN_02005!N2</f>
        <v>1.2217583384506194</v>
      </c>
      <c r="D14" s="57">
        <f>EN_02005_q</f>
        <v>2</v>
      </c>
      <c r="E14" s="58">
        <f t="shared" si="0"/>
        <v>2.4435166769012389</v>
      </c>
      <c r="F14" s="42"/>
      <c r="G14" s="42"/>
      <c r="H14" s="42"/>
      <c r="I14" s="42"/>
      <c r="J14" s="42"/>
      <c r="K14" s="42"/>
      <c r="L14" s="42"/>
      <c r="M14" s="42"/>
      <c r="N14" s="42"/>
      <c r="O14" s="50"/>
    </row>
    <row r="15" spans="1:15" s="12" customFormat="1" x14ac:dyDescent="0.25">
      <c r="A15" s="57">
        <v>60</v>
      </c>
      <c r="B15" s="107" t="str">
        <f>EN_02006!B5</f>
        <v>Secondary collector</v>
      </c>
      <c r="C15" s="439">
        <f>EN_02006!N2</f>
        <v>22.466496278906856</v>
      </c>
      <c r="D15" s="57">
        <f>EN_02006_q</f>
        <v>1</v>
      </c>
      <c r="E15" s="58">
        <f t="shared" si="0"/>
        <v>22.466496278906856</v>
      </c>
      <c r="F15" s="42"/>
      <c r="G15" s="42"/>
      <c r="H15" s="42"/>
      <c r="I15" s="42"/>
      <c r="J15" s="42"/>
      <c r="K15" s="42"/>
      <c r="L15" s="42"/>
      <c r="M15" s="42"/>
      <c r="N15" s="42"/>
      <c r="O15" s="50"/>
    </row>
    <row r="16" spans="1:15" s="12" customFormat="1" x14ac:dyDescent="0.25">
      <c r="A16" s="57">
        <v>70</v>
      </c>
      <c r="B16" s="107" t="str">
        <f>EN_02007!B5</f>
        <v>Secondary collector tubing</v>
      </c>
      <c r="C16" s="438">
        <f>EN_02007!N2</f>
        <v>12.90112506395198</v>
      </c>
      <c r="D16" s="57">
        <f>EN_02007_q</f>
        <v>1</v>
      </c>
      <c r="E16" s="58">
        <f t="shared" si="0"/>
        <v>12.90112506395198</v>
      </c>
      <c r="F16" s="42"/>
      <c r="G16" s="42"/>
      <c r="H16" s="42"/>
      <c r="I16" s="42"/>
      <c r="J16" s="42"/>
      <c r="K16" s="42"/>
      <c r="L16" s="42"/>
      <c r="M16" s="42"/>
      <c r="N16" s="42"/>
      <c r="O16" s="50"/>
    </row>
    <row r="17" spans="1:15" x14ac:dyDescent="0.25">
      <c r="A17" s="435">
        <v>80</v>
      </c>
      <c r="B17" s="437" t="str">
        <f>EN_02008!B5</f>
        <v>Muffler</v>
      </c>
      <c r="C17" s="436">
        <f>EN_02008!N2</f>
        <v>40.144999999999996</v>
      </c>
      <c r="D17" s="435">
        <f>EN_02008_q</f>
        <v>1</v>
      </c>
      <c r="E17" s="386">
        <f t="shared" si="0"/>
        <v>40.144999999999996</v>
      </c>
      <c r="F17" s="41"/>
      <c r="G17" s="41"/>
      <c r="H17" s="41"/>
      <c r="I17" s="41"/>
      <c r="J17" s="41"/>
      <c r="K17" s="41"/>
      <c r="L17" s="41"/>
      <c r="M17" s="41"/>
      <c r="N17" s="41"/>
      <c r="O17" s="47"/>
    </row>
    <row r="18" spans="1:15" x14ac:dyDescent="0.25">
      <c r="A18" s="411">
        <v>90</v>
      </c>
      <c r="B18" s="434" t="str">
        <f>EN_02009!B5</f>
        <v>Muffler Collar</v>
      </c>
      <c r="C18" s="433">
        <f>EN_02009!N2</f>
        <v>6.208613333333334</v>
      </c>
      <c r="D18" s="411">
        <f>EN_02009_q</f>
        <v>1</v>
      </c>
      <c r="E18" s="432">
        <f t="shared" si="0"/>
        <v>6.208613333333334</v>
      </c>
      <c r="F18" s="41"/>
      <c r="G18" s="41"/>
      <c r="H18" s="41"/>
      <c r="I18" s="41"/>
      <c r="J18" s="41"/>
      <c r="K18" s="41"/>
      <c r="L18" s="41"/>
      <c r="M18" s="41"/>
      <c r="N18" s="41"/>
      <c r="O18" s="47"/>
    </row>
    <row r="19" spans="1:15" x14ac:dyDescent="0.25">
      <c r="A19" s="411">
        <v>100</v>
      </c>
      <c r="B19" s="434" t="str">
        <f>EN_02010!B5</f>
        <v>Spacer</v>
      </c>
      <c r="C19" s="433">
        <f>EN_02010!N2</f>
        <v>2.2250004878264873</v>
      </c>
      <c r="D19" s="411">
        <f>EN_02010_q</f>
        <v>1</v>
      </c>
      <c r="E19" s="432">
        <f t="shared" si="0"/>
        <v>2.2250004878264873</v>
      </c>
      <c r="F19" s="41"/>
      <c r="G19" s="41"/>
      <c r="H19" s="41"/>
      <c r="I19" s="41"/>
      <c r="J19" s="41"/>
      <c r="K19" s="41"/>
      <c r="L19" s="41"/>
      <c r="M19" s="41"/>
      <c r="N19" s="41"/>
      <c r="O19" s="47"/>
    </row>
    <row r="20" spans="1:15" x14ac:dyDescent="0.25">
      <c r="A20" s="48"/>
      <c r="B20" s="41"/>
      <c r="C20" s="41"/>
      <c r="D20" s="98" t="s">
        <v>18</v>
      </c>
      <c r="E20" s="99">
        <f>SUM(E10:E19)</f>
        <v>260.69839691057143</v>
      </c>
      <c r="F20" s="42"/>
      <c r="G20" s="42"/>
      <c r="H20" s="42"/>
      <c r="I20" s="42"/>
      <c r="J20" s="42"/>
      <c r="K20" s="42"/>
      <c r="L20" s="42"/>
      <c r="M20" s="42"/>
      <c r="N20" s="42"/>
      <c r="O20" s="47"/>
    </row>
    <row r="21" spans="1:15" x14ac:dyDescent="0.25">
      <c r="A21" s="48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7"/>
    </row>
    <row r="22" spans="1:15" x14ac:dyDescent="0.25">
      <c r="A22" s="94" t="s">
        <v>14</v>
      </c>
      <c r="B22" s="431" t="s">
        <v>19</v>
      </c>
      <c r="C22" s="94" t="s">
        <v>20</v>
      </c>
      <c r="D22" s="94" t="s">
        <v>21</v>
      </c>
      <c r="E22" s="94" t="s">
        <v>22</v>
      </c>
      <c r="F22" s="94" t="s">
        <v>23</v>
      </c>
      <c r="G22" s="94" t="s">
        <v>24</v>
      </c>
      <c r="H22" s="94" t="s">
        <v>25</v>
      </c>
      <c r="I22" s="94" t="s">
        <v>26</v>
      </c>
      <c r="J22" s="94" t="s">
        <v>27</v>
      </c>
      <c r="K22" s="94" t="s">
        <v>28</v>
      </c>
      <c r="L22" s="94" t="s">
        <v>29</v>
      </c>
      <c r="M22" s="94" t="s">
        <v>17</v>
      </c>
      <c r="N22" s="94" t="s">
        <v>18</v>
      </c>
      <c r="O22" s="47"/>
    </row>
    <row r="23" spans="1:15" x14ac:dyDescent="0.25">
      <c r="A23" s="109">
        <v>10</v>
      </c>
      <c r="B23" s="430" t="s">
        <v>460</v>
      </c>
      <c r="C23" s="429"/>
      <c r="D23" s="58">
        <v>1</v>
      </c>
      <c r="E23" s="57"/>
      <c r="F23" s="57"/>
      <c r="G23" s="57"/>
      <c r="H23" s="59"/>
      <c r="I23" s="60"/>
      <c r="J23" s="61"/>
      <c r="K23" s="59"/>
      <c r="L23" s="59"/>
      <c r="M23" s="62">
        <v>6</v>
      </c>
      <c r="N23" s="58">
        <f>M23*D23</f>
        <v>6</v>
      </c>
      <c r="O23" s="47"/>
    </row>
    <row r="24" spans="1:15" x14ac:dyDescent="0.25">
      <c r="A24" s="52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94" t="s">
        <v>18</v>
      </c>
      <c r="N24" s="96">
        <f>SUM(N23:N23)</f>
        <v>6</v>
      </c>
      <c r="O24" s="47"/>
    </row>
    <row r="25" spans="1:15" x14ac:dyDescent="0.25">
      <c r="A25" s="48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7"/>
    </row>
    <row r="26" spans="1:15" s="16" customFormat="1" x14ac:dyDescent="0.25">
      <c r="A26" s="94" t="s">
        <v>14</v>
      </c>
      <c r="B26" s="94" t="s">
        <v>31</v>
      </c>
      <c r="C26" s="94" t="s">
        <v>20</v>
      </c>
      <c r="D26" s="94" t="s">
        <v>21</v>
      </c>
      <c r="E26" s="94" t="s">
        <v>32</v>
      </c>
      <c r="F26" s="94" t="s">
        <v>17</v>
      </c>
      <c r="G26" s="94" t="s">
        <v>33</v>
      </c>
      <c r="H26" s="94" t="s">
        <v>34</v>
      </c>
      <c r="I26" s="94" t="s">
        <v>18</v>
      </c>
      <c r="J26" s="15"/>
      <c r="K26" s="15"/>
      <c r="L26" s="15"/>
      <c r="M26" s="15"/>
      <c r="N26" s="15"/>
      <c r="O26" s="53"/>
    </row>
    <row r="27" spans="1:15" x14ac:dyDescent="0.25">
      <c r="A27" s="57">
        <v>10</v>
      </c>
      <c r="B27" s="428" t="s">
        <v>73</v>
      </c>
      <c r="C27" s="57" t="s">
        <v>459</v>
      </c>
      <c r="D27" s="58">
        <v>0.06</v>
      </c>
      <c r="E27" s="57" t="s">
        <v>35</v>
      </c>
      <c r="F27" s="63">
        <v>4</v>
      </c>
      <c r="G27" s="57"/>
      <c r="H27" s="57"/>
      <c r="I27" s="58">
        <f>IF(H27="",D27*F27,D27*F27*H27)</f>
        <v>0.24</v>
      </c>
      <c r="J27" s="41"/>
      <c r="K27" s="41"/>
      <c r="L27" s="41"/>
      <c r="M27" s="41"/>
      <c r="N27" s="41"/>
      <c r="O27" s="47"/>
    </row>
    <row r="28" spans="1:15" x14ac:dyDescent="0.25">
      <c r="A28" s="57">
        <v>20</v>
      </c>
      <c r="B28" s="57" t="s">
        <v>72</v>
      </c>
      <c r="C28" s="57" t="s">
        <v>458</v>
      </c>
      <c r="D28" s="58">
        <v>0.15</v>
      </c>
      <c r="E28" s="428" t="s">
        <v>46</v>
      </c>
      <c r="F28" s="427">
        <f>4*3.4*PI()</f>
        <v>42.725660088821186</v>
      </c>
      <c r="G28" s="57"/>
      <c r="H28" s="57"/>
      <c r="I28" s="58">
        <f>IF(H28="",D28*F28,D28*F28*H28)</f>
        <v>6.4088490133231781</v>
      </c>
      <c r="J28" s="41"/>
      <c r="K28" s="41"/>
      <c r="L28" s="41"/>
      <c r="M28" s="41"/>
      <c r="N28" s="41"/>
      <c r="O28" s="47"/>
    </row>
    <row r="29" spans="1:15" x14ac:dyDescent="0.25">
      <c r="A29" s="57">
        <v>30</v>
      </c>
      <c r="B29" s="409" t="s">
        <v>75</v>
      </c>
      <c r="C29" s="419" t="s">
        <v>457</v>
      </c>
      <c r="D29" s="423">
        <v>0.19</v>
      </c>
      <c r="E29" s="419" t="s">
        <v>35</v>
      </c>
      <c r="F29" s="420">
        <v>1</v>
      </c>
      <c r="G29" s="419"/>
      <c r="H29" s="419"/>
      <c r="I29" s="422">
        <f>IF(H29="",D29*F29,D29*F29*H29)</f>
        <v>0.19</v>
      </c>
      <c r="J29" s="41"/>
      <c r="K29" s="41"/>
      <c r="L29" s="41"/>
      <c r="M29" s="41"/>
      <c r="N29" s="41"/>
      <c r="O29" s="47"/>
    </row>
    <row r="30" spans="1:15" x14ac:dyDescent="0.25">
      <c r="A30" s="57">
        <v>40</v>
      </c>
      <c r="B30" s="409" t="s">
        <v>74</v>
      </c>
      <c r="C30" s="419" t="s">
        <v>456</v>
      </c>
      <c r="D30" s="423">
        <v>0.75</v>
      </c>
      <c r="E30" s="419" t="s">
        <v>35</v>
      </c>
      <c r="F30" s="420">
        <v>8</v>
      </c>
      <c r="G30" s="419"/>
      <c r="H30" s="419"/>
      <c r="I30" s="422">
        <f>IF(H30="",D30*F30,D30*F30*H30)</f>
        <v>6</v>
      </c>
      <c r="J30" s="41"/>
      <c r="K30" s="41"/>
      <c r="L30" s="41"/>
      <c r="M30" s="41"/>
      <c r="N30" s="41"/>
      <c r="O30" s="47"/>
    </row>
    <row r="31" spans="1:15" x14ac:dyDescent="0.25">
      <c r="A31" s="57">
        <v>50</v>
      </c>
      <c r="B31" s="409" t="s">
        <v>451</v>
      </c>
      <c r="C31" s="419" t="s">
        <v>455</v>
      </c>
      <c r="D31" s="423">
        <v>0.75</v>
      </c>
      <c r="E31" s="419" t="s">
        <v>449</v>
      </c>
      <c r="F31" s="420">
        <v>4</v>
      </c>
      <c r="G31" s="419"/>
      <c r="H31" s="419"/>
      <c r="I31" s="422">
        <f>IF(H31="",D31*F31,D31*F31*H31)</f>
        <v>3</v>
      </c>
      <c r="J31" s="41"/>
      <c r="K31" s="41"/>
      <c r="L31" s="41"/>
      <c r="M31" s="41"/>
      <c r="N31" s="41"/>
      <c r="O31" s="47"/>
    </row>
    <row r="32" spans="1:15" x14ac:dyDescent="0.25">
      <c r="A32" s="57">
        <v>60</v>
      </c>
      <c r="B32" s="409" t="s">
        <v>448</v>
      </c>
      <c r="C32" s="419" t="s">
        <v>454</v>
      </c>
      <c r="D32" s="423">
        <v>0.5</v>
      </c>
      <c r="E32" s="419" t="s">
        <v>46</v>
      </c>
      <c r="F32" s="426">
        <f>4.21*2</f>
        <v>8.42</v>
      </c>
      <c r="G32" s="419"/>
      <c r="H32" s="419"/>
      <c r="I32" s="422">
        <f>F32*D32</f>
        <v>4.21</v>
      </c>
      <c r="J32" s="41"/>
      <c r="K32" s="41"/>
      <c r="L32" s="41"/>
      <c r="M32" s="41"/>
      <c r="N32" s="41"/>
      <c r="O32" s="47"/>
    </row>
    <row r="33" spans="1:15" x14ac:dyDescent="0.25">
      <c r="A33" s="57">
        <v>70</v>
      </c>
      <c r="B33" s="409" t="s">
        <v>453</v>
      </c>
      <c r="C33" s="419" t="s">
        <v>452</v>
      </c>
      <c r="D33" s="423">
        <v>0.19</v>
      </c>
      <c r="E33" s="419" t="s">
        <v>35</v>
      </c>
      <c r="F33" s="420">
        <v>2</v>
      </c>
      <c r="G33" s="419"/>
      <c r="H33" s="419"/>
      <c r="I33" s="422">
        <f t="shared" ref="I33:I42" si="1">IF(H33="",D33*F33,D33*F33*H33)</f>
        <v>0.38</v>
      </c>
      <c r="J33" s="41"/>
      <c r="K33" s="41"/>
      <c r="L33" s="41"/>
      <c r="M33" s="41"/>
      <c r="N33" s="41"/>
      <c r="O33" s="47"/>
    </row>
    <row r="34" spans="1:15" x14ac:dyDescent="0.25">
      <c r="A34" s="57">
        <v>80</v>
      </c>
      <c r="B34" s="409" t="s">
        <v>451</v>
      </c>
      <c r="C34" s="419" t="s">
        <v>450</v>
      </c>
      <c r="D34" s="423">
        <v>0.75</v>
      </c>
      <c r="E34" s="419" t="s">
        <v>449</v>
      </c>
      <c r="F34" s="420">
        <v>2</v>
      </c>
      <c r="G34" s="419"/>
      <c r="H34" s="419"/>
      <c r="I34" s="422">
        <f t="shared" si="1"/>
        <v>1.5</v>
      </c>
      <c r="J34" s="41"/>
      <c r="K34" s="41"/>
      <c r="L34" s="41"/>
      <c r="M34" s="41"/>
      <c r="N34" s="41"/>
      <c r="O34" s="47"/>
    </row>
    <row r="35" spans="1:15" x14ac:dyDescent="0.25">
      <c r="A35" s="57">
        <v>90</v>
      </c>
      <c r="B35" s="409" t="s">
        <v>448</v>
      </c>
      <c r="C35" s="419" t="s">
        <v>447</v>
      </c>
      <c r="D35" s="423">
        <v>0.5</v>
      </c>
      <c r="E35" s="419" t="s">
        <v>46</v>
      </c>
      <c r="F35" s="426">
        <f>4.98</f>
        <v>4.9800000000000004</v>
      </c>
      <c r="G35" s="419"/>
      <c r="H35" s="419"/>
      <c r="I35" s="422">
        <f t="shared" si="1"/>
        <v>2.4900000000000002</v>
      </c>
      <c r="J35" s="41"/>
      <c r="K35" s="41"/>
      <c r="L35" s="41"/>
      <c r="M35" s="41"/>
      <c r="N35" s="41"/>
      <c r="O35" s="47"/>
    </row>
    <row r="36" spans="1:15" x14ac:dyDescent="0.25">
      <c r="A36" s="57">
        <v>100</v>
      </c>
      <c r="B36" s="425" t="s">
        <v>75</v>
      </c>
      <c r="C36" s="424" t="s">
        <v>446</v>
      </c>
      <c r="D36" s="423">
        <v>0.19</v>
      </c>
      <c r="E36" s="419" t="s">
        <v>35</v>
      </c>
      <c r="F36" s="420">
        <v>1</v>
      </c>
      <c r="G36" s="419"/>
      <c r="H36" s="419"/>
      <c r="I36" s="422">
        <f t="shared" si="1"/>
        <v>0.19</v>
      </c>
      <c r="J36" s="41"/>
      <c r="K36" s="41"/>
      <c r="L36" s="41"/>
      <c r="M36" s="41"/>
      <c r="N36" s="41"/>
      <c r="O36" s="47"/>
    </row>
    <row r="37" spans="1:15" x14ac:dyDescent="0.25">
      <c r="A37" s="57">
        <v>110</v>
      </c>
      <c r="B37" s="409" t="s">
        <v>77</v>
      </c>
      <c r="C37" s="419" t="s">
        <v>445</v>
      </c>
      <c r="D37" s="421">
        <v>0.38</v>
      </c>
      <c r="E37" s="419" t="s">
        <v>35</v>
      </c>
      <c r="F37" s="420">
        <v>1</v>
      </c>
      <c r="G37" s="419"/>
      <c r="H37" s="419"/>
      <c r="I37" s="412">
        <f t="shared" si="1"/>
        <v>0.38</v>
      </c>
      <c r="J37" s="41"/>
      <c r="K37" s="41"/>
      <c r="L37" s="41"/>
      <c r="M37" s="41"/>
      <c r="N37" s="41"/>
      <c r="O37" s="47"/>
    </row>
    <row r="38" spans="1:15" x14ac:dyDescent="0.25">
      <c r="A38" s="57">
        <v>120</v>
      </c>
      <c r="B38" s="416" t="s">
        <v>73</v>
      </c>
      <c r="C38" s="415" t="s">
        <v>444</v>
      </c>
      <c r="D38" s="282">
        <v>0.06</v>
      </c>
      <c r="E38" s="414" t="s">
        <v>35</v>
      </c>
      <c r="F38" s="414">
        <v>1</v>
      </c>
      <c r="G38" s="414"/>
      <c r="H38" s="414"/>
      <c r="I38" s="412">
        <f t="shared" si="1"/>
        <v>0.06</v>
      </c>
      <c r="J38" s="41"/>
      <c r="K38" s="41"/>
      <c r="L38" s="41"/>
      <c r="M38" s="41"/>
      <c r="N38" s="41"/>
      <c r="O38" s="47"/>
    </row>
    <row r="39" spans="1:15" x14ac:dyDescent="0.25">
      <c r="A39" s="57">
        <v>130</v>
      </c>
      <c r="B39" s="418" t="s">
        <v>443</v>
      </c>
      <c r="C39" s="415" t="s">
        <v>442</v>
      </c>
      <c r="D39" s="282">
        <v>0.25</v>
      </c>
      <c r="E39" s="414" t="s">
        <v>35</v>
      </c>
      <c r="F39" s="414">
        <v>1</v>
      </c>
      <c r="G39" s="414"/>
      <c r="H39" s="414"/>
      <c r="I39" s="412">
        <f t="shared" si="1"/>
        <v>0.25</v>
      </c>
      <c r="J39" s="41"/>
      <c r="K39" s="41"/>
      <c r="L39" s="41"/>
      <c r="M39" s="41"/>
      <c r="N39" s="41"/>
      <c r="O39" s="47"/>
    </row>
    <row r="40" spans="1:15" x14ac:dyDescent="0.25">
      <c r="A40" s="57">
        <v>140</v>
      </c>
      <c r="B40" s="416" t="s">
        <v>88</v>
      </c>
      <c r="C40" s="417" t="s">
        <v>441</v>
      </c>
      <c r="D40" s="282">
        <v>0.13</v>
      </c>
      <c r="E40" s="414" t="s">
        <v>35</v>
      </c>
      <c r="F40" s="414">
        <v>3</v>
      </c>
      <c r="G40" s="414"/>
      <c r="H40" s="414"/>
      <c r="I40" s="412">
        <f t="shared" si="1"/>
        <v>0.39</v>
      </c>
      <c r="J40" s="41"/>
      <c r="K40" s="41"/>
      <c r="L40" s="41"/>
      <c r="M40" s="41"/>
      <c r="N40" s="41"/>
      <c r="O40" s="47"/>
    </row>
    <row r="41" spans="1:15" x14ac:dyDescent="0.25">
      <c r="A41" s="57">
        <v>160</v>
      </c>
      <c r="B41" s="416" t="s">
        <v>286</v>
      </c>
      <c r="C41" s="415" t="s">
        <v>440</v>
      </c>
      <c r="D41" s="282">
        <v>0.75</v>
      </c>
      <c r="E41" s="414" t="s">
        <v>35</v>
      </c>
      <c r="F41" s="414">
        <v>1</v>
      </c>
      <c r="G41" s="413"/>
      <c r="H41" s="413"/>
      <c r="I41" s="412">
        <f t="shared" si="1"/>
        <v>0.75</v>
      </c>
      <c r="J41" s="41"/>
      <c r="K41" s="41"/>
      <c r="L41" s="41"/>
      <c r="M41" s="41"/>
      <c r="N41" s="41"/>
      <c r="O41" s="47"/>
    </row>
    <row r="42" spans="1:15" s="16" customFormat="1" x14ac:dyDescent="0.25">
      <c r="A42" s="57">
        <v>170</v>
      </c>
      <c r="B42" s="409" t="s">
        <v>439</v>
      </c>
      <c r="C42" s="411"/>
      <c r="D42" s="410">
        <v>25</v>
      </c>
      <c r="E42" s="409" t="s">
        <v>71</v>
      </c>
      <c r="F42" s="408">
        <v>2.65</v>
      </c>
      <c r="G42" s="407"/>
      <c r="H42" s="407"/>
      <c r="I42" s="58">
        <f t="shared" si="1"/>
        <v>66.25</v>
      </c>
      <c r="J42" s="42"/>
      <c r="K42" s="42"/>
      <c r="L42" s="42"/>
      <c r="M42" s="42"/>
      <c r="N42" s="42"/>
      <c r="O42" s="53"/>
    </row>
    <row r="43" spans="1:15" x14ac:dyDescent="0.25">
      <c r="A43" s="52"/>
      <c r="B43" s="15"/>
      <c r="C43" s="15"/>
      <c r="D43" s="15"/>
      <c r="E43" s="15"/>
      <c r="F43" s="15"/>
      <c r="G43" s="15"/>
      <c r="H43" s="95" t="s">
        <v>18</v>
      </c>
      <c r="I43" s="96">
        <f>SUM(I27:I42)</f>
        <v>92.688849013323178</v>
      </c>
      <c r="J43" s="41"/>
      <c r="K43" s="41"/>
      <c r="L43" s="41"/>
      <c r="M43" s="41"/>
      <c r="N43" s="41"/>
      <c r="O43" s="47"/>
    </row>
    <row r="44" spans="1:15" x14ac:dyDescent="0.25">
      <c r="A44" s="48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7"/>
    </row>
    <row r="45" spans="1:15" x14ac:dyDescent="0.25">
      <c r="A45" s="94" t="s">
        <v>14</v>
      </c>
      <c r="B45" s="94" t="s">
        <v>36</v>
      </c>
      <c r="C45" s="94" t="s">
        <v>20</v>
      </c>
      <c r="D45" s="94" t="s">
        <v>21</v>
      </c>
      <c r="E45" s="94" t="s">
        <v>22</v>
      </c>
      <c r="F45" s="94" t="s">
        <v>23</v>
      </c>
      <c r="G45" s="94" t="s">
        <v>24</v>
      </c>
      <c r="H45" s="94" t="s">
        <v>25</v>
      </c>
      <c r="I45" s="94" t="s">
        <v>17</v>
      </c>
      <c r="J45" s="94" t="s">
        <v>18</v>
      </c>
      <c r="K45" s="41"/>
      <c r="L45" s="41"/>
      <c r="M45" s="41"/>
      <c r="N45" s="41"/>
      <c r="O45" s="47"/>
    </row>
    <row r="46" spans="1:15" x14ac:dyDescent="0.25">
      <c r="A46" s="57">
        <v>10</v>
      </c>
      <c r="B46" s="406" t="s">
        <v>38</v>
      </c>
      <c r="C46" s="395" t="s">
        <v>438</v>
      </c>
      <c r="D46" s="398">
        <v>0.04</v>
      </c>
      <c r="E46" s="395">
        <v>8</v>
      </c>
      <c r="F46" s="395" t="s">
        <v>30</v>
      </c>
      <c r="G46" s="395"/>
      <c r="H46" s="395"/>
      <c r="I46" s="395">
        <v>8</v>
      </c>
      <c r="J46" s="58">
        <f>I46*D46</f>
        <v>0.32</v>
      </c>
      <c r="K46" s="41"/>
      <c r="L46" s="41"/>
      <c r="M46" s="41"/>
      <c r="N46" s="41"/>
      <c r="O46" s="47"/>
    </row>
    <row r="47" spans="1:15" x14ac:dyDescent="0.25">
      <c r="A47" s="57">
        <v>20</v>
      </c>
      <c r="B47" s="395" t="s">
        <v>37</v>
      </c>
      <c r="C47" s="395" t="s">
        <v>437</v>
      </c>
      <c r="D47" s="398">
        <v>0.01</v>
      </c>
      <c r="E47" s="395">
        <v>40</v>
      </c>
      <c r="F47" s="395" t="s">
        <v>30</v>
      </c>
      <c r="G47" s="395"/>
      <c r="H47" s="395"/>
      <c r="I47" s="395">
        <v>4</v>
      </c>
      <c r="J47" s="58">
        <f>I47*D47</f>
        <v>0.04</v>
      </c>
      <c r="K47" s="41"/>
      <c r="L47" s="41"/>
      <c r="M47" s="41"/>
      <c r="N47" s="41"/>
      <c r="O47" s="47"/>
    </row>
    <row r="48" spans="1:15" x14ac:dyDescent="0.25">
      <c r="A48" s="57">
        <v>30</v>
      </c>
      <c r="B48" s="405" t="s">
        <v>436</v>
      </c>
      <c r="C48" s="402" t="s">
        <v>435</v>
      </c>
      <c r="D48" s="404">
        <f>0.01*E48+0.01</f>
        <v>0.31</v>
      </c>
      <c r="E48" s="402">
        <v>30</v>
      </c>
      <c r="F48" s="403" t="s">
        <v>30</v>
      </c>
      <c r="G48" s="402"/>
      <c r="H48" s="401"/>
      <c r="I48" s="400">
        <v>1</v>
      </c>
      <c r="J48" s="399">
        <f>D48*I48</f>
        <v>0.31</v>
      </c>
      <c r="K48" s="41"/>
      <c r="L48" s="41"/>
      <c r="M48" s="41"/>
      <c r="N48" s="41"/>
      <c r="O48" s="47"/>
    </row>
    <row r="49" spans="1:15" x14ac:dyDescent="0.25">
      <c r="A49" s="57">
        <v>40</v>
      </c>
      <c r="B49" s="395" t="s">
        <v>37</v>
      </c>
      <c r="C49" s="395" t="s">
        <v>434</v>
      </c>
      <c r="D49" s="398">
        <v>0.01</v>
      </c>
      <c r="E49" s="395">
        <v>8</v>
      </c>
      <c r="F49" s="395" t="s">
        <v>30</v>
      </c>
      <c r="G49" s="395"/>
      <c r="H49" s="397"/>
      <c r="I49" s="395">
        <v>2</v>
      </c>
      <c r="J49" s="58">
        <f>I49*D49</f>
        <v>0.02</v>
      </c>
      <c r="K49" s="41"/>
      <c r="L49" s="41"/>
      <c r="M49" s="41"/>
      <c r="N49" s="41"/>
      <c r="O49" s="47"/>
    </row>
    <row r="50" spans="1:15" x14ac:dyDescent="0.25">
      <c r="A50" s="57">
        <v>50</v>
      </c>
      <c r="B50" s="396" t="s">
        <v>90</v>
      </c>
      <c r="C50" s="395" t="s">
        <v>433</v>
      </c>
      <c r="D50" s="394">
        <v>0.32365994940100623</v>
      </c>
      <c r="E50" s="382">
        <v>8</v>
      </c>
      <c r="F50" s="382" t="s">
        <v>30</v>
      </c>
      <c r="G50" s="393">
        <v>70</v>
      </c>
      <c r="H50" s="382" t="s">
        <v>30</v>
      </c>
      <c r="I50" s="382">
        <v>1</v>
      </c>
      <c r="J50" s="58">
        <f>I50*D50</f>
        <v>0.32365994940100623</v>
      </c>
      <c r="K50" s="41"/>
      <c r="L50" s="41"/>
      <c r="M50" s="41"/>
      <c r="N50" s="41"/>
      <c r="O50" s="47"/>
    </row>
    <row r="51" spans="1:15" x14ac:dyDescent="0.25">
      <c r="A51" s="57">
        <v>60</v>
      </c>
      <c r="B51" s="392" t="s">
        <v>38</v>
      </c>
      <c r="C51" s="389" t="s">
        <v>432</v>
      </c>
      <c r="D51" s="391">
        <v>1.34264222787714E-2</v>
      </c>
      <c r="E51" s="389">
        <v>2</v>
      </c>
      <c r="F51" s="390" t="s">
        <v>30</v>
      </c>
      <c r="G51" s="389"/>
      <c r="H51" s="388"/>
      <c r="I51" s="387">
        <v>1</v>
      </c>
      <c r="J51" s="386">
        <f>I51*D51</f>
        <v>1.34264222787714E-2</v>
      </c>
      <c r="K51" s="43"/>
      <c r="L51" s="43"/>
      <c r="M51" s="43"/>
      <c r="N51" s="43"/>
      <c r="O51" s="47"/>
    </row>
    <row r="52" spans="1:15" x14ac:dyDescent="0.25">
      <c r="A52" s="109">
        <v>70</v>
      </c>
      <c r="B52" s="385" t="s">
        <v>90</v>
      </c>
      <c r="C52" s="382" t="s">
        <v>431</v>
      </c>
      <c r="D52" s="384">
        <v>1.0699999999999999E-2</v>
      </c>
      <c r="E52" s="382">
        <v>2</v>
      </c>
      <c r="F52" s="383" t="s">
        <v>30</v>
      </c>
      <c r="G52" s="382">
        <v>30</v>
      </c>
      <c r="H52" s="381" t="s">
        <v>30</v>
      </c>
      <c r="I52" s="380">
        <v>1</v>
      </c>
      <c r="J52" s="379">
        <f>I52*D52</f>
        <v>1.0699999999999999E-2</v>
      </c>
      <c r="K52" s="43"/>
      <c r="L52" s="43"/>
      <c r="M52" s="43"/>
      <c r="N52" s="43"/>
      <c r="O52" s="47"/>
    </row>
    <row r="53" spans="1:15" x14ac:dyDescent="0.25">
      <c r="A53" s="52"/>
      <c r="B53" s="15"/>
      <c r="C53" s="15"/>
      <c r="D53" s="15"/>
      <c r="E53" s="15"/>
      <c r="F53" s="15"/>
      <c r="G53" s="15"/>
      <c r="H53" s="15"/>
      <c r="I53" s="98" t="s">
        <v>18</v>
      </c>
      <c r="J53" s="99">
        <f>SUM(J46:J52)</f>
        <v>1.0377863716797775</v>
      </c>
      <c r="K53" s="41"/>
      <c r="L53" s="41"/>
      <c r="M53" s="41"/>
      <c r="N53" s="41"/>
      <c r="O53" s="47"/>
    </row>
    <row r="54" spans="1:15" x14ac:dyDescent="0.25">
      <c r="A54" s="48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7"/>
    </row>
    <row r="55" spans="1:15" x14ac:dyDescent="0.25">
      <c r="A55" s="94" t="s">
        <v>14</v>
      </c>
      <c r="B55" s="94" t="s">
        <v>39</v>
      </c>
      <c r="C55" s="94" t="s">
        <v>20</v>
      </c>
      <c r="D55" s="94" t="s">
        <v>21</v>
      </c>
      <c r="E55" s="94" t="s">
        <v>32</v>
      </c>
      <c r="F55" s="94" t="s">
        <v>17</v>
      </c>
      <c r="G55" s="94" t="s">
        <v>40</v>
      </c>
      <c r="H55" s="94" t="s">
        <v>41</v>
      </c>
      <c r="I55" s="94" t="s">
        <v>18</v>
      </c>
      <c r="J55" s="15"/>
      <c r="K55" s="41"/>
      <c r="L55" s="41"/>
      <c r="M55" s="41"/>
      <c r="N55" s="41"/>
      <c r="O55" s="47"/>
    </row>
    <row r="56" spans="1:15" x14ac:dyDescent="0.25">
      <c r="A56" s="57">
        <v>10</v>
      </c>
      <c r="B56" s="57" t="s">
        <v>42</v>
      </c>
      <c r="C56" s="57"/>
      <c r="D56" s="58">
        <v>500</v>
      </c>
      <c r="E56" s="57" t="s">
        <v>43</v>
      </c>
      <c r="F56" s="57">
        <v>6</v>
      </c>
      <c r="G56" s="57">
        <v>3000</v>
      </c>
      <c r="H56" s="57">
        <v>1</v>
      </c>
      <c r="I56" s="58">
        <f>D56*F56/G56*H56</f>
        <v>1</v>
      </c>
      <c r="J56" s="15"/>
      <c r="K56" s="41"/>
      <c r="L56" s="41"/>
      <c r="M56" s="41"/>
      <c r="N56" s="41"/>
      <c r="O56" s="47"/>
    </row>
    <row r="57" spans="1:15" x14ac:dyDescent="0.25">
      <c r="A57" s="52"/>
      <c r="B57" s="15"/>
      <c r="C57" s="15"/>
      <c r="D57" s="15"/>
      <c r="E57" s="15"/>
      <c r="F57" s="15"/>
      <c r="G57" s="15"/>
      <c r="H57" s="98" t="s">
        <v>18</v>
      </c>
      <c r="I57" s="99">
        <f>SUM(I56:I56)</f>
        <v>1</v>
      </c>
      <c r="J57" s="15"/>
      <c r="K57" s="41"/>
      <c r="L57" s="41"/>
      <c r="M57" s="41"/>
      <c r="N57" s="41"/>
      <c r="O57" s="47"/>
    </row>
    <row r="58" spans="1:15" ht="15.75" thickBot="1" x14ac:dyDescent="0.3">
      <c r="A58" s="54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6"/>
    </row>
    <row r="59" spans="1:15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</row>
  </sheetData>
  <hyperlinks>
    <hyperlink ref="B10" location="EN_02001" display="EN_02001" xr:uid="{00000000-0004-0000-0100-000000000000}"/>
    <hyperlink ref="B12" location="EN_02003" display="EN_02003" xr:uid="{00000000-0004-0000-0100-000001000000}"/>
    <hyperlink ref="B13" location="EN_02004" display="EN_02004" xr:uid="{00000000-0004-0000-0100-000002000000}"/>
    <hyperlink ref="B14" location="EN_02005" display="EN_02005" xr:uid="{00000000-0004-0000-0100-000003000000}"/>
    <hyperlink ref="B15" location="EN_02006" display="EN_02006" xr:uid="{00000000-0004-0000-0100-000004000000}"/>
    <hyperlink ref="B16" location="EN_02007" display="EN_02007" xr:uid="{00000000-0004-0000-0100-000005000000}"/>
    <hyperlink ref="B17" location="EN_02008" display="EN_02008" xr:uid="{00000000-0004-0000-0100-000006000000}"/>
    <hyperlink ref="B11" location="EN_02002" display="EN_02002" xr:uid="{00000000-0004-0000-0100-000007000000}"/>
    <hyperlink ref="B18" location="EN_02009" display="EN_02009" xr:uid="{00000000-0004-0000-0100-000008000000}"/>
    <hyperlink ref="B19" location="EN_02010" display="EN_02010" xr:uid="{00000000-0004-0000-0100-000009000000}"/>
    <hyperlink ref="E2" location="EN_A0200_BOM" display="Back to BOM" xr:uid="{00000000-0004-0000-0100-00000A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8" max="16383" man="1"/>
  </rowBreaks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CE5C-24D3-4F06-84EA-5F9DABA39144}">
  <sheetPr>
    <tabColor rgb="FFC4D79B"/>
    <pageSetUpPr fitToPage="1"/>
  </sheetPr>
  <dimension ref="A1:Q24"/>
  <sheetViews>
    <sheetView zoomScale="70" zoomScaleNormal="70" zoomScalePageLayoutView="49" workbookViewId="0">
      <selection activeCell="F1" sqref="F1"/>
    </sheetView>
  </sheetViews>
  <sheetFormatPr baseColWidth="10" defaultColWidth="7.5703125" defaultRowHeight="15" x14ac:dyDescent="0.25"/>
  <cols>
    <col min="1" max="1" width="10.42578125" style="974" bestFit="1" customWidth="1"/>
    <col min="2" max="2" width="21.85546875" style="974" bestFit="1" customWidth="1"/>
    <col min="3" max="3" width="21.42578125" style="974" customWidth="1"/>
    <col min="4" max="4" width="8.85546875" style="974" bestFit="1" customWidth="1"/>
    <col min="5" max="5" width="7.5703125" style="974" customWidth="1"/>
    <col min="6" max="6" width="12.42578125" style="974" bestFit="1" customWidth="1"/>
    <col min="7" max="7" width="10" style="974" bestFit="1" customWidth="1"/>
    <col min="8" max="8" width="9.5703125" style="974" bestFit="1" customWidth="1"/>
    <col min="9" max="9" width="18.7109375" style="974" customWidth="1"/>
    <col min="10" max="10" width="11.85546875" style="974" customWidth="1"/>
    <col min="11" max="11" width="7.140625" style="974" bestFit="1" customWidth="1"/>
    <col min="12" max="12" width="7.5703125" style="974" bestFit="1" customWidth="1"/>
    <col min="13" max="13" width="13.85546875" style="974" bestFit="1" customWidth="1"/>
    <col min="14" max="14" width="12.5703125" style="974" customWidth="1"/>
    <col min="15" max="15" width="7.5703125" style="974"/>
    <col min="16" max="16" width="7.85546875" style="974" bestFit="1" customWidth="1"/>
    <col min="17" max="18" width="7.5703125" style="974"/>
    <col min="19" max="19" width="8.5703125" style="974" bestFit="1" customWidth="1"/>
    <col min="20" max="20" width="7.85546875" style="974" bestFit="1" customWidth="1"/>
    <col min="21" max="21" width="7.5703125" style="974"/>
    <col min="22" max="22" width="7.85546875" style="974" bestFit="1" customWidth="1"/>
    <col min="23" max="23" width="7.5703125" style="974"/>
    <col min="24" max="25" width="8.42578125" style="974" bestFit="1" customWidth="1"/>
    <col min="26" max="28" width="7.85546875" style="974" bestFit="1" customWidth="1"/>
    <col min="29" max="16384" width="7.5703125" style="974"/>
  </cols>
  <sheetData>
    <row r="1" spans="1:17" x14ac:dyDescent="0.25">
      <c r="A1" s="1010" t="s">
        <v>0</v>
      </c>
      <c r="B1" s="1006" t="s">
        <v>44</v>
      </c>
      <c r="C1" s="1006"/>
      <c r="D1" s="1006"/>
      <c r="E1" s="1006"/>
      <c r="F1" s="747" t="s">
        <v>69</v>
      </c>
      <c r="G1" s="1006"/>
      <c r="H1" s="1006"/>
      <c r="I1" s="1006"/>
      <c r="J1" s="1008" t="s">
        <v>1</v>
      </c>
      <c r="K1" s="1073">
        <v>81</v>
      </c>
      <c r="L1" s="1161"/>
      <c r="M1" s="1005" t="s">
        <v>16</v>
      </c>
      <c r="N1" s="1072">
        <f>N12+I19+J23</f>
        <v>15.483797116966837</v>
      </c>
      <c r="O1" s="1004"/>
    </row>
    <row r="2" spans="1:17" x14ac:dyDescent="0.25">
      <c r="A2" s="1149" t="s">
        <v>3</v>
      </c>
      <c r="B2" s="974" t="s">
        <v>279</v>
      </c>
      <c r="D2" s="1148" t="s">
        <v>6</v>
      </c>
      <c r="M2" s="1148" t="s">
        <v>4</v>
      </c>
      <c r="N2" s="740">
        <v>1</v>
      </c>
      <c r="O2" s="985"/>
    </row>
    <row r="3" spans="1:17" x14ac:dyDescent="0.25">
      <c r="A3" s="1149" t="s">
        <v>5</v>
      </c>
      <c r="B3" s="813" t="s">
        <v>857</v>
      </c>
      <c r="D3" s="1148" t="s">
        <v>8</v>
      </c>
      <c r="J3" s="1148" t="s">
        <v>6</v>
      </c>
      <c r="O3" s="985"/>
    </row>
    <row r="4" spans="1:17" x14ac:dyDescent="0.25">
      <c r="A4" s="1149" t="s">
        <v>15</v>
      </c>
      <c r="B4" s="974" t="s">
        <v>890</v>
      </c>
      <c r="D4" s="1148" t="s">
        <v>12</v>
      </c>
      <c r="J4" s="1148" t="s">
        <v>8</v>
      </c>
      <c r="M4" s="1148" t="s">
        <v>9</v>
      </c>
      <c r="N4" s="1154">
        <f>N1*N2</f>
        <v>15.483797116966837</v>
      </c>
      <c r="O4" s="985"/>
    </row>
    <row r="5" spans="1:17" x14ac:dyDescent="0.25">
      <c r="A5" s="1149" t="s">
        <v>7</v>
      </c>
      <c r="B5" s="1000" t="s">
        <v>974</v>
      </c>
      <c r="J5" s="1148" t="s">
        <v>12</v>
      </c>
      <c r="O5" s="985"/>
    </row>
    <row r="6" spans="1:17" x14ac:dyDescent="0.25">
      <c r="A6" s="1149" t="s">
        <v>10</v>
      </c>
      <c r="B6" s="974" t="s">
        <v>11</v>
      </c>
      <c r="O6" s="985"/>
    </row>
    <row r="7" spans="1:17" x14ac:dyDescent="0.25">
      <c r="A7" s="1149" t="s">
        <v>13</v>
      </c>
      <c r="O7" s="985"/>
    </row>
    <row r="8" spans="1:17" x14ac:dyDescent="0.25">
      <c r="A8" s="994"/>
      <c r="O8" s="985"/>
    </row>
    <row r="9" spans="1:17" s="980" customFormat="1" x14ac:dyDescent="0.25">
      <c r="A9" s="1149" t="s">
        <v>14</v>
      </c>
      <c r="B9" s="1148" t="s">
        <v>19</v>
      </c>
      <c r="C9" s="1095" t="s">
        <v>20</v>
      </c>
      <c r="D9" s="1148" t="s">
        <v>21</v>
      </c>
      <c r="E9" s="1148" t="s">
        <v>22</v>
      </c>
      <c r="F9" s="1148" t="s">
        <v>23</v>
      </c>
      <c r="G9" s="1148" t="s">
        <v>24</v>
      </c>
      <c r="H9" s="1148" t="s">
        <v>25</v>
      </c>
      <c r="I9" s="1148" t="s">
        <v>26</v>
      </c>
      <c r="J9" s="1148" t="s">
        <v>27</v>
      </c>
      <c r="K9" s="1148" t="s">
        <v>28</v>
      </c>
      <c r="L9" s="1148" t="s">
        <v>29</v>
      </c>
      <c r="M9" s="1148" t="s">
        <v>17</v>
      </c>
      <c r="N9" s="1148" t="s">
        <v>18</v>
      </c>
      <c r="O9" s="981"/>
    </row>
    <row r="10" spans="1:17" s="1021" customFormat="1" x14ac:dyDescent="0.25">
      <c r="A10" s="1159">
        <v>10</v>
      </c>
      <c r="B10" s="652" t="s">
        <v>680</v>
      </c>
      <c r="C10" s="1093" t="s">
        <v>927</v>
      </c>
      <c r="D10" s="1145">
        <f>0.47*E10</f>
        <v>5.8279999999999994</v>
      </c>
      <c r="E10" s="1160">
        <v>12.4</v>
      </c>
      <c r="F10" s="652" t="s">
        <v>30</v>
      </c>
      <c r="G10" s="652"/>
      <c r="H10" s="678"/>
      <c r="I10" s="1157" t="s">
        <v>973</v>
      </c>
      <c r="J10" s="675"/>
      <c r="K10" s="678"/>
      <c r="L10" s="678"/>
      <c r="M10" s="1155">
        <v>0.2</v>
      </c>
      <c r="N10" s="1154">
        <f>M10*D10</f>
        <v>1.1656</v>
      </c>
      <c r="O10" s="1090"/>
      <c r="P10" s="1022"/>
    </row>
    <row r="11" spans="1:17" s="1021" customFormat="1" x14ac:dyDescent="0.25">
      <c r="A11" s="1159">
        <v>20</v>
      </c>
      <c r="B11" s="652" t="s">
        <v>481</v>
      </c>
      <c r="C11" s="1093" t="s">
        <v>972</v>
      </c>
      <c r="D11" s="1145">
        <v>2.25</v>
      </c>
      <c r="E11" s="1158">
        <f>J11*K11*L11</f>
        <v>7.2443163096372179E-2</v>
      </c>
      <c r="F11" s="652" t="s">
        <v>78</v>
      </c>
      <c r="G11" s="652"/>
      <c r="H11" s="678"/>
      <c r="I11" s="1157" t="s">
        <v>971</v>
      </c>
      <c r="J11" s="1156">
        <f>(PI()*6*6-PI()*5.75*5.75)/1000000</f>
        <v>9.2284284199200221E-6</v>
      </c>
      <c r="K11" s="678">
        <v>1</v>
      </c>
      <c r="L11" s="674">
        <v>7850</v>
      </c>
      <c r="M11" s="1155">
        <v>1</v>
      </c>
      <c r="N11" s="1154">
        <f>E11*D11*M11</f>
        <v>0.16299711696683741</v>
      </c>
      <c r="O11" s="1090"/>
      <c r="P11" s="1022"/>
      <c r="Q11" s="1153"/>
    </row>
    <row r="12" spans="1:17" s="980" customFormat="1" x14ac:dyDescent="0.25">
      <c r="A12" s="984"/>
      <c r="M12" s="1151" t="s">
        <v>18</v>
      </c>
      <c r="N12" s="1152">
        <f>SUM(N10:N11)</f>
        <v>1.3285971169668374</v>
      </c>
      <c r="O12" s="981"/>
      <c r="Q12" s="1050"/>
    </row>
    <row r="13" spans="1:17" x14ac:dyDescent="0.25">
      <c r="A13" s="994"/>
      <c r="O13" s="985"/>
    </row>
    <row r="14" spans="1:17" s="980" customFormat="1" x14ac:dyDescent="0.25">
      <c r="A14" s="1149" t="s">
        <v>14</v>
      </c>
      <c r="B14" s="1148" t="s">
        <v>31</v>
      </c>
      <c r="C14" s="1148" t="s">
        <v>20</v>
      </c>
      <c r="D14" s="1148" t="s">
        <v>21</v>
      </c>
      <c r="E14" s="1148" t="s">
        <v>32</v>
      </c>
      <c r="F14" s="1148" t="s">
        <v>17</v>
      </c>
      <c r="G14" s="1148" t="s">
        <v>33</v>
      </c>
      <c r="H14" s="1148" t="s">
        <v>34</v>
      </c>
      <c r="I14" s="1148" t="s">
        <v>18</v>
      </c>
      <c r="O14" s="981"/>
    </row>
    <row r="15" spans="1:17" s="1021" customFormat="1" x14ac:dyDescent="0.25">
      <c r="A15" s="1147">
        <v>10</v>
      </c>
      <c r="B15" s="689" t="s">
        <v>602</v>
      </c>
      <c r="C15" s="670" t="s">
        <v>923</v>
      </c>
      <c r="D15" s="1145">
        <v>0.06</v>
      </c>
      <c r="E15" s="652" t="s">
        <v>46</v>
      </c>
      <c r="F15" s="652">
        <v>9.92</v>
      </c>
      <c r="G15" s="652"/>
      <c r="H15" s="652">
        <v>1</v>
      </c>
      <c r="I15" s="691">
        <f>IF(H15="",D15*F15,D15*F15*H15)</f>
        <v>0.59519999999999995</v>
      </c>
      <c r="J15" s="1089"/>
      <c r="K15" s="1089"/>
      <c r="L15" s="1089"/>
      <c r="M15" s="1089"/>
      <c r="N15" s="1089"/>
      <c r="O15" s="1088"/>
      <c r="P15" s="1022"/>
    </row>
    <row r="16" spans="1:17" s="1021" customFormat="1" x14ac:dyDescent="0.25">
      <c r="A16" s="1147">
        <v>20</v>
      </c>
      <c r="B16" s="689" t="s">
        <v>922</v>
      </c>
      <c r="C16" s="670" t="s">
        <v>921</v>
      </c>
      <c r="D16" s="1145">
        <v>0.4</v>
      </c>
      <c r="E16" s="652" t="s">
        <v>46</v>
      </c>
      <c r="F16" s="652">
        <v>10</v>
      </c>
      <c r="G16" s="652"/>
      <c r="H16" s="652"/>
      <c r="I16" s="691">
        <f>IF(H16="",D16*F16,D16*F16*H16)</f>
        <v>4</v>
      </c>
      <c r="J16" s="1022"/>
      <c r="K16" s="1022"/>
      <c r="L16" s="1022"/>
      <c r="M16" s="1022"/>
      <c r="N16" s="1022"/>
      <c r="O16" s="1023"/>
      <c r="P16" s="1022"/>
    </row>
    <row r="17" spans="1:16" s="1021" customFormat="1" ht="30" x14ac:dyDescent="0.25">
      <c r="A17" s="1147">
        <v>30</v>
      </c>
      <c r="B17" s="689" t="s">
        <v>252</v>
      </c>
      <c r="C17" s="689" t="s">
        <v>920</v>
      </c>
      <c r="D17" s="1145">
        <v>0.19</v>
      </c>
      <c r="E17" s="652" t="s">
        <v>919</v>
      </c>
      <c r="F17" s="652">
        <v>4</v>
      </c>
      <c r="G17" s="652"/>
      <c r="H17" s="652"/>
      <c r="I17" s="691">
        <f>IF(H17="",D17*F17,D17*F17*H17)</f>
        <v>0.76</v>
      </c>
      <c r="J17" s="1086"/>
      <c r="K17" s="1086"/>
      <c r="L17" s="1022"/>
      <c r="M17" s="1086"/>
      <c r="N17" s="1086"/>
      <c r="O17" s="1085"/>
      <c r="P17" s="1022"/>
    </row>
    <row r="18" spans="1:16" s="1021" customFormat="1" x14ac:dyDescent="0.25">
      <c r="A18" s="1147">
        <v>40</v>
      </c>
      <c r="B18" s="689" t="s">
        <v>76</v>
      </c>
      <c r="C18" s="670" t="s">
        <v>866</v>
      </c>
      <c r="D18" s="1145">
        <v>0.5</v>
      </c>
      <c r="E18" s="652" t="s">
        <v>919</v>
      </c>
      <c r="F18" s="652">
        <v>8</v>
      </c>
      <c r="G18" s="652"/>
      <c r="H18" s="652"/>
      <c r="I18" s="691">
        <f>IF(H18="",D18*F18,D18*F18*H18)</f>
        <v>4</v>
      </c>
      <c r="J18" s="1022"/>
      <c r="K18" s="1022"/>
      <c r="L18" s="1022"/>
      <c r="M18" s="1022"/>
      <c r="N18" s="1022"/>
      <c r="O18" s="1023"/>
      <c r="P18" s="1022"/>
    </row>
    <row r="19" spans="1:16" s="980" customFormat="1" x14ac:dyDescent="0.25">
      <c r="A19" s="984"/>
      <c r="H19" s="1151" t="s">
        <v>18</v>
      </c>
      <c r="I19" s="1150">
        <f>SUM(I15:I18)</f>
        <v>9.3552</v>
      </c>
      <c r="O19" s="981"/>
    </row>
    <row r="20" spans="1:16" x14ac:dyDescent="0.25">
      <c r="A20" s="994"/>
      <c r="O20" s="985"/>
    </row>
    <row r="21" spans="1:16" s="980" customFormat="1" x14ac:dyDescent="0.25">
      <c r="A21" s="1149" t="s">
        <v>14</v>
      </c>
      <c r="B21" s="1148" t="s">
        <v>36</v>
      </c>
      <c r="C21" s="1148" t="s">
        <v>20</v>
      </c>
      <c r="D21" s="1148" t="s">
        <v>21</v>
      </c>
      <c r="E21" s="1148" t="s">
        <v>22</v>
      </c>
      <c r="F21" s="1148" t="s">
        <v>23</v>
      </c>
      <c r="G21" s="1148" t="s">
        <v>24</v>
      </c>
      <c r="H21" s="1148" t="s">
        <v>25</v>
      </c>
      <c r="I21" s="1148" t="s">
        <v>17</v>
      </c>
      <c r="J21" s="1148" t="s">
        <v>18</v>
      </c>
      <c r="O21" s="981"/>
    </row>
    <row r="22" spans="1:16" s="1021" customFormat="1" ht="30" x14ac:dyDescent="0.25">
      <c r="A22" s="1147">
        <v>10</v>
      </c>
      <c r="B22" s="1146" t="s">
        <v>167</v>
      </c>
      <c r="C22" s="1146" t="s">
        <v>861</v>
      </c>
      <c r="D22" s="1145">
        <v>0.6</v>
      </c>
      <c r="E22" s="652">
        <v>25.4</v>
      </c>
      <c r="F22" s="1144" t="s">
        <v>30</v>
      </c>
      <c r="G22" s="652"/>
      <c r="H22" s="670"/>
      <c r="I22" s="1143">
        <v>8</v>
      </c>
      <c r="J22" s="691">
        <f>I22*D22</f>
        <v>4.8</v>
      </c>
      <c r="K22" s="1022"/>
      <c r="L22" s="1024"/>
      <c r="M22" s="1022"/>
      <c r="N22" s="1022"/>
      <c r="O22" s="1023"/>
      <c r="P22" s="1022"/>
    </row>
    <row r="23" spans="1:16" s="980" customFormat="1" x14ac:dyDescent="0.25">
      <c r="A23" s="984"/>
      <c r="I23" s="983" t="s">
        <v>18</v>
      </c>
      <c r="J23" s="982">
        <f>SUM(J22)</f>
        <v>4.8</v>
      </c>
      <c r="O23" s="981"/>
    </row>
    <row r="24" spans="1:16" ht="15.75" thickBot="1" x14ac:dyDescent="0.3">
      <c r="A24" s="979"/>
      <c r="B24" s="976"/>
      <c r="C24" s="976"/>
      <c r="D24" s="976"/>
      <c r="E24" s="976"/>
      <c r="F24" s="976"/>
      <c r="G24" s="976"/>
      <c r="H24" s="978"/>
      <c r="I24" s="977"/>
      <c r="J24" s="976"/>
      <c r="K24" s="976"/>
      <c r="L24" s="976"/>
      <c r="M24" s="976"/>
      <c r="N24" s="976"/>
      <c r="O24" s="975"/>
    </row>
  </sheetData>
  <hyperlinks>
    <hyperlink ref="F1" location="EN_A0800_BOM" display="Back to BOM" xr:uid="{F0BE3990-C235-4B93-9C25-0363CD737BA8}"/>
    <hyperlink ref="B3" location="EN_A0800" display="Cooling System" xr:uid="{7249893B-006D-4428-97B2-DF0DBA727986}"/>
  </hyperlinks>
  <printOptions horizontalCentered="1"/>
  <pageMargins left="0.3" right="0.3" top="0.3" bottom="0.4" header="0.2" footer="0.2"/>
  <pageSetup paperSize="9" scale="81" orientation="landscape" r:id="rId1"/>
  <headerFooter>
    <oddFooter>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6" tint="-0.249977111117893"/>
    <pageSetUpPr fitToPage="1"/>
  </sheetPr>
  <dimension ref="A1:O62"/>
  <sheetViews>
    <sheetView zoomScale="85" zoomScaleNormal="85" zoomScaleSheetLayoutView="80" workbookViewId="0">
      <selection activeCell="E2" sqref="E2"/>
    </sheetView>
  </sheetViews>
  <sheetFormatPr baseColWidth="10" defaultColWidth="9.140625" defaultRowHeight="15" x14ac:dyDescent="0.25"/>
  <cols>
    <col min="2" max="2" width="41.42578125" bestFit="1" customWidth="1"/>
    <col min="10" max="10" width="13.42578125" customWidth="1"/>
    <col min="15" max="15" width="5.28515625" customWidth="1"/>
  </cols>
  <sheetData>
    <row r="1" spans="1:15" x14ac:dyDescent="0.2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25">
      <c r="A2" s="172" t="s">
        <v>0</v>
      </c>
      <c r="B2" s="176" t="s">
        <v>44</v>
      </c>
      <c r="C2" s="41"/>
      <c r="D2" s="41"/>
      <c r="E2" s="68" t="s">
        <v>69</v>
      </c>
      <c r="F2" s="41"/>
      <c r="G2" s="41"/>
      <c r="H2" s="41"/>
      <c r="I2" s="41"/>
      <c r="J2" s="171" t="s">
        <v>1</v>
      </c>
      <c r="K2" s="65">
        <v>81</v>
      </c>
      <c r="L2" s="41"/>
      <c r="M2" s="171" t="s">
        <v>2</v>
      </c>
      <c r="N2" s="73">
        <f>EN_A0900_pa+EN_A0900_m+EN_A0900_p+EN_A0900_f+EN_A0900_t</f>
        <v>402.70288022367509</v>
      </c>
      <c r="O2" s="166"/>
    </row>
    <row r="3" spans="1:15" x14ac:dyDescent="0.25">
      <c r="A3" s="172" t="s">
        <v>3</v>
      </c>
      <c r="B3" s="176" t="s">
        <v>279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171" t="s">
        <v>4</v>
      </c>
      <c r="N3" s="64">
        <v>1</v>
      </c>
      <c r="O3" s="166"/>
    </row>
    <row r="4" spans="1:15" x14ac:dyDescent="0.25">
      <c r="A4" s="172" t="s">
        <v>5</v>
      </c>
      <c r="B4" s="176" t="s">
        <v>278</v>
      </c>
      <c r="C4" s="41"/>
      <c r="D4" s="41"/>
      <c r="E4" s="41"/>
      <c r="F4" s="41"/>
      <c r="G4" s="41"/>
      <c r="H4" s="41"/>
      <c r="I4" s="41"/>
      <c r="J4" s="202" t="s">
        <v>6</v>
      </c>
      <c r="K4" s="41"/>
      <c r="L4" s="41"/>
      <c r="M4" s="41"/>
      <c r="N4" s="41"/>
      <c r="O4" s="166"/>
    </row>
    <row r="5" spans="1:15" x14ac:dyDescent="0.25">
      <c r="A5" s="172" t="s">
        <v>7</v>
      </c>
      <c r="B5" s="203" t="s">
        <v>536</v>
      </c>
      <c r="C5" s="41"/>
      <c r="D5" s="41"/>
      <c r="E5" s="41"/>
      <c r="F5" s="41"/>
      <c r="G5" s="41"/>
      <c r="H5" s="41"/>
      <c r="I5" s="41"/>
      <c r="J5" s="202" t="s">
        <v>8</v>
      </c>
      <c r="K5" s="41"/>
      <c r="L5" s="41"/>
      <c r="M5" s="171" t="s">
        <v>9</v>
      </c>
      <c r="N5" s="58">
        <f>N2*N3</f>
        <v>402.70288022367509</v>
      </c>
      <c r="O5" s="166"/>
    </row>
    <row r="6" spans="1:15" x14ac:dyDescent="0.25">
      <c r="A6" s="172" t="s">
        <v>10</v>
      </c>
      <c r="B6" s="176" t="s">
        <v>11</v>
      </c>
      <c r="C6" s="41"/>
      <c r="D6" s="41"/>
      <c r="E6" s="41"/>
      <c r="F6" s="41"/>
      <c r="G6" s="41"/>
      <c r="H6" s="41"/>
      <c r="I6" s="41"/>
      <c r="J6" s="202" t="s">
        <v>12</v>
      </c>
      <c r="K6" s="41"/>
      <c r="L6" s="41"/>
      <c r="M6" s="41"/>
      <c r="N6" s="41"/>
      <c r="O6" s="166"/>
    </row>
    <row r="7" spans="1:15" x14ac:dyDescent="0.25">
      <c r="A7" s="172" t="s">
        <v>13</v>
      </c>
      <c r="B7" s="176" t="s">
        <v>277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25">
      <c r="A8" s="173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25">
      <c r="A9" s="172" t="s">
        <v>14</v>
      </c>
      <c r="B9" s="201" t="s">
        <v>15</v>
      </c>
      <c r="C9" s="171" t="s">
        <v>16</v>
      </c>
      <c r="D9" s="171" t="s">
        <v>17</v>
      </c>
      <c r="E9" s="171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25">
      <c r="A10" s="184">
        <v>10</v>
      </c>
      <c r="B10" s="200" t="s">
        <v>276</v>
      </c>
      <c r="C10" s="178">
        <f>EN_09001!N$2</f>
        <v>125.93892271516907</v>
      </c>
      <c r="D10" s="199">
        <f>EN_09001!N$3</f>
        <v>1</v>
      </c>
      <c r="E10" s="198">
        <f t="shared" ref="E10:E18" si="0">C10*D10</f>
        <v>125.93892271516907</v>
      </c>
      <c r="F10" s="41"/>
      <c r="G10" s="41"/>
      <c r="H10" s="41"/>
      <c r="I10" s="41"/>
      <c r="J10" s="41"/>
      <c r="K10" s="41"/>
      <c r="L10" s="41"/>
      <c r="M10" s="41"/>
      <c r="N10" s="41"/>
      <c r="O10" s="166"/>
    </row>
    <row r="11" spans="1:15" x14ac:dyDescent="0.25">
      <c r="A11" s="184">
        <v>20</v>
      </c>
      <c r="B11" s="200" t="s">
        <v>275</v>
      </c>
      <c r="C11" s="178">
        <f>EN_09002!N$2</f>
        <v>10.904564699673662</v>
      </c>
      <c r="D11" s="199">
        <f>EN_09002!N$3</f>
        <v>1</v>
      </c>
      <c r="E11" s="198">
        <f t="shared" si="0"/>
        <v>10.904564699673662</v>
      </c>
      <c r="F11" s="42"/>
      <c r="G11" s="42"/>
      <c r="H11" s="42"/>
      <c r="I11" s="42"/>
      <c r="J11" s="42"/>
      <c r="K11" s="42"/>
      <c r="L11" s="42"/>
      <c r="M11" s="42"/>
      <c r="N11" s="42"/>
      <c r="O11" s="197"/>
    </row>
    <row r="12" spans="1:15" x14ac:dyDescent="0.25">
      <c r="A12" s="184">
        <v>30</v>
      </c>
      <c r="B12" s="200" t="s">
        <v>274</v>
      </c>
      <c r="C12" s="178">
        <f>EN_09003!N$2</f>
        <v>8.5389646196590014</v>
      </c>
      <c r="D12" s="199">
        <f>EN_09003!N$3</f>
        <v>1</v>
      </c>
      <c r="E12" s="198">
        <f t="shared" si="0"/>
        <v>8.5389646196590014</v>
      </c>
      <c r="F12" s="42"/>
      <c r="G12" s="42"/>
      <c r="H12" s="42"/>
      <c r="I12" s="42"/>
      <c r="J12" s="42"/>
      <c r="K12" s="42"/>
      <c r="L12" s="42"/>
      <c r="M12" s="42"/>
      <c r="N12" s="42"/>
      <c r="O12" s="197"/>
    </row>
    <row r="13" spans="1:15" x14ac:dyDescent="0.25">
      <c r="A13" s="184">
        <v>40</v>
      </c>
      <c r="B13" s="200" t="s">
        <v>273</v>
      </c>
      <c r="C13" s="178">
        <f>EN_09004!N$2</f>
        <v>23.956417471999998</v>
      </c>
      <c r="D13" s="199">
        <f>EN_09004!N$3</f>
        <v>1</v>
      </c>
      <c r="E13" s="198">
        <f t="shared" si="0"/>
        <v>23.956417471999998</v>
      </c>
      <c r="F13" s="42"/>
      <c r="G13" s="42"/>
      <c r="H13" s="42"/>
      <c r="I13" s="42"/>
      <c r="J13" s="42"/>
      <c r="K13" s="42"/>
      <c r="L13" s="42"/>
      <c r="M13" s="42"/>
      <c r="N13" s="42"/>
      <c r="O13" s="166"/>
    </row>
    <row r="14" spans="1:15" x14ac:dyDescent="0.25">
      <c r="A14" s="184">
        <v>50</v>
      </c>
      <c r="B14" s="200" t="s">
        <v>272</v>
      </c>
      <c r="C14" s="178">
        <f>EN_09005!N$2</f>
        <v>17.198412672</v>
      </c>
      <c r="D14" s="199">
        <f>EN_09005!N$3</f>
        <v>1</v>
      </c>
      <c r="E14" s="198">
        <f t="shared" si="0"/>
        <v>17.198412672</v>
      </c>
      <c r="F14" s="42"/>
      <c r="G14" s="42"/>
      <c r="H14" s="42"/>
      <c r="I14" s="42"/>
      <c r="J14" s="42"/>
      <c r="K14" s="42"/>
      <c r="L14" s="42"/>
      <c r="M14" s="42"/>
      <c r="N14" s="42"/>
      <c r="O14" s="166"/>
    </row>
    <row r="15" spans="1:15" x14ac:dyDescent="0.25">
      <c r="A15" s="184">
        <v>60</v>
      </c>
      <c r="B15" s="200" t="s">
        <v>271</v>
      </c>
      <c r="C15" s="178">
        <f>EN_09006!N$2</f>
        <v>0.99587245000000002</v>
      </c>
      <c r="D15" s="199">
        <f>EN_09006!N$3</f>
        <v>4</v>
      </c>
      <c r="E15" s="198">
        <f t="shared" si="0"/>
        <v>3.9834898000000001</v>
      </c>
      <c r="F15" s="42"/>
      <c r="G15" s="42"/>
      <c r="H15" s="42"/>
      <c r="I15" s="42"/>
      <c r="J15" s="42"/>
      <c r="K15" s="42"/>
      <c r="L15" s="42"/>
      <c r="M15" s="42"/>
      <c r="N15" s="42"/>
      <c r="O15" s="166"/>
    </row>
    <row r="16" spans="1:15" x14ac:dyDescent="0.25">
      <c r="A16" s="184">
        <v>70</v>
      </c>
      <c r="B16" s="200" t="s">
        <v>270</v>
      </c>
      <c r="C16" s="178">
        <f>EN_09007!N$2</f>
        <v>0.96928532500000009</v>
      </c>
      <c r="D16" s="199">
        <f>EN_09007!N$3</f>
        <v>4</v>
      </c>
      <c r="E16" s="198">
        <f t="shared" si="0"/>
        <v>3.8771413000000003</v>
      </c>
      <c r="F16" s="42"/>
      <c r="G16" s="42"/>
      <c r="H16" s="42"/>
      <c r="I16" s="42"/>
      <c r="J16" s="42"/>
      <c r="K16" s="42"/>
      <c r="L16" s="42"/>
      <c r="M16" s="42"/>
      <c r="N16" s="42"/>
      <c r="O16" s="197"/>
    </row>
    <row r="17" spans="1:15" x14ac:dyDescent="0.25">
      <c r="A17" s="184">
        <v>80</v>
      </c>
      <c r="B17" s="200" t="s">
        <v>269</v>
      </c>
      <c r="C17" s="178">
        <f>EN_09008!N$2</f>
        <v>2.2021247500000003</v>
      </c>
      <c r="D17" s="199">
        <f>EN_09008!N$3</f>
        <v>1</v>
      </c>
      <c r="E17" s="198">
        <f t="shared" si="0"/>
        <v>2.2021247500000003</v>
      </c>
      <c r="F17" s="42"/>
      <c r="G17" s="42"/>
      <c r="H17" s="42"/>
      <c r="I17" s="42"/>
      <c r="J17" s="42"/>
      <c r="K17" s="42"/>
      <c r="L17" s="42"/>
      <c r="M17" s="42"/>
      <c r="N17" s="42"/>
      <c r="O17" s="197"/>
    </row>
    <row r="18" spans="1:15" x14ac:dyDescent="0.25">
      <c r="A18" s="184">
        <v>90</v>
      </c>
      <c r="B18" s="200" t="s">
        <v>268</v>
      </c>
      <c r="C18" s="178">
        <f>EN_09009!N$2</f>
        <v>2.2130151625000001</v>
      </c>
      <c r="D18" s="199">
        <f>EN_09009!N$3</f>
        <v>1</v>
      </c>
      <c r="E18" s="198">
        <f t="shared" si="0"/>
        <v>2.2130151625000001</v>
      </c>
      <c r="F18" s="42"/>
      <c r="G18" s="42"/>
      <c r="H18" s="42"/>
      <c r="I18" s="42"/>
      <c r="J18" s="42"/>
      <c r="K18" s="42"/>
      <c r="L18" s="42"/>
      <c r="M18" s="42"/>
      <c r="N18" s="42"/>
      <c r="O18" s="197"/>
    </row>
    <row r="19" spans="1:15" x14ac:dyDescent="0.25">
      <c r="A19" s="173"/>
      <c r="B19" s="41"/>
      <c r="C19" s="41"/>
      <c r="D19" s="168" t="s">
        <v>18</v>
      </c>
      <c r="E19" s="167">
        <f>SUM(E10:E18)</f>
        <v>198.81305319100173</v>
      </c>
      <c r="F19" s="42"/>
      <c r="G19" s="42"/>
      <c r="H19" s="42"/>
      <c r="I19" s="42"/>
      <c r="J19" s="42"/>
      <c r="K19" s="42"/>
      <c r="L19" s="42"/>
      <c r="M19" s="42"/>
      <c r="N19" s="42"/>
      <c r="O19" s="166"/>
    </row>
    <row r="20" spans="1:15" x14ac:dyDescent="0.25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25">
      <c r="A21" s="172" t="s">
        <v>14</v>
      </c>
      <c r="B21" s="171" t="s">
        <v>19</v>
      </c>
      <c r="C21" s="171" t="s">
        <v>20</v>
      </c>
      <c r="D21" s="171" t="s">
        <v>21</v>
      </c>
      <c r="E21" s="171" t="s">
        <v>22</v>
      </c>
      <c r="F21" s="171" t="s">
        <v>23</v>
      </c>
      <c r="G21" s="171" t="s">
        <v>24</v>
      </c>
      <c r="H21" s="171" t="s">
        <v>25</v>
      </c>
      <c r="I21" s="171" t="s">
        <v>26</v>
      </c>
      <c r="J21" s="171" t="s">
        <v>27</v>
      </c>
      <c r="K21" s="171" t="s">
        <v>28</v>
      </c>
      <c r="L21" s="171" t="s">
        <v>29</v>
      </c>
      <c r="M21" s="171" t="s">
        <v>17</v>
      </c>
      <c r="N21" s="171" t="s">
        <v>18</v>
      </c>
      <c r="O21" s="166"/>
    </row>
    <row r="22" spans="1:15" s="14" customFormat="1" x14ac:dyDescent="0.25">
      <c r="A22" s="184">
        <v>20</v>
      </c>
      <c r="B22" s="181" t="s">
        <v>266</v>
      </c>
      <c r="C22" s="181" t="s">
        <v>267</v>
      </c>
      <c r="D22" s="178">
        <f>0.1*(E22^2*G22)^0.5</f>
        <v>38.183766184073569</v>
      </c>
      <c r="E22" s="181">
        <v>90</v>
      </c>
      <c r="F22" s="181" t="s">
        <v>30</v>
      </c>
      <c r="G22" s="181">
        <v>18</v>
      </c>
      <c r="H22" s="191" t="s">
        <v>30</v>
      </c>
      <c r="I22" s="196"/>
      <c r="J22" s="192"/>
      <c r="K22" s="191"/>
      <c r="L22" s="191"/>
      <c r="M22" s="189">
        <v>1</v>
      </c>
      <c r="N22" s="188">
        <f>IF(J22="",D22*M22,D22*J22*K22*L22*M22)</f>
        <v>38.183766184073569</v>
      </c>
      <c r="O22" s="195"/>
    </row>
    <row r="23" spans="1:15" x14ac:dyDescent="0.25">
      <c r="A23" s="184">
        <v>10</v>
      </c>
      <c r="B23" s="181" t="s">
        <v>266</v>
      </c>
      <c r="C23" s="181" t="s">
        <v>265</v>
      </c>
      <c r="D23" s="178">
        <f>0.1*(E23^2*G23)^0.5</f>
        <v>32</v>
      </c>
      <c r="E23" s="181">
        <v>80</v>
      </c>
      <c r="F23" s="181" t="s">
        <v>30</v>
      </c>
      <c r="G23" s="181">
        <v>16</v>
      </c>
      <c r="H23" s="191" t="s">
        <v>30</v>
      </c>
      <c r="I23" s="196"/>
      <c r="J23" s="192"/>
      <c r="K23" s="191"/>
      <c r="L23" s="191"/>
      <c r="M23" s="189">
        <v>1</v>
      </c>
      <c r="N23" s="188">
        <f>IF(J23="",D23*M23,D23*J23*K23*L23*M23)</f>
        <v>32</v>
      </c>
      <c r="O23" s="166"/>
    </row>
    <row r="24" spans="1:15" s="14" customFormat="1" x14ac:dyDescent="0.25">
      <c r="A24" s="184">
        <v>30</v>
      </c>
      <c r="B24" s="181" t="s">
        <v>264</v>
      </c>
      <c r="C24" s="180" t="s">
        <v>263</v>
      </c>
      <c r="D24" s="178">
        <v>10</v>
      </c>
      <c r="E24" s="181">
        <f>0.002*4+0.002*4+0.004*2</f>
        <v>2.4E-2</v>
      </c>
      <c r="F24" s="181" t="s">
        <v>89</v>
      </c>
      <c r="G24" s="181"/>
      <c r="H24" s="191"/>
      <c r="I24" s="196"/>
      <c r="J24" s="192"/>
      <c r="K24" s="191"/>
      <c r="L24" s="191"/>
      <c r="M24" s="189">
        <v>1</v>
      </c>
      <c r="N24" s="188">
        <f>IF(J24="",D24*M24*E24,D24*J24*K24*L24*M24)</f>
        <v>0.24</v>
      </c>
      <c r="O24" s="195"/>
    </row>
    <row r="25" spans="1:15" s="14" customFormat="1" x14ac:dyDescent="0.25">
      <c r="A25" s="184">
        <v>40</v>
      </c>
      <c r="B25" s="181" t="s">
        <v>262</v>
      </c>
      <c r="C25" s="181" t="s">
        <v>261</v>
      </c>
      <c r="D25" s="178">
        <v>0.75</v>
      </c>
      <c r="E25" s="181">
        <v>0.06</v>
      </c>
      <c r="F25" s="181" t="s">
        <v>260</v>
      </c>
      <c r="G25" s="181"/>
      <c r="H25" s="191"/>
      <c r="I25" s="193"/>
      <c r="J25" s="192"/>
      <c r="K25" s="191"/>
      <c r="L25" s="190"/>
      <c r="M25" s="189">
        <v>1</v>
      </c>
      <c r="N25" s="188">
        <f>IF(J25="",D25*M25*E25,D25*J25*K25*L25*M25)</f>
        <v>4.4999999999999998E-2</v>
      </c>
      <c r="O25" s="195"/>
    </row>
    <row r="26" spans="1:15" ht="30" x14ac:dyDescent="0.25">
      <c r="A26" s="184">
        <v>50</v>
      </c>
      <c r="B26" s="194" t="s">
        <v>259</v>
      </c>
      <c r="C26" s="181"/>
      <c r="D26" s="178">
        <v>110</v>
      </c>
      <c r="E26" s="181">
        <v>1</v>
      </c>
      <c r="F26" s="181" t="s">
        <v>35</v>
      </c>
      <c r="G26" s="181"/>
      <c r="H26" s="191"/>
      <c r="I26" s="193"/>
      <c r="J26" s="192"/>
      <c r="K26" s="191"/>
      <c r="L26" s="190"/>
      <c r="M26" s="189">
        <v>1</v>
      </c>
      <c r="N26" s="188">
        <f>IF(J26="",D26*M26,D26*J26*K26*L26*M26)</f>
        <v>110</v>
      </c>
      <c r="O26" s="166"/>
    </row>
    <row r="27" spans="1:15" x14ac:dyDescent="0.25">
      <c r="A27" s="169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71" t="s">
        <v>18</v>
      </c>
      <c r="N27" s="174">
        <f>SUM(N22:N26)</f>
        <v>180.46876618407356</v>
      </c>
      <c r="O27" s="166"/>
    </row>
    <row r="28" spans="1:15" x14ac:dyDescent="0.25">
      <c r="A28" s="173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166"/>
    </row>
    <row r="29" spans="1:15" s="16" customFormat="1" x14ac:dyDescent="0.25">
      <c r="A29" s="172" t="s">
        <v>14</v>
      </c>
      <c r="B29" s="171" t="s">
        <v>31</v>
      </c>
      <c r="C29" s="171" t="s">
        <v>20</v>
      </c>
      <c r="D29" s="171" t="s">
        <v>21</v>
      </c>
      <c r="E29" s="171" t="s">
        <v>32</v>
      </c>
      <c r="F29" s="171" t="s">
        <v>17</v>
      </c>
      <c r="G29" s="171" t="s">
        <v>33</v>
      </c>
      <c r="H29" s="171" t="s">
        <v>34</v>
      </c>
      <c r="I29" s="171" t="s">
        <v>18</v>
      </c>
      <c r="J29" s="15"/>
      <c r="K29" s="15"/>
      <c r="L29" s="15"/>
      <c r="M29" s="15"/>
      <c r="N29" s="15"/>
      <c r="O29" s="187"/>
    </row>
    <row r="30" spans="1:15" s="16" customFormat="1" x14ac:dyDescent="0.25">
      <c r="A30" s="184">
        <v>10</v>
      </c>
      <c r="B30" s="180" t="s">
        <v>72</v>
      </c>
      <c r="C30" s="180" t="s">
        <v>236</v>
      </c>
      <c r="D30" s="178">
        <v>0.15</v>
      </c>
      <c r="E30" s="181" t="s">
        <v>46</v>
      </c>
      <c r="F30" s="181">
        <v>56.54</v>
      </c>
      <c r="G30" s="181"/>
      <c r="H30" s="181">
        <v>1</v>
      </c>
      <c r="I30" s="178">
        <f t="shared" ref="I30:I43" si="1">D30*F30*H30</f>
        <v>8.4809999999999999</v>
      </c>
      <c r="J30" s="176"/>
      <c r="K30" s="176"/>
      <c r="L30" s="176"/>
      <c r="M30" s="42"/>
      <c r="N30" s="42"/>
      <c r="O30" s="187"/>
    </row>
    <row r="31" spans="1:15" s="12" customFormat="1" x14ac:dyDescent="0.25">
      <c r="A31" s="184">
        <v>20</v>
      </c>
      <c r="B31" s="180" t="s">
        <v>258</v>
      </c>
      <c r="C31" s="180" t="s">
        <v>257</v>
      </c>
      <c r="D31" s="178">
        <v>5.25</v>
      </c>
      <c r="E31" s="181" t="s">
        <v>89</v>
      </c>
      <c r="F31" s="181">
        <f>0.002*4+0.002*4+0.004*2</f>
        <v>2.4E-2</v>
      </c>
      <c r="G31" s="181"/>
      <c r="H31" s="181">
        <v>1</v>
      </c>
      <c r="I31" s="178">
        <f t="shared" si="1"/>
        <v>0.126</v>
      </c>
      <c r="J31" s="176"/>
      <c r="K31" s="176"/>
      <c r="L31" s="176"/>
      <c r="M31" s="42"/>
      <c r="N31" s="42"/>
      <c r="O31" s="185"/>
    </row>
    <row r="32" spans="1:15" x14ac:dyDescent="0.25">
      <c r="A32" s="184">
        <v>30</v>
      </c>
      <c r="B32" s="186" t="s">
        <v>256</v>
      </c>
      <c r="C32" s="180" t="s">
        <v>255</v>
      </c>
      <c r="D32" s="178">
        <v>0.56000000000000005</v>
      </c>
      <c r="E32" s="181" t="s">
        <v>35</v>
      </c>
      <c r="F32" s="181">
        <v>2</v>
      </c>
      <c r="G32" s="181"/>
      <c r="H32" s="181">
        <v>1</v>
      </c>
      <c r="I32" s="178">
        <f t="shared" si="1"/>
        <v>1.1200000000000001</v>
      </c>
      <c r="J32" s="176"/>
      <c r="K32" s="176"/>
      <c r="L32" s="176"/>
      <c r="M32" s="41"/>
      <c r="N32" s="41"/>
      <c r="O32" s="166"/>
    </row>
    <row r="33" spans="1:15" x14ac:dyDescent="0.25">
      <c r="A33" s="184">
        <v>40</v>
      </c>
      <c r="B33" s="186" t="s">
        <v>252</v>
      </c>
      <c r="C33" s="180" t="s">
        <v>254</v>
      </c>
      <c r="D33" s="178">
        <v>0.19</v>
      </c>
      <c r="E33" s="181" t="s">
        <v>35</v>
      </c>
      <c r="F33" s="181">
        <v>1</v>
      </c>
      <c r="G33" s="181"/>
      <c r="H33" s="181">
        <v>1</v>
      </c>
      <c r="I33" s="178">
        <f t="shared" si="1"/>
        <v>0.19</v>
      </c>
      <c r="J33" s="176"/>
      <c r="K33" s="176"/>
      <c r="L33" s="176"/>
      <c r="M33" s="41"/>
      <c r="N33" s="41"/>
      <c r="O33" s="166"/>
    </row>
    <row r="34" spans="1:15" x14ac:dyDescent="0.25">
      <c r="A34" s="184">
        <v>50</v>
      </c>
      <c r="B34" s="180" t="s">
        <v>252</v>
      </c>
      <c r="C34" s="180" t="s">
        <v>253</v>
      </c>
      <c r="D34" s="178">
        <v>0.19</v>
      </c>
      <c r="E34" s="181" t="s">
        <v>35</v>
      </c>
      <c r="F34" s="181">
        <v>1</v>
      </c>
      <c r="G34" s="181"/>
      <c r="H34" s="181">
        <v>1</v>
      </c>
      <c r="I34" s="178">
        <f t="shared" si="1"/>
        <v>0.19</v>
      </c>
      <c r="J34" s="176"/>
      <c r="K34" s="176"/>
      <c r="L34" s="176"/>
      <c r="M34" s="41"/>
      <c r="N34" s="41"/>
      <c r="O34" s="166"/>
    </row>
    <row r="35" spans="1:15" x14ac:dyDescent="0.25">
      <c r="A35" s="184">
        <v>60</v>
      </c>
      <c r="B35" s="180" t="s">
        <v>252</v>
      </c>
      <c r="C35" s="180" t="s">
        <v>251</v>
      </c>
      <c r="D35" s="178">
        <v>0.19</v>
      </c>
      <c r="E35" s="181" t="s">
        <v>35</v>
      </c>
      <c r="F35" s="181">
        <v>2</v>
      </c>
      <c r="G35" s="181"/>
      <c r="H35" s="181">
        <v>1</v>
      </c>
      <c r="I35" s="178">
        <f t="shared" si="1"/>
        <v>0.38</v>
      </c>
      <c r="J35" s="176"/>
      <c r="K35" s="176"/>
      <c r="L35" s="176"/>
      <c r="M35" s="41"/>
      <c r="N35" s="41"/>
      <c r="O35" s="166"/>
    </row>
    <row r="36" spans="1:15" x14ac:dyDescent="0.25">
      <c r="A36" s="184">
        <v>70</v>
      </c>
      <c r="B36" s="180" t="s">
        <v>250</v>
      </c>
      <c r="C36" s="180" t="s">
        <v>249</v>
      </c>
      <c r="D36" s="178">
        <v>0.5</v>
      </c>
      <c r="E36" s="181" t="s">
        <v>35</v>
      </c>
      <c r="F36" s="181">
        <v>4</v>
      </c>
      <c r="G36" s="181"/>
      <c r="H36" s="181">
        <v>1</v>
      </c>
      <c r="I36" s="178">
        <f t="shared" si="1"/>
        <v>2</v>
      </c>
      <c r="J36" s="176"/>
      <c r="K36" s="176"/>
      <c r="L36" s="176"/>
      <c r="M36" s="41"/>
      <c r="N36" s="41"/>
      <c r="O36" s="166"/>
    </row>
    <row r="37" spans="1:15" x14ac:dyDescent="0.25">
      <c r="A37" s="184">
        <v>80</v>
      </c>
      <c r="B37" s="180" t="s">
        <v>180</v>
      </c>
      <c r="C37" s="180" t="s">
        <v>249</v>
      </c>
      <c r="D37" s="178">
        <v>0.25</v>
      </c>
      <c r="E37" s="181" t="s">
        <v>35</v>
      </c>
      <c r="F37" s="181">
        <v>4</v>
      </c>
      <c r="G37" s="181"/>
      <c r="H37" s="181">
        <v>1</v>
      </c>
      <c r="I37" s="178">
        <f t="shared" si="1"/>
        <v>1</v>
      </c>
      <c r="J37" s="176"/>
      <c r="K37" s="176"/>
      <c r="L37" s="176"/>
      <c r="M37" s="41"/>
      <c r="N37" s="41"/>
      <c r="O37" s="166"/>
    </row>
    <row r="38" spans="1:15" x14ac:dyDescent="0.25">
      <c r="A38" s="184">
        <v>90</v>
      </c>
      <c r="B38" s="180" t="s">
        <v>77</v>
      </c>
      <c r="C38" s="180" t="s">
        <v>248</v>
      </c>
      <c r="D38" s="178">
        <v>0.38</v>
      </c>
      <c r="E38" s="181" t="s">
        <v>35</v>
      </c>
      <c r="F38" s="181">
        <v>2</v>
      </c>
      <c r="G38" s="181"/>
      <c r="H38" s="181">
        <v>1</v>
      </c>
      <c r="I38" s="178">
        <f t="shared" si="1"/>
        <v>0.76</v>
      </c>
      <c r="J38" s="176"/>
      <c r="K38" s="177"/>
      <c r="L38" s="177"/>
      <c r="M38" s="43"/>
      <c r="N38" s="43"/>
      <c r="O38" s="166"/>
    </row>
    <row r="39" spans="1:15" x14ac:dyDescent="0.25">
      <c r="A39" s="184">
        <v>100</v>
      </c>
      <c r="B39" s="180" t="s">
        <v>172</v>
      </c>
      <c r="C39" s="180" t="s">
        <v>247</v>
      </c>
      <c r="D39" s="178">
        <v>0.06</v>
      </c>
      <c r="E39" s="181" t="s">
        <v>35</v>
      </c>
      <c r="F39" s="181">
        <v>4</v>
      </c>
      <c r="G39" s="181"/>
      <c r="H39" s="181">
        <v>1</v>
      </c>
      <c r="I39" s="178">
        <f t="shared" si="1"/>
        <v>0.24</v>
      </c>
      <c r="J39" s="176"/>
      <c r="K39" s="176"/>
      <c r="L39" s="176"/>
      <c r="M39" s="43"/>
      <c r="N39" s="43"/>
      <c r="O39" s="166"/>
    </row>
    <row r="40" spans="1:15" s="12" customFormat="1" x14ac:dyDescent="0.25">
      <c r="A40" s="184">
        <v>110</v>
      </c>
      <c r="B40" s="180" t="s">
        <v>74</v>
      </c>
      <c r="C40" s="180" t="s">
        <v>246</v>
      </c>
      <c r="D40" s="178">
        <v>0.75</v>
      </c>
      <c r="E40" s="181" t="s">
        <v>35</v>
      </c>
      <c r="F40" s="181">
        <v>2</v>
      </c>
      <c r="G40" s="181"/>
      <c r="H40" s="181">
        <v>1</v>
      </c>
      <c r="I40" s="178">
        <f t="shared" si="1"/>
        <v>1.5</v>
      </c>
      <c r="J40" s="176"/>
      <c r="K40" s="176"/>
      <c r="L40" s="177"/>
      <c r="M40" s="42"/>
      <c r="N40" s="42"/>
      <c r="O40" s="185"/>
    </row>
    <row r="41" spans="1:15" x14ac:dyDescent="0.25">
      <c r="A41" s="184">
        <v>120</v>
      </c>
      <c r="B41" s="180" t="s">
        <v>245</v>
      </c>
      <c r="C41" s="180" t="s">
        <v>246</v>
      </c>
      <c r="D41" s="178">
        <v>0.25</v>
      </c>
      <c r="E41" s="181" t="s">
        <v>35</v>
      </c>
      <c r="F41" s="181">
        <v>2</v>
      </c>
      <c r="G41" s="181"/>
      <c r="H41" s="181">
        <v>1</v>
      </c>
      <c r="I41" s="178">
        <f t="shared" si="1"/>
        <v>0.5</v>
      </c>
      <c r="J41" s="176"/>
      <c r="K41" s="176"/>
      <c r="L41" s="176"/>
      <c r="M41" s="43"/>
      <c r="N41" s="43"/>
      <c r="O41" s="166"/>
    </row>
    <row r="42" spans="1:15" x14ac:dyDescent="0.25">
      <c r="A42" s="184">
        <v>130</v>
      </c>
      <c r="B42" s="180" t="s">
        <v>74</v>
      </c>
      <c r="C42" s="180" t="s">
        <v>244</v>
      </c>
      <c r="D42" s="178">
        <v>0.75</v>
      </c>
      <c r="E42" s="181" t="s">
        <v>35</v>
      </c>
      <c r="F42" s="181">
        <v>2</v>
      </c>
      <c r="G42" s="181"/>
      <c r="H42" s="181">
        <v>1</v>
      </c>
      <c r="I42" s="178">
        <f t="shared" si="1"/>
        <v>1.5</v>
      </c>
      <c r="J42" s="176"/>
      <c r="K42" s="176"/>
      <c r="L42" s="176"/>
      <c r="M42" s="41"/>
      <c r="N42" s="41"/>
      <c r="O42" s="166"/>
    </row>
    <row r="43" spans="1:15" x14ac:dyDescent="0.25">
      <c r="A43" s="184">
        <v>140</v>
      </c>
      <c r="B43" s="180" t="s">
        <v>245</v>
      </c>
      <c r="C43" s="180" t="s">
        <v>244</v>
      </c>
      <c r="D43" s="178">
        <v>0.25</v>
      </c>
      <c r="E43" s="181" t="s">
        <v>35</v>
      </c>
      <c r="F43" s="181">
        <v>2</v>
      </c>
      <c r="G43" s="181"/>
      <c r="H43" s="181">
        <v>1</v>
      </c>
      <c r="I43" s="178">
        <f t="shared" si="1"/>
        <v>0.5</v>
      </c>
      <c r="J43" s="176"/>
      <c r="K43" s="176"/>
      <c r="L43" s="176"/>
      <c r="M43" s="41"/>
      <c r="N43" s="41"/>
      <c r="O43" s="166"/>
    </row>
    <row r="44" spans="1:15" x14ac:dyDescent="0.25">
      <c r="A44" s="169"/>
      <c r="B44" s="15"/>
      <c r="C44" s="15"/>
      <c r="D44" s="15"/>
      <c r="E44" s="15"/>
      <c r="F44" s="15"/>
      <c r="G44" s="15"/>
      <c r="H44" s="175" t="s">
        <v>18</v>
      </c>
      <c r="I44" s="174">
        <f>SUM(I30:I43)</f>
        <v>18.487000000000002</v>
      </c>
      <c r="J44" s="41"/>
      <c r="K44" s="41"/>
      <c r="L44" s="41"/>
      <c r="M44" s="41"/>
      <c r="N44" s="41"/>
      <c r="O44" s="166"/>
    </row>
    <row r="45" spans="1:15" x14ac:dyDescent="0.25">
      <c r="A45" s="173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166"/>
    </row>
    <row r="46" spans="1:15" x14ac:dyDescent="0.25">
      <c r="A46" s="172" t="s">
        <v>14</v>
      </c>
      <c r="B46" s="171" t="s">
        <v>36</v>
      </c>
      <c r="C46" s="171" t="s">
        <v>20</v>
      </c>
      <c r="D46" s="171" t="s">
        <v>21</v>
      </c>
      <c r="E46" s="171" t="s">
        <v>22</v>
      </c>
      <c r="F46" s="171" t="s">
        <v>23</v>
      </c>
      <c r="G46" s="171" t="s">
        <v>24</v>
      </c>
      <c r="H46" s="171" t="s">
        <v>25</v>
      </c>
      <c r="I46" s="171" t="s">
        <v>17</v>
      </c>
      <c r="J46" s="171" t="s">
        <v>18</v>
      </c>
      <c r="K46" s="41"/>
      <c r="L46" s="41"/>
      <c r="M46" s="41"/>
      <c r="N46" s="41"/>
      <c r="O46" s="166"/>
    </row>
    <row r="47" spans="1:15" x14ac:dyDescent="0.25">
      <c r="A47" s="184">
        <v>10</v>
      </c>
      <c r="B47" s="181" t="s">
        <v>239</v>
      </c>
      <c r="C47" s="181" t="s">
        <v>243</v>
      </c>
      <c r="D47" s="183">
        <f>0.8/105154*E47*E47*G47*SQRT(G47)+(0.003*EXP(0.319*E47))</f>
        <v>0.5252420080501925</v>
      </c>
      <c r="E47" s="181">
        <v>12</v>
      </c>
      <c r="F47" s="182" t="s">
        <v>30</v>
      </c>
      <c r="G47" s="181">
        <v>50</v>
      </c>
      <c r="H47" s="180" t="s">
        <v>30</v>
      </c>
      <c r="I47" s="179">
        <v>2</v>
      </c>
      <c r="J47" s="178">
        <f t="shared" ref="J47:J55" si="2">D47*I47</f>
        <v>1.050484016100385</v>
      </c>
      <c r="K47" s="176"/>
      <c r="L47" s="176"/>
      <c r="M47" s="176"/>
      <c r="N47" s="41"/>
      <c r="O47" s="166"/>
    </row>
    <row r="48" spans="1:15" x14ac:dyDescent="0.25">
      <c r="A48" s="184">
        <v>20</v>
      </c>
      <c r="B48" s="181" t="s">
        <v>238</v>
      </c>
      <c r="C48" s="181" t="s">
        <v>243</v>
      </c>
      <c r="D48" s="183">
        <f>0.009*EXP(0.2*E48)</f>
        <v>9.920858742577443E-2</v>
      </c>
      <c r="E48" s="181">
        <v>12</v>
      </c>
      <c r="F48" s="182" t="s">
        <v>30</v>
      </c>
      <c r="G48" s="181"/>
      <c r="H48" s="180"/>
      <c r="I48" s="179">
        <v>2</v>
      </c>
      <c r="J48" s="178">
        <f t="shared" si="2"/>
        <v>0.19841717485154886</v>
      </c>
      <c r="K48" s="176"/>
      <c r="L48" s="176"/>
      <c r="M48" s="176"/>
      <c r="N48" s="41"/>
      <c r="O48" s="166"/>
    </row>
    <row r="49" spans="1:15" x14ac:dyDescent="0.25">
      <c r="A49" s="184">
        <v>30</v>
      </c>
      <c r="B49" s="181" t="s">
        <v>239</v>
      </c>
      <c r="C49" s="181" t="s">
        <v>242</v>
      </c>
      <c r="D49" s="183">
        <f>0.8/105154*E49*E49*G49*SQRT(G49)+(0.003*EXP(0.319*E49))</f>
        <v>0.11850487334396681</v>
      </c>
      <c r="E49" s="181">
        <v>8</v>
      </c>
      <c r="F49" s="182" t="s">
        <v>30</v>
      </c>
      <c r="G49" s="181">
        <v>30</v>
      </c>
      <c r="H49" s="180" t="s">
        <v>30</v>
      </c>
      <c r="I49" s="179">
        <v>2</v>
      </c>
      <c r="J49" s="178">
        <f t="shared" si="2"/>
        <v>0.23700974668793362</v>
      </c>
      <c r="K49" s="176"/>
      <c r="L49" s="177"/>
      <c r="M49" s="177"/>
      <c r="N49" s="41"/>
      <c r="O49" s="166"/>
    </row>
    <row r="50" spans="1:15" x14ac:dyDescent="0.25">
      <c r="A50" s="184">
        <v>40</v>
      </c>
      <c r="B50" s="181" t="s">
        <v>238</v>
      </c>
      <c r="C50" s="181" t="s">
        <v>242</v>
      </c>
      <c r="D50" s="183">
        <f>0.009*EXP(0.2*E50)</f>
        <v>4.4577291819556032E-2</v>
      </c>
      <c r="E50" s="181">
        <v>8</v>
      </c>
      <c r="F50" s="182" t="s">
        <v>30</v>
      </c>
      <c r="G50" s="181"/>
      <c r="H50" s="180"/>
      <c r="I50" s="179">
        <v>2</v>
      </c>
      <c r="J50" s="178">
        <f t="shared" si="2"/>
        <v>8.9154583639112064E-2</v>
      </c>
      <c r="K50" s="176"/>
      <c r="L50" s="176"/>
      <c r="M50" s="176"/>
      <c r="N50" s="41"/>
      <c r="O50" s="166"/>
    </row>
    <row r="51" spans="1:15" x14ac:dyDescent="0.25">
      <c r="A51" s="184">
        <v>50</v>
      </c>
      <c r="B51" s="181" t="s">
        <v>93</v>
      </c>
      <c r="C51" s="181" t="s">
        <v>241</v>
      </c>
      <c r="D51" s="183">
        <v>0.01</v>
      </c>
      <c r="E51" s="181"/>
      <c r="F51" s="182" t="s">
        <v>35</v>
      </c>
      <c r="G51" s="181"/>
      <c r="H51" s="180"/>
      <c r="I51" s="179">
        <v>4</v>
      </c>
      <c r="J51" s="178">
        <f t="shared" si="2"/>
        <v>0.04</v>
      </c>
      <c r="K51" s="176"/>
      <c r="L51" s="176"/>
      <c r="M51" s="176"/>
      <c r="N51" s="41"/>
      <c r="O51" s="166"/>
    </row>
    <row r="52" spans="1:15" x14ac:dyDescent="0.25">
      <c r="A52" s="184">
        <v>60</v>
      </c>
      <c r="B52" s="181" t="s">
        <v>239</v>
      </c>
      <c r="C52" s="181" t="s">
        <v>240</v>
      </c>
      <c r="D52" s="183">
        <f>0.8/105154*E52*E52*G52*SQRT(G52)+(0.003*EXP(0.319*E52))</f>
        <v>0.11850487334396681</v>
      </c>
      <c r="E52" s="181">
        <v>8</v>
      </c>
      <c r="F52" s="182" t="s">
        <v>30</v>
      </c>
      <c r="G52" s="181">
        <v>30</v>
      </c>
      <c r="H52" s="180" t="s">
        <v>30</v>
      </c>
      <c r="I52" s="179">
        <v>2</v>
      </c>
      <c r="J52" s="178">
        <f t="shared" si="2"/>
        <v>0.23700974668793362</v>
      </c>
      <c r="K52" s="176"/>
      <c r="L52" s="176"/>
      <c r="M52" s="176"/>
      <c r="N52" s="41"/>
      <c r="O52" s="166"/>
    </row>
    <row r="53" spans="1:15" x14ac:dyDescent="0.25">
      <c r="A53" s="184">
        <v>70</v>
      </c>
      <c r="B53" s="181" t="s">
        <v>238</v>
      </c>
      <c r="C53" s="181" t="s">
        <v>240</v>
      </c>
      <c r="D53" s="183">
        <f>0.009*EXP(0.2*E53)</f>
        <v>4.4577291819556032E-2</v>
      </c>
      <c r="E53" s="181">
        <v>8</v>
      </c>
      <c r="F53" s="182" t="s">
        <v>30</v>
      </c>
      <c r="G53" s="181"/>
      <c r="H53" s="180"/>
      <c r="I53" s="179">
        <v>2</v>
      </c>
      <c r="J53" s="178">
        <f t="shared" si="2"/>
        <v>8.9154583639112064E-2</v>
      </c>
      <c r="K53" s="176"/>
      <c r="L53" s="176"/>
      <c r="M53" s="176"/>
      <c r="N53" s="41"/>
      <c r="O53" s="166"/>
    </row>
    <row r="54" spans="1:15" x14ac:dyDescent="0.25">
      <c r="A54" s="184">
        <v>80</v>
      </c>
      <c r="B54" s="181" t="s">
        <v>239</v>
      </c>
      <c r="C54" s="181" t="s">
        <v>237</v>
      </c>
      <c r="D54" s="183">
        <f>0.8/105154*E54*E54*G54*SQRT(G54)+(0.003*EXP(0.319*E54))</f>
        <v>0.11850487334396681</v>
      </c>
      <c r="E54" s="181">
        <v>8</v>
      </c>
      <c r="F54" s="182" t="s">
        <v>30</v>
      </c>
      <c r="G54" s="181">
        <v>30</v>
      </c>
      <c r="H54" s="180" t="s">
        <v>30</v>
      </c>
      <c r="I54" s="179">
        <v>2</v>
      </c>
      <c r="J54" s="178">
        <f t="shared" si="2"/>
        <v>0.23700974668793362</v>
      </c>
      <c r="K54" s="176"/>
      <c r="L54" s="176"/>
      <c r="M54" s="176"/>
      <c r="N54" s="41"/>
      <c r="O54" s="166"/>
    </row>
    <row r="55" spans="1:15" x14ac:dyDescent="0.25">
      <c r="A55" s="184">
        <v>90</v>
      </c>
      <c r="B55" s="181" t="s">
        <v>238</v>
      </c>
      <c r="C55" s="181" t="s">
        <v>237</v>
      </c>
      <c r="D55" s="183">
        <f>0.009*EXP(0.2*E55)</f>
        <v>4.4577291819556032E-2</v>
      </c>
      <c r="E55" s="181">
        <v>8</v>
      </c>
      <c r="F55" s="182" t="s">
        <v>30</v>
      </c>
      <c r="G55" s="181"/>
      <c r="H55" s="180"/>
      <c r="I55" s="179">
        <v>2</v>
      </c>
      <c r="J55" s="178">
        <f t="shared" si="2"/>
        <v>8.9154583639112064E-2</v>
      </c>
      <c r="K55" s="177"/>
      <c r="L55" s="176"/>
      <c r="M55" s="176"/>
      <c r="N55" s="41"/>
      <c r="O55" s="166"/>
    </row>
    <row r="56" spans="1:15" x14ac:dyDescent="0.25">
      <c r="A56" s="169"/>
      <c r="B56" s="15"/>
      <c r="C56" s="15"/>
      <c r="D56" s="15"/>
      <c r="E56" s="15"/>
      <c r="F56" s="15"/>
      <c r="G56" s="15"/>
      <c r="H56" s="15"/>
      <c r="I56" s="175" t="s">
        <v>18</v>
      </c>
      <c r="J56" s="174">
        <f>SUM(J47:J55)</f>
        <v>2.2673941819330707</v>
      </c>
      <c r="K56" s="41"/>
      <c r="L56" s="41"/>
      <c r="M56" s="41"/>
      <c r="N56" s="41"/>
      <c r="O56" s="166"/>
    </row>
    <row r="57" spans="1:15" x14ac:dyDescent="0.25">
      <c r="A57" s="173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166"/>
    </row>
    <row r="58" spans="1:15" x14ac:dyDescent="0.25">
      <c r="A58" s="172" t="s">
        <v>14</v>
      </c>
      <c r="B58" s="171" t="s">
        <v>39</v>
      </c>
      <c r="C58" s="171" t="s">
        <v>20</v>
      </c>
      <c r="D58" s="171" t="s">
        <v>21</v>
      </c>
      <c r="E58" s="171" t="s">
        <v>32</v>
      </c>
      <c r="F58" s="171" t="s">
        <v>17</v>
      </c>
      <c r="G58" s="171" t="s">
        <v>40</v>
      </c>
      <c r="H58" s="171" t="s">
        <v>41</v>
      </c>
      <c r="I58" s="171" t="s">
        <v>18</v>
      </c>
      <c r="J58" s="15"/>
      <c r="K58" s="41"/>
      <c r="L58" s="41"/>
      <c r="M58" s="41"/>
      <c r="N58" s="41"/>
      <c r="O58" s="166"/>
    </row>
    <row r="59" spans="1:15" x14ac:dyDescent="0.25">
      <c r="A59" s="170">
        <v>10</v>
      </c>
      <c r="B59" s="57" t="s">
        <v>42</v>
      </c>
      <c r="C59" s="57" t="s">
        <v>236</v>
      </c>
      <c r="D59" s="58">
        <v>500</v>
      </c>
      <c r="E59" s="57" t="s">
        <v>43</v>
      </c>
      <c r="F59" s="57">
        <v>16</v>
      </c>
      <c r="G59" s="57">
        <v>3000</v>
      </c>
      <c r="H59" s="57">
        <v>1</v>
      </c>
      <c r="I59" s="58">
        <f>D59*F59/G59*H59</f>
        <v>2.6666666666666665</v>
      </c>
      <c r="J59" s="15"/>
      <c r="K59" s="41"/>
      <c r="L59" s="41"/>
      <c r="M59" s="41"/>
      <c r="N59" s="41"/>
      <c r="O59" s="166"/>
    </row>
    <row r="60" spans="1:15" x14ac:dyDescent="0.25">
      <c r="A60" s="169"/>
      <c r="B60" s="15"/>
      <c r="C60" s="15"/>
      <c r="D60" s="15"/>
      <c r="E60" s="15"/>
      <c r="F60" s="15"/>
      <c r="G60" s="15"/>
      <c r="H60" s="168" t="s">
        <v>18</v>
      </c>
      <c r="I60" s="167">
        <f>SUM(I59:I59)</f>
        <v>2.6666666666666665</v>
      </c>
      <c r="J60" s="15"/>
      <c r="K60" s="41"/>
      <c r="L60" s="41"/>
      <c r="M60" s="41"/>
      <c r="N60" s="41"/>
      <c r="O60" s="166"/>
    </row>
    <row r="61" spans="1:15" ht="15.75" thickBot="1" x14ac:dyDescent="0.3">
      <c r="A61" s="165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3"/>
    </row>
    <row r="62" spans="1:15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</row>
  </sheetData>
  <hyperlinks>
    <hyperlink ref="B10" location="EN_0900_001" display="Housing" xr:uid="{00000000-0004-0000-2700-000000000000}"/>
    <hyperlink ref="B11" location="EN_0900_002" display="Left Eccentric" xr:uid="{00000000-0004-0000-2700-000001000000}"/>
    <hyperlink ref="B12" location="EN_0900_003" display="Right Eccentric" xr:uid="{00000000-0004-0000-2700-000002000000}"/>
    <hyperlink ref="B13" location="EN_0900_004" display="Left Eccentric Carrier" xr:uid="{00000000-0004-0000-2700-000003000000}"/>
    <hyperlink ref="B14" location="EN_0900_005" display="Right Eccentric Carrier" xr:uid="{00000000-0004-0000-2700-000004000000}"/>
    <hyperlink ref="B15" location="EN_0900_006" display="Upper Eccentric Carrier bracket" xr:uid="{00000000-0004-0000-2700-000005000000}"/>
    <hyperlink ref="B16" location="EN_0900_007" display="Lower Eccentric Carrier bracket" xr:uid="{00000000-0004-0000-2700-000006000000}"/>
    <hyperlink ref="B17" location="EN_0900_008" display="Left Jacking Bar bracket" xr:uid="{00000000-0004-0000-2700-000007000000}"/>
    <hyperlink ref="B18" location="EN_0900_009" display="Right Jacking Bar bracket" xr:uid="{00000000-0004-0000-2700-000008000000}"/>
    <hyperlink ref="E2" location="EN_A0900_BOM" display="Back to BOM" xr:uid="{00000000-0004-0000-2700-000009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6" tint="0.39997558519241921"/>
    <pageSetUpPr fitToPage="1"/>
  </sheetPr>
  <dimension ref="A1:O40"/>
  <sheetViews>
    <sheetView zoomScale="70" zoomScaleNormal="70" workbookViewId="0">
      <selection activeCell="B4" sqref="B4"/>
    </sheetView>
  </sheetViews>
  <sheetFormatPr baseColWidth="10" defaultColWidth="9.140625" defaultRowHeight="15" x14ac:dyDescent="0.25"/>
  <cols>
    <col min="2" max="2" width="35.28515625" customWidth="1"/>
    <col min="3" max="3" width="26.5703125" customWidth="1"/>
    <col min="7" max="7" width="19.42578125" customWidth="1"/>
    <col min="8" max="8" width="7.5703125" customWidth="1"/>
    <col min="9" max="9" width="20" bestFit="1" customWidth="1"/>
    <col min="10" max="10" width="11.2851562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226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EN_0900_001_m+EN_0900_001_p+EN_0900_001_f</f>
        <v>125.93892271516907</v>
      </c>
      <c r="O2" s="47"/>
    </row>
    <row r="3" spans="1:15" x14ac:dyDescent="0.25">
      <c r="A3" s="100" t="s">
        <v>3</v>
      </c>
      <c r="B3" s="226" t="s">
        <v>279</v>
      </c>
      <c r="C3" s="41"/>
      <c r="D3" s="100" t="s">
        <v>6</v>
      </c>
      <c r="E3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9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76" t="s">
        <v>276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125.93892271516907</v>
      </c>
      <c r="O5" s="47"/>
    </row>
    <row r="6" spans="1:15" x14ac:dyDescent="0.25">
      <c r="A6" s="100" t="s">
        <v>7</v>
      </c>
      <c r="B6" s="227" t="s">
        <v>535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226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76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47"/>
    </row>
    <row r="11" spans="1:15" s="14" customFormat="1" x14ac:dyDescent="0.25">
      <c r="A11" s="217">
        <v>10</v>
      </c>
      <c r="B11" s="215" t="s">
        <v>300</v>
      </c>
      <c r="C11" s="215"/>
      <c r="D11" s="216">
        <v>4.2</v>
      </c>
      <c r="E11" s="225">
        <f>J11*K11*L11</f>
        <v>1.905804558171124</v>
      </c>
      <c r="F11" s="215" t="s">
        <v>78</v>
      </c>
      <c r="G11" s="215"/>
      <c r="H11" s="223"/>
      <c r="I11" s="224" t="s">
        <v>299</v>
      </c>
      <c r="J11" s="224">
        <f>PI()*51*51/1000000</f>
        <v>8.171282491987052E-3</v>
      </c>
      <c r="K11" s="220">
        <v>8.5999999999999993E-2</v>
      </c>
      <c r="L11" s="219">
        <v>2712</v>
      </c>
      <c r="M11" s="219">
        <v>1</v>
      </c>
      <c r="N11" s="216">
        <f>D11*J11*K11*L11*M11</f>
        <v>8.0043791443187207</v>
      </c>
      <c r="O11" s="51"/>
    </row>
    <row r="12" spans="1:15" s="14" customFormat="1" x14ac:dyDescent="0.25">
      <c r="A12" s="217">
        <v>20</v>
      </c>
      <c r="B12" s="215" t="s">
        <v>300</v>
      </c>
      <c r="C12" s="215"/>
      <c r="D12" s="216">
        <v>4.2</v>
      </c>
      <c r="E12" s="225">
        <f>J12*K12*L12</f>
        <v>1.3961126414509397</v>
      </c>
      <c r="F12" s="215" t="s">
        <v>78</v>
      </c>
      <c r="G12" s="215"/>
      <c r="H12" s="223"/>
      <c r="I12" s="224" t="s">
        <v>299</v>
      </c>
      <c r="J12" s="224">
        <f>PI()*51*51/1000000</f>
        <v>8.171282491987052E-3</v>
      </c>
      <c r="K12" s="220">
        <v>6.3E-2</v>
      </c>
      <c r="L12" s="219">
        <v>2712</v>
      </c>
      <c r="M12" s="219">
        <v>1</v>
      </c>
      <c r="N12" s="216">
        <f>D12*J12*K12*L12*M12</f>
        <v>5.8636730940939472</v>
      </c>
      <c r="O12" s="51"/>
    </row>
    <row r="13" spans="1:15" s="14" customFormat="1" x14ac:dyDescent="0.25">
      <c r="A13" s="217">
        <v>30</v>
      </c>
      <c r="B13" s="215" t="s">
        <v>300</v>
      </c>
      <c r="C13" s="215"/>
      <c r="D13" s="216">
        <v>4.2</v>
      </c>
      <c r="E13" s="225">
        <f>J13*K13*L13</f>
        <v>1.7728414494615108</v>
      </c>
      <c r="F13" s="215" t="s">
        <v>78</v>
      </c>
      <c r="G13" s="215"/>
      <c r="H13" s="223"/>
      <c r="I13" s="222" t="s">
        <v>299</v>
      </c>
      <c r="J13" s="224">
        <f>PI()*51*51/1000000</f>
        <v>8.171282491987052E-3</v>
      </c>
      <c r="K13" s="220">
        <v>0.08</v>
      </c>
      <c r="L13" s="219">
        <v>2712</v>
      </c>
      <c r="M13" s="219">
        <v>1</v>
      </c>
      <c r="N13" s="216">
        <f>D13*J13*K13*L13*M13</f>
        <v>7.4459340877383466</v>
      </c>
      <c r="O13" s="51"/>
    </row>
    <row r="14" spans="1:15" s="14" customFormat="1" x14ac:dyDescent="0.25">
      <c r="A14" s="217">
        <v>40</v>
      </c>
      <c r="B14" s="215" t="s">
        <v>298</v>
      </c>
      <c r="C14" s="215"/>
      <c r="D14" s="216">
        <v>0.05</v>
      </c>
      <c r="E14" s="215"/>
      <c r="F14" s="215" t="s">
        <v>35</v>
      </c>
      <c r="G14" s="215"/>
      <c r="H14" s="223"/>
      <c r="I14" s="222"/>
      <c r="J14" s="221"/>
      <c r="K14" s="220"/>
      <c r="L14" s="219"/>
      <c r="M14" s="219">
        <v>2</v>
      </c>
      <c r="N14" s="216">
        <f>M14*D14</f>
        <v>0.1</v>
      </c>
      <c r="O14" s="51"/>
    </row>
    <row r="15" spans="1:15" x14ac:dyDescent="0.25">
      <c r="A15" s="52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218" t="s">
        <v>18</v>
      </c>
      <c r="N15" s="103">
        <f>SUM(N11:N14)</f>
        <v>21.413986326151015</v>
      </c>
      <c r="O15" s="47"/>
    </row>
    <row r="16" spans="1:15" x14ac:dyDescent="0.25">
      <c r="A16" s="48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7"/>
    </row>
    <row r="17" spans="1:15" x14ac:dyDescent="0.25">
      <c r="A17" s="213" t="s">
        <v>14</v>
      </c>
      <c r="B17" s="212" t="s">
        <v>31</v>
      </c>
      <c r="C17" s="212" t="s">
        <v>20</v>
      </c>
      <c r="D17" s="212" t="s">
        <v>21</v>
      </c>
      <c r="E17" s="212" t="s">
        <v>32</v>
      </c>
      <c r="F17" s="212" t="s">
        <v>17</v>
      </c>
      <c r="G17" s="212" t="s">
        <v>33</v>
      </c>
      <c r="H17" s="212" t="s">
        <v>34</v>
      </c>
      <c r="I17" s="212" t="s">
        <v>18</v>
      </c>
      <c r="J17" s="15"/>
      <c r="K17" s="15"/>
      <c r="L17" s="15"/>
      <c r="M17" s="15"/>
      <c r="N17" s="15"/>
      <c r="O17" s="47"/>
    </row>
    <row r="18" spans="1:15" s="16" customFormat="1" x14ac:dyDescent="0.25">
      <c r="A18" s="217">
        <v>10</v>
      </c>
      <c r="B18" s="209" t="s">
        <v>45</v>
      </c>
      <c r="C18" s="215" t="s">
        <v>291</v>
      </c>
      <c r="D18" s="216">
        <v>1.3</v>
      </c>
      <c r="E18" s="215" t="s">
        <v>35</v>
      </c>
      <c r="F18" s="215">
        <v>1</v>
      </c>
      <c r="G18" s="215"/>
      <c r="H18" s="215">
        <v>1</v>
      </c>
      <c r="I18" s="214">
        <f t="shared" ref="I18:I31" si="0">H18*F18*D18</f>
        <v>1.3</v>
      </c>
      <c r="J18" s="43"/>
      <c r="K18" s="43"/>
      <c r="L18" s="43"/>
      <c r="M18" s="43"/>
      <c r="N18" s="43"/>
      <c r="O18" s="53"/>
    </row>
    <row r="19" spans="1:15" s="16" customFormat="1" x14ac:dyDescent="0.25">
      <c r="A19" s="217">
        <v>20</v>
      </c>
      <c r="B19" s="209" t="s">
        <v>79</v>
      </c>
      <c r="C19" s="215" t="s">
        <v>79</v>
      </c>
      <c r="D19" s="216">
        <v>0.04</v>
      </c>
      <c r="E19" s="215" t="s">
        <v>81</v>
      </c>
      <c r="F19" s="215">
        <v>623</v>
      </c>
      <c r="G19" s="215" t="s">
        <v>290</v>
      </c>
      <c r="H19" s="215">
        <v>1</v>
      </c>
      <c r="I19" s="214">
        <f t="shared" si="0"/>
        <v>24.92</v>
      </c>
      <c r="J19" s="43"/>
      <c r="K19" s="43"/>
      <c r="L19" s="43"/>
      <c r="M19" s="43"/>
      <c r="N19" s="43"/>
      <c r="O19" s="53"/>
    </row>
    <row r="20" spans="1:15" s="16" customFormat="1" x14ac:dyDescent="0.25">
      <c r="A20" s="217">
        <v>30</v>
      </c>
      <c r="B20" s="209" t="s">
        <v>296</v>
      </c>
      <c r="C20" s="215" t="s">
        <v>297</v>
      </c>
      <c r="D20" s="216">
        <v>0.35</v>
      </c>
      <c r="E20" s="215" t="s">
        <v>217</v>
      </c>
      <c r="F20" s="215">
        <v>24</v>
      </c>
      <c r="G20" s="215"/>
      <c r="H20" s="215">
        <v>1</v>
      </c>
      <c r="I20" s="214">
        <f t="shared" si="0"/>
        <v>8.3999999999999986</v>
      </c>
      <c r="J20" s="43"/>
      <c r="K20" s="43"/>
      <c r="L20" s="43"/>
      <c r="M20" s="43"/>
      <c r="N20" s="43"/>
      <c r="O20" s="53"/>
    </row>
    <row r="21" spans="1:15" s="16" customFormat="1" x14ac:dyDescent="0.25">
      <c r="A21" s="217">
        <v>40</v>
      </c>
      <c r="B21" s="209" t="s">
        <v>296</v>
      </c>
      <c r="C21" s="215" t="s">
        <v>295</v>
      </c>
      <c r="D21" s="216">
        <v>0.35</v>
      </c>
      <c r="E21" s="215" t="s">
        <v>217</v>
      </c>
      <c r="F21" s="215">
        <v>3</v>
      </c>
      <c r="G21" s="215"/>
      <c r="H21" s="215">
        <v>1</v>
      </c>
      <c r="I21" s="214">
        <f t="shared" si="0"/>
        <v>1.0499999999999998</v>
      </c>
      <c r="J21" s="43"/>
      <c r="K21" s="43"/>
      <c r="L21" s="43"/>
      <c r="M21" s="43"/>
      <c r="N21" s="43"/>
      <c r="O21" s="53"/>
    </row>
    <row r="22" spans="1:15" s="16" customFormat="1" x14ac:dyDescent="0.25">
      <c r="A22" s="217">
        <v>50</v>
      </c>
      <c r="B22" s="209" t="s">
        <v>45</v>
      </c>
      <c r="C22" s="215" t="s">
        <v>291</v>
      </c>
      <c r="D22" s="216">
        <v>1.3</v>
      </c>
      <c r="E22" s="215" t="s">
        <v>35</v>
      </c>
      <c r="F22" s="215">
        <v>1</v>
      </c>
      <c r="G22" s="215"/>
      <c r="H22" s="215">
        <v>1</v>
      </c>
      <c r="I22" s="214">
        <f t="shared" si="0"/>
        <v>1.3</v>
      </c>
      <c r="J22" s="43"/>
      <c r="K22" s="43"/>
      <c r="L22" s="43"/>
      <c r="M22" s="43"/>
      <c r="N22" s="43"/>
      <c r="O22" s="53"/>
    </row>
    <row r="23" spans="1:15" s="16" customFormat="1" x14ac:dyDescent="0.25">
      <c r="A23" s="217">
        <v>60</v>
      </c>
      <c r="B23" s="209" t="s">
        <v>79</v>
      </c>
      <c r="C23" s="215" t="s">
        <v>79</v>
      </c>
      <c r="D23" s="216">
        <v>0.04</v>
      </c>
      <c r="E23" s="215" t="s">
        <v>81</v>
      </c>
      <c r="F23" s="215">
        <v>426</v>
      </c>
      <c r="G23" s="215" t="s">
        <v>290</v>
      </c>
      <c r="H23" s="215">
        <v>1</v>
      </c>
      <c r="I23" s="214">
        <f t="shared" si="0"/>
        <v>17.04</v>
      </c>
      <c r="J23" s="43"/>
      <c r="K23" s="43"/>
      <c r="L23" s="43"/>
      <c r="M23" s="43"/>
      <c r="N23" s="43"/>
      <c r="O23" s="53"/>
    </row>
    <row r="24" spans="1:15" s="16" customFormat="1" x14ac:dyDescent="0.25">
      <c r="A24" s="217">
        <v>70</v>
      </c>
      <c r="B24" s="240" t="s">
        <v>289</v>
      </c>
      <c r="C24" s="215" t="s">
        <v>294</v>
      </c>
      <c r="D24" s="216">
        <v>0.35</v>
      </c>
      <c r="E24" s="215" t="s">
        <v>217</v>
      </c>
      <c r="F24" s="215">
        <v>12</v>
      </c>
      <c r="G24" s="215"/>
      <c r="H24" s="215">
        <v>1</v>
      </c>
      <c r="I24" s="214">
        <f t="shared" si="0"/>
        <v>4.1999999999999993</v>
      </c>
      <c r="J24" s="43"/>
      <c r="K24" s="43"/>
      <c r="L24" s="43"/>
      <c r="M24" s="43"/>
      <c r="N24" s="43"/>
      <c r="O24" s="53"/>
    </row>
    <row r="25" spans="1:15" s="16" customFormat="1" x14ac:dyDescent="0.25">
      <c r="A25" s="217">
        <v>80</v>
      </c>
      <c r="B25" s="240" t="s">
        <v>293</v>
      </c>
      <c r="C25" s="215" t="s">
        <v>292</v>
      </c>
      <c r="D25" s="216">
        <v>0.5</v>
      </c>
      <c r="E25" s="215" t="s">
        <v>46</v>
      </c>
      <c r="F25" s="215">
        <v>3.5</v>
      </c>
      <c r="G25" s="215"/>
      <c r="H25" s="215">
        <v>1</v>
      </c>
      <c r="I25" s="214">
        <f t="shared" si="0"/>
        <v>1.75</v>
      </c>
      <c r="J25" s="43"/>
      <c r="K25" s="43"/>
      <c r="L25" s="43"/>
      <c r="M25" s="43"/>
      <c r="N25" s="43"/>
      <c r="O25" s="53"/>
    </row>
    <row r="26" spans="1:15" s="16" customFormat="1" x14ac:dyDescent="0.25">
      <c r="A26" s="217">
        <v>90</v>
      </c>
      <c r="B26" s="209" t="s">
        <v>45</v>
      </c>
      <c r="C26" s="215" t="s">
        <v>291</v>
      </c>
      <c r="D26" s="216">
        <v>1.3</v>
      </c>
      <c r="E26" s="215" t="s">
        <v>35</v>
      </c>
      <c r="F26" s="215">
        <v>1</v>
      </c>
      <c r="G26" s="215"/>
      <c r="H26" s="215">
        <v>1</v>
      </c>
      <c r="I26" s="214">
        <f t="shared" si="0"/>
        <v>1.3</v>
      </c>
      <c r="J26" s="43"/>
      <c r="K26" s="43"/>
      <c r="L26" s="43"/>
      <c r="M26" s="43"/>
      <c r="N26" s="43"/>
      <c r="O26" s="53"/>
    </row>
    <row r="27" spans="1:15" s="16" customFormat="1" x14ac:dyDescent="0.25">
      <c r="A27" s="217">
        <v>100</v>
      </c>
      <c r="B27" s="209" t="s">
        <v>79</v>
      </c>
      <c r="C27" s="215" t="s">
        <v>79</v>
      </c>
      <c r="D27" s="216">
        <v>0.04</v>
      </c>
      <c r="E27" s="215" t="s">
        <v>81</v>
      </c>
      <c r="F27" s="215">
        <v>538</v>
      </c>
      <c r="G27" s="215" t="s">
        <v>290</v>
      </c>
      <c r="H27" s="215">
        <v>1</v>
      </c>
      <c r="I27" s="214">
        <f t="shared" si="0"/>
        <v>21.52</v>
      </c>
      <c r="J27" s="43"/>
      <c r="K27" s="43"/>
      <c r="L27" s="43"/>
      <c r="M27" s="43"/>
      <c r="N27" s="43"/>
      <c r="O27" s="53"/>
    </row>
    <row r="28" spans="1:15" s="16" customFormat="1" x14ac:dyDescent="0.25">
      <c r="A28" s="217">
        <v>110</v>
      </c>
      <c r="B28" s="240" t="s">
        <v>289</v>
      </c>
      <c r="C28" s="215" t="s">
        <v>288</v>
      </c>
      <c r="D28" s="216">
        <v>0.35</v>
      </c>
      <c r="E28" s="215" t="s">
        <v>217</v>
      </c>
      <c r="F28" s="215">
        <v>12</v>
      </c>
      <c r="G28" s="215"/>
      <c r="H28" s="215">
        <v>1</v>
      </c>
      <c r="I28" s="214">
        <f t="shared" si="0"/>
        <v>4.1999999999999993</v>
      </c>
      <c r="J28" s="43"/>
      <c r="K28" s="43"/>
      <c r="L28" s="43"/>
      <c r="M28" s="43"/>
      <c r="N28" s="43"/>
      <c r="O28" s="53"/>
    </row>
    <row r="29" spans="1:15" s="16" customFormat="1" x14ac:dyDescent="0.25">
      <c r="A29" s="217">
        <v>120</v>
      </c>
      <c r="B29" s="240" t="s">
        <v>88</v>
      </c>
      <c r="C29" s="215" t="s">
        <v>287</v>
      </c>
      <c r="D29" s="216">
        <v>0.13</v>
      </c>
      <c r="E29" s="215" t="s">
        <v>35</v>
      </c>
      <c r="F29" s="215">
        <v>2</v>
      </c>
      <c r="G29" s="215"/>
      <c r="H29" s="215">
        <v>1</v>
      </c>
      <c r="I29" s="214">
        <f t="shared" si="0"/>
        <v>0.26</v>
      </c>
      <c r="J29" s="43"/>
      <c r="K29" s="43"/>
      <c r="L29" s="43"/>
      <c r="M29" s="43"/>
      <c r="N29" s="43"/>
      <c r="O29" s="53"/>
    </row>
    <row r="30" spans="1:15" x14ac:dyDescent="0.25">
      <c r="A30" s="217">
        <v>130</v>
      </c>
      <c r="B30" s="240" t="s">
        <v>76</v>
      </c>
      <c r="C30" s="215" t="s">
        <v>287</v>
      </c>
      <c r="D30" s="216">
        <v>0.5</v>
      </c>
      <c r="E30" s="215" t="s">
        <v>35</v>
      </c>
      <c r="F30" s="215">
        <v>24</v>
      </c>
      <c r="G30" s="215"/>
      <c r="H30" s="215">
        <v>1</v>
      </c>
      <c r="I30" s="214">
        <f t="shared" si="0"/>
        <v>12</v>
      </c>
      <c r="J30" s="41"/>
      <c r="L30" s="41"/>
      <c r="M30" s="41"/>
      <c r="N30" s="41"/>
      <c r="O30" s="47"/>
    </row>
    <row r="31" spans="1:15" s="12" customFormat="1" x14ac:dyDescent="0.25">
      <c r="A31" s="217">
        <v>140</v>
      </c>
      <c r="B31" s="240" t="s">
        <v>286</v>
      </c>
      <c r="C31" s="215" t="s">
        <v>285</v>
      </c>
      <c r="D31" s="216">
        <v>0.75</v>
      </c>
      <c r="E31" s="215" t="s">
        <v>35</v>
      </c>
      <c r="F31" s="215">
        <v>3</v>
      </c>
      <c r="G31" s="215"/>
      <c r="H31" s="215">
        <v>1</v>
      </c>
      <c r="I31" s="214">
        <f t="shared" si="0"/>
        <v>2.25</v>
      </c>
      <c r="J31" s="42"/>
      <c r="K31" s="42"/>
      <c r="L31" s="42"/>
      <c r="M31" s="42"/>
      <c r="N31" s="42"/>
      <c r="O31" s="50"/>
    </row>
    <row r="32" spans="1:15" x14ac:dyDescent="0.25">
      <c r="A32" s="52"/>
      <c r="B32" s="15"/>
      <c r="C32" s="15"/>
      <c r="D32" s="15"/>
      <c r="E32" s="15"/>
      <c r="F32" s="15"/>
      <c r="G32" s="15"/>
      <c r="H32" s="106" t="s">
        <v>18</v>
      </c>
      <c r="I32" s="103">
        <f>SUM(I18:I31)</f>
        <v>101.49</v>
      </c>
      <c r="J32" s="15"/>
      <c r="K32" s="15"/>
      <c r="L32" s="15"/>
      <c r="M32" s="15"/>
      <c r="N32" s="15"/>
      <c r="O32" s="47"/>
    </row>
    <row r="33" spans="1:15" x14ac:dyDescent="0.25">
      <c r="A33" s="48"/>
      <c r="B33" s="41"/>
      <c r="C33" s="41"/>
      <c r="D33" s="41"/>
      <c r="E33" s="41"/>
      <c r="F33" s="41"/>
      <c r="G33" s="41"/>
      <c r="H33" s="41"/>
      <c r="I33" s="42"/>
      <c r="J33" s="41"/>
      <c r="K33" s="41"/>
      <c r="L33" s="41"/>
      <c r="M33" s="41"/>
      <c r="N33" s="41"/>
      <c r="O33" s="47"/>
    </row>
    <row r="34" spans="1:15" x14ac:dyDescent="0.25">
      <c r="A34" s="213" t="s">
        <v>14</v>
      </c>
      <c r="B34" s="212" t="s">
        <v>36</v>
      </c>
      <c r="C34" s="212" t="s">
        <v>20</v>
      </c>
      <c r="D34" s="212" t="s">
        <v>21</v>
      </c>
      <c r="E34" s="212" t="s">
        <v>22</v>
      </c>
      <c r="F34" s="212" t="s">
        <v>23</v>
      </c>
      <c r="G34" s="212" t="s">
        <v>24</v>
      </c>
      <c r="H34" s="212" t="s">
        <v>25</v>
      </c>
      <c r="I34" s="212" t="s">
        <v>17</v>
      </c>
      <c r="J34" s="212" t="s">
        <v>18</v>
      </c>
      <c r="K34" s="41"/>
      <c r="L34" s="41"/>
      <c r="M34" s="41"/>
      <c r="N34" s="41"/>
      <c r="O34" s="47"/>
    </row>
    <row r="35" spans="1:15" x14ac:dyDescent="0.25">
      <c r="A35" s="209">
        <v>10</v>
      </c>
      <c r="B35" s="194" t="s">
        <v>284</v>
      </c>
      <c r="C35" s="209" t="s">
        <v>283</v>
      </c>
      <c r="D35" s="211">
        <f>1.25/105154*E35*E35*G35*SQRT(G35)+0.005*EXP(0.319*E35)</f>
        <v>5.6317842209943889E-2</v>
      </c>
      <c r="E35" s="209">
        <v>6</v>
      </c>
      <c r="F35" s="210" t="s">
        <v>30</v>
      </c>
      <c r="G35" s="209">
        <v>14</v>
      </c>
      <c r="H35" s="209" t="s">
        <v>30</v>
      </c>
      <c r="I35" s="208">
        <v>24</v>
      </c>
      <c r="J35" s="207">
        <f>I35*D35</f>
        <v>1.3516282130386532</v>
      </c>
      <c r="K35" s="41"/>
      <c r="L35" s="41"/>
      <c r="M35" s="41"/>
      <c r="N35" s="41"/>
      <c r="O35" s="47"/>
    </row>
    <row r="36" spans="1:15" x14ac:dyDescent="0.25">
      <c r="A36" s="209">
        <v>20</v>
      </c>
      <c r="B36" s="194" t="s">
        <v>282</v>
      </c>
      <c r="C36" s="209"/>
      <c r="D36" s="211">
        <v>0.02</v>
      </c>
      <c r="E36" s="209"/>
      <c r="F36" s="210" t="s">
        <v>35</v>
      </c>
      <c r="G36" s="209"/>
      <c r="H36" s="209"/>
      <c r="I36" s="208">
        <v>24</v>
      </c>
      <c r="J36" s="207">
        <f>I36*D36</f>
        <v>0.48</v>
      </c>
      <c r="K36" s="41"/>
      <c r="L36" s="41"/>
      <c r="M36" s="41"/>
      <c r="N36" s="41"/>
      <c r="O36" s="47"/>
    </row>
    <row r="37" spans="1:15" x14ac:dyDescent="0.25">
      <c r="A37" s="209">
        <v>30</v>
      </c>
      <c r="B37" s="194" t="s">
        <v>281</v>
      </c>
      <c r="C37" s="209"/>
      <c r="D37" s="211">
        <f>1/105154*E37*E37*G37*SQRT(G37)+0.004*EXP(0.319*E37)</f>
        <v>6.5102725326469366E-2</v>
      </c>
      <c r="E37" s="209">
        <v>8</v>
      </c>
      <c r="F37" s="210" t="s">
        <v>30</v>
      </c>
      <c r="G37" s="209">
        <v>8</v>
      </c>
      <c r="H37" s="209" t="s">
        <v>30</v>
      </c>
      <c r="I37" s="208">
        <v>3</v>
      </c>
      <c r="J37" s="207">
        <f>I37*D37</f>
        <v>0.19530817597940808</v>
      </c>
      <c r="K37" s="41"/>
      <c r="L37" s="41"/>
      <c r="M37" s="41"/>
      <c r="N37" s="41"/>
      <c r="O37" s="47"/>
    </row>
    <row r="38" spans="1:15" x14ac:dyDescent="0.25">
      <c r="A38" s="209">
        <v>40</v>
      </c>
      <c r="B38" s="194" t="s">
        <v>280</v>
      </c>
      <c r="C38" s="209"/>
      <c r="D38" s="211">
        <v>0.33600000000000002</v>
      </c>
      <c r="E38" s="209">
        <v>8</v>
      </c>
      <c r="F38" s="210" t="s">
        <v>30</v>
      </c>
      <c r="G38" s="209"/>
      <c r="H38" s="209"/>
      <c r="I38" s="208">
        <v>3</v>
      </c>
      <c r="J38" s="207">
        <f>I38*D38</f>
        <v>1.008</v>
      </c>
      <c r="K38" s="41"/>
      <c r="L38" s="41"/>
      <c r="M38" s="41"/>
      <c r="N38" s="41"/>
      <c r="O38" s="47"/>
    </row>
    <row r="39" spans="1:15" x14ac:dyDescent="0.25">
      <c r="A39" s="52"/>
      <c r="B39" s="15"/>
      <c r="C39" s="15"/>
      <c r="D39" s="15"/>
      <c r="E39" s="15"/>
      <c r="F39" s="15"/>
      <c r="G39" s="15"/>
      <c r="H39" s="15"/>
      <c r="I39" s="106" t="s">
        <v>18</v>
      </c>
      <c r="J39" s="103">
        <f>SUM(J35:J38)</f>
        <v>3.0349363890180614</v>
      </c>
      <c r="K39" s="41"/>
      <c r="L39" s="41"/>
      <c r="M39" s="41"/>
      <c r="N39" s="41"/>
      <c r="O39" s="47"/>
    </row>
    <row r="40" spans="1:15" ht="15.75" thickBot="1" x14ac:dyDescent="0.3">
      <c r="A40" s="54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6"/>
    </row>
  </sheetData>
  <hyperlinks>
    <hyperlink ref="B4" location="EN_A0900!A1" display="Differential" xr:uid="{00000000-0004-0000-2800-000000000000}"/>
    <hyperlink ref="G2" location="EN_A0900_BOM" display="Back to BOM" xr:uid="{00000000-0004-0000-28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40" max="16383" man="1"/>
    <brk id="74" max="16383" man="1"/>
  </rowBreaks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6" tint="0.39997558519241921"/>
  </sheetPr>
  <dimension ref="A1:O26"/>
  <sheetViews>
    <sheetView zoomScale="85" zoomScaleNormal="85"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22.7109375" bestFit="1" customWidth="1"/>
  </cols>
  <sheetData>
    <row r="1" spans="1:15" x14ac:dyDescent="0.2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25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EN_0900_002_m+EN_0900_002_p</f>
        <v>10.904564699673662</v>
      </c>
      <c r="O2" s="166"/>
    </row>
    <row r="3" spans="1:15" x14ac:dyDescent="0.25">
      <c r="A3" s="262" t="s">
        <v>3</v>
      </c>
      <c r="B3" s="258" t="s">
        <v>279</v>
      </c>
      <c r="C3" s="41"/>
      <c r="D3" s="261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25">
      <c r="A4" s="241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25">
      <c r="A5" s="241" t="s">
        <v>15</v>
      </c>
      <c r="B5" s="41" t="s">
        <v>275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10.904564699673662</v>
      </c>
      <c r="O5" s="166"/>
    </row>
    <row r="6" spans="1:15" x14ac:dyDescent="0.25">
      <c r="A6" s="241" t="s">
        <v>7</v>
      </c>
      <c r="B6" s="260" t="s">
        <v>537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25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25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25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25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25">
      <c r="A11" s="254">
        <v>10</v>
      </c>
      <c r="B11" s="253" t="s">
        <v>306</v>
      </c>
      <c r="C11" s="209"/>
      <c r="D11" s="216">
        <v>3.3</v>
      </c>
      <c r="E11" s="225">
        <f>J11*K11*L11</f>
        <v>0.78556506050717001</v>
      </c>
      <c r="F11" s="215" t="s">
        <v>78</v>
      </c>
      <c r="G11" s="215"/>
      <c r="H11" s="223"/>
      <c r="I11" s="224" t="s">
        <v>305</v>
      </c>
      <c r="J11" s="224">
        <f>PI()*87.5*87.5/1000000</f>
        <v>2.4052818754046849E-2</v>
      </c>
      <c r="K11" s="220">
        <v>2.3E-2</v>
      </c>
      <c r="L11" s="219">
        <v>1420</v>
      </c>
      <c r="M11" s="219">
        <v>1</v>
      </c>
      <c r="N11" s="216">
        <f>E11*D11</f>
        <v>2.5923646996736607</v>
      </c>
      <c r="O11" s="195"/>
    </row>
    <row r="12" spans="1:15" x14ac:dyDescent="0.25">
      <c r="A12" s="252"/>
      <c r="B12" s="251"/>
      <c r="C12" s="249"/>
      <c r="D12" s="250"/>
      <c r="E12" s="249"/>
      <c r="F12" s="249"/>
      <c r="G12" s="249"/>
      <c r="H12" s="248"/>
      <c r="I12" s="247"/>
      <c r="J12" s="246"/>
      <c r="K12" s="245"/>
      <c r="L12" s="244"/>
      <c r="M12" s="243"/>
      <c r="N12" s="242"/>
      <c r="O12" s="195"/>
    </row>
    <row r="13" spans="1:15" x14ac:dyDescent="0.25">
      <c r="A13" s="169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8" t="s">
        <v>18</v>
      </c>
      <c r="N13" s="103">
        <f>SUM(N11:N11)</f>
        <v>2.5923646996736607</v>
      </c>
      <c r="O13" s="166"/>
    </row>
    <row r="14" spans="1:15" x14ac:dyDescent="0.25">
      <c r="A14" s="173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6"/>
    </row>
    <row r="15" spans="1:15" x14ac:dyDescent="0.25">
      <c r="A15" s="241" t="s">
        <v>14</v>
      </c>
      <c r="B15" s="212" t="s">
        <v>31</v>
      </c>
      <c r="C15" s="212" t="s">
        <v>20</v>
      </c>
      <c r="D15" s="212" t="s">
        <v>21</v>
      </c>
      <c r="E15" s="212" t="s">
        <v>32</v>
      </c>
      <c r="F15" s="212" t="s">
        <v>17</v>
      </c>
      <c r="G15" s="212" t="s">
        <v>33</v>
      </c>
      <c r="H15" s="212" t="s">
        <v>34</v>
      </c>
      <c r="I15" s="212" t="s">
        <v>18</v>
      </c>
      <c r="J15" s="15"/>
      <c r="K15" s="15"/>
      <c r="L15" s="15"/>
      <c r="M15" s="15"/>
      <c r="N15" s="15"/>
      <c r="O15" s="166"/>
    </row>
    <row r="16" spans="1:15" ht="30" x14ac:dyDescent="0.25">
      <c r="A16" s="235">
        <v>10</v>
      </c>
      <c r="B16" s="240" t="s">
        <v>45</v>
      </c>
      <c r="C16" s="239" t="s">
        <v>304</v>
      </c>
      <c r="D16" s="238">
        <v>1.3</v>
      </c>
      <c r="E16" s="236" t="s">
        <v>32</v>
      </c>
      <c r="F16" s="236">
        <v>1</v>
      </c>
      <c r="G16" s="237"/>
      <c r="H16" s="236"/>
      <c r="I16" s="230">
        <f>IF(H16="",D16*F16,D16*F16*H16)</f>
        <v>1.3</v>
      </c>
      <c r="J16" s="43"/>
      <c r="K16" s="43"/>
      <c r="L16" s="43"/>
      <c r="M16" s="43"/>
      <c r="N16" s="43"/>
      <c r="O16" s="187"/>
    </row>
    <row r="17" spans="1:15" ht="30" x14ac:dyDescent="0.25">
      <c r="A17" s="235">
        <v>20</v>
      </c>
      <c r="B17" s="186" t="s">
        <v>79</v>
      </c>
      <c r="C17" s="209" t="s">
        <v>303</v>
      </c>
      <c r="D17" s="234">
        <v>0.04</v>
      </c>
      <c r="E17" s="233" t="s">
        <v>81</v>
      </c>
      <c r="F17" s="232">
        <v>350.61</v>
      </c>
      <c r="G17" s="186" t="s">
        <v>302</v>
      </c>
      <c r="H17" s="231">
        <v>0.5</v>
      </c>
      <c r="I17" s="230">
        <f>IF(H17="",D17*F17,D17*F17*H17)</f>
        <v>7.0122</v>
      </c>
      <c r="J17" s="43"/>
      <c r="K17" s="43"/>
      <c r="L17" s="43"/>
      <c r="M17" s="43"/>
      <c r="N17" s="43"/>
      <c r="O17" s="187"/>
    </row>
    <row r="18" spans="1:15" x14ac:dyDescent="0.25">
      <c r="A18" s="169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8.3122000000000007</v>
      </c>
      <c r="J18" s="15"/>
      <c r="K18" s="15"/>
      <c r="L18" s="15"/>
      <c r="M18" s="15"/>
      <c r="N18" s="15"/>
      <c r="O18" s="166"/>
    </row>
    <row r="19" spans="1:15" x14ac:dyDescent="0.25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5" x14ac:dyDescent="0.25">
      <c r="A20" s="173"/>
      <c r="B20" s="41"/>
      <c r="C20" s="228"/>
      <c r="D20" s="228"/>
      <c r="E20" s="229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25">
      <c r="A21" s="173"/>
      <c r="B21" s="41"/>
      <c r="C21" s="228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6"/>
    </row>
    <row r="22" spans="1:15" x14ac:dyDescent="0.25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25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x14ac:dyDescent="0.25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</row>
    <row r="25" spans="1:15" x14ac:dyDescent="0.25">
      <c r="A25" s="173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6"/>
    </row>
    <row r="26" spans="1:15" ht="15.75" thickBot="1" x14ac:dyDescent="0.3">
      <c r="A26" s="165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3"/>
    </row>
  </sheetData>
  <hyperlinks>
    <hyperlink ref="D3" location="'EN_0900_002 Drawing'!A1" display="FileLink1" xr:uid="{00000000-0004-0000-2900-000000000000}"/>
    <hyperlink ref="B4" location="EN_A0900!A1" display="Differential" xr:uid="{00000000-0004-0000-2900-000001000000}"/>
    <hyperlink ref="G2" location="EN_A0900_BOM" display="Back to BOM" xr:uid="{00000000-0004-0000-2900-000002000000}"/>
  </hyperlinks>
  <pageMargins left="0.7" right="0.7" top="0.75" bottom="0.75" header="0.3" footer="0.3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6" tint="0.39997558519241921"/>
    <pageSetUpPr fitToPage="1"/>
  </sheetPr>
  <dimension ref="A1:B1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14" customWidth="1"/>
  </cols>
  <sheetData>
    <row r="1" spans="1:2" x14ac:dyDescent="0.25">
      <c r="A1" s="69" t="s">
        <v>537</v>
      </c>
      <c r="B1" s="69"/>
    </row>
  </sheetData>
  <hyperlinks>
    <hyperlink ref="A1" location="EN_0900_002" display="EN_0900_002" xr:uid="{00000000-0004-0000-2A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6" tint="0.39997558519241921"/>
  </sheetPr>
  <dimension ref="A1:P31"/>
  <sheetViews>
    <sheetView zoomScale="70" zoomScaleNormal="70" workbookViewId="0">
      <selection activeCell="G2" sqref="G2"/>
    </sheetView>
  </sheetViews>
  <sheetFormatPr baseColWidth="10" defaultRowHeight="15" x14ac:dyDescent="0.25"/>
  <cols>
    <col min="2" max="2" width="33.7109375" bestFit="1" customWidth="1"/>
  </cols>
  <sheetData>
    <row r="1" spans="1:15" x14ac:dyDescent="0.2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25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EN_0900_003_m+EN_0900_003_p</f>
        <v>8.5389646196590014</v>
      </c>
      <c r="O2" s="166"/>
    </row>
    <row r="3" spans="1:15" x14ac:dyDescent="0.25">
      <c r="A3" s="262" t="s">
        <v>3</v>
      </c>
      <c r="B3" s="258" t="s">
        <v>279</v>
      </c>
      <c r="C3" s="41"/>
      <c r="D3" s="261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25">
      <c r="A4" s="241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25">
      <c r="A5" s="241" t="s">
        <v>15</v>
      </c>
      <c r="B5" s="41" t="s">
        <v>274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8.5389646196590014</v>
      </c>
      <c r="O5" s="166"/>
    </row>
    <row r="6" spans="1:15" x14ac:dyDescent="0.25">
      <c r="A6" s="241" t="s">
        <v>7</v>
      </c>
      <c r="B6" s="260" t="s">
        <v>538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25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25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25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25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25">
      <c r="A11" s="254">
        <v>10</v>
      </c>
      <c r="B11" s="253" t="s">
        <v>306</v>
      </c>
      <c r="C11" s="209"/>
      <c r="D11" s="216">
        <v>3.3</v>
      </c>
      <c r="E11" s="225">
        <f>J11*K11*L11</f>
        <v>0.60726200595727309</v>
      </c>
      <c r="F11" s="215" t="s">
        <v>78</v>
      </c>
      <c r="G11" s="215"/>
      <c r="H11" s="223"/>
      <c r="I11" s="224" t="s">
        <v>307</v>
      </c>
      <c r="J11" s="224">
        <f>PI()*82.5*82.5/1000000</f>
        <v>2.138246499849553E-2</v>
      </c>
      <c r="K11" s="220">
        <v>0.02</v>
      </c>
      <c r="L11" s="219">
        <v>1420</v>
      </c>
      <c r="M11" s="219">
        <v>1</v>
      </c>
      <c r="N11" s="216">
        <f>E11*D11</f>
        <v>2.0039646196590013</v>
      </c>
      <c r="O11" s="195"/>
    </row>
    <row r="12" spans="1:15" x14ac:dyDescent="0.25">
      <c r="A12" s="252"/>
      <c r="B12" s="251"/>
      <c r="C12" s="249"/>
      <c r="D12" s="250"/>
      <c r="E12" s="249"/>
      <c r="F12" s="249"/>
      <c r="G12" s="249"/>
      <c r="H12" s="248"/>
      <c r="I12" s="247"/>
      <c r="J12" s="246"/>
      <c r="K12" s="245"/>
      <c r="L12" s="244"/>
      <c r="M12" s="243"/>
      <c r="N12" s="242"/>
      <c r="O12" s="195"/>
    </row>
    <row r="13" spans="1:15" x14ac:dyDescent="0.25">
      <c r="A13" s="169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8" t="s">
        <v>18</v>
      </c>
      <c r="N13" s="103">
        <f>SUM(N11:N11)</f>
        <v>2.0039646196590013</v>
      </c>
      <c r="O13" s="166"/>
    </row>
    <row r="14" spans="1:15" x14ac:dyDescent="0.25">
      <c r="A14" s="173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6"/>
    </row>
    <row r="15" spans="1:15" x14ac:dyDescent="0.25">
      <c r="A15" s="241" t="s">
        <v>14</v>
      </c>
      <c r="B15" s="212" t="s">
        <v>31</v>
      </c>
      <c r="C15" s="212" t="s">
        <v>20</v>
      </c>
      <c r="D15" s="212" t="s">
        <v>21</v>
      </c>
      <c r="E15" s="212" t="s">
        <v>32</v>
      </c>
      <c r="F15" s="212" t="s">
        <v>17</v>
      </c>
      <c r="G15" s="212" t="s">
        <v>33</v>
      </c>
      <c r="H15" s="212" t="s">
        <v>34</v>
      </c>
      <c r="I15" s="212" t="s">
        <v>18</v>
      </c>
      <c r="J15" s="15"/>
      <c r="K15" s="15"/>
      <c r="L15" s="15"/>
      <c r="M15" s="15"/>
      <c r="N15" s="15"/>
      <c r="O15" s="166"/>
    </row>
    <row r="16" spans="1:15" ht="30" x14ac:dyDescent="0.25">
      <c r="A16" s="235">
        <v>10</v>
      </c>
      <c r="B16" s="240" t="s">
        <v>45</v>
      </c>
      <c r="C16" s="239" t="s">
        <v>304</v>
      </c>
      <c r="D16" s="238">
        <v>1.3</v>
      </c>
      <c r="E16" s="236" t="s">
        <v>32</v>
      </c>
      <c r="F16" s="236">
        <v>1</v>
      </c>
      <c r="G16" s="237"/>
      <c r="H16" s="236"/>
      <c r="I16" s="230">
        <f>IF(H16="",D16*F16,D16*F16*H16)</f>
        <v>1.3</v>
      </c>
      <c r="J16" s="43"/>
      <c r="K16" s="43"/>
      <c r="L16" s="43"/>
      <c r="M16" s="43"/>
      <c r="N16" s="43"/>
      <c r="O16" s="187"/>
    </row>
    <row r="17" spans="1:16" ht="30" x14ac:dyDescent="0.25">
      <c r="A17" s="235">
        <v>20</v>
      </c>
      <c r="B17" s="186" t="s">
        <v>79</v>
      </c>
      <c r="C17" s="209" t="s">
        <v>303</v>
      </c>
      <c r="D17" s="234">
        <v>0.04</v>
      </c>
      <c r="E17" s="233" t="s">
        <v>81</v>
      </c>
      <c r="F17" s="232">
        <v>261.75</v>
      </c>
      <c r="G17" s="186" t="s">
        <v>302</v>
      </c>
      <c r="H17" s="231">
        <v>0.5</v>
      </c>
      <c r="I17" s="230">
        <f>IF(H17="",D17*F17,D17*F17*H17)</f>
        <v>5.2350000000000003</v>
      </c>
      <c r="J17" s="43"/>
      <c r="K17" s="43"/>
      <c r="L17" s="43"/>
      <c r="M17" s="43"/>
      <c r="N17" s="43"/>
      <c r="O17" s="187"/>
    </row>
    <row r="18" spans="1:16" x14ac:dyDescent="0.25">
      <c r="A18" s="169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6.5350000000000001</v>
      </c>
      <c r="J18" s="15"/>
      <c r="K18" s="15"/>
      <c r="L18" s="15"/>
      <c r="M18" s="15"/>
      <c r="N18" s="15"/>
      <c r="O18" s="166"/>
    </row>
    <row r="19" spans="1:16" x14ac:dyDescent="0.25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6" x14ac:dyDescent="0.25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6" x14ac:dyDescent="0.25">
      <c r="A21" s="173"/>
      <c r="B21" s="41"/>
      <c r="C21" s="41"/>
      <c r="D21" s="41"/>
      <c r="E21" s="228"/>
      <c r="F21" s="41"/>
      <c r="G21" s="228"/>
      <c r="H21" s="229"/>
      <c r="I21" s="41"/>
      <c r="J21" s="41"/>
      <c r="K21" s="41"/>
      <c r="L21" s="41"/>
      <c r="M21" s="41"/>
      <c r="N21" s="41"/>
      <c r="O21" s="166"/>
    </row>
    <row r="22" spans="1:16" x14ac:dyDescent="0.25">
      <c r="A22" s="173"/>
      <c r="B22" s="41"/>
      <c r="C22" s="41"/>
      <c r="D22" s="41"/>
      <c r="E22" s="228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6" x14ac:dyDescent="0.25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6" x14ac:dyDescent="0.25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</row>
    <row r="25" spans="1:16" x14ac:dyDescent="0.25">
      <c r="A25" s="173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6"/>
    </row>
    <row r="26" spans="1:16" x14ac:dyDescent="0.25">
      <c r="A26" s="173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66"/>
      <c r="P26" s="41"/>
    </row>
    <row r="27" spans="1:16" ht="15.75" thickBot="1" x14ac:dyDescent="0.3">
      <c r="A27" s="165"/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3"/>
      <c r="P27" s="41"/>
    </row>
    <row r="28" spans="1:16" x14ac:dyDescent="0.25">
      <c r="A28" s="173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</row>
    <row r="29" spans="1:16" x14ac:dyDescent="0.25">
      <c r="A29" s="173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</row>
    <row r="30" spans="1:16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</row>
    <row r="31" spans="1:16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</sheetData>
  <hyperlinks>
    <hyperlink ref="D3" location="'EN_0900_003 Drawing'!A1" display="FileLink1" xr:uid="{00000000-0004-0000-2B00-000000000000}"/>
    <hyperlink ref="B4" location="EN_A0900!A1" display="Differential" xr:uid="{00000000-0004-0000-2B00-000001000000}"/>
    <hyperlink ref="G2" location="EN_A0900_BOM" display="Back to BOM" xr:uid="{00000000-0004-0000-2B00-000002000000}"/>
  </hyperlinks>
  <pageMargins left="0.7" right="0.7" top="0.75" bottom="0.75" header="0.3" footer="0.3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EN_0900_003</f>
        <v>EN 09003</v>
      </c>
    </row>
  </sheetData>
  <hyperlinks>
    <hyperlink ref="A1" location="EN_0900_003" display="EN_0900_003" xr:uid="{00000000-0004-0000-2C00-000000000000}"/>
  </hyperlinks>
  <pageMargins left="0.7" right="0.7" top="0.75" bottom="0.75" header="0.3" footer="0.3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6" tint="0.39997558519241921"/>
  </sheetPr>
  <dimension ref="A1:P26"/>
  <sheetViews>
    <sheetView workbookViewId="0">
      <selection activeCell="B4" sqref="B4"/>
    </sheetView>
  </sheetViews>
  <sheetFormatPr baseColWidth="10" defaultRowHeight="15" x14ac:dyDescent="0.25"/>
  <cols>
    <col min="2" max="2" width="21.28515625" bestFit="1" customWidth="1"/>
    <col min="3" max="3" width="32.28515625" bestFit="1" customWidth="1"/>
    <col min="9" max="9" width="27.42578125" bestFit="1" customWidth="1"/>
  </cols>
  <sheetData>
    <row r="1" spans="1:16" x14ac:dyDescent="0.2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6" x14ac:dyDescent="0.25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EN_0900_004_m+EN_0900_004_p</f>
        <v>23.956417471999998</v>
      </c>
      <c r="O2" s="166"/>
    </row>
    <row r="3" spans="1:16" x14ac:dyDescent="0.25">
      <c r="A3" s="262" t="s">
        <v>3</v>
      </c>
      <c r="B3" s="258" t="s">
        <v>279</v>
      </c>
      <c r="C3" s="41"/>
      <c r="D3" s="261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6" x14ac:dyDescent="0.25">
      <c r="A4" s="241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6" x14ac:dyDescent="0.25">
      <c r="A5" s="241" t="s">
        <v>15</v>
      </c>
      <c r="B5" s="41" t="s">
        <v>313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23.956417471999998</v>
      </c>
      <c r="O5" s="166"/>
    </row>
    <row r="6" spans="1:16" x14ac:dyDescent="0.25">
      <c r="A6" s="241" t="s">
        <v>7</v>
      </c>
      <c r="B6" s="260" t="s">
        <v>539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6" x14ac:dyDescent="0.25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  <c r="P7">
        <f>341.663+32</f>
        <v>373.66300000000001</v>
      </c>
    </row>
    <row r="8" spans="1:16" x14ac:dyDescent="0.25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6" x14ac:dyDescent="0.25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6" x14ac:dyDescent="0.25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6" x14ac:dyDescent="0.25">
      <c r="A11" s="272">
        <v>10</v>
      </c>
      <c r="B11" s="271" t="s">
        <v>300</v>
      </c>
      <c r="C11" s="270" t="s">
        <v>312</v>
      </c>
      <c r="D11" s="178">
        <v>4.2</v>
      </c>
      <c r="E11" s="269">
        <f>J11*K11*L11</f>
        <v>1.8460041599999997</v>
      </c>
      <c r="F11" s="236" t="s">
        <v>78</v>
      </c>
      <c r="G11" s="236"/>
      <c r="H11" s="191"/>
      <c r="I11" s="268" t="s">
        <v>311</v>
      </c>
      <c r="J11" s="267">
        <f>374*130/1000000</f>
        <v>4.8619999999999997E-2</v>
      </c>
      <c r="K11" s="266">
        <f>14/1000</f>
        <v>1.4E-2</v>
      </c>
      <c r="L11" s="189">
        <v>2712</v>
      </c>
      <c r="M11" s="189">
        <v>1</v>
      </c>
      <c r="N11" s="263">
        <f>IF(J11="",D11*M11,D11*J11*K11*L11*M11)</f>
        <v>7.7532174719999993</v>
      </c>
      <c r="O11" s="195"/>
    </row>
    <row r="12" spans="1:16" x14ac:dyDescent="0.25">
      <c r="A12" s="252"/>
      <c r="B12" s="251"/>
      <c r="C12" s="249"/>
      <c r="D12" s="250"/>
      <c r="E12" s="249"/>
      <c r="F12" s="249"/>
      <c r="G12" s="249"/>
      <c r="H12" s="248"/>
      <c r="I12" s="247"/>
      <c r="J12" s="246"/>
      <c r="K12" s="245"/>
      <c r="L12" s="244"/>
      <c r="M12" s="243"/>
      <c r="N12" s="242"/>
      <c r="O12" s="195"/>
    </row>
    <row r="13" spans="1:16" x14ac:dyDescent="0.25">
      <c r="A13" s="169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8" t="s">
        <v>18</v>
      </c>
      <c r="N13" s="103">
        <f>SUM(N11:N11)</f>
        <v>7.7532174719999993</v>
      </c>
      <c r="O13" s="166"/>
    </row>
    <row r="14" spans="1:16" x14ac:dyDescent="0.25">
      <c r="A14" s="173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6"/>
    </row>
    <row r="15" spans="1:16" x14ac:dyDescent="0.25">
      <c r="A15" s="241" t="s">
        <v>14</v>
      </c>
      <c r="B15" s="212" t="s">
        <v>31</v>
      </c>
      <c r="C15" s="212" t="s">
        <v>20</v>
      </c>
      <c r="D15" s="212" t="s">
        <v>21</v>
      </c>
      <c r="E15" s="212" t="s">
        <v>32</v>
      </c>
      <c r="F15" s="212" t="s">
        <v>17</v>
      </c>
      <c r="G15" s="212" t="s">
        <v>33</v>
      </c>
      <c r="H15" s="212" t="s">
        <v>34</v>
      </c>
      <c r="I15" s="212" t="s">
        <v>18</v>
      </c>
      <c r="J15" s="15"/>
      <c r="K15" s="15"/>
      <c r="L15" s="15"/>
      <c r="M15" s="15"/>
      <c r="N15" s="15"/>
      <c r="O15" s="166"/>
    </row>
    <row r="16" spans="1:16" ht="45" x14ac:dyDescent="0.25">
      <c r="A16" s="254">
        <v>10</v>
      </c>
      <c r="B16" s="264" t="s">
        <v>45</v>
      </c>
      <c r="C16" s="264" t="s">
        <v>310</v>
      </c>
      <c r="D16" s="178">
        <v>1.3</v>
      </c>
      <c r="E16" s="240" t="s">
        <v>32</v>
      </c>
      <c r="F16" s="265">
        <v>1</v>
      </c>
      <c r="G16" s="265"/>
      <c r="H16" s="231"/>
      <c r="I16" s="263">
        <f>IF(H16="",D16*F16,D16*F16*H16)</f>
        <v>1.3</v>
      </c>
      <c r="J16" s="43"/>
      <c r="K16" s="43"/>
      <c r="L16" s="43"/>
      <c r="M16" s="43"/>
      <c r="N16" s="43"/>
      <c r="O16" s="187"/>
    </row>
    <row r="17" spans="1:15" ht="30" x14ac:dyDescent="0.25">
      <c r="A17" s="254">
        <v>20</v>
      </c>
      <c r="B17" s="264" t="s">
        <v>79</v>
      </c>
      <c r="C17" s="264" t="s">
        <v>309</v>
      </c>
      <c r="D17" s="178">
        <v>0.04</v>
      </c>
      <c r="E17" s="236" t="s">
        <v>81</v>
      </c>
      <c r="F17" s="232">
        <v>372.58</v>
      </c>
      <c r="G17" s="240" t="s">
        <v>308</v>
      </c>
      <c r="H17" s="231">
        <v>1</v>
      </c>
      <c r="I17" s="263">
        <f>IF(H17="",D17*F17,D17*F17*H17)</f>
        <v>14.9032</v>
      </c>
      <c r="J17" s="43"/>
      <c r="K17" s="43"/>
      <c r="L17" s="43"/>
      <c r="M17" s="43"/>
      <c r="N17" s="43"/>
      <c r="O17" s="187"/>
    </row>
    <row r="18" spans="1:15" x14ac:dyDescent="0.25">
      <c r="A18" s="169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16.203199999999999</v>
      </c>
      <c r="J18" s="15"/>
      <c r="K18" s="15"/>
      <c r="L18" s="15"/>
      <c r="M18" s="15"/>
      <c r="N18" s="15"/>
      <c r="O18" s="166"/>
    </row>
    <row r="19" spans="1:15" x14ac:dyDescent="0.25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5" x14ac:dyDescent="0.25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25">
      <c r="A21" s="173"/>
      <c r="B21" s="41"/>
      <c r="C21" s="41"/>
      <c r="D21" s="41"/>
      <c r="E21" s="41"/>
      <c r="F21" s="228"/>
      <c r="G21" s="229"/>
      <c r="H21" s="229"/>
      <c r="I21" s="41"/>
      <c r="J21" s="41"/>
      <c r="K21" s="41"/>
      <c r="L21" s="41"/>
      <c r="M21" s="41"/>
      <c r="N21" s="41"/>
      <c r="O21" s="166"/>
    </row>
    <row r="22" spans="1:15" x14ac:dyDescent="0.25">
      <c r="A22" s="173"/>
      <c r="B22" s="41"/>
      <c r="C22" s="41"/>
      <c r="D22" s="41"/>
      <c r="E22" s="41"/>
      <c r="F22" s="228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25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x14ac:dyDescent="0.25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</row>
    <row r="25" spans="1:15" x14ac:dyDescent="0.25">
      <c r="A25" s="173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6"/>
    </row>
    <row r="26" spans="1:15" ht="15.75" thickBot="1" x14ac:dyDescent="0.3">
      <c r="A26" s="165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3"/>
    </row>
  </sheetData>
  <hyperlinks>
    <hyperlink ref="D3" location="'EN_0900_004 Drawing'!A1" display="FileLink1" xr:uid="{00000000-0004-0000-2D00-000000000000}"/>
    <hyperlink ref="B4" location="EN_A0900!A1" display="Differential" xr:uid="{00000000-0004-0000-2D00-000001000000}"/>
    <hyperlink ref="G2" location="EN_A0900_BOM" display="Back to BOM" xr:uid="{00000000-0004-0000-2D00-000002000000}"/>
  </hyperlinks>
  <pageMargins left="0.7" right="0.7" top="0.75" bottom="0.75" header="0.3" footer="0.3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6" tint="0.39997558519241921"/>
  </sheetPr>
  <dimension ref="A1"/>
  <sheetViews>
    <sheetView zoomScaleNormal="100" workbookViewId="0">
      <selection activeCell="A2" sqref="A2"/>
    </sheetView>
  </sheetViews>
  <sheetFormatPr baseColWidth="10" defaultRowHeight="15" x14ac:dyDescent="0.25"/>
  <sheetData>
    <row r="1" spans="1:1" x14ac:dyDescent="0.25">
      <c r="A1" s="273" t="str">
        <f>EN_0900_004</f>
        <v>EN 09004</v>
      </c>
    </row>
  </sheetData>
  <hyperlinks>
    <hyperlink ref="A1" location="EN_0900_004" display="EN_0900_004" xr:uid="{00000000-0004-0000-2E00-000000000000}"/>
  </hyperlinks>
  <pageMargins left="0.7" right="0.7" top="0.75" bottom="0.75" header="0.3" footer="0.3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6" tint="0.39997558519241921"/>
  </sheetPr>
  <dimension ref="A1:O28"/>
  <sheetViews>
    <sheetView workbookViewId="0">
      <selection activeCell="B4" sqref="B4"/>
    </sheetView>
  </sheetViews>
  <sheetFormatPr baseColWidth="10" defaultRowHeight="15" x14ac:dyDescent="0.25"/>
  <cols>
    <col min="2" max="2" width="21.28515625" bestFit="1" customWidth="1"/>
    <col min="3" max="3" width="33.42578125" bestFit="1" customWidth="1"/>
    <col min="9" max="9" width="27.42578125" bestFit="1" customWidth="1"/>
  </cols>
  <sheetData>
    <row r="1" spans="1:15" x14ac:dyDescent="0.2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25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EN_0900_005_m+EN_0900_005_p</f>
        <v>17.198412672</v>
      </c>
      <c r="O2" s="166"/>
    </row>
    <row r="3" spans="1:15" x14ac:dyDescent="0.25">
      <c r="A3" s="262" t="s">
        <v>3</v>
      </c>
      <c r="B3" s="258" t="s">
        <v>279</v>
      </c>
      <c r="C3" s="41"/>
      <c r="D3" s="261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25">
      <c r="A4" s="241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25">
      <c r="A5" s="241" t="s">
        <v>15</v>
      </c>
      <c r="B5" s="41" t="s">
        <v>315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17.198412672</v>
      </c>
      <c r="O5" s="166"/>
    </row>
    <row r="6" spans="1:15" x14ac:dyDescent="0.25">
      <c r="A6" s="241" t="s">
        <v>7</v>
      </c>
      <c r="B6" s="260" t="s">
        <v>540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25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25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25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25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25">
      <c r="A11" s="272">
        <v>10</v>
      </c>
      <c r="B11" s="271" t="s">
        <v>300</v>
      </c>
      <c r="C11" s="270" t="s">
        <v>312</v>
      </c>
      <c r="D11" s="178">
        <v>4.2</v>
      </c>
      <c r="E11" s="269">
        <f>J11*K11*L11</f>
        <v>1.3388601600000001</v>
      </c>
      <c r="F11" s="236" t="s">
        <v>78</v>
      </c>
      <c r="G11" s="236"/>
      <c r="H11" s="191"/>
      <c r="I11" s="268" t="s">
        <v>314</v>
      </c>
      <c r="J11" s="267">
        <f>374*120/1000000</f>
        <v>4.4880000000000003E-2</v>
      </c>
      <c r="K11" s="266">
        <f>11/1000</f>
        <v>1.0999999999999999E-2</v>
      </c>
      <c r="L11" s="189">
        <v>2712</v>
      </c>
      <c r="M11" s="189">
        <v>1</v>
      </c>
      <c r="N11" s="263">
        <f>IF(J11="",D11*M11,D11*J11*K11*L11*M11)</f>
        <v>5.6232126720000002</v>
      </c>
      <c r="O11" s="195"/>
    </row>
    <row r="12" spans="1:15" x14ac:dyDescent="0.25">
      <c r="A12" s="252"/>
      <c r="B12" s="251"/>
      <c r="C12" s="249"/>
      <c r="D12" s="250"/>
      <c r="E12" s="249"/>
      <c r="F12" s="249"/>
      <c r="G12" s="249"/>
      <c r="H12" s="248"/>
      <c r="I12" s="247"/>
      <c r="J12" s="246"/>
      <c r="K12" s="245"/>
      <c r="L12" s="244"/>
      <c r="M12" s="243"/>
      <c r="N12" s="242"/>
      <c r="O12" s="195"/>
    </row>
    <row r="13" spans="1:15" x14ac:dyDescent="0.25">
      <c r="A13" s="169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8" t="s">
        <v>18</v>
      </c>
      <c r="N13" s="103">
        <f>SUM(N11:N11)</f>
        <v>5.6232126720000002</v>
      </c>
      <c r="O13" s="166"/>
    </row>
    <row r="14" spans="1:15" x14ac:dyDescent="0.25">
      <c r="A14" s="173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6"/>
    </row>
    <row r="15" spans="1:15" x14ac:dyDescent="0.25">
      <c r="A15" s="241" t="s">
        <v>14</v>
      </c>
      <c r="B15" s="212" t="s">
        <v>31</v>
      </c>
      <c r="C15" s="212" t="s">
        <v>20</v>
      </c>
      <c r="D15" s="212" t="s">
        <v>21</v>
      </c>
      <c r="E15" s="212" t="s">
        <v>32</v>
      </c>
      <c r="F15" s="212" t="s">
        <v>17</v>
      </c>
      <c r="G15" s="212" t="s">
        <v>33</v>
      </c>
      <c r="H15" s="212" t="s">
        <v>34</v>
      </c>
      <c r="I15" s="212" t="s">
        <v>18</v>
      </c>
      <c r="J15" s="15"/>
      <c r="K15" s="15"/>
      <c r="L15" s="15"/>
      <c r="M15" s="15"/>
      <c r="N15" s="15"/>
      <c r="O15" s="166"/>
    </row>
    <row r="16" spans="1:15" ht="30" x14ac:dyDescent="0.25">
      <c r="A16" s="254">
        <v>10</v>
      </c>
      <c r="B16" s="264" t="s">
        <v>45</v>
      </c>
      <c r="C16" s="264" t="s">
        <v>310</v>
      </c>
      <c r="D16" s="178">
        <v>1.3</v>
      </c>
      <c r="E16" s="240" t="s">
        <v>32</v>
      </c>
      <c r="F16" s="265">
        <v>1</v>
      </c>
      <c r="G16" s="265"/>
      <c r="H16" s="231"/>
      <c r="I16" s="263">
        <f>IF(H16="",D16*F16,D16*F16*H16)</f>
        <v>1.3</v>
      </c>
      <c r="J16" s="43"/>
      <c r="K16" s="43"/>
      <c r="L16" s="43"/>
      <c r="M16" s="43"/>
      <c r="N16" s="43"/>
      <c r="O16" s="187"/>
    </row>
    <row r="17" spans="1:15" ht="30" x14ac:dyDescent="0.25">
      <c r="A17" s="254">
        <v>20</v>
      </c>
      <c r="B17" s="264" t="s">
        <v>79</v>
      </c>
      <c r="C17" s="264" t="s">
        <v>309</v>
      </c>
      <c r="D17" s="178">
        <v>0.04</v>
      </c>
      <c r="E17" s="236" t="s">
        <v>81</v>
      </c>
      <c r="F17" s="232">
        <v>256.88</v>
      </c>
      <c r="G17" s="240" t="s">
        <v>308</v>
      </c>
      <c r="H17" s="231">
        <v>1</v>
      </c>
      <c r="I17" s="263">
        <f>IF(H17="",D17*F17,D17*F17*H17)</f>
        <v>10.2752</v>
      </c>
      <c r="J17" s="43"/>
      <c r="K17" s="43"/>
      <c r="L17" s="43"/>
      <c r="M17" s="43"/>
      <c r="N17" s="43"/>
      <c r="O17" s="187"/>
    </row>
    <row r="18" spans="1:15" x14ac:dyDescent="0.25">
      <c r="A18" s="169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11.575200000000001</v>
      </c>
      <c r="J18" s="15"/>
      <c r="K18" s="15"/>
      <c r="L18" s="15"/>
      <c r="M18" s="15"/>
      <c r="N18" s="15"/>
      <c r="O18" s="166"/>
    </row>
    <row r="19" spans="1:15" x14ac:dyDescent="0.25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5" x14ac:dyDescent="0.25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25">
      <c r="A21" s="173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6"/>
    </row>
    <row r="22" spans="1:15" x14ac:dyDescent="0.25">
      <c r="A22" s="173"/>
      <c r="B22" s="41"/>
      <c r="C22" s="41"/>
      <c r="D22" s="41"/>
      <c r="E22" s="228"/>
      <c r="F22" s="274"/>
      <c r="G22" s="274"/>
      <c r="H22" s="41"/>
      <c r="I22" s="41"/>
      <c r="J22" s="41"/>
      <c r="K22" s="41"/>
      <c r="L22" s="41"/>
      <c r="M22" s="41"/>
      <c r="N22" s="41"/>
      <c r="O22" s="166"/>
    </row>
    <row r="23" spans="1:15" x14ac:dyDescent="0.25">
      <c r="A23" s="173"/>
      <c r="B23" s="41"/>
      <c r="C23" s="41"/>
      <c r="D23" s="41"/>
      <c r="E23" s="274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x14ac:dyDescent="0.25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</row>
    <row r="25" spans="1:15" x14ac:dyDescent="0.25">
      <c r="A25" s="173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6"/>
    </row>
    <row r="26" spans="1:15" x14ac:dyDescent="0.25">
      <c r="A26" s="173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66"/>
    </row>
    <row r="27" spans="1:15" x14ac:dyDescent="0.25">
      <c r="A27" s="173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166"/>
    </row>
    <row r="28" spans="1:15" ht="15.75" thickBot="1" x14ac:dyDescent="0.3">
      <c r="A28" s="165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3"/>
    </row>
  </sheetData>
  <hyperlinks>
    <hyperlink ref="D3" location="'EN_0900_005 Drawing'!A1" display="FileLink1" xr:uid="{00000000-0004-0000-2F00-000000000000}"/>
    <hyperlink ref="B4" location="EN_A0900!A1" display="Differential" xr:uid="{00000000-0004-0000-2F00-000001000000}"/>
    <hyperlink ref="G2" location="EN_A0900_BOM" display="Back to BOM" xr:uid="{00000000-0004-0000-2F00-000002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  <pageSetUpPr fitToPage="1"/>
  </sheetPr>
  <dimension ref="A1:O21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3" max="3" width="17.85546875" customWidth="1"/>
    <col min="7" max="7" width="23.7109375" customWidth="1"/>
    <col min="9" max="9" width="18.42578125" customWidth="1"/>
    <col min="12" max="12" width="12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EN_02001_m+EN_02001_p</f>
        <v>4.3537375941950689</v>
      </c>
      <c r="O2" s="47"/>
    </row>
    <row r="3" spans="1:15" x14ac:dyDescent="0.25">
      <c r="A3" s="100" t="s">
        <v>3</v>
      </c>
      <c r="B3" s="11" t="str">
        <f>'EN A0200'!B3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83"/>
      <c r="O4" s="47"/>
    </row>
    <row r="5" spans="1:15" x14ac:dyDescent="0.25">
      <c r="A5" s="100" t="s">
        <v>15</v>
      </c>
      <c r="B5" s="13" t="s">
        <v>471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17.414950376780276</v>
      </c>
      <c r="O5" s="47"/>
    </row>
    <row r="6" spans="1:15" x14ac:dyDescent="0.25">
      <c r="A6" s="100" t="s">
        <v>7</v>
      </c>
      <c r="B6" s="17" t="s">
        <v>470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69" t="s">
        <v>23</v>
      </c>
      <c r="G10" s="469" t="s">
        <v>24</v>
      </c>
      <c r="H10" s="469" t="s">
        <v>25</v>
      </c>
      <c r="I10" s="469" t="s">
        <v>26</v>
      </c>
      <c r="J10" s="469" t="s">
        <v>27</v>
      </c>
      <c r="K10" s="469" t="s">
        <v>28</v>
      </c>
      <c r="L10" s="469" t="s">
        <v>29</v>
      </c>
      <c r="M10" s="469" t="s">
        <v>17</v>
      </c>
      <c r="N10" s="469" t="s">
        <v>18</v>
      </c>
      <c r="O10" s="47"/>
    </row>
    <row r="11" spans="1:15" s="14" customFormat="1" ht="45" x14ac:dyDescent="0.25">
      <c r="A11" s="482">
        <v>10</v>
      </c>
      <c r="B11" s="481" t="s">
        <v>469</v>
      </c>
      <c r="C11" s="480" t="s">
        <v>468</v>
      </c>
      <c r="D11" s="472">
        <v>2.25</v>
      </c>
      <c r="E11" s="479">
        <f>PRODUCT(L11,J11,K11)</f>
        <v>0.28499448630891927</v>
      </c>
      <c r="F11" s="478" t="s">
        <v>78</v>
      </c>
      <c r="G11" s="478"/>
      <c r="H11" s="477"/>
      <c r="I11" s="476" t="s">
        <v>467</v>
      </c>
      <c r="J11" s="475">
        <f>PI()*(43/1000/2)^2</f>
        <v>1.4522012041218817E-3</v>
      </c>
      <c r="K11" s="474">
        <v>2.5000000000000001E-2</v>
      </c>
      <c r="L11" s="473">
        <v>7850</v>
      </c>
      <c r="M11" s="473">
        <v>1</v>
      </c>
      <c r="N11" s="472">
        <f>PRODUCT(D11,E11)</f>
        <v>0.64123759419506832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1" t="s">
        <v>18</v>
      </c>
      <c r="N12" s="103">
        <f>SUM(N11:N11)</f>
        <v>0.64123759419506832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0" t="s">
        <v>14</v>
      </c>
      <c r="B14" s="469" t="s">
        <v>31</v>
      </c>
      <c r="C14" s="469" t="s">
        <v>20</v>
      </c>
      <c r="D14" s="469" t="s">
        <v>21</v>
      </c>
      <c r="E14" s="469" t="s">
        <v>32</v>
      </c>
      <c r="F14" s="469" t="s">
        <v>17</v>
      </c>
      <c r="G14" s="469" t="s">
        <v>33</v>
      </c>
      <c r="H14" s="469" t="s">
        <v>34</v>
      </c>
      <c r="I14" s="469" t="s">
        <v>18</v>
      </c>
      <c r="J14" s="15"/>
      <c r="K14" s="15"/>
      <c r="L14" s="15"/>
      <c r="M14" s="15"/>
      <c r="N14" s="15"/>
      <c r="O14" s="47"/>
    </row>
    <row r="15" spans="1:15" s="14" customFormat="1" ht="30" x14ac:dyDescent="0.25">
      <c r="A15" s="468">
        <v>10</v>
      </c>
      <c r="B15" s="467" t="s">
        <v>45</v>
      </c>
      <c r="C15" s="466"/>
      <c r="D15" s="461">
        <v>1.3</v>
      </c>
      <c r="E15" s="455" t="s">
        <v>35</v>
      </c>
      <c r="F15" s="466">
        <v>0.25</v>
      </c>
      <c r="G15" s="457" t="s">
        <v>466</v>
      </c>
      <c r="H15" s="466"/>
      <c r="I15" s="432">
        <f>IF(H15="",D15*F15,D15*F15*H15)</f>
        <v>0.32500000000000001</v>
      </c>
      <c r="J15" s="465"/>
      <c r="K15" s="465"/>
      <c r="L15" s="465"/>
      <c r="M15" s="465"/>
      <c r="N15" s="465"/>
      <c r="O15" s="51"/>
    </row>
    <row r="16" spans="1:15" s="16" customFormat="1" ht="30" x14ac:dyDescent="0.25">
      <c r="A16" s="464">
        <v>20</v>
      </c>
      <c r="B16" s="463" t="s">
        <v>79</v>
      </c>
      <c r="C16" s="462" t="s">
        <v>465</v>
      </c>
      <c r="D16" s="461">
        <v>0.04</v>
      </c>
      <c r="E16" s="455" t="s">
        <v>81</v>
      </c>
      <c r="F16" s="460">
        <v>20.5</v>
      </c>
      <c r="G16" s="451" t="s">
        <v>82</v>
      </c>
      <c r="H16" s="459">
        <v>3</v>
      </c>
      <c r="I16" s="399">
        <f>IF(H16="",D16*F16,D16*F16*H16)</f>
        <v>2.46</v>
      </c>
      <c r="J16" s="43"/>
      <c r="K16" s="43"/>
      <c r="L16" s="43"/>
      <c r="M16" s="43"/>
      <c r="N16" s="43"/>
      <c r="O16" s="53"/>
    </row>
    <row r="17" spans="1:15" s="12" customFormat="1" ht="30" x14ac:dyDescent="0.25">
      <c r="A17" s="458">
        <v>30</v>
      </c>
      <c r="B17" s="453" t="s">
        <v>80</v>
      </c>
      <c r="C17" s="450"/>
      <c r="D17" s="454">
        <v>0.65</v>
      </c>
      <c r="E17" s="453" t="s">
        <v>35</v>
      </c>
      <c r="F17" s="450">
        <v>0.25</v>
      </c>
      <c r="G17" s="457" t="s">
        <v>464</v>
      </c>
      <c r="H17" s="450"/>
      <c r="I17" s="432">
        <f>IF(H17="",D17*F17,D17*F17*H17)</f>
        <v>0.16250000000000001</v>
      </c>
      <c r="J17" s="42"/>
      <c r="K17" s="42"/>
      <c r="L17" s="42"/>
      <c r="M17" s="42"/>
      <c r="N17" s="42"/>
      <c r="O17" s="50"/>
    </row>
    <row r="18" spans="1:15" x14ac:dyDescent="0.25">
      <c r="A18" s="456">
        <v>40</v>
      </c>
      <c r="B18" s="455" t="s">
        <v>79</v>
      </c>
      <c r="C18" s="411" t="s">
        <v>463</v>
      </c>
      <c r="D18" s="454">
        <v>0.04</v>
      </c>
      <c r="E18" s="453" t="s">
        <v>81</v>
      </c>
      <c r="F18" s="452">
        <v>6.375</v>
      </c>
      <c r="G18" s="451" t="s">
        <v>82</v>
      </c>
      <c r="H18" s="450">
        <v>3</v>
      </c>
      <c r="I18" s="432">
        <f>IF(H18="",D18*F18,D18*F18*H18)</f>
        <v>0.76500000000000001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3.7125000000000004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49"/>
      <c r="G20" s="41"/>
      <c r="H20" s="41"/>
      <c r="I20" s="42"/>
      <c r="J20" s="41"/>
      <c r="K20" s="41"/>
      <c r="L20" s="41"/>
      <c r="M20" s="41"/>
      <c r="N20" s="41"/>
      <c r="O20" s="47"/>
    </row>
    <row r="21" spans="1:15" ht="15.75" thickBo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</row>
  </sheetData>
  <hyperlinks>
    <hyperlink ref="B4" location="EN_A0200" display="EN_A0200" xr:uid="{00000000-0004-0000-0200-000000000000}"/>
    <hyperlink ref="E3" location="dEN_02001!A1" display="Drawing" xr:uid="{00000000-0004-0000-0200-000001000000}"/>
    <hyperlink ref="G2" location="EN_A0200_BOM" display="Back to BOM" xr:uid="{00000000-0004-0000-02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EN_0900_005</f>
        <v>EN 09005</v>
      </c>
    </row>
  </sheetData>
  <hyperlinks>
    <hyperlink ref="A1" location="EN_0900_005" display="EN_0900_005" xr:uid="{00000000-0004-0000-3000-000000000000}"/>
  </hyperlinks>
  <pageMargins left="0.7" right="0.7" top="0.75" bottom="0.75" header="0.3" footer="0.3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6" tint="0.39997558519241921"/>
  </sheetPr>
  <dimension ref="A1:O26"/>
  <sheetViews>
    <sheetView workbookViewId="0">
      <selection activeCell="B4" sqref="B4"/>
    </sheetView>
  </sheetViews>
  <sheetFormatPr baseColWidth="10" defaultRowHeight="15" x14ac:dyDescent="0.25"/>
  <cols>
    <col min="2" max="2" width="28.5703125" bestFit="1" customWidth="1"/>
    <col min="3" max="3" width="39.28515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25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EN_0900_006_m+EN_0900_006_p</f>
        <v>0.99587245000000002</v>
      </c>
      <c r="O2" s="166"/>
    </row>
    <row r="3" spans="1:15" x14ac:dyDescent="0.25">
      <c r="A3" s="262" t="s">
        <v>3</v>
      </c>
      <c r="B3" s="258" t="s">
        <v>279</v>
      </c>
      <c r="C3" s="41"/>
      <c r="D3" s="261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166"/>
    </row>
    <row r="4" spans="1:15" x14ac:dyDescent="0.25">
      <c r="A4" s="241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25">
      <c r="A5" s="241" t="s">
        <v>15</v>
      </c>
      <c r="B5" s="41" t="s">
        <v>271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3.9834898000000001</v>
      </c>
      <c r="O5" s="166"/>
    </row>
    <row r="6" spans="1:15" x14ac:dyDescent="0.25">
      <c r="A6" s="241" t="s">
        <v>7</v>
      </c>
      <c r="B6" s="260" t="s">
        <v>541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25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25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25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25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25">
      <c r="A11" s="235">
        <v>10</v>
      </c>
      <c r="B11" s="194" t="s">
        <v>163</v>
      </c>
      <c r="C11" s="209" t="s">
        <v>320</v>
      </c>
      <c r="D11" s="216">
        <v>2.25</v>
      </c>
      <c r="E11" s="225">
        <f>J11*K11*L11</f>
        <v>3.6832200000000002E-2</v>
      </c>
      <c r="F11" s="215" t="s">
        <v>78</v>
      </c>
      <c r="G11" s="215"/>
      <c r="H11" s="223"/>
      <c r="I11" s="224" t="s">
        <v>319</v>
      </c>
      <c r="J11" s="224">
        <f>46*34/1000000</f>
        <v>1.5640000000000001E-3</v>
      </c>
      <c r="K11" s="220">
        <f>3/1000</f>
        <v>3.0000000000000001E-3</v>
      </c>
      <c r="L11" s="219">
        <v>7850</v>
      </c>
      <c r="M11" s="219">
        <v>1</v>
      </c>
      <c r="N11" s="216">
        <f>M11*L11*J11*K11*D11</f>
        <v>8.287245E-2</v>
      </c>
      <c r="O11" s="195"/>
    </row>
    <row r="12" spans="1:15" x14ac:dyDescent="0.25">
      <c r="A12" s="16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8" t="s">
        <v>18</v>
      </c>
      <c r="N12" s="103">
        <f>SUM(N11:N11)</f>
        <v>8.287245E-2</v>
      </c>
      <c r="O12" s="166"/>
    </row>
    <row r="13" spans="1:15" x14ac:dyDescent="0.25">
      <c r="A13" s="17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6"/>
    </row>
    <row r="14" spans="1:15" x14ac:dyDescent="0.25">
      <c r="A14" s="241" t="s">
        <v>14</v>
      </c>
      <c r="B14" s="212" t="s">
        <v>31</v>
      </c>
      <c r="C14" s="212" t="s">
        <v>20</v>
      </c>
      <c r="D14" s="212" t="s">
        <v>21</v>
      </c>
      <c r="E14" s="212" t="s">
        <v>32</v>
      </c>
      <c r="F14" s="212" t="s">
        <v>17</v>
      </c>
      <c r="G14" s="212" t="s">
        <v>33</v>
      </c>
      <c r="H14" s="212" t="s">
        <v>34</v>
      </c>
      <c r="I14" s="212" t="s">
        <v>18</v>
      </c>
      <c r="J14" s="15"/>
      <c r="K14" s="15"/>
      <c r="L14" s="15"/>
      <c r="M14" s="15"/>
      <c r="N14" s="15"/>
      <c r="O14" s="166"/>
    </row>
    <row r="15" spans="1:15" ht="30" x14ac:dyDescent="0.25">
      <c r="A15" s="254">
        <v>10</v>
      </c>
      <c r="B15" s="276" t="s">
        <v>45</v>
      </c>
      <c r="C15" s="239" t="s">
        <v>304</v>
      </c>
      <c r="D15" s="275">
        <v>1.3</v>
      </c>
      <c r="E15" s="236" t="s">
        <v>32</v>
      </c>
      <c r="F15" s="236">
        <v>1</v>
      </c>
      <c r="G15" s="270" t="s">
        <v>318</v>
      </c>
      <c r="H15" s="239">
        <f>1/4</f>
        <v>0.25</v>
      </c>
      <c r="I15" s="216">
        <f>IF(H15="",D15*F15,D15*F15*H15)</f>
        <v>0.32500000000000001</v>
      </c>
      <c r="J15" s="43"/>
      <c r="K15" s="43"/>
      <c r="L15" s="43"/>
      <c r="M15" s="43"/>
      <c r="N15" s="43"/>
      <c r="O15" s="187"/>
    </row>
    <row r="16" spans="1:15" x14ac:dyDescent="0.25">
      <c r="A16" s="272">
        <v>20</v>
      </c>
      <c r="B16" s="239" t="s">
        <v>83</v>
      </c>
      <c r="C16" s="264" t="s">
        <v>317</v>
      </c>
      <c r="D16" s="275">
        <v>0.01</v>
      </c>
      <c r="E16" s="236" t="s">
        <v>46</v>
      </c>
      <c r="F16" s="236">
        <v>19.600000000000001</v>
      </c>
      <c r="G16" s="236" t="s">
        <v>316</v>
      </c>
      <c r="H16" s="236">
        <v>3</v>
      </c>
      <c r="I16" s="216">
        <f>IF(H16="",D16*F16,D16*F16*H16)</f>
        <v>0.58800000000000008</v>
      </c>
      <c r="J16" s="43"/>
      <c r="K16" s="43"/>
      <c r="L16" s="43"/>
      <c r="M16" s="43"/>
      <c r="N16" s="43"/>
      <c r="O16" s="187"/>
    </row>
    <row r="17" spans="1:15" x14ac:dyDescent="0.25">
      <c r="A17" s="169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0.91300000000000003</v>
      </c>
      <c r="J17" s="15"/>
      <c r="K17" s="15"/>
      <c r="L17" s="15"/>
      <c r="M17" s="15"/>
      <c r="N17" s="15"/>
      <c r="O17" s="166"/>
    </row>
    <row r="18" spans="1:15" x14ac:dyDescent="0.25">
      <c r="A18" s="173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6"/>
    </row>
    <row r="19" spans="1:15" x14ac:dyDescent="0.25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5" x14ac:dyDescent="0.25">
      <c r="A20" s="173"/>
      <c r="B20" s="41"/>
      <c r="C20" s="228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25">
      <c r="A21" s="173"/>
      <c r="B21" s="41"/>
      <c r="C21" s="228"/>
      <c r="D21" s="228"/>
      <c r="E21" s="228"/>
      <c r="F21" s="41"/>
      <c r="G21" s="41"/>
      <c r="H21" s="41"/>
      <c r="I21" s="41"/>
      <c r="J21" s="41"/>
      <c r="K21" s="41"/>
      <c r="L21" s="41"/>
      <c r="M21" s="41"/>
      <c r="N21" s="41"/>
      <c r="O21" s="166"/>
    </row>
    <row r="22" spans="1:15" x14ac:dyDescent="0.25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25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x14ac:dyDescent="0.25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</row>
    <row r="25" spans="1:15" x14ac:dyDescent="0.25">
      <c r="A25" s="173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6"/>
    </row>
    <row r="26" spans="1:15" ht="15.75" thickBot="1" x14ac:dyDescent="0.3">
      <c r="A26" s="165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3"/>
    </row>
  </sheetData>
  <hyperlinks>
    <hyperlink ref="D3" location="'EN_0900_006 Drawing'!A1" display="FileLink1" xr:uid="{00000000-0004-0000-3100-000000000000}"/>
    <hyperlink ref="B4" location="EN_A0900!A1" display="Differential" xr:uid="{00000000-0004-0000-3100-000001000000}"/>
    <hyperlink ref="G2" location="EN_A0900_BOM" display="Back to BOM" xr:uid="{00000000-0004-0000-3100-000002000000}"/>
  </hyperlinks>
  <pageMargins left="0.7" right="0.7" top="0.75" bottom="0.75" header="0.3" footer="0.3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EN_0900_006</f>
        <v>EN 09006</v>
      </c>
    </row>
  </sheetData>
  <hyperlinks>
    <hyperlink ref="A1" location="EN_0900_006" display="EN_0900_006" xr:uid="{00000000-0004-0000-3200-000000000000}"/>
  </hyperlinks>
  <pageMargins left="0.7" right="0.7" top="0.75" bottom="0.75" header="0.3" footer="0.3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6" tint="0.39997558519241921"/>
  </sheetPr>
  <dimension ref="A1:O25"/>
  <sheetViews>
    <sheetView zoomScale="85" zoomScaleNormal="85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35.85546875" bestFit="1" customWidth="1"/>
    <col min="9" max="9" width="25.28515625" bestFit="1" customWidth="1"/>
  </cols>
  <sheetData>
    <row r="1" spans="1:15" x14ac:dyDescent="0.2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25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EN_0900_007_m+EN_0900_007_p</f>
        <v>0.96928532500000009</v>
      </c>
      <c r="O2" s="166"/>
    </row>
    <row r="3" spans="1:15" x14ac:dyDescent="0.25">
      <c r="A3" s="262" t="s">
        <v>3</v>
      </c>
      <c r="B3" s="258" t="s">
        <v>279</v>
      </c>
      <c r="C3" s="41"/>
      <c r="D3" s="261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166"/>
    </row>
    <row r="4" spans="1:15" x14ac:dyDescent="0.25">
      <c r="A4" s="241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25">
      <c r="A5" s="241" t="s">
        <v>15</v>
      </c>
      <c r="B5" s="41" t="s">
        <v>270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3.8771413000000003</v>
      </c>
      <c r="O5" s="166"/>
    </row>
    <row r="6" spans="1:15" x14ac:dyDescent="0.25">
      <c r="A6" s="241" t="s">
        <v>7</v>
      </c>
      <c r="B6" s="260" t="s">
        <v>542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25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25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25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25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25">
      <c r="A11" s="235">
        <v>10</v>
      </c>
      <c r="B11" s="194" t="s">
        <v>163</v>
      </c>
      <c r="C11" s="209" t="s">
        <v>320</v>
      </c>
      <c r="D11" s="216">
        <v>2.25</v>
      </c>
      <c r="E11" s="225">
        <f>J11*K11*L11</f>
        <v>3.1415699999999998E-2</v>
      </c>
      <c r="F11" s="215" t="s">
        <v>78</v>
      </c>
      <c r="G11" s="215"/>
      <c r="H11" s="223"/>
      <c r="I11" s="224" t="s">
        <v>321</v>
      </c>
      <c r="J11" s="224">
        <f>46*29/1000000</f>
        <v>1.3339999999999999E-3</v>
      </c>
      <c r="K11" s="220">
        <f>3/1000</f>
        <v>3.0000000000000001E-3</v>
      </c>
      <c r="L11" s="219">
        <v>7850</v>
      </c>
      <c r="M11" s="219">
        <v>1</v>
      </c>
      <c r="N11" s="216">
        <f>M11*L11*J11*K11*D11</f>
        <v>7.0685324999999993E-2</v>
      </c>
      <c r="O11" s="195"/>
    </row>
    <row r="12" spans="1:15" x14ac:dyDescent="0.25">
      <c r="A12" s="16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8" t="s">
        <v>18</v>
      </c>
      <c r="N12" s="103">
        <f>SUM(N11:N11)</f>
        <v>7.0685324999999993E-2</v>
      </c>
      <c r="O12" s="166"/>
    </row>
    <row r="13" spans="1:15" x14ac:dyDescent="0.25">
      <c r="A13" s="173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6"/>
    </row>
    <row r="14" spans="1:15" x14ac:dyDescent="0.25">
      <c r="A14" s="241" t="s">
        <v>14</v>
      </c>
      <c r="B14" s="212" t="s">
        <v>31</v>
      </c>
      <c r="C14" s="212" t="s">
        <v>20</v>
      </c>
      <c r="D14" s="212" t="s">
        <v>21</v>
      </c>
      <c r="E14" s="212" t="s">
        <v>32</v>
      </c>
      <c r="F14" s="212" t="s">
        <v>17</v>
      </c>
      <c r="G14" s="212" t="s">
        <v>33</v>
      </c>
      <c r="H14" s="212" t="s">
        <v>34</v>
      </c>
      <c r="I14" s="212" t="s">
        <v>18</v>
      </c>
      <c r="J14" s="15"/>
      <c r="K14" s="15"/>
      <c r="L14" s="15"/>
      <c r="M14" s="15"/>
      <c r="N14" s="15"/>
      <c r="O14" s="166"/>
    </row>
    <row r="15" spans="1:15" ht="30" x14ac:dyDescent="0.25">
      <c r="A15" s="254">
        <v>10</v>
      </c>
      <c r="B15" s="276" t="s">
        <v>45</v>
      </c>
      <c r="C15" s="239" t="s">
        <v>304</v>
      </c>
      <c r="D15" s="275">
        <v>1.3</v>
      </c>
      <c r="E15" s="236" t="s">
        <v>32</v>
      </c>
      <c r="F15" s="236">
        <v>1</v>
      </c>
      <c r="G15" s="270" t="s">
        <v>318</v>
      </c>
      <c r="H15" s="239">
        <f>1/4</f>
        <v>0.25</v>
      </c>
      <c r="I15" s="216">
        <f>IF(H15="",D15*F15,D15*F15*H15)</f>
        <v>0.32500000000000001</v>
      </c>
      <c r="J15" s="43"/>
      <c r="K15" s="43"/>
      <c r="L15" s="43"/>
      <c r="M15" s="43"/>
      <c r="N15" s="43"/>
      <c r="O15" s="187"/>
    </row>
    <row r="16" spans="1:15" ht="30" x14ac:dyDescent="0.25">
      <c r="A16" s="272">
        <v>20</v>
      </c>
      <c r="B16" s="239" t="s">
        <v>83</v>
      </c>
      <c r="C16" s="264" t="s">
        <v>317</v>
      </c>
      <c r="D16" s="275">
        <v>0.01</v>
      </c>
      <c r="E16" s="236" t="s">
        <v>46</v>
      </c>
      <c r="F16" s="236">
        <v>19.12</v>
      </c>
      <c r="G16" s="236" t="s">
        <v>316</v>
      </c>
      <c r="H16" s="236">
        <v>3</v>
      </c>
      <c r="I16" s="216">
        <f>IF(H16="",D16*F16,D16*F16*H16)</f>
        <v>0.5736</v>
      </c>
      <c r="J16" s="43"/>
      <c r="K16" s="43"/>
      <c r="L16" s="43"/>
      <c r="M16" s="43"/>
      <c r="N16" s="43"/>
      <c r="O16" s="187"/>
    </row>
    <row r="17" spans="1:15" x14ac:dyDescent="0.25">
      <c r="A17" s="169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0.89860000000000007</v>
      </c>
      <c r="J17" s="15"/>
      <c r="K17" s="15"/>
      <c r="L17" s="15"/>
      <c r="M17" s="15"/>
      <c r="N17" s="15"/>
      <c r="O17" s="166"/>
    </row>
    <row r="18" spans="1:15" x14ac:dyDescent="0.25">
      <c r="A18" s="173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6"/>
    </row>
    <row r="19" spans="1:15" x14ac:dyDescent="0.25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5" x14ac:dyDescent="0.25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25">
      <c r="A21" s="173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6"/>
    </row>
    <row r="22" spans="1:15" x14ac:dyDescent="0.25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25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x14ac:dyDescent="0.25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</row>
    <row r="25" spans="1:15" ht="15.75" thickBot="1" x14ac:dyDescent="0.3">
      <c r="A25" s="165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3"/>
    </row>
  </sheetData>
  <hyperlinks>
    <hyperlink ref="D3" location="'EN_0900_007 Drawing'!A1" display="FileLink1" xr:uid="{00000000-0004-0000-3300-000000000000}"/>
    <hyperlink ref="B4" location="EN_A0900!A1" display="Differential" xr:uid="{00000000-0004-0000-3300-000001000000}"/>
    <hyperlink ref="G2" location="EN_A0900_BOM" display="Back to BOM" xr:uid="{00000000-0004-0000-3300-000002000000}"/>
  </hyperlinks>
  <pageMargins left="0.7" right="0.7" top="0.75" bottom="0.75" header="0.3" footer="0.3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EN_0900_007</f>
        <v>EN 09007</v>
      </c>
    </row>
  </sheetData>
  <hyperlinks>
    <hyperlink ref="A1" location="EN_0900_007" display="EN_0900_007" xr:uid="{00000000-0004-0000-3400-000000000000}"/>
  </hyperlinks>
  <pageMargins left="0.7" right="0.7" top="0.75" bottom="0.75" header="0.3" footer="0.3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6" tint="0.39997558519241921"/>
  </sheetPr>
  <dimension ref="A1:O25"/>
  <sheetViews>
    <sheetView workbookViewId="0">
      <selection activeCell="B4" sqref="B4"/>
    </sheetView>
  </sheetViews>
  <sheetFormatPr baseColWidth="10" defaultRowHeight="15" x14ac:dyDescent="0.25"/>
  <cols>
    <col min="2" max="2" width="26.14062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25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EN_0900_008_m+EN_0900_008_p</f>
        <v>2.2021247500000003</v>
      </c>
      <c r="O2" s="166"/>
    </row>
    <row r="3" spans="1:15" x14ac:dyDescent="0.25">
      <c r="A3" s="262" t="s">
        <v>3</v>
      </c>
      <c r="B3" s="258" t="s">
        <v>279</v>
      </c>
      <c r="C3" s="41"/>
      <c r="D3" s="261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25">
      <c r="A4" s="241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25">
      <c r="A5" s="241" t="s">
        <v>15</v>
      </c>
      <c r="B5" s="41" t="s">
        <v>269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2.2021247500000003</v>
      </c>
      <c r="O5" s="166"/>
    </row>
    <row r="6" spans="1:15" x14ac:dyDescent="0.25">
      <c r="A6" s="241" t="s">
        <v>7</v>
      </c>
      <c r="B6" s="260" t="s">
        <v>543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25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25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25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25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25">
      <c r="A11" s="235">
        <v>10</v>
      </c>
      <c r="B11" s="194" t="s">
        <v>163</v>
      </c>
      <c r="C11" s="209" t="s">
        <v>320</v>
      </c>
      <c r="D11" s="216">
        <v>2.25</v>
      </c>
      <c r="E11" s="225">
        <f>J11*K11*L11</f>
        <v>6.6410999999999998E-2</v>
      </c>
      <c r="F11" s="215" t="s">
        <v>78</v>
      </c>
      <c r="G11" s="215"/>
      <c r="H11" s="223"/>
      <c r="I11" s="224" t="s">
        <v>322</v>
      </c>
      <c r="J11" s="224">
        <f>60*47/1000000</f>
        <v>2.82E-3</v>
      </c>
      <c r="K11" s="220">
        <f>3/1000</f>
        <v>3.0000000000000001E-3</v>
      </c>
      <c r="L11" s="219">
        <v>7850</v>
      </c>
      <c r="M11" s="219">
        <v>1</v>
      </c>
      <c r="N11" s="216">
        <f>M11*L11*J11*K11*D11</f>
        <v>0.14942475</v>
      </c>
      <c r="O11" s="195"/>
    </row>
    <row r="12" spans="1:15" x14ac:dyDescent="0.25">
      <c r="A12" s="252"/>
      <c r="B12" s="251"/>
      <c r="C12" s="249"/>
      <c r="D12" s="250"/>
      <c r="E12" s="249"/>
      <c r="F12" s="249"/>
      <c r="G12" s="249"/>
      <c r="H12" s="248"/>
      <c r="I12" s="247"/>
      <c r="J12" s="246"/>
      <c r="K12" s="245"/>
      <c r="L12" s="244"/>
      <c r="M12" s="243"/>
      <c r="N12" s="242"/>
      <c r="O12" s="195"/>
    </row>
    <row r="13" spans="1:15" x14ac:dyDescent="0.25">
      <c r="A13" s="169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8" t="s">
        <v>18</v>
      </c>
      <c r="N13" s="103">
        <f>SUM(N11:N11)</f>
        <v>0.14942475</v>
      </c>
      <c r="O13" s="166"/>
    </row>
    <row r="14" spans="1:15" x14ac:dyDescent="0.25">
      <c r="A14" s="173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6"/>
    </row>
    <row r="15" spans="1:15" x14ac:dyDescent="0.25">
      <c r="A15" s="241" t="s">
        <v>14</v>
      </c>
      <c r="B15" s="212" t="s">
        <v>31</v>
      </c>
      <c r="C15" s="212" t="s">
        <v>20</v>
      </c>
      <c r="D15" s="212" t="s">
        <v>21</v>
      </c>
      <c r="E15" s="212" t="s">
        <v>32</v>
      </c>
      <c r="F15" s="212" t="s">
        <v>17</v>
      </c>
      <c r="G15" s="212" t="s">
        <v>33</v>
      </c>
      <c r="H15" s="212" t="s">
        <v>34</v>
      </c>
      <c r="I15" s="212" t="s">
        <v>18</v>
      </c>
      <c r="J15" s="15"/>
      <c r="K15" s="15"/>
      <c r="L15" s="15"/>
      <c r="M15" s="15"/>
      <c r="N15" s="15"/>
      <c r="O15" s="166"/>
    </row>
    <row r="16" spans="1:15" ht="30" x14ac:dyDescent="0.25">
      <c r="A16" s="254">
        <v>10</v>
      </c>
      <c r="B16" s="276" t="s">
        <v>45</v>
      </c>
      <c r="C16" s="239" t="s">
        <v>304</v>
      </c>
      <c r="D16" s="275">
        <v>1.3</v>
      </c>
      <c r="E16" s="236" t="s">
        <v>32</v>
      </c>
      <c r="F16" s="236">
        <v>1</v>
      </c>
      <c r="G16" s="270"/>
      <c r="H16" s="239"/>
      <c r="I16" s="216">
        <f>IF(H16="",D16*F16,D16*F16*H16)</f>
        <v>1.3</v>
      </c>
      <c r="J16" s="43"/>
      <c r="K16" s="43"/>
      <c r="L16" s="43"/>
      <c r="M16" s="43"/>
      <c r="N16" s="43"/>
      <c r="O16" s="187"/>
    </row>
    <row r="17" spans="1:15" ht="30" x14ac:dyDescent="0.25">
      <c r="A17" s="272">
        <v>20</v>
      </c>
      <c r="B17" s="239" t="s">
        <v>83</v>
      </c>
      <c r="C17" s="264" t="s">
        <v>317</v>
      </c>
      <c r="D17" s="275">
        <v>0.01</v>
      </c>
      <c r="E17" s="236" t="s">
        <v>46</v>
      </c>
      <c r="F17" s="236">
        <v>25.09</v>
      </c>
      <c r="G17" s="236" t="s">
        <v>316</v>
      </c>
      <c r="H17" s="236">
        <v>3</v>
      </c>
      <c r="I17" s="216">
        <f>IF(H17="",D17*F17,D17*F17*H17)</f>
        <v>0.75270000000000004</v>
      </c>
      <c r="J17" s="43"/>
      <c r="K17" s="43"/>
      <c r="L17" s="43"/>
      <c r="M17" s="43"/>
      <c r="N17" s="43"/>
      <c r="O17" s="187"/>
    </row>
    <row r="18" spans="1:15" x14ac:dyDescent="0.25">
      <c r="A18" s="169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2.0527000000000002</v>
      </c>
      <c r="J18" s="15"/>
      <c r="K18" s="15"/>
      <c r="L18" s="15"/>
      <c r="M18" s="15"/>
      <c r="N18" s="15"/>
      <c r="O18" s="166"/>
    </row>
    <row r="19" spans="1:15" x14ac:dyDescent="0.25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5" x14ac:dyDescent="0.25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25">
      <c r="A21" s="173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6"/>
    </row>
    <row r="22" spans="1:15" x14ac:dyDescent="0.25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25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x14ac:dyDescent="0.25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</row>
    <row r="25" spans="1:15" ht="15.75" thickBot="1" x14ac:dyDescent="0.3">
      <c r="A25" s="165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3"/>
    </row>
  </sheetData>
  <hyperlinks>
    <hyperlink ref="D3" location="'EN_0900_008 Drawing'!A1" display="FileLink1" xr:uid="{00000000-0004-0000-3500-000000000000}"/>
    <hyperlink ref="B4" location="EN_A0900!A1" display="Differential" xr:uid="{00000000-0004-0000-3500-000001000000}"/>
    <hyperlink ref="G2" location="EN_A0900_BOM" display="Back to BOM" xr:uid="{00000000-0004-0000-3500-000002000000}"/>
  </hyperlinks>
  <pageMargins left="0.7" right="0.7" top="0.75" bottom="0.75" header="0.3" footer="0.3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EN_0900_008</f>
        <v>EN 09008</v>
      </c>
    </row>
  </sheetData>
  <hyperlinks>
    <hyperlink ref="A1" location="EN_0900_008" display="EN_0900_008" xr:uid="{00000000-0004-0000-3600-000000000000}"/>
  </hyperlinks>
  <pageMargins left="0.7" right="0.7" top="0.75" bottom="0.75" header="0.3" footer="0.3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6" tint="0.39997558519241921"/>
  </sheetPr>
  <dimension ref="A1:O25"/>
  <sheetViews>
    <sheetView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25">
      <c r="A2" s="257" t="s">
        <v>0</v>
      </c>
      <c r="B2" s="258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EN_0900_009_m+EN_0900_009_p</f>
        <v>2.2130151625000001</v>
      </c>
      <c r="O2" s="166"/>
    </row>
    <row r="3" spans="1:15" x14ac:dyDescent="0.25">
      <c r="A3" s="262" t="s">
        <v>3</v>
      </c>
      <c r="B3" s="258" t="s">
        <v>279</v>
      </c>
      <c r="C3" s="41"/>
      <c r="D3" s="261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6"/>
    </row>
    <row r="4" spans="1:15" x14ac:dyDescent="0.25">
      <c r="A4" s="241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6"/>
    </row>
    <row r="5" spans="1:15" x14ac:dyDescent="0.25">
      <c r="A5" s="241" t="s">
        <v>15</v>
      </c>
      <c r="B5" s="41" t="s">
        <v>268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2.2130151625000001</v>
      </c>
      <c r="O5" s="166"/>
    </row>
    <row r="6" spans="1:15" x14ac:dyDescent="0.25">
      <c r="A6" s="241" t="s">
        <v>7</v>
      </c>
      <c r="B6" s="260" t="s">
        <v>544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6"/>
    </row>
    <row r="7" spans="1:15" x14ac:dyDescent="0.25">
      <c r="A7" s="259" t="s">
        <v>10</v>
      </c>
      <c r="B7" s="258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25">
      <c r="A8" s="257" t="s">
        <v>13</v>
      </c>
      <c r="B8" s="17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25">
      <c r="A9" s="25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25">
      <c r="A10" s="255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2" t="s">
        <v>23</v>
      </c>
      <c r="G10" s="212" t="s">
        <v>24</v>
      </c>
      <c r="H10" s="212" t="s">
        <v>25</v>
      </c>
      <c r="I10" s="212" t="s">
        <v>26</v>
      </c>
      <c r="J10" s="212" t="s">
        <v>27</v>
      </c>
      <c r="K10" s="212" t="s">
        <v>28</v>
      </c>
      <c r="L10" s="212" t="s">
        <v>29</v>
      </c>
      <c r="M10" s="212" t="s">
        <v>17</v>
      </c>
      <c r="N10" s="212" t="s">
        <v>18</v>
      </c>
      <c r="O10" s="166"/>
    </row>
    <row r="11" spans="1:15" x14ac:dyDescent="0.25">
      <c r="A11" s="235">
        <v>10</v>
      </c>
      <c r="B11" s="194" t="s">
        <v>163</v>
      </c>
      <c r="C11" s="209" t="s">
        <v>320</v>
      </c>
      <c r="D11" s="216">
        <v>2.25</v>
      </c>
      <c r="E11" s="225">
        <f>J11*K11*L11</f>
        <v>6.7517850000000004E-2</v>
      </c>
      <c r="F11" s="215" t="s">
        <v>78</v>
      </c>
      <c r="G11" s="215"/>
      <c r="H11" s="223"/>
      <c r="I11" s="224" t="s">
        <v>323</v>
      </c>
      <c r="J11" s="224">
        <f>61*47/1000000</f>
        <v>2.8670000000000002E-3</v>
      </c>
      <c r="K11" s="220">
        <f>3/1000</f>
        <v>3.0000000000000001E-3</v>
      </c>
      <c r="L11" s="219">
        <v>7850</v>
      </c>
      <c r="M11" s="219">
        <v>1</v>
      </c>
      <c r="N11" s="216">
        <f>M11*L11*J11*K11*D11</f>
        <v>0.15191516250000001</v>
      </c>
      <c r="O11" s="195"/>
    </row>
    <row r="12" spans="1:15" x14ac:dyDescent="0.25">
      <c r="A12" s="252"/>
      <c r="B12" s="251"/>
      <c r="C12" s="249"/>
      <c r="D12" s="250"/>
      <c r="E12" s="249"/>
      <c r="F12" s="249"/>
      <c r="G12" s="249"/>
      <c r="H12" s="248"/>
      <c r="I12" s="247"/>
      <c r="J12" s="246"/>
      <c r="K12" s="245"/>
      <c r="L12" s="244"/>
      <c r="M12" s="243"/>
      <c r="N12" s="242"/>
      <c r="O12" s="195"/>
    </row>
    <row r="13" spans="1:15" x14ac:dyDescent="0.25">
      <c r="A13" s="169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8" t="s">
        <v>18</v>
      </c>
      <c r="N13" s="103">
        <f>SUM(N11:N11)</f>
        <v>0.15191516250000001</v>
      </c>
      <c r="O13" s="166"/>
    </row>
    <row r="14" spans="1:15" x14ac:dyDescent="0.25">
      <c r="A14" s="173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6"/>
    </row>
    <row r="15" spans="1:15" x14ac:dyDescent="0.25">
      <c r="A15" s="241" t="s">
        <v>14</v>
      </c>
      <c r="B15" s="212" t="s">
        <v>31</v>
      </c>
      <c r="C15" s="212" t="s">
        <v>20</v>
      </c>
      <c r="D15" s="212" t="s">
        <v>21</v>
      </c>
      <c r="E15" s="212" t="s">
        <v>32</v>
      </c>
      <c r="F15" s="212" t="s">
        <v>17</v>
      </c>
      <c r="G15" s="212" t="s">
        <v>33</v>
      </c>
      <c r="H15" s="212" t="s">
        <v>34</v>
      </c>
      <c r="I15" s="212" t="s">
        <v>18</v>
      </c>
      <c r="J15" s="15"/>
      <c r="K15" s="15"/>
      <c r="L15" s="15"/>
      <c r="M15" s="15"/>
      <c r="N15" s="15"/>
      <c r="O15" s="166"/>
    </row>
    <row r="16" spans="1:15" x14ac:dyDescent="0.25">
      <c r="A16" s="254">
        <v>10</v>
      </c>
      <c r="B16" s="276" t="s">
        <v>45</v>
      </c>
      <c r="C16" s="239" t="s">
        <v>304</v>
      </c>
      <c r="D16" s="275">
        <v>1.3</v>
      </c>
      <c r="E16" s="236" t="s">
        <v>32</v>
      </c>
      <c r="F16" s="236">
        <v>1</v>
      </c>
      <c r="G16" s="270"/>
      <c r="H16" s="239"/>
      <c r="I16" s="216">
        <f>IF(H16="",D16*F16,D16*F16*H16)</f>
        <v>1.3</v>
      </c>
      <c r="J16" s="43"/>
      <c r="K16" s="43"/>
      <c r="L16" s="43"/>
      <c r="M16" s="43"/>
      <c r="N16" s="43"/>
      <c r="O16" s="187"/>
    </row>
    <row r="17" spans="1:15" ht="30" x14ac:dyDescent="0.25">
      <c r="A17" s="272">
        <v>20</v>
      </c>
      <c r="B17" s="239" t="s">
        <v>83</v>
      </c>
      <c r="C17" s="264" t="s">
        <v>317</v>
      </c>
      <c r="D17" s="275">
        <v>0.01</v>
      </c>
      <c r="E17" s="236" t="s">
        <v>46</v>
      </c>
      <c r="F17" s="236">
        <v>25.37</v>
      </c>
      <c r="G17" s="236" t="s">
        <v>316</v>
      </c>
      <c r="H17" s="236">
        <v>3</v>
      </c>
      <c r="I17" s="216">
        <f>IF(H17="",D17*F17,D17*F17*H17)</f>
        <v>0.76110000000000011</v>
      </c>
      <c r="J17" s="43"/>
      <c r="K17" s="43"/>
      <c r="L17" s="43"/>
      <c r="M17" s="43"/>
      <c r="N17" s="43"/>
      <c r="O17" s="187"/>
    </row>
    <row r="18" spans="1:15" x14ac:dyDescent="0.25">
      <c r="A18" s="169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2.0611000000000002</v>
      </c>
      <c r="J18" s="15"/>
      <c r="K18" s="15"/>
      <c r="L18" s="15"/>
      <c r="M18" s="15"/>
      <c r="N18" s="15"/>
      <c r="O18" s="166"/>
    </row>
    <row r="19" spans="1:15" x14ac:dyDescent="0.25">
      <c r="A19" s="17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6"/>
    </row>
    <row r="20" spans="1:15" x14ac:dyDescent="0.25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25">
      <c r="A21" s="173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6"/>
    </row>
    <row r="22" spans="1:15" x14ac:dyDescent="0.25">
      <c r="A22" s="17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6"/>
    </row>
    <row r="23" spans="1:15" x14ac:dyDescent="0.25">
      <c r="A23" s="173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6"/>
    </row>
    <row r="24" spans="1:15" x14ac:dyDescent="0.25">
      <c r="A24" s="17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6"/>
    </row>
    <row r="25" spans="1:15" ht="15.75" thickBot="1" x14ac:dyDescent="0.3">
      <c r="A25" s="165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3"/>
    </row>
  </sheetData>
  <hyperlinks>
    <hyperlink ref="D3" location="'EN_0900_009 Drawing'!A1" display="FileLink1" xr:uid="{00000000-0004-0000-3700-000000000000}"/>
    <hyperlink ref="B4" location="EN_A0900!A1" display="Differential" xr:uid="{00000000-0004-0000-3700-000001000000}"/>
    <hyperlink ref="G2" location="EN_A0900_BOM" display="Back to BOM" xr:uid="{00000000-0004-0000-3700-000002000000}"/>
  </hyperlinks>
  <pageMargins left="0.7" right="0.7" top="0.75" bottom="0.75" header="0.3" footer="0.3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">
        <v>544</v>
      </c>
    </row>
  </sheetData>
  <hyperlinks>
    <hyperlink ref="A1" location="EN_0900_009" display="EN_0900_009" xr:uid="{00000000-0004-0000-3800-000000000000}"/>
  </hyperlinks>
  <pageMargins left="0.7" right="0.7" top="0.75" bottom="0.75" header="0.3" footer="0.3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6" tint="-0.249977111117893"/>
  </sheetPr>
  <dimension ref="A1:O44"/>
  <sheetViews>
    <sheetView zoomScaleNormal="100" workbookViewId="0"/>
  </sheetViews>
  <sheetFormatPr baseColWidth="10" defaultRowHeight="15" x14ac:dyDescent="0.25"/>
  <cols>
    <col min="2" max="2" width="28.42578125" bestFit="1" customWidth="1"/>
    <col min="3" max="3" width="43.85546875" bestFit="1" customWidth="1"/>
  </cols>
  <sheetData>
    <row r="1" spans="1:15" x14ac:dyDescent="0.2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4"/>
    </row>
    <row r="2" spans="1:15" x14ac:dyDescent="0.25">
      <c r="A2" s="172" t="s">
        <v>0</v>
      </c>
      <c r="B2" s="176" t="s">
        <v>44</v>
      </c>
      <c r="C2" s="41"/>
      <c r="D2" s="41"/>
      <c r="E2" s="68" t="s">
        <v>69</v>
      </c>
      <c r="F2" s="41"/>
      <c r="G2" s="41"/>
      <c r="H2" s="41"/>
      <c r="I2" s="41"/>
      <c r="J2" s="171" t="s">
        <v>1</v>
      </c>
      <c r="K2" s="65">
        <v>81</v>
      </c>
      <c r="L2" s="41"/>
      <c r="M2" s="171" t="s">
        <v>2</v>
      </c>
      <c r="N2" s="73">
        <f>EN_A1000_pa+EN_A1000_m+EN_A1000_p+EN_A1000_f</f>
        <v>534.45240754550855</v>
      </c>
      <c r="O2" s="166"/>
    </row>
    <row r="3" spans="1:15" x14ac:dyDescent="0.25">
      <c r="A3" s="172" t="s">
        <v>3</v>
      </c>
      <c r="B3" s="176" t="s">
        <v>279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171" t="s">
        <v>4</v>
      </c>
      <c r="N3" s="64">
        <v>1</v>
      </c>
      <c r="O3" s="166"/>
    </row>
    <row r="4" spans="1:15" x14ac:dyDescent="0.25">
      <c r="A4" s="172" t="s">
        <v>5</v>
      </c>
      <c r="B4" s="176" t="s">
        <v>350</v>
      </c>
      <c r="C4" s="41"/>
      <c r="D4" s="41"/>
      <c r="E4" s="41"/>
      <c r="F4" s="41"/>
      <c r="G4" s="41"/>
      <c r="H4" s="41"/>
      <c r="I4" s="41"/>
      <c r="J4" s="202" t="s">
        <v>6</v>
      </c>
      <c r="K4" s="41"/>
      <c r="L4" s="41"/>
      <c r="M4" s="41"/>
      <c r="N4" s="41"/>
      <c r="O4" s="166"/>
    </row>
    <row r="5" spans="1:15" x14ac:dyDescent="0.25">
      <c r="A5" s="172" t="s">
        <v>7</v>
      </c>
      <c r="B5" s="203" t="s">
        <v>545</v>
      </c>
      <c r="C5" s="41"/>
      <c r="D5" s="41"/>
      <c r="E5" s="41"/>
      <c r="F5" s="41"/>
      <c r="G5" s="41"/>
      <c r="H5" s="41"/>
      <c r="I5" s="41"/>
      <c r="J5" s="202" t="s">
        <v>8</v>
      </c>
      <c r="K5" s="41"/>
      <c r="L5" s="41"/>
      <c r="M5" s="171" t="s">
        <v>9</v>
      </c>
      <c r="N5" s="58">
        <f>N2*N3</f>
        <v>534.45240754550855</v>
      </c>
      <c r="O5" s="166"/>
    </row>
    <row r="6" spans="1:15" x14ac:dyDescent="0.25">
      <c r="A6" s="172" t="s">
        <v>10</v>
      </c>
      <c r="B6" s="176" t="s">
        <v>11</v>
      </c>
      <c r="C6" s="41"/>
      <c r="D6" s="41"/>
      <c r="E6" s="41"/>
      <c r="F6" s="41"/>
      <c r="G6" s="41"/>
      <c r="H6" s="41"/>
      <c r="I6" s="41"/>
      <c r="J6" s="202" t="s">
        <v>12</v>
      </c>
      <c r="K6" s="41"/>
      <c r="L6" s="41"/>
      <c r="M6" s="41"/>
      <c r="N6" s="41"/>
      <c r="O6" s="166"/>
    </row>
    <row r="7" spans="1:15" x14ac:dyDescent="0.25">
      <c r="A7" s="172" t="s">
        <v>13</v>
      </c>
      <c r="B7" s="176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6"/>
    </row>
    <row r="8" spans="1:15" x14ac:dyDescent="0.25">
      <c r="A8" s="173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6"/>
    </row>
    <row r="9" spans="1:15" x14ac:dyDescent="0.25">
      <c r="A9" s="288" t="s">
        <v>14</v>
      </c>
      <c r="B9" s="287" t="s">
        <v>15</v>
      </c>
      <c r="C9" s="286" t="s">
        <v>16</v>
      </c>
      <c r="D9" s="171" t="s">
        <v>17</v>
      </c>
      <c r="E9" s="171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166"/>
    </row>
    <row r="10" spans="1:15" x14ac:dyDescent="0.25">
      <c r="A10" s="284">
        <v>10</v>
      </c>
      <c r="B10" s="283" t="s">
        <v>349</v>
      </c>
      <c r="C10" s="282">
        <f>EN_10001!N$2</f>
        <v>66.549787154500507</v>
      </c>
      <c r="D10" s="180">
        <f>EN_1000_001_q</f>
        <v>2</v>
      </c>
      <c r="E10" s="281">
        <f>C10*D10</f>
        <v>133.09957430900101</v>
      </c>
      <c r="F10" s="176"/>
      <c r="G10" s="176"/>
      <c r="H10" s="176"/>
      <c r="I10" s="176"/>
      <c r="J10" s="176"/>
      <c r="K10" s="176"/>
      <c r="L10" s="176"/>
      <c r="M10" s="176"/>
      <c r="N10" s="176"/>
      <c r="O10" s="166"/>
    </row>
    <row r="11" spans="1:15" x14ac:dyDescent="0.25">
      <c r="A11" s="284">
        <v>20</v>
      </c>
      <c r="B11" s="283" t="s">
        <v>348</v>
      </c>
      <c r="C11" s="282">
        <f>EN_10002!N$2</f>
        <v>72.275200595774251</v>
      </c>
      <c r="D11" s="180">
        <f>EN_1000_002_q</f>
        <v>2</v>
      </c>
      <c r="E11" s="281">
        <f>C11*D11</f>
        <v>144.5504011915485</v>
      </c>
      <c r="F11" s="176"/>
      <c r="G11" s="176"/>
      <c r="H11" s="176"/>
      <c r="I11" s="176"/>
      <c r="J11" s="176"/>
      <c r="K11" s="176"/>
      <c r="L11" s="176"/>
      <c r="M11" s="176"/>
      <c r="N11" s="176"/>
      <c r="O11" s="166"/>
    </row>
    <row r="12" spans="1:15" x14ac:dyDescent="0.25">
      <c r="A12" s="284">
        <v>30</v>
      </c>
      <c r="B12" s="621" t="s">
        <v>347</v>
      </c>
      <c r="C12" s="282">
        <f>EN_10003!N$2</f>
        <v>16.43313830045987</v>
      </c>
      <c r="D12" s="180">
        <f>EN_1000_003_q</f>
        <v>1</v>
      </c>
      <c r="E12" s="281">
        <f>C12*D12</f>
        <v>16.43313830045987</v>
      </c>
      <c r="F12" s="176"/>
      <c r="G12" s="176"/>
      <c r="H12" s="176"/>
      <c r="I12" s="176"/>
      <c r="J12" s="176"/>
      <c r="K12" s="176"/>
      <c r="L12" s="176"/>
      <c r="M12" s="176"/>
      <c r="N12" s="176"/>
      <c r="O12" s="195"/>
    </row>
    <row r="13" spans="1:15" x14ac:dyDescent="0.25">
      <c r="A13" s="284">
        <v>40</v>
      </c>
      <c r="B13" s="283" t="s">
        <v>346</v>
      </c>
      <c r="C13" s="282">
        <f>EN_10004!N$2</f>
        <v>17.337133082722115</v>
      </c>
      <c r="D13" s="180">
        <f>EN_1000_004_q</f>
        <v>1</v>
      </c>
      <c r="E13" s="281">
        <f>C13*D13</f>
        <v>17.337133082722115</v>
      </c>
      <c r="F13" s="176"/>
      <c r="G13" s="176"/>
      <c r="H13" s="176"/>
      <c r="I13" s="176"/>
      <c r="J13" s="176"/>
      <c r="K13" s="176"/>
      <c r="L13" s="176"/>
      <c r="M13" s="176"/>
      <c r="N13" s="176"/>
      <c r="O13" s="166"/>
    </row>
    <row r="14" spans="1:15" x14ac:dyDescent="0.25">
      <c r="A14" s="173"/>
      <c r="B14" s="41"/>
      <c r="C14" s="41"/>
      <c r="D14" s="168" t="s">
        <v>18</v>
      </c>
      <c r="E14" s="167">
        <f>SUM(E10:E13)</f>
        <v>311.42024688373152</v>
      </c>
      <c r="F14" s="42"/>
      <c r="G14" s="42"/>
      <c r="H14" s="42"/>
      <c r="I14" s="42"/>
      <c r="J14" s="42"/>
      <c r="K14" s="42"/>
      <c r="L14" s="42"/>
      <c r="M14" s="42"/>
      <c r="N14" s="42"/>
      <c r="O14" s="166"/>
    </row>
    <row r="15" spans="1:15" x14ac:dyDescent="0.25">
      <c r="A15" s="173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195"/>
    </row>
    <row r="16" spans="1:15" x14ac:dyDescent="0.25">
      <c r="A16" s="172" t="s">
        <v>14</v>
      </c>
      <c r="B16" s="171" t="s">
        <v>19</v>
      </c>
      <c r="C16" s="171" t="s">
        <v>20</v>
      </c>
      <c r="D16" s="171" t="s">
        <v>21</v>
      </c>
      <c r="E16" s="171" t="s">
        <v>22</v>
      </c>
      <c r="F16" s="171" t="s">
        <v>23</v>
      </c>
      <c r="G16" s="171" t="s">
        <v>24</v>
      </c>
      <c r="H16" s="171" t="s">
        <v>25</v>
      </c>
      <c r="I16" s="171" t="s">
        <v>26</v>
      </c>
      <c r="J16" s="171" t="s">
        <v>27</v>
      </c>
      <c r="K16" s="171" t="s">
        <v>28</v>
      </c>
      <c r="L16" s="171" t="s">
        <v>29</v>
      </c>
      <c r="M16" s="171" t="s">
        <v>17</v>
      </c>
      <c r="N16" s="171" t="s">
        <v>18</v>
      </c>
      <c r="O16" s="195"/>
    </row>
    <row r="17" spans="1:15" x14ac:dyDescent="0.25">
      <c r="A17" s="184">
        <v>10</v>
      </c>
      <c r="B17" s="181" t="s">
        <v>345</v>
      </c>
      <c r="C17" s="181" t="s">
        <v>344</v>
      </c>
      <c r="D17" s="275">
        <v>45</v>
      </c>
      <c r="E17" s="181"/>
      <c r="F17" s="181" t="s">
        <v>35</v>
      </c>
      <c r="G17" s="181"/>
      <c r="H17" s="191"/>
      <c r="I17" s="196"/>
      <c r="J17" s="192"/>
      <c r="K17" s="191"/>
      <c r="L17" s="191"/>
      <c r="M17" s="192">
        <v>4</v>
      </c>
      <c r="N17" s="280">
        <f>IF(J17="",D17*M17,D17*J17*K17*L17*M17)</f>
        <v>180</v>
      </c>
      <c r="O17" s="185"/>
    </row>
    <row r="18" spans="1:15" x14ac:dyDescent="0.25">
      <c r="A18" s="184">
        <v>20</v>
      </c>
      <c r="B18" s="181" t="s">
        <v>343</v>
      </c>
      <c r="C18" s="181" t="s">
        <v>342</v>
      </c>
      <c r="D18" s="275">
        <v>5</v>
      </c>
      <c r="E18" s="181"/>
      <c r="F18" s="181" t="s">
        <v>35</v>
      </c>
      <c r="G18" s="181"/>
      <c r="H18" s="191"/>
      <c r="I18" s="196"/>
      <c r="J18" s="192"/>
      <c r="K18" s="191"/>
      <c r="L18" s="191"/>
      <c r="M18" s="192">
        <v>4</v>
      </c>
      <c r="N18" s="280">
        <f>IF(J18="",D18*M18,D18*J18*K18*L18*M18)</f>
        <v>20</v>
      </c>
      <c r="O18" s="166"/>
    </row>
    <row r="19" spans="1:15" x14ac:dyDescent="0.25">
      <c r="A19" s="169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71" t="s">
        <v>18</v>
      </c>
      <c r="N19" s="174">
        <f>SUM(N17:N18)</f>
        <v>200</v>
      </c>
      <c r="O19" s="166"/>
    </row>
    <row r="20" spans="1:15" x14ac:dyDescent="0.25">
      <c r="A20" s="17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6"/>
    </row>
    <row r="21" spans="1:15" x14ac:dyDescent="0.25">
      <c r="A21" s="172" t="s">
        <v>14</v>
      </c>
      <c r="B21" s="171" t="s">
        <v>31</v>
      </c>
      <c r="C21" s="171" t="s">
        <v>20</v>
      </c>
      <c r="D21" s="171" t="s">
        <v>21</v>
      </c>
      <c r="E21" s="171" t="s">
        <v>32</v>
      </c>
      <c r="F21" s="171" t="s">
        <v>17</v>
      </c>
      <c r="G21" s="171" t="s">
        <v>33</v>
      </c>
      <c r="H21" s="171" t="s">
        <v>34</v>
      </c>
      <c r="I21" s="171" t="s">
        <v>18</v>
      </c>
      <c r="J21" s="15"/>
      <c r="K21" s="15"/>
      <c r="L21" s="15"/>
      <c r="M21" s="15"/>
      <c r="N21" s="15"/>
      <c r="O21" s="166"/>
    </row>
    <row r="22" spans="1:15" x14ac:dyDescent="0.25">
      <c r="A22" s="184">
        <v>10</v>
      </c>
      <c r="B22" s="180" t="s">
        <v>256</v>
      </c>
      <c r="C22" s="180" t="s">
        <v>341</v>
      </c>
      <c r="D22" s="275">
        <v>0.56000000000000005</v>
      </c>
      <c r="E22" s="181" t="s">
        <v>35</v>
      </c>
      <c r="F22" s="181">
        <v>2</v>
      </c>
      <c r="G22" s="181"/>
      <c r="H22" s="181">
        <v>1</v>
      </c>
      <c r="I22" s="275">
        <f t="shared" ref="I22:I33" si="0">D22*F22*H22</f>
        <v>1.1200000000000001</v>
      </c>
      <c r="J22" s="176"/>
      <c r="K22" s="176"/>
      <c r="L22" s="176"/>
      <c r="M22" s="42"/>
      <c r="N22" s="42"/>
      <c r="O22" s="166"/>
    </row>
    <row r="23" spans="1:15" x14ac:dyDescent="0.25">
      <c r="A23" s="184">
        <v>20</v>
      </c>
      <c r="B23" s="180" t="s">
        <v>98</v>
      </c>
      <c r="C23" s="180" t="s">
        <v>340</v>
      </c>
      <c r="D23" s="275">
        <v>1.5</v>
      </c>
      <c r="E23" s="181" t="s">
        <v>35</v>
      </c>
      <c r="F23" s="181">
        <v>2</v>
      </c>
      <c r="G23" s="181"/>
      <c r="H23" s="181">
        <v>1</v>
      </c>
      <c r="I23" s="275">
        <f t="shared" si="0"/>
        <v>3</v>
      </c>
      <c r="J23" s="176"/>
      <c r="K23" s="176"/>
      <c r="L23" s="176"/>
      <c r="M23" s="42"/>
      <c r="N23" s="42"/>
      <c r="O23" s="166"/>
    </row>
    <row r="24" spans="1:15" x14ac:dyDescent="0.25">
      <c r="A24" s="184">
        <v>30</v>
      </c>
      <c r="B24" s="180" t="s">
        <v>252</v>
      </c>
      <c r="C24" s="180" t="s">
        <v>339</v>
      </c>
      <c r="D24" s="275">
        <v>0.19</v>
      </c>
      <c r="E24" s="181" t="s">
        <v>35</v>
      </c>
      <c r="F24" s="181">
        <v>4</v>
      </c>
      <c r="G24" s="181"/>
      <c r="H24" s="181">
        <v>1</v>
      </c>
      <c r="I24" s="275">
        <f t="shared" si="0"/>
        <v>0.76</v>
      </c>
      <c r="J24" s="176"/>
      <c r="K24" s="176"/>
      <c r="L24" s="176"/>
      <c r="M24" s="41"/>
      <c r="N24" s="41"/>
      <c r="O24" s="166"/>
    </row>
    <row r="25" spans="1:15" x14ac:dyDescent="0.25">
      <c r="A25" s="184">
        <v>40</v>
      </c>
      <c r="B25" s="180" t="s">
        <v>252</v>
      </c>
      <c r="C25" s="180" t="s">
        <v>337</v>
      </c>
      <c r="D25" s="275">
        <v>0.19</v>
      </c>
      <c r="E25" s="181" t="s">
        <v>35</v>
      </c>
      <c r="F25" s="181">
        <v>4</v>
      </c>
      <c r="G25" s="181"/>
      <c r="H25" s="181">
        <v>1</v>
      </c>
      <c r="I25" s="275">
        <f t="shared" si="0"/>
        <v>0.76</v>
      </c>
      <c r="J25" s="176"/>
      <c r="K25" s="176"/>
      <c r="L25" s="176"/>
      <c r="M25" s="41"/>
      <c r="N25" s="41"/>
      <c r="O25" s="166"/>
    </row>
    <row r="26" spans="1:15" x14ac:dyDescent="0.25">
      <c r="A26" s="184">
        <v>50</v>
      </c>
      <c r="B26" s="180" t="s">
        <v>88</v>
      </c>
      <c r="C26" s="180" t="s">
        <v>338</v>
      </c>
      <c r="D26" s="275">
        <v>0.13</v>
      </c>
      <c r="E26" s="181" t="s">
        <v>35</v>
      </c>
      <c r="F26" s="181">
        <v>4</v>
      </c>
      <c r="G26" s="181"/>
      <c r="H26" s="181">
        <v>1</v>
      </c>
      <c r="I26" s="275">
        <f t="shared" si="0"/>
        <v>0.52</v>
      </c>
      <c r="J26" s="176"/>
      <c r="K26" s="176"/>
      <c r="L26" s="176"/>
      <c r="M26" s="41"/>
      <c r="N26" s="41"/>
      <c r="O26" s="185"/>
    </row>
    <row r="27" spans="1:15" x14ac:dyDescent="0.25">
      <c r="A27" s="184">
        <v>60</v>
      </c>
      <c r="B27" s="180" t="s">
        <v>252</v>
      </c>
      <c r="C27" s="180" t="s">
        <v>337</v>
      </c>
      <c r="D27" s="275">
        <v>0.19</v>
      </c>
      <c r="E27" s="181" t="s">
        <v>35</v>
      </c>
      <c r="F27" s="181">
        <v>4</v>
      </c>
      <c r="G27" s="181"/>
      <c r="H27" s="181">
        <v>1</v>
      </c>
      <c r="I27" s="275">
        <f t="shared" si="0"/>
        <v>0.76</v>
      </c>
      <c r="J27" s="176"/>
      <c r="K27" s="176"/>
      <c r="L27" s="176"/>
      <c r="M27" s="41"/>
      <c r="N27" s="41"/>
      <c r="O27" s="166"/>
    </row>
    <row r="28" spans="1:15" x14ac:dyDescent="0.25">
      <c r="A28" s="184">
        <v>70</v>
      </c>
      <c r="B28" s="180" t="s">
        <v>336</v>
      </c>
      <c r="C28" s="180" t="s">
        <v>335</v>
      </c>
      <c r="D28" s="275">
        <v>0.19</v>
      </c>
      <c r="E28" s="181" t="s">
        <v>35</v>
      </c>
      <c r="F28" s="181">
        <v>4</v>
      </c>
      <c r="G28" s="181"/>
      <c r="H28" s="181">
        <v>1</v>
      </c>
      <c r="I28" s="275">
        <f t="shared" si="0"/>
        <v>0.76</v>
      </c>
      <c r="J28" s="176"/>
      <c r="K28" s="176"/>
      <c r="L28" s="176"/>
      <c r="M28" s="41"/>
      <c r="N28" s="41"/>
      <c r="O28" s="166"/>
    </row>
    <row r="29" spans="1:15" x14ac:dyDescent="0.25">
      <c r="A29" s="184">
        <v>80</v>
      </c>
      <c r="B29" s="180" t="s">
        <v>252</v>
      </c>
      <c r="C29" s="180" t="s">
        <v>334</v>
      </c>
      <c r="D29" s="275">
        <v>0.19</v>
      </c>
      <c r="E29" s="181" t="s">
        <v>35</v>
      </c>
      <c r="F29" s="181">
        <v>4</v>
      </c>
      <c r="G29" s="181"/>
      <c r="H29" s="181">
        <v>1</v>
      </c>
      <c r="I29" s="275">
        <f t="shared" si="0"/>
        <v>0.76</v>
      </c>
      <c r="J29" s="176"/>
      <c r="K29" s="176"/>
      <c r="L29" s="176"/>
      <c r="M29" s="41"/>
      <c r="N29" s="41"/>
      <c r="O29" s="166"/>
    </row>
    <row r="30" spans="1:15" x14ac:dyDescent="0.25">
      <c r="A30" s="184">
        <v>90</v>
      </c>
      <c r="B30" s="180" t="s">
        <v>256</v>
      </c>
      <c r="C30" s="180" t="s">
        <v>333</v>
      </c>
      <c r="D30" s="275">
        <v>0.56000000000000005</v>
      </c>
      <c r="E30" s="181" t="s">
        <v>35</v>
      </c>
      <c r="F30" s="181">
        <v>2</v>
      </c>
      <c r="G30" s="181"/>
      <c r="H30" s="181">
        <v>1</v>
      </c>
      <c r="I30" s="275">
        <f t="shared" si="0"/>
        <v>1.1200000000000001</v>
      </c>
      <c r="J30" s="176"/>
      <c r="K30" s="177"/>
      <c r="L30" s="177"/>
      <c r="M30" s="43"/>
      <c r="N30" s="43"/>
      <c r="O30" s="166"/>
    </row>
    <row r="31" spans="1:15" x14ac:dyDescent="0.25">
      <c r="A31" s="184">
        <v>100</v>
      </c>
      <c r="B31" s="180" t="s">
        <v>256</v>
      </c>
      <c r="C31" s="180" t="s">
        <v>332</v>
      </c>
      <c r="D31" s="275">
        <v>0.56000000000000005</v>
      </c>
      <c r="E31" s="181" t="s">
        <v>35</v>
      </c>
      <c r="F31" s="181">
        <v>4</v>
      </c>
      <c r="G31" s="181"/>
      <c r="H31" s="181">
        <v>1</v>
      </c>
      <c r="I31" s="275">
        <f t="shared" si="0"/>
        <v>2.2400000000000002</v>
      </c>
      <c r="J31" s="176"/>
      <c r="K31" s="176"/>
      <c r="L31" s="177"/>
      <c r="M31" s="42"/>
      <c r="N31" s="42"/>
      <c r="O31" s="166"/>
    </row>
    <row r="32" spans="1:15" x14ac:dyDescent="0.25">
      <c r="A32" s="184">
        <v>110</v>
      </c>
      <c r="B32" s="180" t="s">
        <v>256</v>
      </c>
      <c r="C32" s="180" t="s">
        <v>331</v>
      </c>
      <c r="D32" s="275">
        <v>0.56000000000000005</v>
      </c>
      <c r="E32" s="181" t="s">
        <v>35</v>
      </c>
      <c r="F32" s="181">
        <v>4</v>
      </c>
      <c r="G32" s="181"/>
      <c r="H32" s="181">
        <v>1</v>
      </c>
      <c r="I32" s="275">
        <f t="shared" si="0"/>
        <v>2.2400000000000002</v>
      </c>
      <c r="J32" s="176"/>
      <c r="K32" s="176"/>
      <c r="L32" s="176"/>
      <c r="M32" s="43"/>
      <c r="N32" s="43"/>
      <c r="O32" s="166"/>
    </row>
    <row r="33" spans="1:15" x14ac:dyDescent="0.25">
      <c r="A33" s="184">
        <v>120</v>
      </c>
      <c r="B33" s="180" t="s">
        <v>330</v>
      </c>
      <c r="C33" s="180" t="s">
        <v>329</v>
      </c>
      <c r="D33" s="275">
        <v>0.75</v>
      </c>
      <c r="E33" s="181" t="s">
        <v>35</v>
      </c>
      <c r="F33" s="181">
        <v>2</v>
      </c>
      <c r="G33" s="181"/>
      <c r="H33" s="181">
        <v>1</v>
      </c>
      <c r="I33" s="275">
        <f t="shared" si="0"/>
        <v>1.5</v>
      </c>
      <c r="J33" s="176"/>
      <c r="K33" s="176"/>
      <c r="L33" s="176"/>
      <c r="M33" s="41"/>
      <c r="N33" s="41"/>
      <c r="O33" s="166"/>
    </row>
    <row r="34" spans="1:15" x14ac:dyDescent="0.25">
      <c r="A34" s="169"/>
      <c r="B34" s="15"/>
      <c r="C34" s="15"/>
      <c r="D34" s="15"/>
      <c r="E34" s="15"/>
      <c r="F34" s="15"/>
      <c r="G34" s="15"/>
      <c r="H34" s="175" t="s">
        <v>18</v>
      </c>
      <c r="I34" s="174">
        <f>SUM(I22:I33)</f>
        <v>15.54</v>
      </c>
      <c r="J34" s="41"/>
      <c r="K34" s="41"/>
      <c r="L34" s="41"/>
      <c r="M34" s="41"/>
      <c r="N34" s="41"/>
      <c r="O34" s="166"/>
    </row>
    <row r="35" spans="1:15" x14ac:dyDescent="0.25">
      <c r="A35" s="173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166"/>
    </row>
    <row r="36" spans="1:15" x14ac:dyDescent="0.25">
      <c r="A36" s="172" t="s">
        <v>14</v>
      </c>
      <c r="B36" s="171" t="s">
        <v>36</v>
      </c>
      <c r="C36" s="171" t="s">
        <v>20</v>
      </c>
      <c r="D36" s="171" t="s">
        <v>21</v>
      </c>
      <c r="E36" s="171" t="s">
        <v>22</v>
      </c>
      <c r="F36" s="171" t="s">
        <v>23</v>
      </c>
      <c r="G36" s="171" t="s">
        <v>24</v>
      </c>
      <c r="H36" s="171" t="s">
        <v>25</v>
      </c>
      <c r="I36" s="171" t="s">
        <v>17</v>
      </c>
      <c r="J36" s="171" t="s">
        <v>18</v>
      </c>
      <c r="K36" s="41"/>
      <c r="L36" s="41"/>
      <c r="M36" s="41"/>
      <c r="N36" s="41"/>
      <c r="O36" s="166"/>
    </row>
    <row r="37" spans="1:15" x14ac:dyDescent="0.25">
      <c r="A37" s="184">
        <v>10</v>
      </c>
      <c r="B37" s="181" t="s">
        <v>328</v>
      </c>
      <c r="C37" s="181" t="s">
        <v>327</v>
      </c>
      <c r="D37" s="183">
        <f>0.0002*E37*E37+0.013</f>
        <v>9.2999999999999999E-2</v>
      </c>
      <c r="E37" s="181">
        <v>20</v>
      </c>
      <c r="F37" s="278" t="s">
        <v>30</v>
      </c>
      <c r="G37" s="181"/>
      <c r="H37" s="180"/>
      <c r="I37" s="277">
        <v>8</v>
      </c>
      <c r="J37" s="275">
        <f>D37*I37</f>
        <v>0.74399999999999999</v>
      </c>
      <c r="K37" s="41"/>
      <c r="L37" s="41"/>
      <c r="M37" s="41"/>
      <c r="N37" s="41"/>
      <c r="O37" s="166"/>
    </row>
    <row r="38" spans="1:15" x14ac:dyDescent="0.25">
      <c r="A38" s="184">
        <v>20</v>
      </c>
      <c r="B38" s="194" t="s">
        <v>95</v>
      </c>
      <c r="C38" s="181" t="s">
        <v>326</v>
      </c>
      <c r="D38" s="183">
        <f>0.004*E38+0.5</f>
        <v>0.7898639999999999</v>
      </c>
      <c r="E38" s="181">
        <f>36.233*2</f>
        <v>72.465999999999994</v>
      </c>
      <c r="F38" s="278" t="s">
        <v>30</v>
      </c>
      <c r="G38" s="181"/>
      <c r="H38" s="180"/>
      <c r="I38" s="277">
        <v>4</v>
      </c>
      <c r="J38" s="275">
        <f>D38*I38</f>
        <v>3.1594559999999996</v>
      </c>
      <c r="K38" s="41"/>
      <c r="L38" s="41"/>
      <c r="M38" s="41"/>
      <c r="N38" s="41"/>
      <c r="O38" s="166"/>
    </row>
    <row r="39" spans="1:15" x14ac:dyDescent="0.25">
      <c r="A39" s="184">
        <v>30</v>
      </c>
      <c r="B39" s="194" t="s">
        <v>95</v>
      </c>
      <c r="C39" s="181" t="s">
        <v>326</v>
      </c>
      <c r="D39" s="183">
        <f>0.004*E39+0.5</f>
        <v>0.61115200000000003</v>
      </c>
      <c r="E39" s="181">
        <f>13.894*2</f>
        <v>27.788</v>
      </c>
      <c r="F39" s="278" t="s">
        <v>30</v>
      </c>
      <c r="G39" s="181"/>
      <c r="H39" s="180"/>
      <c r="I39" s="277">
        <v>4</v>
      </c>
      <c r="J39" s="275">
        <f>D39*I39</f>
        <v>2.4446080000000001</v>
      </c>
      <c r="K39" s="41"/>
      <c r="L39" s="41"/>
      <c r="M39" s="41"/>
      <c r="N39" s="41"/>
      <c r="O39" s="166"/>
    </row>
    <row r="40" spans="1:15" x14ac:dyDescent="0.25">
      <c r="A40" s="184">
        <v>40</v>
      </c>
      <c r="B40" s="181" t="s">
        <v>239</v>
      </c>
      <c r="C40" s="181" t="s">
        <v>325</v>
      </c>
      <c r="D40" s="183">
        <f>0.8/105154*E40*E40*G40*SQRT(G40)+(0.003*EXP(0.319*E40))</f>
        <v>8.2048330888522564E-2</v>
      </c>
      <c r="E40" s="181">
        <v>8</v>
      </c>
      <c r="F40" s="278" t="s">
        <v>30</v>
      </c>
      <c r="G40" s="181">
        <v>20</v>
      </c>
      <c r="H40" s="180" t="s">
        <v>30</v>
      </c>
      <c r="I40" s="277">
        <v>2</v>
      </c>
      <c r="J40" s="275">
        <f>D40*I40</f>
        <v>0.16409666177704513</v>
      </c>
      <c r="K40" s="41"/>
      <c r="L40" s="41"/>
      <c r="M40" s="41"/>
      <c r="N40" s="41"/>
      <c r="O40" s="166"/>
    </row>
    <row r="41" spans="1:15" x14ac:dyDescent="0.25">
      <c r="A41" s="184">
        <v>50</v>
      </c>
      <c r="B41" s="279" t="s">
        <v>38</v>
      </c>
      <c r="C41" s="181" t="s">
        <v>324</v>
      </c>
      <c r="D41" s="183">
        <v>0.49</v>
      </c>
      <c r="E41" s="181">
        <v>20</v>
      </c>
      <c r="F41" s="278" t="s">
        <v>30</v>
      </c>
      <c r="G41" s="181"/>
      <c r="H41" s="180"/>
      <c r="I41" s="277">
        <v>2</v>
      </c>
      <c r="J41" s="275">
        <f>D41*I41</f>
        <v>0.98</v>
      </c>
      <c r="K41" s="41"/>
      <c r="L41" s="41"/>
      <c r="M41" s="41"/>
      <c r="N41" s="41"/>
      <c r="O41" s="166"/>
    </row>
    <row r="42" spans="1:15" x14ac:dyDescent="0.25">
      <c r="A42" s="169"/>
      <c r="B42" s="15"/>
      <c r="C42" s="15"/>
      <c r="D42" s="15"/>
      <c r="E42" s="15"/>
      <c r="F42" s="15"/>
      <c r="G42" s="15"/>
      <c r="H42" s="15"/>
      <c r="I42" s="175" t="s">
        <v>18</v>
      </c>
      <c r="J42" s="174">
        <f>SUM(J37:J41)</f>
        <v>7.492160661777044</v>
      </c>
      <c r="K42" s="41"/>
      <c r="L42" s="41"/>
      <c r="M42" s="41"/>
      <c r="N42" s="41"/>
      <c r="O42" s="166"/>
    </row>
    <row r="43" spans="1:15" x14ac:dyDescent="0.25">
      <c r="A43" s="173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166"/>
    </row>
    <row r="44" spans="1:15" ht="15.75" thickBot="1" x14ac:dyDescent="0.3">
      <c r="A44" s="165"/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3"/>
    </row>
  </sheetData>
  <hyperlinks>
    <hyperlink ref="B10" location="EN_1000_001" display="Inboard tripod housing" xr:uid="{00000000-0004-0000-3900-000000000000}"/>
    <hyperlink ref="B11" location="EN_1000_002" display="Outboard tripod housing" xr:uid="{00000000-0004-0000-3900-000001000000}"/>
    <hyperlink ref="B13" location="EN_1000_004" display="Right axle" xr:uid="{00000000-0004-0000-3900-000002000000}"/>
    <hyperlink ref="B12" location="EN_1000_003" display="Left axle" xr:uid="{00000000-0004-0000-3900-000003000000}"/>
    <hyperlink ref="E2" location="EN_A1000_BOM" display="Back to BOM" xr:uid="{00000000-0004-0000-3900-000004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p Z 9 T J a Q d b K o A A A A + A A A A B I A H A B D b 2 5 m a W c v U G F j a 2 F n Z S 5 4 b W w g o h g A K K A U A A A A A A A A A A A A A A A A A A A A A A A A A A A A h Y / R C o I w G I V f R X b v N p d C y O + 8 C L p K i I L o d s y l I 5 2 x z f T d u u i R e o W E s r r r 8 h y + A 9 9 5 3 O 6 Q j 2 0 T X J V 1 u j M Z i j B F g T K y K 7 W p M t T 7 U 7 h E O Y e t k G d R q W C C j U t H p z N U e 3 9 J C R m G A Q 8 L 3 N m K M E o j c i w 2 e 1 m r V o T a O C + M V O i z K v + v E I f D S 4 Y z n C Q 4 o R H F c c y A z D U U 2 n w R N h l j C u S n h F X f + N 4 q f r L h e g d k j k D e L / g T U E s D B B Q A A g A I A F q W f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l n 1 M K I p H u A 4 A A A A R A A A A E w A c A E Z v c m 1 1 b G F z L 1 N l Y 3 R p b 2 4 x L m 0 g o h g A K K A U A A A A A A A A A A A A A A A A A A A A A A A A A A A A K 0 5 N L s n M z 1 M I h t C G 1 g B Q S w E C L Q A U A A I A C A B a l n 1 M l p B 1 s q g A A A D 4 A A A A E g A A A A A A A A A A A A A A A A A A A A A A Q 2 9 u Z m l n L 1 B h Y 2 t h Z 2 U u e G 1 s U E s B A i 0 A F A A C A A g A W p Z 9 T A / K 6 a u k A A A A 6 Q A A A B M A A A A A A A A A A A A A A A A A 9 A A A A F t D b 2 5 0 Z W 5 0 X 1 R 5 c G V z X S 5 4 b W x Q S w E C L Q A U A A I A C A B a l n 1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J M q D l H b m k y Z Z T G 4 u k t M f w A A A A A C A A A A A A A Q Z g A A A A E A A C A A A A A a j e 9 U M A H 0 Z V u W 9 i i j z o i g z l j t S K 9 W 1 t K R H 5 6 X C t l O M A A A A A A O g A A A A A I A A C A A A A C r j A z D 8 J h q 7 s P q u b T g n s e w R m m b j 9 t 0 h u S 7 d o K Z L Q m 9 2 V A A A A A v J O g i O Y R q a 2 K 5 a m Y s V 4 6 1 + 2 u D 1 o h j U D D o R F 3 G J L R f t Q l G A d q 1 D j / p 3 v i W 0 6 D s Q p F m z Q D b C m E e m f b I 3 L S / + P Q J A p V b u T b Q R w p E l f A c g c 3 W V U A A A A D l 8 K c B z 5 D F E c l k 8 k k S r U i A j M n S t X A r x O d 6 H q 3 L y + I P p d M I c M 4 R y + B G U h s J X j z W H b N o M g o w b H q l L N S Y a p 7 B 9 9 z J < / D a t a M a s h u p > 
</file>

<file path=customXml/itemProps1.xml><?xml version="1.0" encoding="utf-8"?>
<ds:datastoreItem xmlns:ds="http://schemas.openxmlformats.org/officeDocument/2006/customXml" ds:itemID="{1F8995B9-7B1B-4095-834B-1469D3CA48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116</vt:i4>
      </vt:variant>
      <vt:variant>
        <vt:lpstr>Plages nommées</vt:lpstr>
      </vt:variant>
      <vt:variant>
        <vt:i4>420</vt:i4>
      </vt:variant>
    </vt:vector>
  </HeadingPairs>
  <TitlesOfParts>
    <vt:vector size="536" baseType="lpstr">
      <vt:lpstr>BOM</vt:lpstr>
      <vt:lpstr>EN A0100</vt:lpstr>
      <vt:lpstr>EN 01001</vt:lpstr>
      <vt:lpstr>EN 01002</vt:lpstr>
      <vt:lpstr>dEN 01002</vt:lpstr>
      <vt:lpstr>EN 01003</vt:lpstr>
      <vt:lpstr>dEN 01003</vt:lpstr>
      <vt:lpstr>EN A0200</vt:lpstr>
      <vt:lpstr>EN_02001</vt:lpstr>
      <vt:lpstr>dEN_02001</vt:lpstr>
      <vt:lpstr>EN_02002</vt:lpstr>
      <vt:lpstr>dEN_02002</vt:lpstr>
      <vt:lpstr>EN_02003</vt:lpstr>
      <vt:lpstr>EN_02004</vt:lpstr>
      <vt:lpstr>EN_02005</vt:lpstr>
      <vt:lpstr>EN_02006</vt:lpstr>
      <vt:lpstr>EN_02007</vt:lpstr>
      <vt:lpstr>EN_02008</vt:lpstr>
      <vt:lpstr>EN_02009</vt:lpstr>
      <vt:lpstr>EN_02010</vt:lpstr>
      <vt:lpstr>EN_A0300</vt:lpstr>
      <vt:lpstr>EN_03001</vt:lpstr>
      <vt:lpstr>EN_03002</vt:lpstr>
      <vt:lpstr>dEN_03002</vt:lpstr>
      <vt:lpstr>EN_03003</vt:lpstr>
      <vt:lpstr>EN_03004</vt:lpstr>
      <vt:lpstr>dEN_03004</vt:lpstr>
      <vt:lpstr>EN_03005</vt:lpstr>
      <vt:lpstr>dEN_03005</vt:lpstr>
      <vt:lpstr>EN_03006</vt:lpstr>
      <vt:lpstr>dEN_03006</vt:lpstr>
      <vt:lpstr>EN_03007</vt:lpstr>
      <vt:lpstr>dEN_03007</vt:lpstr>
      <vt:lpstr>EN_03008</vt:lpstr>
      <vt:lpstr>dEN_03008</vt:lpstr>
      <vt:lpstr>EN_A0400</vt:lpstr>
      <vt:lpstr>EN_04001</vt:lpstr>
      <vt:lpstr>EN_04002</vt:lpstr>
      <vt:lpstr>EN_04003</vt:lpstr>
      <vt:lpstr>EN_04004</vt:lpstr>
      <vt:lpstr>EN_04005</vt:lpstr>
      <vt:lpstr>EN_04006</vt:lpstr>
      <vt:lpstr>EN_04007</vt:lpstr>
      <vt:lpstr>EN_04008</vt:lpstr>
      <vt:lpstr>EN_04009</vt:lpstr>
      <vt:lpstr>EN A0005</vt:lpstr>
      <vt:lpstr>EN 05001</vt:lpstr>
      <vt:lpstr>EN 05001 Drawing</vt:lpstr>
      <vt:lpstr>EN 05002</vt:lpstr>
      <vt:lpstr>EN 05003</vt:lpstr>
      <vt:lpstr>EN 05004</vt:lpstr>
      <vt:lpstr>EN 05004 Drawing</vt:lpstr>
      <vt:lpstr>EN 05005</vt:lpstr>
      <vt:lpstr>EN 05005 Drawing</vt:lpstr>
      <vt:lpstr>EN A0600</vt:lpstr>
      <vt:lpstr>EN 06001</vt:lpstr>
      <vt:lpstr>EN 06002</vt:lpstr>
      <vt:lpstr>EN 06003</vt:lpstr>
      <vt:lpstr>dEN 06003</vt:lpstr>
      <vt:lpstr>EN 06004</vt:lpstr>
      <vt:lpstr>dEN 06004</vt:lpstr>
      <vt:lpstr>EN A0700</vt:lpstr>
      <vt:lpstr>EN A0800</vt:lpstr>
      <vt:lpstr>EN_08001</vt:lpstr>
      <vt:lpstr>dEN_08001</vt:lpstr>
      <vt:lpstr>EN_08002</vt:lpstr>
      <vt:lpstr>dEN_08002</vt:lpstr>
      <vt:lpstr>EN_08003</vt:lpstr>
      <vt:lpstr>dEN_08003</vt:lpstr>
      <vt:lpstr>EN_08004</vt:lpstr>
      <vt:lpstr>dEN_08004</vt:lpstr>
      <vt:lpstr>EN_08005</vt:lpstr>
      <vt:lpstr>EN_08006</vt:lpstr>
      <vt:lpstr>EN_08007</vt:lpstr>
      <vt:lpstr>pEN_08007</vt:lpstr>
      <vt:lpstr>EN_08008</vt:lpstr>
      <vt:lpstr>dEN_08008</vt:lpstr>
      <vt:lpstr>EN_08009</vt:lpstr>
      <vt:lpstr>dEN_08009</vt:lpstr>
      <vt:lpstr>EN_08010</vt:lpstr>
      <vt:lpstr>EN_A0900</vt:lpstr>
      <vt:lpstr>EN_09001</vt:lpstr>
      <vt:lpstr>EN_09002</vt:lpstr>
      <vt:lpstr>dEN_09002</vt:lpstr>
      <vt:lpstr>EN_09003</vt:lpstr>
      <vt:lpstr>dEN_09003</vt:lpstr>
      <vt:lpstr>EN_09004</vt:lpstr>
      <vt:lpstr>dEN_09004</vt:lpstr>
      <vt:lpstr>EN_09005</vt:lpstr>
      <vt:lpstr>dEN_09005</vt:lpstr>
      <vt:lpstr>EN_09006</vt:lpstr>
      <vt:lpstr>dEN_09006</vt:lpstr>
      <vt:lpstr>EN_09007</vt:lpstr>
      <vt:lpstr>dEN_09007</vt:lpstr>
      <vt:lpstr>EN_09008</vt:lpstr>
      <vt:lpstr>dEN_09008</vt:lpstr>
      <vt:lpstr>EN_09009</vt:lpstr>
      <vt:lpstr>dEN_09009</vt:lpstr>
      <vt:lpstr>EN_A1000</vt:lpstr>
      <vt:lpstr>EN_10001</vt:lpstr>
      <vt:lpstr>EN_10002</vt:lpstr>
      <vt:lpstr>EN_10003</vt:lpstr>
      <vt:lpstr>dEN_10003</vt:lpstr>
      <vt:lpstr>EN_10004</vt:lpstr>
      <vt:lpstr>dEN_10004</vt:lpstr>
      <vt:lpstr>EN_A1100</vt:lpstr>
      <vt:lpstr>EN_11001</vt:lpstr>
      <vt:lpstr>EN_11002</vt:lpstr>
      <vt:lpstr>EN_11003</vt:lpstr>
      <vt:lpstr>dEN_11003</vt:lpstr>
      <vt:lpstr>EN_11004</vt:lpstr>
      <vt:lpstr>dEN_11004</vt:lpstr>
      <vt:lpstr>EN_11005</vt:lpstr>
      <vt:lpstr>dEN_11005</vt:lpstr>
      <vt:lpstr>EN_11006</vt:lpstr>
      <vt:lpstr>dEN_11006</vt:lpstr>
      <vt:lpstr>dEN_0300_002</vt:lpstr>
      <vt:lpstr>dEN_0300_009</vt:lpstr>
      <vt:lpstr>dEN_0300_010</vt:lpstr>
      <vt:lpstr>dEN_0300_011</vt:lpstr>
      <vt:lpstr>dEN_0300_012</vt:lpstr>
      <vt:lpstr>dEN_0300_013</vt:lpstr>
      <vt:lpstr>EN_01001</vt:lpstr>
      <vt:lpstr>EN_01001_m</vt:lpstr>
      <vt:lpstr>EN_01001_p</vt:lpstr>
      <vt:lpstr>EN_01001_q</vt:lpstr>
      <vt:lpstr>EN_01001_t</vt:lpstr>
      <vt:lpstr>EN_01002</vt:lpstr>
      <vt:lpstr>EN_01002_m</vt:lpstr>
      <vt:lpstr>EN_01002_p</vt:lpstr>
      <vt:lpstr>EN_01002_q</vt:lpstr>
      <vt:lpstr>EN_01003</vt:lpstr>
      <vt:lpstr>EN_01003_m</vt:lpstr>
      <vt:lpstr>EN_01003_p</vt:lpstr>
      <vt:lpstr>EN_01003_q</vt:lpstr>
      <vt:lpstr>EN_02001</vt:lpstr>
      <vt:lpstr>EN_02001_m</vt:lpstr>
      <vt:lpstr>EN_02001_p</vt:lpstr>
      <vt:lpstr>EN_02001_q</vt:lpstr>
      <vt:lpstr>EN_02002</vt:lpstr>
      <vt:lpstr>EN_02002_m</vt:lpstr>
      <vt:lpstr>EN_02002_p</vt:lpstr>
      <vt:lpstr>EN_02002_q</vt:lpstr>
      <vt:lpstr>EN_02003</vt:lpstr>
      <vt:lpstr>EN_02003_m</vt:lpstr>
      <vt:lpstr>EN_02003_p</vt:lpstr>
      <vt:lpstr>EN_02003_q</vt:lpstr>
      <vt:lpstr>EN_02003_t</vt:lpstr>
      <vt:lpstr>EN_02004</vt:lpstr>
      <vt:lpstr>EN_02004_m</vt:lpstr>
      <vt:lpstr>EN_02004_p</vt:lpstr>
      <vt:lpstr>EN_02004_q</vt:lpstr>
      <vt:lpstr>EN_02004_t</vt:lpstr>
      <vt:lpstr>EN_02005</vt:lpstr>
      <vt:lpstr>EN_02005_m</vt:lpstr>
      <vt:lpstr>EN_02005_p</vt:lpstr>
      <vt:lpstr>EN_02005_q</vt:lpstr>
      <vt:lpstr>EN_02006</vt:lpstr>
      <vt:lpstr>EN_02006_m</vt:lpstr>
      <vt:lpstr>EN_02006_p</vt:lpstr>
      <vt:lpstr>EN_02006_q</vt:lpstr>
      <vt:lpstr>EN_02006_t</vt:lpstr>
      <vt:lpstr>EN_02007</vt:lpstr>
      <vt:lpstr>EN_02007_m</vt:lpstr>
      <vt:lpstr>EN_02007_p</vt:lpstr>
      <vt:lpstr>EN_02007_q</vt:lpstr>
      <vt:lpstr>EN_02007_t</vt:lpstr>
      <vt:lpstr>EN_02008</vt:lpstr>
      <vt:lpstr>EN_02008_m</vt:lpstr>
      <vt:lpstr>EN_02008_p</vt:lpstr>
      <vt:lpstr>EN_02008_q</vt:lpstr>
      <vt:lpstr>EN_02009</vt:lpstr>
      <vt:lpstr>EN_02009_m</vt:lpstr>
      <vt:lpstr>EN_02009_p</vt:lpstr>
      <vt:lpstr>EN_02009_q</vt:lpstr>
      <vt:lpstr>EN_02009_t</vt:lpstr>
      <vt:lpstr>EN_02010</vt:lpstr>
      <vt:lpstr>EN_02010_m</vt:lpstr>
      <vt:lpstr>EN_02010_p</vt:lpstr>
      <vt:lpstr>EN_02010_q</vt:lpstr>
      <vt:lpstr>EN_0300_001</vt:lpstr>
      <vt:lpstr>EN_0300_001_f</vt:lpstr>
      <vt:lpstr>EN_0300_001_m</vt:lpstr>
      <vt:lpstr>EN_0300_001_p</vt:lpstr>
      <vt:lpstr>EN_0300_001_q</vt:lpstr>
      <vt:lpstr>EN_0300_001_t</vt:lpstr>
      <vt:lpstr>EN_0300_002</vt:lpstr>
      <vt:lpstr>EN_0300_002_f</vt:lpstr>
      <vt:lpstr>EN_0300_002_m</vt:lpstr>
      <vt:lpstr>EN_0300_002_p</vt:lpstr>
      <vt:lpstr>EN_0300_002_q</vt:lpstr>
      <vt:lpstr>EN_0300_002_t</vt:lpstr>
      <vt:lpstr>EN_0300_003</vt:lpstr>
      <vt:lpstr>EN_0300_003_f</vt:lpstr>
      <vt:lpstr>EN_0300_003_m</vt:lpstr>
      <vt:lpstr>EN_0300_003_p</vt:lpstr>
      <vt:lpstr>EN_0300_003_q</vt:lpstr>
      <vt:lpstr>EN_0300_003_t</vt:lpstr>
      <vt:lpstr>EN_0300_004</vt:lpstr>
      <vt:lpstr>EN_0300_004_f</vt:lpstr>
      <vt:lpstr>EN_0300_004_m</vt:lpstr>
      <vt:lpstr>EN_0300_004_p</vt:lpstr>
      <vt:lpstr>EN_0300_004_q</vt:lpstr>
      <vt:lpstr>EN_0300_004_t</vt:lpstr>
      <vt:lpstr>EN_0300_005</vt:lpstr>
      <vt:lpstr>EN_0300_005_f</vt:lpstr>
      <vt:lpstr>EN_0300_005_m</vt:lpstr>
      <vt:lpstr>EN_0300_005_p</vt:lpstr>
      <vt:lpstr>EN_0300_005_q</vt:lpstr>
      <vt:lpstr>EN_0300_005_t</vt:lpstr>
      <vt:lpstr>EN_0300_006</vt:lpstr>
      <vt:lpstr>EN_0300_006_f</vt:lpstr>
      <vt:lpstr>EN_0300_006_m</vt:lpstr>
      <vt:lpstr>EN_0300_006_p</vt:lpstr>
      <vt:lpstr>EN_0300_006_q</vt:lpstr>
      <vt:lpstr>EN_0300_006_t</vt:lpstr>
      <vt:lpstr>EN_0300_007</vt:lpstr>
      <vt:lpstr>EN_0300_007_f</vt:lpstr>
      <vt:lpstr>EN_0300_007_m</vt:lpstr>
      <vt:lpstr>EN_0300_007_p</vt:lpstr>
      <vt:lpstr>EN_0300_007_q</vt:lpstr>
      <vt:lpstr>EN_0300_007_t</vt:lpstr>
      <vt:lpstr>EN_0300_008</vt:lpstr>
      <vt:lpstr>EN_0300_008_f</vt:lpstr>
      <vt:lpstr>EN_0300_008_m</vt:lpstr>
      <vt:lpstr>EN_0300_008_p</vt:lpstr>
      <vt:lpstr>EN_0300_008_q</vt:lpstr>
      <vt:lpstr>EN_0300_008_t</vt:lpstr>
      <vt:lpstr>EN_0400_001</vt:lpstr>
      <vt:lpstr>EN_0400_001_f</vt:lpstr>
      <vt:lpstr>EN_0400_001_m</vt:lpstr>
      <vt:lpstr>EN_0400_001_p</vt:lpstr>
      <vt:lpstr>EN_0400_001_q</vt:lpstr>
      <vt:lpstr>EN_0400_001_t</vt:lpstr>
      <vt:lpstr>EN_0400_002</vt:lpstr>
      <vt:lpstr>EN_0400_002_f</vt:lpstr>
      <vt:lpstr>EN_0400_002_m</vt:lpstr>
      <vt:lpstr>EN_0400_002_p</vt:lpstr>
      <vt:lpstr>EN_0400_002_q</vt:lpstr>
      <vt:lpstr>EN_0400_002_t</vt:lpstr>
      <vt:lpstr>EN_0400_003</vt:lpstr>
      <vt:lpstr>EN_0400_003_f</vt:lpstr>
      <vt:lpstr>EN_0400_003_m</vt:lpstr>
      <vt:lpstr>EN_0400_003_p</vt:lpstr>
      <vt:lpstr>EN_0400_003_q</vt:lpstr>
      <vt:lpstr>EN_0400_003_t</vt:lpstr>
      <vt:lpstr>EN_0400_004</vt:lpstr>
      <vt:lpstr>EN_0400_004_f</vt:lpstr>
      <vt:lpstr>EN_0400_004_m</vt:lpstr>
      <vt:lpstr>EN_0400_004_p</vt:lpstr>
      <vt:lpstr>EN_0400_004_q</vt:lpstr>
      <vt:lpstr>EN_0400_004_t</vt:lpstr>
      <vt:lpstr>EN_0400_005</vt:lpstr>
      <vt:lpstr>EN_0400_005_f</vt:lpstr>
      <vt:lpstr>EN_0400_005_m</vt:lpstr>
      <vt:lpstr>EN_0400_005_p</vt:lpstr>
      <vt:lpstr>EN_0400_005_q</vt:lpstr>
      <vt:lpstr>EN_0400_005_t</vt:lpstr>
      <vt:lpstr>EN_0400_006</vt:lpstr>
      <vt:lpstr>EN_0400_006_f</vt:lpstr>
      <vt:lpstr>EN_0400_006_m</vt:lpstr>
      <vt:lpstr>EN_0400_006_p</vt:lpstr>
      <vt:lpstr>EN_0400_006_q</vt:lpstr>
      <vt:lpstr>EN_0400_006_t</vt:lpstr>
      <vt:lpstr>EN_0400_007</vt:lpstr>
      <vt:lpstr>EN_0400_007_f</vt:lpstr>
      <vt:lpstr>EN_0400_007_m</vt:lpstr>
      <vt:lpstr>EN_0400_007_p</vt:lpstr>
      <vt:lpstr>EN_0400_007_q</vt:lpstr>
      <vt:lpstr>EN_0400_007_t</vt:lpstr>
      <vt:lpstr>EN_0400_008</vt:lpstr>
      <vt:lpstr>EN_0400_008_f</vt:lpstr>
      <vt:lpstr>EN_0400_008_m</vt:lpstr>
      <vt:lpstr>EN_0400_008_p</vt:lpstr>
      <vt:lpstr>EN_0400_008_q</vt:lpstr>
      <vt:lpstr>EN_0400_008_t</vt:lpstr>
      <vt:lpstr>EN_0400_009</vt:lpstr>
      <vt:lpstr>EN_0400_009_f</vt:lpstr>
      <vt:lpstr>EN_0400_009_m</vt:lpstr>
      <vt:lpstr>EN_0400_009_p</vt:lpstr>
      <vt:lpstr>EN_0400_009_q</vt:lpstr>
      <vt:lpstr>EN_0400_009_t</vt:lpstr>
      <vt:lpstr>EN_05001</vt:lpstr>
      <vt:lpstr>EN_05001_m</vt:lpstr>
      <vt:lpstr>EN_05001_p</vt:lpstr>
      <vt:lpstr>EN_05001_q</vt:lpstr>
      <vt:lpstr>EN_05001_t</vt:lpstr>
      <vt:lpstr>EN_05002</vt:lpstr>
      <vt:lpstr>EN_05002_m</vt:lpstr>
      <vt:lpstr>EN_05002_p</vt:lpstr>
      <vt:lpstr>EN_05002_q</vt:lpstr>
      <vt:lpstr>EN_05003</vt:lpstr>
      <vt:lpstr>EN_05003_f</vt:lpstr>
      <vt:lpstr>EN_05003_m</vt:lpstr>
      <vt:lpstr>EN_05003_p</vt:lpstr>
      <vt:lpstr>EN_05003_q</vt:lpstr>
      <vt:lpstr>EN_05003_t</vt:lpstr>
      <vt:lpstr>EN_05004</vt:lpstr>
      <vt:lpstr>EN_05004_m</vt:lpstr>
      <vt:lpstr>EN_05004_p</vt:lpstr>
      <vt:lpstr>EN_05004_q</vt:lpstr>
      <vt:lpstr>EN_05005</vt:lpstr>
      <vt:lpstr>EN_05005_m</vt:lpstr>
      <vt:lpstr>EN_05005_p</vt:lpstr>
      <vt:lpstr>EN_05005_q</vt:lpstr>
      <vt:lpstr>EN_06001</vt:lpstr>
      <vt:lpstr>EN_06001_m</vt:lpstr>
      <vt:lpstr>EN_06001_p</vt:lpstr>
      <vt:lpstr>EN_06001_q</vt:lpstr>
      <vt:lpstr>EN_06001_t</vt:lpstr>
      <vt:lpstr>EN_06002</vt:lpstr>
      <vt:lpstr>EN_06002_m</vt:lpstr>
      <vt:lpstr>EN_06002_p</vt:lpstr>
      <vt:lpstr>EN_06002_q</vt:lpstr>
      <vt:lpstr>EN_06003</vt:lpstr>
      <vt:lpstr>EN_06003_m</vt:lpstr>
      <vt:lpstr>EN_06003_p</vt:lpstr>
      <vt:lpstr>EN_06003_q</vt:lpstr>
      <vt:lpstr>EN_06004</vt:lpstr>
      <vt:lpstr>EN_06004_m</vt:lpstr>
      <vt:lpstr>EN_06004_p</vt:lpstr>
      <vt:lpstr>EN_06004_q</vt:lpstr>
      <vt:lpstr>EN_08001</vt:lpstr>
      <vt:lpstr>EN_08001_m</vt:lpstr>
      <vt:lpstr>EN_08001_p</vt:lpstr>
      <vt:lpstr>EN_08001_q</vt:lpstr>
      <vt:lpstr>EN_08002</vt:lpstr>
      <vt:lpstr>EN_08002_m</vt:lpstr>
      <vt:lpstr>EN_08002_p</vt:lpstr>
      <vt:lpstr>EN_08002_q</vt:lpstr>
      <vt:lpstr>EN_08003</vt:lpstr>
      <vt:lpstr>EN_08003_m</vt:lpstr>
      <vt:lpstr>EN_08003_p</vt:lpstr>
      <vt:lpstr>EN_08003_q</vt:lpstr>
      <vt:lpstr>EN_08004</vt:lpstr>
      <vt:lpstr>EN_08004_m</vt:lpstr>
      <vt:lpstr>EN_08004_p</vt:lpstr>
      <vt:lpstr>EN_08004_q</vt:lpstr>
      <vt:lpstr>EN_08005</vt:lpstr>
      <vt:lpstr>EN_08005_f</vt:lpstr>
      <vt:lpstr>EN_08005_m</vt:lpstr>
      <vt:lpstr>EN_08005_p</vt:lpstr>
      <vt:lpstr>EN_08005_q</vt:lpstr>
      <vt:lpstr>EN_08006</vt:lpstr>
      <vt:lpstr>EN_08006_f</vt:lpstr>
      <vt:lpstr>EN_08006_m</vt:lpstr>
      <vt:lpstr>EN_08006_p</vt:lpstr>
      <vt:lpstr>EN_08006_q</vt:lpstr>
      <vt:lpstr>EN_08007</vt:lpstr>
      <vt:lpstr>EN_08007_m</vt:lpstr>
      <vt:lpstr>EN_08007_p</vt:lpstr>
      <vt:lpstr>EN_08007_q</vt:lpstr>
      <vt:lpstr>EN_08007_t</vt:lpstr>
      <vt:lpstr>EN_08008</vt:lpstr>
      <vt:lpstr>EN_08008_m</vt:lpstr>
      <vt:lpstr>EN_08008_p</vt:lpstr>
      <vt:lpstr>EN_08008_q</vt:lpstr>
      <vt:lpstr>EN_08009</vt:lpstr>
      <vt:lpstr>EN_08009_m</vt:lpstr>
      <vt:lpstr>EN_08009_p</vt:lpstr>
      <vt:lpstr>EN_08009_q</vt:lpstr>
      <vt:lpstr>EN_08010</vt:lpstr>
      <vt:lpstr>EN_08010_f</vt:lpstr>
      <vt:lpstr>EN_08010_m</vt:lpstr>
      <vt:lpstr>EN_08010_p</vt:lpstr>
      <vt:lpstr>EN_08010_q</vt:lpstr>
      <vt:lpstr>EN_0900_001</vt:lpstr>
      <vt:lpstr>EN_0900_001_f</vt:lpstr>
      <vt:lpstr>EN_0900_001_m</vt:lpstr>
      <vt:lpstr>EN_0900_001_p</vt:lpstr>
      <vt:lpstr>EN_0900_001_q</vt:lpstr>
      <vt:lpstr>EN_0900_002</vt:lpstr>
      <vt:lpstr>EN_0900_002_m</vt:lpstr>
      <vt:lpstr>EN_0900_002_p</vt:lpstr>
      <vt:lpstr>EN_0900_002_q</vt:lpstr>
      <vt:lpstr>EN_0900_003</vt:lpstr>
      <vt:lpstr>EN_0900_003_m</vt:lpstr>
      <vt:lpstr>EN_0900_003_p</vt:lpstr>
      <vt:lpstr>EN_0900_003_q</vt:lpstr>
      <vt:lpstr>EN_0900_004</vt:lpstr>
      <vt:lpstr>EN_0900_004_m</vt:lpstr>
      <vt:lpstr>EN_0900_004_p</vt:lpstr>
      <vt:lpstr>EN_0900_004_q</vt:lpstr>
      <vt:lpstr>EN_0900_005</vt:lpstr>
      <vt:lpstr>EN_0900_005_m</vt:lpstr>
      <vt:lpstr>EN_0900_005_p</vt:lpstr>
      <vt:lpstr>EN_0900_005_q</vt:lpstr>
      <vt:lpstr>EN_0900_006</vt:lpstr>
      <vt:lpstr>EN_0900_006_m</vt:lpstr>
      <vt:lpstr>EN_0900_006_p</vt:lpstr>
      <vt:lpstr>EN_0900_006_q</vt:lpstr>
      <vt:lpstr>EN_0900_007</vt:lpstr>
      <vt:lpstr>EN_0900_007_m</vt:lpstr>
      <vt:lpstr>EN_0900_007_p</vt:lpstr>
      <vt:lpstr>EN_0900_007_q</vt:lpstr>
      <vt:lpstr>EN_0900_008</vt:lpstr>
      <vt:lpstr>EN_0900_008_m</vt:lpstr>
      <vt:lpstr>EN_0900_008_p</vt:lpstr>
      <vt:lpstr>EN_0900_008_q</vt:lpstr>
      <vt:lpstr>EN_0900_009</vt:lpstr>
      <vt:lpstr>EN_0900_009_m</vt:lpstr>
      <vt:lpstr>EN_0900_009_p</vt:lpstr>
      <vt:lpstr>EN_0900_009_q</vt:lpstr>
      <vt:lpstr>EN_1000_001</vt:lpstr>
      <vt:lpstr>EN_1000_001_m</vt:lpstr>
      <vt:lpstr>EN_1000_001_p</vt:lpstr>
      <vt:lpstr>EN_1000_001_q</vt:lpstr>
      <vt:lpstr>EN_1000_002</vt:lpstr>
      <vt:lpstr>EN_1000_002_m</vt:lpstr>
      <vt:lpstr>EN_1000_002_p</vt:lpstr>
      <vt:lpstr>EN_1000_002_q</vt:lpstr>
      <vt:lpstr>EN_1000_003</vt:lpstr>
      <vt:lpstr>EN_1000_003_m</vt:lpstr>
      <vt:lpstr>EN_1000_003_p</vt:lpstr>
      <vt:lpstr>EN_1000_003_q</vt:lpstr>
      <vt:lpstr>EN_1000_004</vt:lpstr>
      <vt:lpstr>EN_1000_004_m</vt:lpstr>
      <vt:lpstr>EN_1000_004_p</vt:lpstr>
      <vt:lpstr>EN_1000_004_q</vt:lpstr>
      <vt:lpstr>EN_1100_001</vt:lpstr>
      <vt:lpstr>EN_1100_001_m</vt:lpstr>
      <vt:lpstr>EN_1100_001_p</vt:lpstr>
      <vt:lpstr>EN_1100_001_q</vt:lpstr>
      <vt:lpstr>EN_1100_002</vt:lpstr>
      <vt:lpstr>EN_1100_002_m</vt:lpstr>
      <vt:lpstr>EN_1100_002_p</vt:lpstr>
      <vt:lpstr>EN_1100_002_q</vt:lpstr>
      <vt:lpstr>EN_1100_003</vt:lpstr>
      <vt:lpstr>EN_1100_003_m</vt:lpstr>
      <vt:lpstr>EN_1100_003_p</vt:lpstr>
      <vt:lpstr>EN_1100_003_q</vt:lpstr>
      <vt:lpstr>EN_1100_004</vt:lpstr>
      <vt:lpstr>EN_1100_004_m</vt:lpstr>
      <vt:lpstr>EN_1100_004_p</vt:lpstr>
      <vt:lpstr>EN_1100_004_q</vt:lpstr>
      <vt:lpstr>EN_1100_005</vt:lpstr>
      <vt:lpstr>EN_1100_005_m</vt:lpstr>
      <vt:lpstr>EN_1100_005_p</vt:lpstr>
      <vt:lpstr>EN_1100_005_q</vt:lpstr>
      <vt:lpstr>EN_1100_006</vt:lpstr>
      <vt:lpstr>EN_1100_006_m</vt:lpstr>
      <vt:lpstr>EN_1100_006_p</vt:lpstr>
      <vt:lpstr>EN_1100_006_q</vt:lpstr>
      <vt:lpstr>EN_A0001_f</vt:lpstr>
      <vt:lpstr>EN_A0001_m</vt:lpstr>
      <vt:lpstr>EN_A0001_p</vt:lpstr>
      <vt:lpstr>EN_A0001_pa</vt:lpstr>
      <vt:lpstr>EN_A0001_q</vt:lpstr>
      <vt:lpstr>EN_A0001_t</vt:lpstr>
      <vt:lpstr>EN_A0100</vt:lpstr>
      <vt:lpstr>EN_A0100_BOM</vt:lpstr>
      <vt:lpstr>EN_A0100_f</vt:lpstr>
      <vt:lpstr>EN_A0100_m</vt:lpstr>
      <vt:lpstr>EN_A0100_p</vt:lpstr>
      <vt:lpstr>EN_A0100_pa</vt:lpstr>
      <vt:lpstr>EN_A0100_q</vt:lpstr>
      <vt:lpstr>EN_A0100_t</vt:lpstr>
      <vt:lpstr>EN_A0200</vt:lpstr>
      <vt:lpstr>EN_A0200_BOM</vt:lpstr>
      <vt:lpstr>EN_A0200_f</vt:lpstr>
      <vt:lpstr>EN_A0200_m</vt:lpstr>
      <vt:lpstr>EN_A0200_p</vt:lpstr>
      <vt:lpstr>EN_A0200_pa</vt:lpstr>
      <vt:lpstr>EN_A0200_q</vt:lpstr>
      <vt:lpstr>EN_A0200_t</vt:lpstr>
      <vt:lpstr>EN_A0300</vt:lpstr>
      <vt:lpstr>EN_A0300_BOM</vt:lpstr>
      <vt:lpstr>EN_A0300_f</vt:lpstr>
      <vt:lpstr>EN_A0300_m</vt:lpstr>
      <vt:lpstr>EN_A0300_p</vt:lpstr>
      <vt:lpstr>EN_A0300_pa</vt:lpstr>
      <vt:lpstr>EN_A0300_q</vt:lpstr>
      <vt:lpstr>EN_A0300_t</vt:lpstr>
      <vt:lpstr>EN_A0400</vt:lpstr>
      <vt:lpstr>EN_A0400_BOM</vt:lpstr>
      <vt:lpstr>EN_A0400_f</vt:lpstr>
      <vt:lpstr>EN_A0400_m</vt:lpstr>
      <vt:lpstr>EN_A0400_p</vt:lpstr>
      <vt:lpstr>EN_A0400_pa</vt:lpstr>
      <vt:lpstr>EN_A0400_q</vt:lpstr>
      <vt:lpstr>EN_A0400_t</vt:lpstr>
      <vt:lpstr>EN_A0500</vt:lpstr>
      <vt:lpstr>EN_A0500_BOM</vt:lpstr>
      <vt:lpstr>EN_A0500_f</vt:lpstr>
      <vt:lpstr>EN_A0500_m</vt:lpstr>
      <vt:lpstr>EN_A0500_p</vt:lpstr>
      <vt:lpstr>EN_A0500_pa</vt:lpstr>
      <vt:lpstr>EN_A0500_q</vt:lpstr>
      <vt:lpstr>EN_A0500_t</vt:lpstr>
      <vt:lpstr>EN_A0600</vt:lpstr>
      <vt:lpstr>EN_A0600_BOM</vt:lpstr>
      <vt:lpstr>EN_A0600_f</vt:lpstr>
      <vt:lpstr>EN_A0600_m</vt:lpstr>
      <vt:lpstr>EN_A0600_p</vt:lpstr>
      <vt:lpstr>EN_A0600_pa</vt:lpstr>
      <vt:lpstr>EN_A0600_q</vt:lpstr>
      <vt:lpstr>EN_A0600_t</vt:lpstr>
      <vt:lpstr>EN_A0700</vt:lpstr>
      <vt:lpstr>EN_A0700_BOM</vt:lpstr>
      <vt:lpstr>EN_A0700_f</vt:lpstr>
      <vt:lpstr>EN_A0700_m</vt:lpstr>
      <vt:lpstr>EN_A0700_p</vt:lpstr>
      <vt:lpstr>EN_A0700_q</vt:lpstr>
      <vt:lpstr>EN_A0800</vt:lpstr>
      <vt:lpstr>EN_A0800_BOM</vt:lpstr>
      <vt:lpstr>EN_A0800_f</vt:lpstr>
      <vt:lpstr>EN_A0800_m</vt:lpstr>
      <vt:lpstr>EN_A0800_p</vt:lpstr>
      <vt:lpstr>EN_A0800_pa</vt:lpstr>
      <vt:lpstr>EN_A0800_q</vt:lpstr>
      <vt:lpstr>EN_A0800_t</vt:lpstr>
      <vt:lpstr>EN_A0900</vt:lpstr>
      <vt:lpstr>EN_A0900_BOM</vt:lpstr>
      <vt:lpstr>EN_A0900_f</vt:lpstr>
      <vt:lpstr>EN_A0900_m</vt:lpstr>
      <vt:lpstr>EN_A0900_p</vt:lpstr>
      <vt:lpstr>EN_A0900_pa</vt:lpstr>
      <vt:lpstr>EN_A0900_q</vt:lpstr>
      <vt:lpstr>EN_A0900_t</vt:lpstr>
      <vt:lpstr>EN_A0900p</vt:lpstr>
      <vt:lpstr>EN_A090f</vt:lpstr>
      <vt:lpstr>EN_A1000</vt:lpstr>
      <vt:lpstr>EN_A1000_BOM</vt:lpstr>
      <vt:lpstr>EN_A1000_f</vt:lpstr>
      <vt:lpstr>EN_A1000_m</vt:lpstr>
      <vt:lpstr>EN_A1000_p</vt:lpstr>
      <vt:lpstr>EN_A1000_pa</vt:lpstr>
      <vt:lpstr>EN_A1000_q</vt:lpstr>
      <vt:lpstr>EN_A1100</vt:lpstr>
      <vt:lpstr>EN_A1100_BOM</vt:lpstr>
      <vt:lpstr>EN_A1100_f</vt:lpstr>
      <vt:lpstr>EN_A1100_m</vt:lpstr>
      <vt:lpstr>EN_A1100_p</vt:lpstr>
      <vt:lpstr>EN_A1100_pa</vt:lpstr>
      <vt:lpstr>EN_A1100_q</vt:lpstr>
      <vt:lpstr>EN_A1100_t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2018-05-03T20:11:59Z</dcterms:modified>
  <dc:language>fr-FR</dc:language>
</cp:coreProperties>
</file>