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EPSA\SU - Suspension\Cost\"/>
    </mc:Choice>
  </mc:AlternateContent>
  <bookViews>
    <workbookView xWindow="4740" yWindow="60" windowWidth="16380" windowHeight="8196"/>
  </bookViews>
  <sheets>
    <sheet name="BOM" sheetId="8" r:id="rId1"/>
    <sheet name="SU A0800" sheetId="1" r:id="rId2"/>
    <sheet name="SU 0800 001" sheetId="11" r:id="rId3"/>
    <sheet name="SU 0600 003" sheetId="10" r:id="rId4"/>
    <sheet name="dSU 0800 003" sheetId="14" r:id="rId5"/>
    <sheet name="SU 0800 004" sheetId="13" r:id="rId6"/>
  </sheets>
  <definedNames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0">BOM!$B$4</definedName>
    <definedName name="Car">#REF!</definedName>
    <definedName name="CompCode" localSheetId="0">BOM!$B$2</definedName>
    <definedName name="CompCode">#REF!</definedName>
    <definedName name="cwlkvclwekjc">#REF!</definedName>
    <definedName name="dBR_01001">#REF!</definedName>
    <definedName name="dede">#REF!</definedName>
    <definedName name="dqwdqd">#REF!</definedName>
    <definedName name="dSU_0800_003">'dSU 0800 003'!$B$1</definedName>
    <definedName name="eded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0">BOM!$6:$6</definedName>
    <definedName name="nbtgv">#REF!</definedName>
    <definedName name="process">#REF!</definedName>
    <definedName name="Process_P1">#REF!</definedName>
    <definedName name="Processes" localSheetId="0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U_0800_001">'SU 0800 001'!$B$6</definedName>
    <definedName name="SU_0800_001_m">'SU 0800 001'!$N$12</definedName>
    <definedName name="SU_0800_001_p">'SU 0800 001'!$I$17</definedName>
    <definedName name="SU_0800_001_q">'SU 0800 001'!$N$3</definedName>
    <definedName name="SU_0800_003">'SU 0600 003'!$B$6</definedName>
    <definedName name="SU_0800_003_m">'SU 0600 003'!$N$12</definedName>
    <definedName name="SU_0800_003_p">'SU 0600 003'!$I$17</definedName>
    <definedName name="SU_0800_003_q">'SU 0600 003'!$N$3</definedName>
    <definedName name="SU_0800_004">'SU 0800 004'!$B$6</definedName>
    <definedName name="SU_0800_004_m">'SU 0800 004'!$N$12</definedName>
    <definedName name="SU_0800_004_p">'SU 0800 004'!$I$19</definedName>
    <definedName name="SU_0800_004_q">'SU 0800 004'!$N$3</definedName>
    <definedName name="SU_A0800">'SU A0800'!$B$5</definedName>
    <definedName name="SU_A0800_f">'SU A0800'!$J$37</definedName>
    <definedName name="SU_A0800_m">'SU A0800'!$N$18</definedName>
    <definedName name="SU_A0800_p">'SU A0800'!$I$31</definedName>
    <definedName name="SU_A0800_pa">'SU A0800'!$E$13</definedName>
    <definedName name="SU_A0800_q">'SU A0800'!$N$3</definedName>
    <definedName name="SU_A0800_t">'SU A0800'!$I$41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0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0">BOM!$A$1:$N$11</definedName>
  </definedNames>
  <calcPr calcId="152511" iterateDelta="1E-4"/>
</workbook>
</file>

<file path=xl/calcChain.xml><?xml version="1.0" encoding="utf-8"?>
<calcChain xmlns="http://schemas.openxmlformats.org/spreadsheetml/2006/main">
  <c r="C10" i="8" l="1"/>
  <c r="C9" i="8"/>
  <c r="C8" i="8"/>
  <c r="I10" i="8" l="1"/>
  <c r="I8" i="8"/>
  <c r="C12" i="1"/>
  <c r="C11" i="1"/>
  <c r="C10" i="1"/>
  <c r="K10" i="8"/>
  <c r="J10" i="8"/>
  <c r="K9" i="8"/>
  <c r="J9" i="8"/>
  <c r="I9" i="8"/>
  <c r="K8" i="8"/>
  <c r="J8" i="8"/>
  <c r="L7" i="8"/>
  <c r="K7" i="8"/>
  <c r="J7" i="8"/>
  <c r="I7" i="8"/>
  <c r="C7" i="8"/>
  <c r="N2" i="13" l="1"/>
  <c r="J11" i="13"/>
  <c r="N2" i="10"/>
  <c r="B4" i="10"/>
  <c r="J11" i="10"/>
  <c r="N5" i="11"/>
  <c r="N2" i="11"/>
  <c r="F21" i="1" l="1"/>
  <c r="E11" i="1" l="1"/>
  <c r="E12" i="1"/>
  <c r="I16" i="13"/>
  <c r="I15" i="13"/>
  <c r="E11" i="13"/>
  <c r="N11" i="13" s="1"/>
  <c r="N12" i="13" s="1"/>
  <c r="I18" i="13"/>
  <c r="B4" i="13"/>
  <c r="B3" i="13"/>
  <c r="I19" i="13" l="1"/>
  <c r="N5" i="13"/>
  <c r="I17" i="11" l="1"/>
  <c r="I16" i="11"/>
  <c r="N12" i="11"/>
  <c r="N11" i="11"/>
  <c r="E11" i="11"/>
  <c r="J11" i="11"/>
  <c r="B4" i="11"/>
  <c r="B3" i="11"/>
  <c r="N5" i="10"/>
  <c r="I16" i="10"/>
  <c r="I15" i="10"/>
  <c r="N11" i="10"/>
  <c r="N12" i="10" s="1"/>
  <c r="B3" i="10"/>
  <c r="E11" i="10" l="1"/>
  <c r="I17" i="10"/>
  <c r="D36" i="1"/>
  <c r="J36" i="1" s="1"/>
  <c r="D34" i="1"/>
  <c r="J34" i="1" s="1"/>
  <c r="I30" i="1"/>
  <c r="I29" i="1"/>
  <c r="I28" i="1"/>
  <c r="I27" i="1"/>
  <c r="N17" i="1"/>
  <c r="N16" i="1"/>
  <c r="B8" i="8" l="1"/>
  <c r="B11" i="8" l="1"/>
  <c r="B9" i="8"/>
  <c r="B10" i="8"/>
  <c r="B7" i="8"/>
  <c r="H9" i="8" l="1"/>
  <c r="N9" i="8" s="1"/>
  <c r="H10" i="8"/>
  <c r="N10" i="8" s="1"/>
  <c r="L11" i="8"/>
  <c r="I40" i="1"/>
  <c r="J35" i="1"/>
  <c r="I26" i="1"/>
  <c r="I25" i="1"/>
  <c r="I24" i="1"/>
  <c r="I23" i="1"/>
  <c r="I22" i="1"/>
  <c r="I21" i="1"/>
  <c r="J37" i="1" l="1"/>
  <c r="I31" i="1"/>
  <c r="I41" i="1"/>
  <c r="M7" i="8" s="1"/>
  <c r="K11" i="8"/>
  <c r="M11" i="8"/>
  <c r="N18" i="1"/>
  <c r="H7" i="8" l="1"/>
  <c r="N7" i="8" s="1"/>
  <c r="H8" i="8"/>
  <c r="N8" i="8" s="1"/>
  <c r="J11" i="8"/>
  <c r="O1" i="8"/>
  <c r="E10" i="1"/>
  <c r="E13" i="1" s="1"/>
  <c r="N2" i="1" s="1"/>
  <c r="N5" i="1" s="1"/>
  <c r="N11" i="8" l="1"/>
</calcChain>
</file>

<file path=xl/sharedStrings.xml><?xml version="1.0" encoding="utf-8"?>
<sst xmlns="http://schemas.openxmlformats.org/spreadsheetml/2006/main" count="347" uniqueCount="129">
  <si>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</si>
  <si>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</si>
  <si>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</si>
  <si>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</si>
  <si>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</si>
  <si>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</si>
  <si>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</si>
  <si>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</si>
  <si>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</si>
  <si>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</si>
  <si>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</si>
  <si>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</si>
  <si>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</si>
  <si>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</si>
  <si>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</si>
  <si>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</si>
  <si>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</si>
  <si>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</si>
  <si>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</si>
  <si>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</si>
  <si>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</si>
  <si>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</si>
  <si>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</si>
  <si>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</si>
  <si>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</si>
  <si>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</si>
  <si>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</si>
  <si>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</si>
  <si>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</si>
  <si>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</si>
  <si>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</si>
  <si>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</si>
  <si>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</si>
  <si>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</si>
  <si>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</si>
  <si>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</si>
  <si>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</si>
  <si>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Bolt,Grade 8.8 (SAE)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</si>
  <si>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</si>
  <si>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</si>
  <si>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</si>
  <si>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</si>
  <si>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</si>
  <si>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</si>
  <si>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</si>
  <si>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</si>
  <si>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</si>
  <si>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</si>
  <si>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</si>
  <si>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</si>
  <si>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</si>
  <si>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</si>
  <si>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</si>
  <si>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</si>
  <si>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</si>
  <si>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</si>
  <si>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</si>
  <si>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</si>
  <si>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</si>
  <si>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</si>
  <si>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</si>
  <si>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</si>
  <si>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</si>
  <si>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</si>
  <si>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</si>
  <si>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</si>
  <si>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</si>
  <si>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Drawing</t>
  </si>
  <si>
    <t>FSAEI</t>
  </si>
  <si>
    <t>Back to BOM</t>
  </si>
  <si>
    <t>Suspension &amp; Shocks</t>
  </si>
  <si>
    <t>Sheets of metal for rocker</t>
  </si>
  <si>
    <t>Rocker bushing</t>
  </si>
  <si>
    <t>Paint</t>
  </si>
  <si>
    <t>Rocker mount red paint</t>
  </si>
  <si>
    <t>Rocker black paint</t>
  </si>
  <si>
    <t>Weld</t>
  </si>
  <si>
    <t>Welding the rocker mount on the chassis</t>
  </si>
  <si>
    <t>Aerosol apply</t>
  </si>
  <si>
    <t>Painting the rocker mount in red</t>
  </si>
  <si>
    <t>Painting the rocker in black</t>
  </si>
  <si>
    <t>Assemble, 1kg, loose</t>
  </si>
  <si>
    <t>Hand - Start Only</t>
  </si>
  <si>
    <t>Bolt rocker into rocker mount</t>
  </si>
  <si>
    <t>Ratchet &lt;= 25.4 mm</t>
  </si>
  <si>
    <t>Thighten the M8 nuts</t>
  </si>
  <si>
    <t>Reaction tool &lt;= 25.4 mm</t>
  </si>
  <si>
    <t>Put the nuts into the bolt</t>
  </si>
  <si>
    <t>Bolt rocker on its mount</t>
  </si>
  <si>
    <t>Welding process for rocker mount</t>
  </si>
  <si>
    <t>m^2</t>
  </si>
  <si>
    <t>Put the washers of the rocker in place</t>
  </si>
  <si>
    <t>Sheet of metal for the rocker</t>
  </si>
  <si>
    <t>Steel, Mild</t>
  </si>
  <si>
    <t>Material for rocker</t>
  </si>
  <si>
    <t>kg</t>
  </si>
  <si>
    <t>Machining setup, install and remove</t>
  </si>
  <si>
    <t>Insert and remove parts from laser</t>
  </si>
  <si>
    <t>4 parts made from a single machine setup</t>
  </si>
  <si>
    <t>Laser cut</t>
  </si>
  <si>
    <t>Cutting the sheets</t>
  </si>
  <si>
    <t>Material - Steel</t>
  </si>
  <si>
    <t>Stock material for bushings</t>
  </si>
  <si>
    <t>Machining (turning)</t>
  </si>
  <si>
    <t>Machining removal</t>
  </si>
  <si>
    <t>cm^3</t>
  </si>
  <si>
    <t>Plastic, Flouropolymers</t>
  </si>
  <si>
    <t>Round area, diameter 15 mm</t>
  </si>
  <si>
    <t>Material - Plastic</t>
  </si>
  <si>
    <t>Commentaire :</t>
  </si>
  <si>
    <t>Cette année les cousinets sont en acier recouvert de téflon (ce n'est pas du teflon pur). L'an dernier c'était du bronze.</t>
  </si>
  <si>
    <t>Le process que je décris là ne marche donc pas vraiment…</t>
  </si>
  <si>
    <t>Ce serait plutôt le même process mais avec de l'acier et ensuite on recouvre de teflon, mais j'ai pas trouv" comment faire ça dans le cost</t>
  </si>
  <si>
    <t>Raw material</t>
  </si>
  <si>
    <t xml:space="preserve">Machining </t>
  </si>
  <si>
    <t>Drawing part:</t>
  </si>
  <si>
    <t>Rear Bell Crank</t>
  </si>
  <si>
    <t>SU A0800</t>
  </si>
  <si>
    <t>Rear rocker, right and left are symetric</t>
  </si>
  <si>
    <t>Rear rocker mount</t>
  </si>
  <si>
    <t xml:space="preserve">Insert the busher into the rocker mount </t>
  </si>
  <si>
    <t>Put each part of the rocker in place</t>
  </si>
  <si>
    <t>SU 0800 001</t>
  </si>
  <si>
    <t>Rectangular sheet 100*65 mm^2</t>
  </si>
  <si>
    <t>SU 0800 003</t>
  </si>
  <si>
    <t>SU 0800 004</t>
  </si>
  <si>
    <t>Rectangular sheet 58*50 mm^2</t>
  </si>
  <si>
    <t>2 parts made from a single machine setup</t>
  </si>
  <si>
    <t>Rear Bell Cranck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</si>
</sst>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&quot;$&quot;#,##0.00"/>
    <numFmt numFmtId="175" formatCode="0.0"/>
    <numFmt numFmtId="176" formatCode="#,##0.000"/>
    <numFmt numFmtId="177" formatCode="_(\$* #,##0.00_);_(\$* \(#,##0.000\);_(\$* \-??_);_(@_)"/>
    <numFmt numFmtId="178" formatCode="_-* #,##0.000_-;\-* #,##0.000_-;_-* &quot;-&quot;??_-;_-@_-"/>
    <numFmt numFmtId="179" formatCode="\$#,##0.00,;&quot;($&quot;#,##0.00\)"/>
    <numFmt numFmtId="180" formatCode="0.00000000"/>
    <numFmt numFmtId="181" formatCode="_-* #,##0.00000000\ _€_-;\-* #,##0.00000000\ _€_-;_-* &quot;-&quot;????????\ _€_-;_-@_-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FF00"/>
        <bgColor rgb="FFFCD5B5"/>
      </patternFill>
    </fill>
    <fill>
      <patternFill patternType="solid">
        <fgColor rgb="FFFFFF66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EB9C"/>
      </patternFill>
    </fill>
    <fill>
      <patternFill patternType="solid">
        <fgColor rgb="FFFFFC00"/>
        <bgColor rgb="FFCCCCFF"/>
      </patternFill>
    </fill>
  </fills>
  <borders count="4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4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0" fontId="23" fillId="0" borderId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25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6" fillId="0" borderId="0"/>
    <xf numFmtId="170" fontId="26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70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27" fillId="2" borderId="0" applyNumberFormat="0" applyBorder="0" applyAlignment="0" applyProtection="0"/>
    <xf numFmtId="0" fontId="16" fillId="0" borderId="0"/>
    <xf numFmtId="179" fontId="16" fillId="0" borderId="36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5" fillId="0" borderId="16" xfId="0" applyFont="1" applyBorder="1" applyAlignment="1"/>
    <xf numFmtId="11" fontId="5" fillId="0" borderId="16" xfId="0" applyNumberFormat="1" applyFont="1" applyBorder="1" applyAlignment="1"/>
    <xf numFmtId="168" fontId="5" fillId="0" borderId="16" xfId="7" applyNumberFormat="1" applyFont="1" applyBorder="1" applyAlignment="1" applyProtection="1"/>
    <xf numFmtId="0" fontId="0" fillId="0" borderId="16" xfId="0" applyBorder="1" applyAlignment="1"/>
    <xf numFmtId="2" fontId="5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7" xfId="0" applyFont="1" applyBorder="1"/>
    <xf numFmtId="0" fontId="5" fillId="0" borderId="22" xfId="0" applyFont="1" applyBorder="1" applyAlignment="1"/>
    <xf numFmtId="0" fontId="19" fillId="0" borderId="0" xfId="8" applyBorder="1"/>
    <xf numFmtId="0" fontId="19" fillId="0" borderId="0" xfId="8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2" fontId="5" fillId="0" borderId="16" xfId="7" applyNumberFormat="1" applyFont="1" applyBorder="1" applyAlignment="1" applyProtection="1"/>
    <xf numFmtId="172" fontId="12" fillId="0" borderId="7" xfId="1" applyNumberFormat="1" applyFont="1" applyFill="1" applyBorder="1" applyAlignment="1">
      <alignment horizontal="right"/>
    </xf>
    <xf numFmtId="173" fontId="5" fillId="0" borderId="16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7" borderId="26" xfId="0" applyFont="1" applyFill="1" applyBorder="1" applyAlignment="1">
      <alignment horizontal="right"/>
    </xf>
    <xf numFmtId="165" fontId="4" fillId="7" borderId="26" xfId="0" applyNumberFormat="1" applyFont="1" applyFill="1" applyBorder="1"/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8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2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 applyProtection="1">
      <alignment horizontal="center"/>
      <protection locked="0"/>
    </xf>
    <xf numFmtId="172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2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 applyProtection="1">
      <alignment horizontal="center"/>
      <protection locked="0"/>
    </xf>
    <xf numFmtId="172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0" fontId="12" fillId="10" borderId="3" xfId="1" applyFont="1" applyFill="1" applyBorder="1" applyAlignment="1" applyProtection="1">
      <alignment horizontal="center"/>
      <protection locked="0"/>
    </xf>
    <xf numFmtId="0" fontId="5" fillId="0" borderId="3" xfId="0" applyFont="1" applyFill="1" applyBorder="1"/>
    <xf numFmtId="181" fontId="5" fillId="0" borderId="3" xfId="0" applyNumberFormat="1" applyFont="1" applyBorder="1" applyAlignment="1"/>
    <xf numFmtId="180" fontId="5" fillId="0" borderId="3" xfId="7" applyNumberFormat="1" applyFont="1" applyBorder="1" applyAlignment="1" applyProtection="1"/>
    <xf numFmtId="49" fontId="19" fillId="0" borderId="0" xfId="8" applyNumberFormat="1" applyBorder="1" applyAlignment="1">
      <alignment horizontal="left"/>
    </xf>
    <xf numFmtId="0" fontId="21" fillId="0" borderId="37" xfId="28" applyNumberFormat="1" applyFont="1" applyFill="1" applyBorder="1"/>
    <xf numFmtId="0" fontId="5" fillId="0" borderId="0" xfId="7" applyNumberFormat="1" applyFont="1" applyBorder="1" applyAlignment="1" applyProtection="1"/>
    <xf numFmtId="0" fontId="19" fillId="0" borderId="0" xfId="8" applyNumberFormat="1" applyBorder="1" applyAlignment="1" applyProtection="1"/>
    <xf numFmtId="0" fontId="19" fillId="0" borderId="3" xfId="8" applyNumberFormat="1" applyBorder="1" applyAlignment="1" applyProtection="1"/>
    <xf numFmtId="0" fontId="0" fillId="0" borderId="37" xfId="0" applyBorder="1"/>
    <xf numFmtId="0" fontId="0" fillId="0" borderId="37" xfId="7" applyNumberFormat="1" applyFont="1" applyBorder="1" applyAlignment="1">
      <alignment wrapText="1"/>
    </xf>
    <xf numFmtId="165" fontId="5" fillId="0" borderId="37" xfId="7" applyNumberFormat="1" applyFont="1" applyBorder="1" applyAlignment="1" applyProtection="1"/>
    <xf numFmtId="0" fontId="21" fillId="0" borderId="37" xfId="9" applyNumberFormat="1" applyFont="1" applyFill="1" applyBorder="1"/>
    <xf numFmtId="0" fontId="16" fillId="0" borderId="37" xfId="15" applyFont="1" applyFill="1" applyBorder="1" applyAlignment="1">
      <alignment wrapText="1"/>
    </xf>
    <xf numFmtId="0" fontId="5" fillId="0" borderId="37" xfId="0" applyFont="1" applyBorder="1"/>
    <xf numFmtId="0" fontId="0" fillId="0" borderId="29" xfId="0" applyBorder="1"/>
    <xf numFmtId="0" fontId="0" fillId="0" borderId="29" xfId="7" applyNumberFormat="1" applyFont="1" applyBorder="1" applyAlignment="1">
      <alignment wrapText="1"/>
    </xf>
    <xf numFmtId="0" fontId="5" fillId="0" borderId="29" xfId="0" applyFont="1" applyBorder="1"/>
    <xf numFmtId="0" fontId="5" fillId="0" borderId="35" xfId="0" applyFont="1" applyBorder="1"/>
    <xf numFmtId="0" fontId="21" fillId="0" borderId="3" xfId="0" applyFont="1" applyFill="1" applyBorder="1" applyAlignment="1" applyProtection="1">
      <alignment vertical="center" wrapText="1"/>
    </xf>
    <xf numFmtId="0" fontId="4" fillId="7" borderId="29" xfId="0" applyFont="1" applyFill="1" applyBorder="1"/>
    <xf numFmtId="0" fontId="19" fillId="0" borderId="3" xfId="8" applyNumberFormat="1" applyFill="1" applyBorder="1" applyAlignment="1" applyProtection="1"/>
    <xf numFmtId="0" fontId="22" fillId="12" borderId="39" xfId="28" applyFont="1" applyFill="1" applyBorder="1"/>
    <xf numFmtId="0" fontId="22" fillId="12" borderId="38" xfId="28" applyFont="1" applyFill="1" applyBorder="1"/>
    <xf numFmtId="37" fontId="5" fillId="0" borderId="3" xfId="0" applyNumberFormat="1" applyFont="1" applyBorder="1"/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1" fillId="0" borderId="0" xfId="28"/>
    <xf numFmtId="0" fontId="20" fillId="0" borderId="0" xfId="11"/>
    <xf numFmtId="0" fontId="24" fillId="0" borderId="0" xfId="28" applyFont="1"/>
    <xf numFmtId="0" fontId="24" fillId="0" borderId="0" xfId="28" applyFont="1" applyAlignment="1">
      <alignment horizontal="right"/>
    </xf>
    <xf numFmtId="0" fontId="22" fillId="0" borderId="0" xfId="28" applyFont="1"/>
    <xf numFmtId="37" fontId="24" fillId="0" borderId="0" xfId="28" applyNumberFormat="1" applyFont="1"/>
    <xf numFmtId="0" fontId="24" fillId="0" borderId="3" xfId="28" applyFont="1" applyBorder="1"/>
    <xf numFmtId="165" fontId="24" fillId="0" borderId="0" xfId="28" applyNumberFormat="1" applyFont="1"/>
    <xf numFmtId="165" fontId="22" fillId="12" borderId="31" xfId="28" applyNumberFormat="1" applyFont="1" applyFill="1" applyBorder="1"/>
    <xf numFmtId="0" fontId="22" fillId="12" borderId="32" xfId="28" applyFont="1" applyFill="1" applyBorder="1" applyAlignment="1">
      <alignment horizontal="right"/>
    </xf>
    <xf numFmtId="165" fontId="24" fillId="0" borderId="31" xfId="28" applyNumberFormat="1" applyFont="1" applyBorder="1"/>
    <xf numFmtId="0" fontId="24" fillId="0" borderId="31" xfId="28" applyFont="1" applyBorder="1"/>
    <xf numFmtId="0" fontId="24" fillId="0" borderId="32" xfId="28" applyFont="1" applyBorder="1"/>
    <xf numFmtId="0" fontId="22" fillId="12" borderId="33" xfId="28" applyFont="1" applyFill="1" applyBorder="1"/>
    <xf numFmtId="0" fontId="22" fillId="12" borderId="34" xfId="28" applyFont="1" applyFill="1" applyBorder="1"/>
    <xf numFmtId="177" fontId="22" fillId="12" borderId="31" xfId="28" applyNumberFormat="1" applyFont="1" applyFill="1" applyBorder="1"/>
    <xf numFmtId="0" fontId="24" fillId="0" borderId="31" xfId="28" applyNumberFormat="1" applyFont="1" applyBorder="1"/>
    <xf numFmtId="164" fontId="24" fillId="0" borderId="31" xfId="28" applyNumberFormat="1" applyFont="1" applyBorder="1"/>
    <xf numFmtId="11" fontId="24" fillId="0" borderId="31" xfId="28" applyNumberFormat="1" applyFont="1" applyBorder="1"/>
    <xf numFmtId="0" fontId="22" fillId="12" borderId="30" xfId="28" applyFont="1" applyFill="1" applyBorder="1"/>
    <xf numFmtId="0" fontId="22" fillId="12" borderId="2" xfId="28" applyFont="1" applyFill="1" applyBorder="1"/>
    <xf numFmtId="0" fontId="22" fillId="12" borderId="2" xfId="28" applyFont="1" applyFill="1" applyBorder="1" applyAlignment="1">
      <alignment horizontal="left"/>
    </xf>
    <xf numFmtId="176" fontId="24" fillId="0" borderId="31" xfId="28" applyNumberFormat="1" applyFont="1" applyBorder="1"/>
    <xf numFmtId="178" fontId="24" fillId="0" borderId="31" xfId="28" applyNumberFormat="1" applyFont="1" applyBorder="1"/>
    <xf numFmtId="0" fontId="24" fillId="0" borderId="40" xfId="28" applyFont="1" applyBorder="1"/>
    <xf numFmtId="0" fontId="21" fillId="0" borderId="41" xfId="0" applyFont="1" applyFill="1" applyBorder="1" applyAlignment="1" applyProtection="1">
      <alignment vertical="center" wrapText="1"/>
    </xf>
    <xf numFmtId="0" fontId="24" fillId="0" borderId="42" xfId="28" applyFont="1" applyBorder="1"/>
  </cellXfs>
  <cellStyles count="42">
    <cellStyle name="Comma 2" xfId="5"/>
    <cellStyle name="Comma 2 2" xfId="21"/>
    <cellStyle name="Comma 2 3" xfId="10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1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4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3"/>
    <cellStyle name="Normal 5" xfId="9"/>
    <cellStyle name="Normal 6" xfId="26"/>
    <cellStyle name="Normal_Sheet1" xfId="15"/>
    <cellStyle name="Pourcentage 2" xfId="41"/>
    <cellStyle name="Satisfaisant 2" xfId="34"/>
    <cellStyle name="Style 1" xfId="12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  <color rgb="FFFFFF00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dSU_0800_00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487680</xdr:colOff>
      <xdr:row>13</xdr:row>
      <xdr:rowOff>137161</xdr:rowOff>
    </xdr:from>
    <xdr:to>
      <xdr:col>11</xdr:col>
      <xdr:colOff>83820</xdr:colOff>
      <xdr:row>20</xdr:row>
      <xdr:rowOff>138497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9620" y="2514601"/>
          <a:ext cx="1318260" cy="1281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740229</xdr:colOff>
      <xdr:row>19</xdr:row>
      <xdr:rowOff>87086</xdr:rowOff>
    </xdr:from>
    <xdr:to>
      <xdr:col>1</xdr:col>
      <xdr:colOff>2212239</xdr:colOff>
      <xdr:row>39</xdr:row>
      <xdr:rowOff>71657</xdr:rowOff>
    </xdr:to>
    <xdr:pic>
      <xdr:nvPicPr>
        <xdr:cNvPr id="3" name="Imag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29" y="3614057"/>
          <a:ext cx="2266667" cy="3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22860</xdr:colOff>
      <xdr:row>26</xdr:row>
      <xdr:rowOff>139275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6400800" cy="4528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312420</xdr:colOff>
      <xdr:row>13</xdr:row>
      <xdr:rowOff>0</xdr:rowOff>
    </xdr:from>
    <xdr:to>
      <xdr:col>12</xdr:col>
      <xdr:colOff>121920</xdr:colOff>
      <xdr:row>29</xdr:row>
      <xdr:rowOff>19735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0" y="2377440"/>
          <a:ext cx="2186940" cy="294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7"/>
  <sheetViews>
    <sheetView tabSelected="1"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C11" sqref="C11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20.21875" style="9" customWidth="1"/>
    <col min="4" max="4" width="10" style="9" bestFit="1" customWidth="1"/>
    <col min="5" max="5" width="23" style="9" customWidth="1"/>
    <col min="6" max="6" width="25.33203125" style="43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53" t="s">
        <v>0</v>
      </c>
      <c r="B1" s="97" t="s">
        <v>45</v>
      </c>
      <c r="D1" s="44"/>
      <c r="M1" s="56" t="s">
        <v>48</v>
      </c>
      <c r="N1" s="45"/>
      <c r="O1" s="55" t="e">
        <f>#REF!</f>
        <v>#REF!</v>
      </c>
    </row>
    <row r="2" spans="1:15" s="15" customFormat="1" ht="15" thickBot="1" x14ac:dyDescent="0.35">
      <c r="A2" s="51" t="s">
        <v>49</v>
      </c>
      <c r="B2" s="96" t="s">
        <v>68</v>
      </c>
      <c r="C2" s="14"/>
      <c r="F2" s="39"/>
    </row>
    <row r="3" spans="1:15" s="15" customFormat="1" ht="15.6" thickTop="1" thickBot="1" x14ac:dyDescent="0.35">
      <c r="A3" s="52" t="s">
        <v>50</v>
      </c>
      <c r="B3" s="54">
        <v>2018</v>
      </c>
      <c r="C3" s="14"/>
      <c r="F3" s="39"/>
    </row>
    <row r="4" spans="1:15" s="15" customFormat="1" ht="15.6" thickTop="1" thickBot="1" x14ac:dyDescent="0.35">
      <c r="A4" s="50" t="s">
        <v>1</v>
      </c>
      <c r="B4" s="95">
        <v>81</v>
      </c>
      <c r="C4" s="14"/>
      <c r="D4" s="44" t="s">
        <v>51</v>
      </c>
      <c r="F4" s="39"/>
    </row>
    <row r="5" spans="1:15" s="37" customFormat="1" ht="15" thickTop="1" x14ac:dyDescent="0.3">
      <c r="A5" s="36"/>
      <c r="B5" s="40"/>
      <c r="C5" s="38"/>
      <c r="F5" s="41"/>
    </row>
    <row r="6" spans="1:15" s="35" customFormat="1" ht="49.5" customHeight="1" x14ac:dyDescent="0.25">
      <c r="A6" s="34" t="s">
        <v>52</v>
      </c>
      <c r="B6" s="47" t="s">
        <v>53</v>
      </c>
      <c r="C6" s="47" t="s">
        <v>54</v>
      </c>
      <c r="D6" s="47" t="s">
        <v>55</v>
      </c>
      <c r="E6" s="47" t="s">
        <v>56</v>
      </c>
      <c r="F6" s="47" t="s">
        <v>57</v>
      </c>
      <c r="G6" s="47" t="s">
        <v>58</v>
      </c>
      <c r="H6" s="49" t="s">
        <v>59</v>
      </c>
      <c r="I6" s="47" t="s">
        <v>17</v>
      </c>
      <c r="J6" s="47" t="s">
        <v>60</v>
      </c>
      <c r="K6" s="47" t="s">
        <v>61</v>
      </c>
      <c r="L6" s="47" t="s">
        <v>62</v>
      </c>
      <c r="M6" s="47" t="s">
        <v>63</v>
      </c>
      <c r="N6" s="48" t="s">
        <v>64</v>
      </c>
      <c r="O6" s="47" t="s">
        <v>65</v>
      </c>
    </row>
    <row r="7" spans="1:15" ht="14.4" x14ac:dyDescent="0.3">
      <c r="A7" s="117"/>
      <c r="B7" s="118" t="str">
        <f>'SU A0800'!B3</f>
        <v>Suspension &amp; Shocks</v>
      </c>
      <c r="C7" s="119" t="str">
        <f>SU_A0800</f>
        <v>SU A0800</v>
      </c>
      <c r="D7" s="119" t="s">
        <v>11</v>
      </c>
      <c r="E7" s="119"/>
      <c r="F7" s="120" t="s">
        <v>128</v>
      </c>
      <c r="G7" s="119"/>
      <c r="H7" s="121">
        <f t="shared" ref="H7:H10" si="0">SUM(J7:M7)</f>
        <v>4.8177252544509166</v>
      </c>
      <c r="I7" s="122">
        <f>SU_A0800_q</f>
        <v>2</v>
      </c>
      <c r="J7" s="123">
        <f>SU_A0800_m</f>
        <v>0.2</v>
      </c>
      <c r="K7" s="123">
        <f>SU_A0800_p</f>
        <v>3.5024999999999999</v>
      </c>
      <c r="L7" s="123">
        <f>SU_A0800_f</f>
        <v>0.11522525445091675</v>
      </c>
      <c r="M7" s="123">
        <f>SU_A0800_t</f>
        <v>1</v>
      </c>
      <c r="N7" s="124">
        <f t="shared" ref="N7:N10" si="1">H7*I7</f>
        <v>9.6354505089018332</v>
      </c>
      <c r="O7" s="125"/>
    </row>
    <row r="8" spans="1:15" ht="14.4" x14ac:dyDescent="0.3">
      <c r="A8" s="126"/>
      <c r="B8" s="127" t="str">
        <f>'SU A0800'!B3</f>
        <v>Suspension &amp; Shocks</v>
      </c>
      <c r="C8" s="120" t="str">
        <f>SU_0800_001</f>
        <v>SU 0800 001</v>
      </c>
      <c r="D8" s="128" t="s">
        <v>11</v>
      </c>
      <c r="E8" s="128" t="s">
        <v>128</v>
      </c>
      <c r="F8" s="129" t="s">
        <v>72</v>
      </c>
      <c r="G8" s="128"/>
      <c r="H8" s="130">
        <f t="shared" si="0"/>
        <v>1.3710986506763019</v>
      </c>
      <c r="I8" s="131">
        <f>SU_0800_001_q</f>
        <v>4</v>
      </c>
      <c r="J8" s="132">
        <f>SU_0800_001_m</f>
        <v>4.6098650676301943E-2</v>
      </c>
      <c r="K8" s="132">
        <f>SU_0800_001_p</f>
        <v>1.325</v>
      </c>
      <c r="L8" s="132">
        <v>0</v>
      </c>
      <c r="M8" s="132">
        <v>0</v>
      </c>
      <c r="N8" s="133">
        <f t="shared" si="1"/>
        <v>5.4843946027052075</v>
      </c>
      <c r="O8" s="134"/>
    </row>
    <row r="9" spans="1:15" ht="14.4" x14ac:dyDescent="0.3">
      <c r="A9" s="126"/>
      <c r="B9" s="127" t="str">
        <f>'SU A0800'!$B$3</f>
        <v>Suspension &amp; Shocks</v>
      </c>
      <c r="C9" s="120" t="str">
        <f>SU_0800_003</f>
        <v>SU 0800 003</v>
      </c>
      <c r="D9" s="128" t="s">
        <v>11</v>
      </c>
      <c r="E9" s="128" t="s">
        <v>128</v>
      </c>
      <c r="F9" s="129" t="s">
        <v>71</v>
      </c>
      <c r="G9" s="128"/>
      <c r="H9" s="130">
        <f t="shared" si="0"/>
        <v>2.0644187499999997</v>
      </c>
      <c r="I9" s="135">
        <f>SU_0800_003_q</f>
        <v>4</v>
      </c>
      <c r="J9" s="132">
        <f>SU_0800_003_m</f>
        <v>0.34441874999999994</v>
      </c>
      <c r="K9" s="132">
        <f>SU_0800_003_p</f>
        <v>1.72</v>
      </c>
      <c r="L9" s="132">
        <v>0</v>
      </c>
      <c r="M9" s="132">
        <v>0</v>
      </c>
      <c r="N9" s="133">
        <f t="shared" si="1"/>
        <v>8.257674999999999</v>
      </c>
      <c r="O9" s="134"/>
    </row>
    <row r="10" spans="1:15" ht="15" thickBot="1" x14ac:dyDescent="0.35">
      <c r="A10" s="126"/>
      <c r="B10" s="127" t="str">
        <f>'SU A0800'!$B$3</f>
        <v>Suspension &amp; Shocks</v>
      </c>
      <c r="C10" s="120" t="str">
        <f>SU_0800_004</f>
        <v>SU 0800 004</v>
      </c>
      <c r="D10" s="128" t="s">
        <v>11</v>
      </c>
      <c r="E10" s="128" t="s">
        <v>128</v>
      </c>
      <c r="F10" s="129" t="s">
        <v>119</v>
      </c>
      <c r="G10" s="128"/>
      <c r="H10" s="130">
        <f t="shared" si="0"/>
        <v>3.3779399999999997</v>
      </c>
      <c r="I10" s="135">
        <f>SU_0800_004_q</f>
        <v>2</v>
      </c>
      <c r="J10" s="132">
        <f>SU_0800_004_m</f>
        <v>0.81953999999999994</v>
      </c>
      <c r="K10" s="132">
        <f>SU_0800_004_p</f>
        <v>2.5583999999999998</v>
      </c>
      <c r="L10" s="132">
        <v>0</v>
      </c>
      <c r="M10" s="132">
        <v>0</v>
      </c>
      <c r="N10" s="133">
        <f t="shared" si="1"/>
        <v>6.7558799999999994</v>
      </c>
      <c r="O10" s="134"/>
    </row>
    <row r="11" spans="1:15" s="12" customFormat="1" ht="15" thickTop="1" thickBot="1" x14ac:dyDescent="0.3">
      <c r="A11" s="5"/>
      <c r="B11" s="42" t="str">
        <f>'SU A0800'!B3</f>
        <v>Suspension &amp; Shocks</v>
      </c>
      <c r="C11" s="1"/>
      <c r="D11" s="1"/>
      <c r="E11" s="1"/>
      <c r="F11" s="42" t="s">
        <v>66</v>
      </c>
      <c r="G11" s="1"/>
      <c r="H11" s="3"/>
      <c r="I11" s="4"/>
      <c r="J11" s="99">
        <f>SUMPRODUCT($I7:$I10,J7:J10)</f>
        <v>3.6011496027052075</v>
      </c>
      <c r="K11" s="99">
        <f>SUMPRODUCT($I7:$I10,K7:K10)</f>
        <v>24.3018</v>
      </c>
      <c r="L11" s="99">
        <f>SUMPRODUCT($I7:$I10,L7:L10)</f>
        <v>0.2304505089018335</v>
      </c>
      <c r="M11" s="99">
        <f>SUMPRODUCT($I7:$I10,M7:M10)</f>
        <v>2</v>
      </c>
      <c r="N11" s="99">
        <f>SUM(N7:N10)</f>
        <v>30.133400111607038</v>
      </c>
      <c r="O11" s="2"/>
    </row>
    <row r="12" spans="1:15" ht="13.8" thickTop="1" x14ac:dyDescent="0.25">
      <c r="A12" s="11"/>
      <c r="B12" s="43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5">
      <c r="A13" s="11"/>
      <c r="B13" s="43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5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5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46"/>
    </row>
    <row r="16" spans="1:15" x14ac:dyDescent="0.25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5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46"/>
    </row>
    <row r="18" spans="1:14" x14ac:dyDescent="0.25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5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5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5">
      <c r="A42" s="7"/>
      <c r="B42" s="11"/>
      <c r="F42" s="43"/>
      <c r="I42" s="6"/>
      <c r="J42" s="6"/>
      <c r="K42" s="6"/>
      <c r="L42" s="6"/>
      <c r="M42" s="6"/>
    </row>
    <row r="43" spans="1:14" s="9" customFormat="1" x14ac:dyDescent="0.25">
      <c r="A43" s="7"/>
      <c r="B43" s="11"/>
      <c r="F43" s="43"/>
      <c r="I43" s="6"/>
      <c r="J43" s="6"/>
      <c r="K43" s="6"/>
      <c r="L43" s="6"/>
      <c r="M43" s="6"/>
    </row>
    <row r="44" spans="1:14" s="9" customFormat="1" x14ac:dyDescent="0.25">
      <c r="A44" s="7"/>
      <c r="B44" s="11"/>
      <c r="F44" s="43"/>
      <c r="I44" s="6"/>
      <c r="J44" s="6"/>
      <c r="K44" s="6"/>
      <c r="L44" s="6"/>
      <c r="M44" s="6"/>
    </row>
    <row r="45" spans="1:14" s="9" customFormat="1" x14ac:dyDescent="0.25">
      <c r="A45" s="7"/>
      <c r="B45" s="11"/>
      <c r="F45" s="43"/>
      <c r="I45" s="6"/>
      <c r="J45" s="6"/>
      <c r="K45" s="6"/>
      <c r="L45" s="6"/>
      <c r="M45" s="6"/>
    </row>
    <row r="46" spans="1:14" s="9" customFormat="1" x14ac:dyDescent="0.25">
      <c r="A46" s="7"/>
      <c r="B46" s="11"/>
      <c r="F46" s="43"/>
      <c r="I46" s="6"/>
      <c r="J46" s="6"/>
      <c r="K46" s="6"/>
      <c r="L46" s="6"/>
      <c r="M46" s="6"/>
    </row>
    <row r="47" spans="1:14" s="9" customFormat="1" x14ac:dyDescent="0.25">
      <c r="A47" s="7"/>
      <c r="B47" s="11"/>
      <c r="F47" s="43"/>
      <c r="I47" s="6"/>
      <c r="J47" s="6"/>
      <c r="K47" s="6"/>
      <c r="L47" s="6"/>
      <c r="M47" s="6"/>
    </row>
    <row r="48" spans="1:14" s="9" customFormat="1" x14ac:dyDescent="0.25">
      <c r="A48" s="7"/>
      <c r="B48" s="11"/>
      <c r="F48" s="43"/>
      <c r="I48" s="6"/>
      <c r="J48" s="6"/>
      <c r="K48" s="6"/>
      <c r="L48" s="6"/>
      <c r="M48" s="6"/>
    </row>
    <row r="49" spans="1:14" s="9" customFormat="1" x14ac:dyDescent="0.25">
      <c r="A49" s="7"/>
      <c r="B49" s="11"/>
      <c r="F49" s="43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43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43"/>
      <c r="I51" s="6"/>
      <c r="J51" s="6"/>
      <c r="K51" s="6"/>
      <c r="L51" s="6"/>
      <c r="M51" s="6"/>
    </row>
    <row r="52" spans="1:14" s="10" customFormat="1" x14ac:dyDescent="0.25">
      <c r="A52" s="7"/>
      <c r="B52" s="11"/>
      <c r="C52" s="9"/>
      <c r="D52" s="9"/>
      <c r="E52" s="9"/>
      <c r="F52" s="43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5">
      <c r="A53" s="7"/>
      <c r="B53" s="11"/>
      <c r="C53" s="9"/>
      <c r="D53" s="9"/>
      <c r="E53" s="9"/>
      <c r="F53" s="43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5">
      <c r="A54" s="7"/>
      <c r="B54" s="11"/>
      <c r="C54" s="9"/>
      <c r="D54" s="9"/>
      <c r="E54" s="9"/>
      <c r="F54" s="43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5">
      <c r="A55" s="7"/>
      <c r="B55" s="11"/>
      <c r="C55" s="9"/>
      <c r="D55" s="9"/>
      <c r="E55" s="9"/>
      <c r="F55" s="43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5">
      <c r="A56" s="7"/>
      <c r="B56" s="11"/>
      <c r="C56" s="9"/>
      <c r="D56" s="9"/>
      <c r="E56" s="9"/>
      <c r="F56" s="43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5">
      <c r="A57" s="7"/>
      <c r="B57" s="11"/>
      <c r="C57" s="9"/>
      <c r="D57" s="9"/>
      <c r="E57" s="9"/>
      <c r="F57" s="43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5">
      <c r="A58" s="7"/>
      <c r="B58" s="11"/>
      <c r="C58" s="9"/>
      <c r="D58" s="9"/>
      <c r="E58" s="9"/>
      <c r="F58" s="43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5">
      <c r="A59" s="7"/>
      <c r="B59" s="11"/>
      <c r="C59" s="9"/>
      <c r="D59" s="9"/>
      <c r="E59" s="9"/>
      <c r="F59" s="43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43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43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43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43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43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43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43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43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43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43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43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43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43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43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43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43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43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43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43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43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43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43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43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43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43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43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43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43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43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43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43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43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43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43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43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43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43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43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43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43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43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43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43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43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43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43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43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43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43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43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43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43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43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43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43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43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43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43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43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43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43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43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43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43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43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43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43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43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43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43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43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43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43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43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43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43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43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43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43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43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43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43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43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43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43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43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43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43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43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43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43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43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43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43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43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43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43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43"/>
      <c r="G157" s="9"/>
      <c r="H157" s="9"/>
      <c r="I157" s="6"/>
      <c r="J157" s="6"/>
      <c r="K157" s="6"/>
      <c r="L157" s="6"/>
      <c r="M157" s="6"/>
      <c r="N157" s="9"/>
    </row>
  </sheetData>
  <hyperlinks>
    <hyperlink ref="F8" location="SU_0800_001" display="Rocker bushing"/>
    <hyperlink ref="F9" location="SU_0800_003" display="Sheets of metal for rocker"/>
    <hyperlink ref="F10" location="SU_0800_004" display="Front rocker mount"/>
    <hyperlink ref="F7" location="SU_A0800" display="Rear Bell Cranck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3"/>
  <sheetViews>
    <sheetView zoomScale="75" zoomScaleNormal="75" zoomScaleSheetLayoutView="80" workbookViewId="0">
      <selection activeCell="K24" sqref="K24"/>
    </sheetView>
  </sheetViews>
  <sheetFormatPr baseColWidth="10" defaultColWidth="9.109375" defaultRowHeight="14.4" x14ac:dyDescent="0.3"/>
  <cols>
    <col min="1" max="1" width="11.44140625"/>
    <col min="2" max="2" width="35.21875" customWidth="1"/>
    <col min="3" max="3" width="45.8867187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5" x14ac:dyDescent="0.3">
      <c r="A2" s="101" t="s">
        <v>0</v>
      </c>
      <c r="B2" s="16" t="s">
        <v>45</v>
      </c>
      <c r="C2" s="57"/>
      <c r="D2" s="57"/>
      <c r="E2" s="57" t="s">
        <v>69</v>
      </c>
      <c r="F2" s="57"/>
      <c r="G2" s="57"/>
      <c r="H2" s="57"/>
      <c r="I2" s="57"/>
      <c r="J2" s="101" t="s">
        <v>1</v>
      </c>
      <c r="K2" s="90">
        <v>81</v>
      </c>
      <c r="L2" s="57"/>
      <c r="M2" s="101" t="s">
        <v>2</v>
      </c>
      <c r="N2" s="98">
        <f>SU_A0800_pa+SU_A0800_m+SU_A0800_p+SU_A0800_f+SU_A0800_t</f>
        <v>15.066700055803517</v>
      </c>
      <c r="O2" s="63"/>
    </row>
    <row r="3" spans="1:15" x14ac:dyDescent="0.3">
      <c r="A3" s="101" t="s">
        <v>3</v>
      </c>
      <c r="B3" s="16" t="s">
        <v>70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101" t="s">
        <v>4</v>
      </c>
      <c r="N3" s="88">
        <v>2</v>
      </c>
      <c r="O3" s="63"/>
    </row>
    <row r="4" spans="1:15" x14ac:dyDescent="0.3">
      <c r="A4" s="101" t="s">
        <v>5</v>
      </c>
      <c r="B4" s="58" t="s">
        <v>116</v>
      </c>
      <c r="C4" s="142"/>
      <c r="D4" s="57"/>
      <c r="E4" s="57"/>
      <c r="F4" s="57"/>
      <c r="G4" s="57"/>
      <c r="H4" s="57"/>
      <c r="I4" s="57"/>
      <c r="J4" s="102" t="s">
        <v>6</v>
      </c>
      <c r="K4" s="57"/>
      <c r="L4" s="57"/>
      <c r="M4" s="57"/>
      <c r="N4" s="57"/>
      <c r="O4" s="63"/>
    </row>
    <row r="5" spans="1:15" x14ac:dyDescent="0.3">
      <c r="A5" s="101" t="s">
        <v>7</v>
      </c>
      <c r="B5" s="18" t="s">
        <v>117</v>
      </c>
      <c r="C5" s="57"/>
      <c r="D5" s="57"/>
      <c r="E5" s="57"/>
      <c r="F5" s="57"/>
      <c r="G5" s="57"/>
      <c r="H5" s="57"/>
      <c r="I5" s="57"/>
      <c r="J5" s="102" t="s">
        <v>8</v>
      </c>
      <c r="K5" s="57"/>
      <c r="L5" s="57"/>
      <c r="M5" s="101" t="s">
        <v>9</v>
      </c>
      <c r="N5" s="74">
        <f>N2*SU_A0800_q</f>
        <v>30.133400111607035</v>
      </c>
      <c r="O5" s="63"/>
    </row>
    <row r="6" spans="1:15" x14ac:dyDescent="0.3">
      <c r="A6" s="101" t="s">
        <v>10</v>
      </c>
      <c r="B6" s="16" t="s">
        <v>11</v>
      </c>
      <c r="C6" s="57"/>
      <c r="D6" s="57"/>
      <c r="E6" s="57"/>
      <c r="F6" s="57"/>
      <c r="G6" s="57"/>
      <c r="H6" s="57"/>
      <c r="I6" s="57"/>
      <c r="J6" s="102" t="s">
        <v>12</v>
      </c>
      <c r="K6" s="57"/>
      <c r="L6" s="57"/>
      <c r="M6" s="57"/>
      <c r="N6" s="57"/>
      <c r="O6" s="63"/>
    </row>
    <row r="7" spans="1:15" x14ac:dyDescent="0.3">
      <c r="A7" s="101" t="s">
        <v>13</v>
      </c>
      <c r="B7" s="16" t="s">
        <v>118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5" x14ac:dyDescent="0.3">
      <c r="A8" s="64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5" x14ac:dyDescent="0.3">
      <c r="A9" s="155" t="s">
        <v>14</v>
      </c>
      <c r="B9" s="155" t="s">
        <v>15</v>
      </c>
      <c r="C9" s="155" t="s">
        <v>16</v>
      </c>
      <c r="D9" s="155" t="s">
        <v>17</v>
      </c>
      <c r="E9" s="155" t="s">
        <v>18</v>
      </c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5" x14ac:dyDescent="0.3">
      <c r="A10" s="19">
        <v>10</v>
      </c>
      <c r="B10" s="143" t="s">
        <v>72</v>
      </c>
      <c r="C10" s="33">
        <f>'SU 0800 001'!N2</f>
        <v>1.3710986506763019</v>
      </c>
      <c r="D10" s="159">
        <v>2</v>
      </c>
      <c r="E10" s="33">
        <f>C10*D10</f>
        <v>2.7421973013526038</v>
      </c>
      <c r="F10" s="57"/>
      <c r="G10" s="57"/>
      <c r="H10" s="57"/>
      <c r="I10" s="57"/>
      <c r="J10" s="57"/>
      <c r="K10" s="57"/>
      <c r="L10" s="57"/>
      <c r="M10" s="57"/>
      <c r="N10" s="57"/>
      <c r="O10" s="63"/>
    </row>
    <row r="11" spans="1:15" x14ac:dyDescent="0.3">
      <c r="A11" s="19">
        <v>320</v>
      </c>
      <c r="B11" s="156" t="s">
        <v>71</v>
      </c>
      <c r="C11" s="33">
        <f>'SU 0600 003'!N2</f>
        <v>2.0644187499999997</v>
      </c>
      <c r="D11" s="19">
        <v>2</v>
      </c>
      <c r="E11" s="33">
        <f>C11*D11</f>
        <v>4.1288374999999995</v>
      </c>
      <c r="F11" s="58"/>
      <c r="G11" s="58"/>
      <c r="H11" s="58"/>
      <c r="I11" s="58"/>
      <c r="J11" s="58"/>
      <c r="K11" s="58"/>
      <c r="L11" s="58"/>
      <c r="M11" s="58"/>
      <c r="N11" s="58"/>
      <c r="O11" s="65"/>
    </row>
    <row r="12" spans="1:15" x14ac:dyDescent="0.3">
      <c r="A12" s="136">
        <v>30</v>
      </c>
      <c r="B12" s="143" t="s">
        <v>119</v>
      </c>
      <c r="C12" s="33">
        <f>'SU 0800 004'!N2</f>
        <v>3.3779399999999997</v>
      </c>
      <c r="D12" s="28">
        <v>1</v>
      </c>
      <c r="E12" s="33">
        <f>C12*D12</f>
        <v>3.3779399999999997</v>
      </c>
    </row>
    <row r="13" spans="1:15" x14ac:dyDescent="0.3">
      <c r="A13" s="64"/>
      <c r="B13" s="57"/>
      <c r="C13" s="57"/>
      <c r="D13" s="105" t="s">
        <v>18</v>
      </c>
      <c r="E13" s="106">
        <f>SUM(E10:E12)</f>
        <v>10.248974801352603</v>
      </c>
      <c r="F13" s="58"/>
      <c r="G13" s="58"/>
      <c r="H13" s="58"/>
      <c r="I13" s="58"/>
      <c r="J13" s="58"/>
      <c r="K13" s="58"/>
      <c r="L13" s="58"/>
      <c r="M13" s="58"/>
      <c r="N13" s="58"/>
      <c r="O13" s="63"/>
    </row>
    <row r="14" spans="1:15" x14ac:dyDescent="0.3">
      <c r="A14" s="64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63"/>
    </row>
    <row r="15" spans="1:15" x14ac:dyDescent="0.3">
      <c r="A15" s="101" t="s">
        <v>14</v>
      </c>
      <c r="B15" s="101" t="s">
        <v>19</v>
      </c>
      <c r="C15" s="101" t="s">
        <v>20</v>
      </c>
      <c r="D15" s="101" t="s">
        <v>21</v>
      </c>
      <c r="E15" s="101" t="s">
        <v>22</v>
      </c>
      <c r="F15" s="101" t="s">
        <v>23</v>
      </c>
      <c r="G15" s="101" t="s">
        <v>24</v>
      </c>
      <c r="H15" s="101" t="s">
        <v>25</v>
      </c>
      <c r="I15" s="101" t="s">
        <v>26</v>
      </c>
      <c r="J15" s="101" t="s">
        <v>27</v>
      </c>
      <c r="K15" s="101" t="s">
        <v>28</v>
      </c>
      <c r="L15" s="101" t="s">
        <v>29</v>
      </c>
      <c r="M15" s="101" t="s">
        <v>17</v>
      </c>
      <c r="N15" s="101" t="s">
        <v>18</v>
      </c>
      <c r="O15" s="63"/>
    </row>
    <row r="16" spans="1:15" x14ac:dyDescent="0.3">
      <c r="A16" s="73">
        <v>10</v>
      </c>
      <c r="B16" s="73" t="s">
        <v>73</v>
      </c>
      <c r="C16" s="73" t="s">
        <v>74</v>
      </c>
      <c r="D16" s="74">
        <v>10</v>
      </c>
      <c r="E16" s="73">
        <v>5.0000000000000001E-3</v>
      </c>
      <c r="F16" s="73" t="s">
        <v>90</v>
      </c>
      <c r="G16" s="73"/>
      <c r="H16" s="75"/>
      <c r="I16" s="76"/>
      <c r="J16" s="77"/>
      <c r="K16" s="75"/>
      <c r="L16" s="75"/>
      <c r="M16" s="75">
        <v>2</v>
      </c>
      <c r="N16" s="74">
        <f>M16*D16*E16</f>
        <v>0.1</v>
      </c>
      <c r="O16" s="63"/>
    </row>
    <row r="17" spans="1:15" s="24" customFormat="1" x14ac:dyDescent="0.3">
      <c r="A17" s="73">
        <v>20</v>
      </c>
      <c r="B17" s="73" t="s">
        <v>73</v>
      </c>
      <c r="C17" s="78" t="s">
        <v>75</v>
      </c>
      <c r="D17" s="74">
        <v>10</v>
      </c>
      <c r="E17" s="79">
        <v>5.0000000000000001E-3</v>
      </c>
      <c r="F17" s="79" t="s">
        <v>90</v>
      </c>
      <c r="G17" s="79"/>
      <c r="H17" s="75"/>
      <c r="I17" s="80"/>
      <c r="J17" s="100"/>
      <c r="K17" s="81"/>
      <c r="L17" s="82"/>
      <c r="M17" s="83">
        <v>2</v>
      </c>
      <c r="N17" s="74">
        <f>M17*D17*E17</f>
        <v>0.1</v>
      </c>
      <c r="O17" s="67"/>
    </row>
    <row r="18" spans="1:15" x14ac:dyDescent="0.3">
      <c r="A18" s="6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01" t="s">
        <v>18</v>
      </c>
      <c r="N18" s="103">
        <f>SUM(N16:N17)</f>
        <v>0.2</v>
      </c>
      <c r="O18" s="63"/>
    </row>
    <row r="19" spans="1:15" x14ac:dyDescent="0.3">
      <c r="A19" s="64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3"/>
    </row>
    <row r="20" spans="1:15" s="27" customFormat="1" x14ac:dyDescent="0.3">
      <c r="A20" s="101" t="s">
        <v>14</v>
      </c>
      <c r="B20" s="101" t="s">
        <v>31</v>
      </c>
      <c r="C20" s="101" t="s">
        <v>20</v>
      </c>
      <c r="D20" s="101" t="s">
        <v>21</v>
      </c>
      <c r="E20" s="101" t="s">
        <v>32</v>
      </c>
      <c r="F20" s="101" t="s">
        <v>17</v>
      </c>
      <c r="G20" s="101" t="s">
        <v>33</v>
      </c>
      <c r="H20" s="101" t="s">
        <v>34</v>
      </c>
      <c r="I20" s="101" t="s">
        <v>18</v>
      </c>
      <c r="J20" s="26"/>
      <c r="K20" s="26"/>
      <c r="L20" s="26"/>
      <c r="M20" s="26"/>
      <c r="N20" s="26"/>
      <c r="O20" s="69"/>
    </row>
    <row r="21" spans="1:15" x14ac:dyDescent="0.3">
      <c r="A21" s="73">
        <v>10</v>
      </c>
      <c r="B21" s="73" t="s">
        <v>76</v>
      </c>
      <c r="C21" s="73" t="s">
        <v>77</v>
      </c>
      <c r="D21" s="74">
        <v>0.15</v>
      </c>
      <c r="E21" s="73" t="s">
        <v>47</v>
      </c>
      <c r="F21" s="84">
        <f>11.5*2</f>
        <v>23</v>
      </c>
      <c r="G21" s="84"/>
      <c r="H21" s="84"/>
      <c r="I21" s="74">
        <f t="shared" ref="I21:I30" si="0">IF(H21="",D21*F21,D21*F21*H21)</f>
        <v>3.4499999999999997</v>
      </c>
      <c r="J21" s="57"/>
      <c r="K21" s="57"/>
      <c r="L21" s="57"/>
      <c r="M21" s="57"/>
      <c r="N21" s="57"/>
      <c r="O21" s="63"/>
    </row>
    <row r="22" spans="1:15" x14ac:dyDescent="0.3">
      <c r="A22" s="73">
        <v>20</v>
      </c>
      <c r="B22" s="85" t="s">
        <v>78</v>
      </c>
      <c r="C22" s="73" t="s">
        <v>79</v>
      </c>
      <c r="D22" s="74">
        <v>5.25</v>
      </c>
      <c r="E22" s="85" t="s">
        <v>90</v>
      </c>
      <c r="F22" s="84">
        <v>5.0000000000000001E-3</v>
      </c>
      <c r="G22" s="73"/>
      <c r="H22" s="73"/>
      <c r="I22" s="74">
        <f t="shared" si="0"/>
        <v>2.6249999999999999E-2</v>
      </c>
      <c r="J22" s="57"/>
      <c r="K22" s="57"/>
      <c r="L22" s="57"/>
      <c r="M22" s="57"/>
      <c r="N22" s="57"/>
      <c r="O22" s="63"/>
    </row>
    <row r="23" spans="1:15" x14ac:dyDescent="0.3">
      <c r="A23" s="73">
        <v>30</v>
      </c>
      <c r="B23" s="85" t="s">
        <v>78</v>
      </c>
      <c r="C23" s="73" t="s">
        <v>80</v>
      </c>
      <c r="D23" s="74">
        <v>5.25</v>
      </c>
      <c r="E23" s="73" t="s">
        <v>90</v>
      </c>
      <c r="F23" s="84">
        <v>5.0000000000000001E-3</v>
      </c>
      <c r="G23" s="73"/>
      <c r="H23" s="73"/>
      <c r="I23" s="74">
        <f t="shared" si="0"/>
        <v>2.6249999999999999E-2</v>
      </c>
      <c r="J23" s="57"/>
      <c r="K23" s="57"/>
      <c r="L23" s="57"/>
      <c r="M23" s="57"/>
      <c r="N23" s="57"/>
      <c r="O23" s="63"/>
    </row>
    <row r="24" spans="1:15" s="17" customFormat="1" x14ac:dyDescent="0.3">
      <c r="A24" s="73">
        <v>40</v>
      </c>
      <c r="B24" s="85" t="s">
        <v>81</v>
      </c>
      <c r="C24" s="73" t="s">
        <v>120</v>
      </c>
      <c r="D24" s="74">
        <v>0.06</v>
      </c>
      <c r="E24" s="73" t="s">
        <v>35</v>
      </c>
      <c r="F24" s="84">
        <v>2</v>
      </c>
      <c r="G24" s="73"/>
      <c r="H24" s="73"/>
      <c r="I24" s="74">
        <f t="shared" si="0"/>
        <v>0.12</v>
      </c>
      <c r="J24" s="58"/>
      <c r="K24" s="58"/>
      <c r="L24" s="58"/>
      <c r="M24" s="58"/>
      <c r="N24" s="58"/>
      <c r="O24" s="66"/>
    </row>
    <row r="25" spans="1:15" s="27" customFormat="1" x14ac:dyDescent="0.3">
      <c r="A25" s="73">
        <v>50</v>
      </c>
      <c r="B25" s="85" t="s">
        <v>81</v>
      </c>
      <c r="C25" s="73" t="s">
        <v>121</v>
      </c>
      <c r="D25" s="74">
        <v>0.06</v>
      </c>
      <c r="E25" s="73" t="s">
        <v>35</v>
      </c>
      <c r="F25" s="84">
        <v>2</v>
      </c>
      <c r="G25" s="84"/>
      <c r="H25" s="84"/>
      <c r="I25" s="74">
        <f t="shared" si="0"/>
        <v>0.12</v>
      </c>
      <c r="J25" s="58"/>
      <c r="K25" s="58"/>
      <c r="L25" s="58"/>
      <c r="M25" s="58"/>
      <c r="N25" s="58"/>
      <c r="O25" s="69"/>
    </row>
    <row r="26" spans="1:15" s="17" customFormat="1" ht="14.4" customHeight="1" x14ac:dyDescent="0.3">
      <c r="A26" s="152">
        <v>60</v>
      </c>
      <c r="B26" s="151" t="s">
        <v>81</v>
      </c>
      <c r="C26" s="151" t="s">
        <v>91</v>
      </c>
      <c r="D26" s="74">
        <v>0.06</v>
      </c>
      <c r="E26" s="151" t="s">
        <v>35</v>
      </c>
      <c r="F26" s="150">
        <v>2</v>
      </c>
      <c r="G26" s="152"/>
      <c r="H26" s="73"/>
      <c r="I26" s="74">
        <f t="shared" si="0"/>
        <v>0.12</v>
      </c>
      <c r="J26" s="58"/>
      <c r="K26" s="58"/>
      <c r="L26" s="58"/>
      <c r="M26" s="58"/>
      <c r="N26" s="58"/>
      <c r="O26" s="66"/>
    </row>
    <row r="27" spans="1:15" s="17" customFormat="1" ht="14.4" customHeight="1" x14ac:dyDescent="0.3">
      <c r="A27" s="149">
        <v>70</v>
      </c>
      <c r="B27" s="148" t="s">
        <v>82</v>
      </c>
      <c r="C27" s="147" t="s">
        <v>83</v>
      </c>
      <c r="D27" s="146">
        <v>0.12</v>
      </c>
      <c r="E27" s="145" t="s">
        <v>35</v>
      </c>
      <c r="F27" s="144">
        <v>1</v>
      </c>
      <c r="G27" s="149"/>
      <c r="H27" s="153"/>
      <c r="I27" s="74">
        <f t="shared" si="0"/>
        <v>0.12</v>
      </c>
      <c r="J27" s="58"/>
      <c r="K27" s="58"/>
      <c r="L27" s="58"/>
      <c r="M27" s="58"/>
      <c r="N27" s="58"/>
      <c r="O27" s="66"/>
    </row>
    <row r="28" spans="1:15" s="17" customFormat="1" ht="14.4" customHeight="1" x14ac:dyDescent="0.3">
      <c r="A28" s="149">
        <v>80</v>
      </c>
      <c r="B28" s="148" t="s">
        <v>82</v>
      </c>
      <c r="C28" s="140" t="s">
        <v>87</v>
      </c>
      <c r="D28" s="146">
        <v>0.12</v>
      </c>
      <c r="E28" s="145" t="s">
        <v>35</v>
      </c>
      <c r="F28" s="144">
        <v>1</v>
      </c>
      <c r="G28" s="149"/>
      <c r="H28" s="153"/>
      <c r="I28" s="74">
        <f t="shared" si="0"/>
        <v>0.12</v>
      </c>
      <c r="J28" s="58"/>
      <c r="K28" s="58"/>
      <c r="L28" s="58"/>
      <c r="M28" s="58"/>
      <c r="N28" s="58"/>
      <c r="O28" s="66"/>
    </row>
    <row r="29" spans="1:15" s="17" customFormat="1" ht="14.4" customHeight="1" x14ac:dyDescent="0.3">
      <c r="A29" s="149">
        <v>90</v>
      </c>
      <c r="B29" s="148" t="s">
        <v>84</v>
      </c>
      <c r="C29" s="140" t="s">
        <v>85</v>
      </c>
      <c r="D29" s="146">
        <v>0.75</v>
      </c>
      <c r="E29" s="145" t="s">
        <v>35</v>
      </c>
      <c r="F29" s="144">
        <v>1</v>
      </c>
      <c r="G29" s="149"/>
      <c r="H29" s="153"/>
      <c r="I29" s="74">
        <f t="shared" si="0"/>
        <v>0.75</v>
      </c>
      <c r="J29" s="58"/>
      <c r="K29" s="58"/>
      <c r="L29" s="58"/>
      <c r="M29" s="58"/>
      <c r="N29" s="58"/>
      <c r="O29" s="66"/>
    </row>
    <row r="30" spans="1:15" s="17" customFormat="1" ht="14.4" customHeight="1" x14ac:dyDescent="0.3">
      <c r="A30" s="149">
        <v>100</v>
      </c>
      <c r="B30" s="148" t="s">
        <v>86</v>
      </c>
      <c r="C30" s="140" t="s">
        <v>85</v>
      </c>
      <c r="D30" s="146">
        <v>0.25</v>
      </c>
      <c r="E30" s="145" t="s">
        <v>35</v>
      </c>
      <c r="F30" s="144">
        <v>1</v>
      </c>
      <c r="G30" s="149"/>
      <c r="H30" s="153"/>
      <c r="I30" s="74">
        <f t="shared" si="0"/>
        <v>0.25</v>
      </c>
      <c r="J30" s="58"/>
      <c r="K30" s="58"/>
      <c r="L30" s="58"/>
      <c r="M30" s="58"/>
      <c r="N30" s="58"/>
      <c r="O30" s="66"/>
    </row>
    <row r="31" spans="1:15" x14ac:dyDescent="0.3">
      <c r="A31" s="68"/>
      <c r="B31" s="26"/>
      <c r="C31" s="26"/>
      <c r="D31" s="26"/>
      <c r="E31" s="26"/>
      <c r="F31" s="26"/>
      <c r="G31" s="26"/>
      <c r="H31" s="104" t="s">
        <v>18</v>
      </c>
      <c r="I31" s="103">
        <f>SUM(I21:I23)</f>
        <v>3.5024999999999999</v>
      </c>
      <c r="J31" s="57"/>
      <c r="K31" s="57"/>
      <c r="L31" s="57"/>
      <c r="M31" s="57"/>
      <c r="N31" s="57"/>
      <c r="O31" s="63"/>
    </row>
    <row r="32" spans="1:15" x14ac:dyDescent="0.3">
      <c r="A32" s="64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63"/>
    </row>
    <row r="33" spans="1:15" x14ac:dyDescent="0.3">
      <c r="A33" s="101" t="s">
        <v>14</v>
      </c>
      <c r="B33" s="101" t="s">
        <v>36</v>
      </c>
      <c r="C33" s="101" t="s">
        <v>20</v>
      </c>
      <c r="D33" s="101" t="s">
        <v>21</v>
      </c>
      <c r="E33" s="101" t="s">
        <v>22</v>
      </c>
      <c r="F33" s="101" t="s">
        <v>23</v>
      </c>
      <c r="G33" s="101" t="s">
        <v>24</v>
      </c>
      <c r="H33" s="101" t="s">
        <v>25</v>
      </c>
      <c r="I33" s="101" t="s">
        <v>17</v>
      </c>
      <c r="J33" s="101" t="s">
        <v>18</v>
      </c>
      <c r="K33" s="57"/>
      <c r="L33" s="57"/>
      <c r="M33" s="57"/>
      <c r="N33" s="57"/>
      <c r="O33" s="63"/>
    </row>
    <row r="34" spans="1:15" x14ac:dyDescent="0.3">
      <c r="A34" s="73">
        <v>10</v>
      </c>
      <c r="B34" s="73" t="s">
        <v>37</v>
      </c>
      <c r="C34" s="73" t="s">
        <v>88</v>
      </c>
      <c r="D34" s="86">
        <f>0.8/105154*E34^2*G34*SQRT(G34)+0.003*EXP(0.319*E34)</f>
        <v>6.5344202146287819E-2</v>
      </c>
      <c r="E34" s="87">
        <v>6</v>
      </c>
      <c r="F34" s="87" t="s">
        <v>30</v>
      </c>
      <c r="G34" s="87">
        <v>30</v>
      </c>
      <c r="H34" s="87" t="s">
        <v>30</v>
      </c>
      <c r="I34" s="88">
        <v>1</v>
      </c>
      <c r="J34" s="74">
        <f>D34*I34</f>
        <v>6.5344202146287819E-2</v>
      </c>
      <c r="K34" s="57"/>
      <c r="L34" s="57"/>
      <c r="M34" s="57"/>
      <c r="N34" s="57"/>
      <c r="O34" s="63"/>
    </row>
    <row r="35" spans="1:15" x14ac:dyDescent="0.3">
      <c r="A35" s="73">
        <v>20</v>
      </c>
      <c r="B35" s="73" t="s">
        <v>38</v>
      </c>
      <c r="C35" s="73" t="s">
        <v>88</v>
      </c>
      <c r="D35" s="86">
        <v>0.01</v>
      </c>
      <c r="E35" s="73"/>
      <c r="F35" s="89" t="s">
        <v>35</v>
      </c>
      <c r="G35" s="73"/>
      <c r="H35" s="73"/>
      <c r="I35" s="88">
        <v>2</v>
      </c>
      <c r="J35" s="74">
        <f>I35*D35</f>
        <v>0.02</v>
      </c>
      <c r="K35" s="57"/>
      <c r="L35" s="57"/>
      <c r="M35" s="57"/>
      <c r="N35" s="57"/>
      <c r="O35" s="63"/>
    </row>
    <row r="36" spans="1:15" x14ac:dyDescent="0.3">
      <c r="A36" s="73">
        <v>30</v>
      </c>
      <c r="B36" s="73" t="s">
        <v>39</v>
      </c>
      <c r="C36" s="73" t="s">
        <v>88</v>
      </c>
      <c r="D36" s="86">
        <f>0.009*EXP(0.2*E36)</f>
        <v>2.9881052304628931E-2</v>
      </c>
      <c r="E36" s="73">
        <v>6</v>
      </c>
      <c r="F36" s="89" t="s">
        <v>30</v>
      </c>
      <c r="G36" s="73"/>
      <c r="H36" s="73"/>
      <c r="I36" s="88">
        <v>1</v>
      </c>
      <c r="J36" s="74">
        <f>D36*I36</f>
        <v>2.9881052304628931E-2</v>
      </c>
      <c r="K36" s="57"/>
      <c r="L36" s="57"/>
      <c r="M36" s="57"/>
      <c r="N36" s="57"/>
      <c r="O36" s="63"/>
    </row>
    <row r="37" spans="1:15" x14ac:dyDescent="0.3">
      <c r="A37" s="68"/>
      <c r="B37" s="26"/>
      <c r="C37" s="26"/>
      <c r="D37" s="26"/>
      <c r="E37" s="26"/>
      <c r="F37" s="26"/>
      <c r="G37" s="26"/>
      <c r="H37" s="26"/>
      <c r="I37" s="104" t="s">
        <v>18</v>
      </c>
      <c r="J37" s="103">
        <f>SUM(J34:J36)</f>
        <v>0.11522525445091675</v>
      </c>
      <c r="K37" s="57"/>
      <c r="L37" s="57"/>
      <c r="M37" s="57"/>
      <c r="N37" s="57"/>
      <c r="O37" s="63"/>
    </row>
    <row r="38" spans="1:15" x14ac:dyDescent="0.3">
      <c r="A38" s="64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63"/>
    </row>
    <row r="39" spans="1:15" x14ac:dyDescent="0.3">
      <c r="A39" s="101" t="s">
        <v>14</v>
      </c>
      <c r="B39" s="101" t="s">
        <v>40</v>
      </c>
      <c r="C39" s="101" t="s">
        <v>20</v>
      </c>
      <c r="D39" s="101" t="s">
        <v>21</v>
      </c>
      <c r="E39" s="101" t="s">
        <v>32</v>
      </c>
      <c r="F39" s="101" t="s">
        <v>17</v>
      </c>
      <c r="G39" s="101" t="s">
        <v>41</v>
      </c>
      <c r="H39" s="101" t="s">
        <v>42</v>
      </c>
      <c r="I39" s="101" t="s">
        <v>18</v>
      </c>
      <c r="J39" s="26"/>
      <c r="K39" s="57"/>
      <c r="L39" s="57"/>
      <c r="M39" s="57"/>
      <c r="N39" s="57"/>
      <c r="O39" s="63"/>
    </row>
    <row r="40" spans="1:15" x14ac:dyDescent="0.3">
      <c r="A40" s="73">
        <v>10</v>
      </c>
      <c r="B40" s="73" t="s">
        <v>43</v>
      </c>
      <c r="C40" s="73" t="s">
        <v>89</v>
      </c>
      <c r="D40" s="74">
        <v>500</v>
      </c>
      <c r="E40" s="73" t="s">
        <v>44</v>
      </c>
      <c r="F40" s="73">
        <v>6</v>
      </c>
      <c r="G40" s="73">
        <v>3000</v>
      </c>
      <c r="H40" s="73">
        <v>1</v>
      </c>
      <c r="I40" s="74">
        <f>D40*F40/G40*H40</f>
        <v>1</v>
      </c>
      <c r="J40" s="26"/>
      <c r="K40" s="57"/>
      <c r="L40" s="57"/>
      <c r="M40" s="57"/>
      <c r="N40" s="57"/>
      <c r="O40" s="63"/>
    </row>
    <row r="41" spans="1:15" x14ac:dyDescent="0.3">
      <c r="A41" s="68"/>
      <c r="B41" s="26"/>
      <c r="C41" s="26"/>
      <c r="D41" s="26"/>
      <c r="E41" s="26"/>
      <c r="F41" s="26"/>
      <c r="G41" s="26"/>
      <c r="H41" s="105" t="s">
        <v>18</v>
      </c>
      <c r="I41" s="106">
        <f>SUM(I40:I40)</f>
        <v>1</v>
      </c>
      <c r="J41" s="26"/>
      <c r="K41" s="57"/>
      <c r="L41" s="57"/>
      <c r="M41" s="57"/>
      <c r="N41" s="57"/>
      <c r="O41" s="63"/>
    </row>
    <row r="42" spans="1:15" ht="15" thickBot="1" x14ac:dyDescent="0.35">
      <c r="A42" s="70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2"/>
    </row>
    <row r="43" spans="1:15" x14ac:dyDescent="0.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</row>
  </sheetData>
  <hyperlinks>
    <hyperlink ref="B10" location="SU_0800_001" display="Rocker bushing"/>
    <hyperlink ref="B11" location="SU_0800_003" display="Sheets of metal for rocker"/>
    <hyperlink ref="B12" location="SU_0800_004" display="Rear rocker moun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80"/>
  <sheetViews>
    <sheetView topLeftCell="C1" workbookViewId="0">
      <selection activeCell="F2" sqref="F2"/>
    </sheetView>
  </sheetViews>
  <sheetFormatPr baseColWidth="10" defaultRowHeight="14.4" x14ac:dyDescent="0.3"/>
  <cols>
    <col min="2" max="2" width="31.88671875" customWidth="1"/>
    <col min="3" max="3" width="28.77734375" customWidth="1"/>
    <col min="7" max="7" width="25.109375" customWidth="1"/>
    <col min="9" max="9" width="27.21875" customWidth="1"/>
    <col min="10" max="10" width="13.5546875" customWidth="1"/>
  </cols>
  <sheetData>
    <row r="2" spans="1:14" x14ac:dyDescent="0.3">
      <c r="A2" s="183" t="s">
        <v>0</v>
      </c>
      <c r="B2" s="16" t="s">
        <v>45</v>
      </c>
      <c r="C2" s="165"/>
      <c r="D2" s="165"/>
      <c r="E2" s="165"/>
      <c r="F2" s="164" t="s">
        <v>69</v>
      </c>
      <c r="G2" s="165"/>
      <c r="H2" s="165"/>
      <c r="I2" s="165"/>
      <c r="J2" s="184" t="s">
        <v>1</v>
      </c>
      <c r="K2" s="166">
        <v>81</v>
      </c>
      <c r="L2" s="165"/>
      <c r="M2" s="183" t="s">
        <v>16</v>
      </c>
      <c r="N2" s="170">
        <f>SU_0800_001_m+SU_0800_001_p</f>
        <v>1.3710986506763019</v>
      </c>
    </row>
    <row r="3" spans="1:14" x14ac:dyDescent="0.3">
      <c r="A3" s="182" t="s">
        <v>3</v>
      </c>
      <c r="B3" s="16" t="str">
        <f>'SU A0800'!B3</f>
        <v>Suspension &amp; Shocks</v>
      </c>
      <c r="C3" s="165"/>
      <c r="D3" s="183" t="s">
        <v>6</v>
      </c>
      <c r="E3" s="165"/>
      <c r="F3" s="165"/>
      <c r="G3" s="165"/>
      <c r="H3" s="165"/>
      <c r="I3" s="165"/>
      <c r="J3" s="165"/>
      <c r="K3" s="165"/>
      <c r="L3" s="165"/>
      <c r="M3" s="182" t="s">
        <v>4</v>
      </c>
      <c r="N3" s="168">
        <v>4</v>
      </c>
    </row>
    <row r="4" spans="1:14" x14ac:dyDescent="0.3">
      <c r="A4" s="182" t="s">
        <v>5</v>
      </c>
      <c r="B4" s="93" t="str">
        <f>'SU A0800'!B4</f>
        <v>Rear Bell Crank</v>
      </c>
      <c r="C4" s="165"/>
      <c r="D4" s="182" t="s">
        <v>8</v>
      </c>
      <c r="E4" s="165"/>
      <c r="F4" s="165"/>
      <c r="G4" s="165"/>
      <c r="H4" s="165"/>
      <c r="I4" s="165"/>
      <c r="J4" s="183" t="s">
        <v>6</v>
      </c>
      <c r="K4" s="165"/>
      <c r="L4" s="165"/>
      <c r="M4" s="165"/>
      <c r="N4" s="165"/>
    </row>
    <row r="5" spans="1:14" x14ac:dyDescent="0.3">
      <c r="A5" s="182" t="s">
        <v>15</v>
      </c>
      <c r="B5" s="141" t="s">
        <v>72</v>
      </c>
      <c r="C5" s="165"/>
      <c r="D5" s="182" t="s">
        <v>12</v>
      </c>
      <c r="E5" s="165"/>
      <c r="F5" s="165"/>
      <c r="G5" s="165"/>
      <c r="H5" s="165"/>
      <c r="I5" s="165"/>
      <c r="J5" s="182" t="s">
        <v>8</v>
      </c>
      <c r="K5" s="165"/>
      <c r="L5" s="165"/>
      <c r="M5" s="183" t="s">
        <v>9</v>
      </c>
      <c r="N5" s="170">
        <f>N2*SU_0800_001_q</f>
        <v>5.4843946027052075</v>
      </c>
    </row>
    <row r="6" spans="1:14" x14ac:dyDescent="0.3">
      <c r="A6" s="182" t="s">
        <v>7</v>
      </c>
      <c r="B6" s="139" t="s">
        <v>122</v>
      </c>
      <c r="C6" s="165"/>
      <c r="D6" s="165"/>
      <c r="E6" s="165"/>
      <c r="F6" s="165"/>
      <c r="G6" s="165"/>
      <c r="H6" s="165"/>
      <c r="I6" s="165"/>
      <c r="J6" s="182" t="s">
        <v>12</v>
      </c>
      <c r="K6" s="165"/>
      <c r="L6" s="165"/>
      <c r="M6" s="165"/>
      <c r="N6" s="165"/>
    </row>
    <row r="7" spans="1:14" x14ac:dyDescent="0.3">
      <c r="A7" s="182" t="s">
        <v>10</v>
      </c>
      <c r="B7" s="16" t="s">
        <v>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</row>
    <row r="8" spans="1:14" x14ac:dyDescent="0.3">
      <c r="A8" s="182" t="s">
        <v>13</v>
      </c>
      <c r="B8" s="16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</row>
    <row r="9" spans="1:14" x14ac:dyDescent="0.3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</row>
    <row r="10" spans="1:14" x14ac:dyDescent="0.3">
      <c r="A10" s="177" t="s">
        <v>14</v>
      </c>
      <c r="B10" s="176" t="s">
        <v>19</v>
      </c>
      <c r="C10" s="176" t="s">
        <v>20</v>
      </c>
      <c r="D10" s="176" t="s">
        <v>21</v>
      </c>
      <c r="E10" s="176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</row>
    <row r="11" spans="1:14" x14ac:dyDescent="0.3">
      <c r="A11" s="187">
        <v>10</v>
      </c>
      <c r="B11" s="188" t="s">
        <v>106</v>
      </c>
      <c r="C11" s="189" t="s">
        <v>102</v>
      </c>
      <c r="D11" s="173">
        <v>3.3</v>
      </c>
      <c r="E11" s="186">
        <f>J11*K11*L11</f>
        <v>1.3969288083727863E-2</v>
      </c>
      <c r="F11" s="174" t="s">
        <v>95</v>
      </c>
      <c r="G11" s="174"/>
      <c r="H11" s="180"/>
      <c r="I11" s="181" t="s">
        <v>107</v>
      </c>
      <c r="J11" s="181">
        <f>PI()*(7.5*10^-3)^2</f>
        <v>1.7671458676442585E-4</v>
      </c>
      <c r="K11" s="185">
        <v>9.2999999999999992E-3</v>
      </c>
      <c r="L11" s="179">
        <v>8500</v>
      </c>
      <c r="M11" s="179">
        <v>1</v>
      </c>
      <c r="N11" s="173">
        <f>D11*E11</f>
        <v>4.6098650676301943E-2</v>
      </c>
    </row>
    <row r="12" spans="1:14" x14ac:dyDescent="0.3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72" t="s">
        <v>18</v>
      </c>
      <c r="N12" s="178">
        <f>N11</f>
        <v>4.6098650676301943E-2</v>
      </c>
    </row>
    <row r="13" spans="1:14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spans="1:14" x14ac:dyDescent="0.3">
      <c r="A14" s="177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67"/>
      <c r="K14" s="167"/>
      <c r="L14" s="167"/>
      <c r="M14" s="167"/>
      <c r="N14" s="167"/>
    </row>
    <row r="15" spans="1:14" x14ac:dyDescent="0.3">
      <c r="A15" s="175">
        <v>10</v>
      </c>
      <c r="B15" s="174" t="s">
        <v>46</v>
      </c>
      <c r="C15" s="174"/>
      <c r="D15" s="173">
        <v>1.3</v>
      </c>
      <c r="E15" s="174" t="s">
        <v>35</v>
      </c>
      <c r="F15" s="174">
        <v>1</v>
      </c>
      <c r="G15" s="174"/>
      <c r="H15" s="174"/>
      <c r="I15" s="173">
        <v>1.3</v>
      </c>
      <c r="J15" s="165"/>
      <c r="K15" s="165"/>
      <c r="L15" s="165"/>
      <c r="M15" s="165"/>
      <c r="N15" s="165"/>
    </row>
    <row r="16" spans="1:14" x14ac:dyDescent="0.3">
      <c r="A16" s="175">
        <v>20</v>
      </c>
      <c r="B16" s="174" t="s">
        <v>103</v>
      </c>
      <c r="C16" s="174" t="s">
        <v>104</v>
      </c>
      <c r="D16" s="173">
        <v>0.04</v>
      </c>
      <c r="E16" s="174" t="s">
        <v>105</v>
      </c>
      <c r="F16" s="174">
        <v>1.25</v>
      </c>
      <c r="G16" s="174" t="s">
        <v>108</v>
      </c>
      <c r="H16" s="174">
        <v>0.5</v>
      </c>
      <c r="I16" s="173">
        <f>D16*F16*H16</f>
        <v>2.5000000000000001E-2</v>
      </c>
      <c r="J16" s="165"/>
      <c r="K16" s="165"/>
      <c r="L16" s="165"/>
      <c r="M16" s="165"/>
      <c r="N16" s="165"/>
    </row>
    <row r="17" spans="1:14" x14ac:dyDescent="0.3">
      <c r="A17" s="167"/>
      <c r="B17" s="167"/>
      <c r="C17" s="167"/>
      <c r="D17" s="167"/>
      <c r="E17" s="167"/>
      <c r="F17" s="167"/>
      <c r="G17" s="167"/>
      <c r="H17" s="172" t="s">
        <v>18</v>
      </c>
      <c r="I17" s="171">
        <f>I15+I16</f>
        <v>1.325</v>
      </c>
      <c r="J17" s="167"/>
      <c r="K17" s="167"/>
      <c r="L17" s="167"/>
      <c r="M17" s="167"/>
      <c r="N17" s="167"/>
    </row>
    <row r="18" spans="1:14" x14ac:dyDescent="0.3">
      <c r="A18" s="165"/>
      <c r="B18" s="165"/>
      <c r="C18" s="165"/>
      <c r="D18" s="165"/>
      <c r="E18" s="165"/>
      <c r="F18" s="165"/>
      <c r="G18" s="165"/>
      <c r="H18" s="166"/>
      <c r="I18" s="170"/>
      <c r="J18" s="165"/>
      <c r="K18" s="165"/>
      <c r="L18" s="165"/>
      <c r="M18" s="165"/>
      <c r="N18" s="165"/>
    </row>
    <row r="19" spans="1:14" x14ac:dyDescent="0.3">
      <c r="A19" s="165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x14ac:dyDescent="0.3">
      <c r="A20" s="165"/>
      <c r="B20" s="165" t="s">
        <v>109</v>
      </c>
      <c r="C20" s="165" t="s">
        <v>110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</row>
    <row r="21" spans="1:14" x14ac:dyDescent="0.3">
      <c r="A21" s="165"/>
      <c r="B21" s="165"/>
      <c r="C21" s="165" t="s">
        <v>111</v>
      </c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</row>
    <row r="22" spans="1:14" x14ac:dyDescent="0.3">
      <c r="A22" s="165"/>
      <c r="B22" s="165"/>
      <c r="C22" s="165" t="s">
        <v>112</v>
      </c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</row>
    <row r="23" spans="1:14" x14ac:dyDescent="0.3">
      <c r="A23" s="16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</row>
    <row r="24" spans="1:14" x14ac:dyDescent="0.3">
      <c r="A24" s="16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</row>
    <row r="25" spans="1:14" x14ac:dyDescent="0.3">
      <c r="A25" s="93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</row>
    <row r="26" spans="1:14" x14ac:dyDescent="0.3">
      <c r="A26" s="18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</row>
    <row r="27" spans="1:14" x14ac:dyDescent="0.3">
      <c r="A27" s="29"/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</row>
    <row r="28" spans="1:14" x14ac:dyDescent="0.3">
      <c r="A28" s="16"/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</row>
    <row r="29" spans="1:14" x14ac:dyDescent="0.3">
      <c r="A29" s="16"/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</row>
    <row r="30" spans="1:14" x14ac:dyDescent="0.3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</row>
    <row r="31" spans="1:14" x14ac:dyDescent="0.3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</row>
    <row r="32" spans="1:14" x14ac:dyDescent="0.3">
      <c r="A32" s="165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</row>
    <row r="33" spans="1:14" x14ac:dyDescent="0.3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</row>
    <row r="34" spans="1:14" x14ac:dyDescent="0.3">
      <c r="A34" s="165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</row>
    <row r="35" spans="1:14" x14ac:dyDescent="0.3">
      <c r="A35" s="165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</row>
    <row r="36" spans="1:14" x14ac:dyDescent="0.3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</row>
    <row r="37" spans="1:14" x14ac:dyDescent="0.3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</row>
    <row r="38" spans="1:14" x14ac:dyDescent="0.3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</row>
    <row r="39" spans="1:14" x14ac:dyDescent="0.3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</row>
    <row r="40" spans="1:14" x14ac:dyDescent="0.3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</row>
    <row r="41" spans="1:14" x14ac:dyDescent="0.3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</row>
    <row r="42" spans="1:14" x14ac:dyDescent="0.3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</row>
    <row r="43" spans="1:14" x14ac:dyDescent="0.3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</row>
    <row r="44" spans="1:14" x14ac:dyDescent="0.3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</row>
    <row r="45" spans="1:14" x14ac:dyDescent="0.3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</row>
    <row r="46" spans="1:14" x14ac:dyDescent="0.3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</row>
    <row r="47" spans="1:14" x14ac:dyDescent="0.3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</row>
    <row r="48" spans="1:14" x14ac:dyDescent="0.3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</row>
    <row r="49" spans="1:14" x14ac:dyDescent="0.3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</row>
    <row r="50" spans="1:14" x14ac:dyDescent="0.3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</row>
    <row r="51" spans="1:14" x14ac:dyDescent="0.3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</row>
    <row r="52" spans="1:14" x14ac:dyDescent="0.3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</row>
    <row r="53" spans="1:14" x14ac:dyDescent="0.3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</row>
    <row r="54" spans="1:14" x14ac:dyDescent="0.3">
      <c r="A54" s="165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</row>
    <row r="55" spans="1:14" x14ac:dyDescent="0.3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</row>
    <row r="56" spans="1:14" x14ac:dyDescent="0.3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</row>
    <row r="57" spans="1:14" x14ac:dyDescent="0.3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</row>
    <row r="58" spans="1:14" x14ac:dyDescent="0.3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</row>
    <row r="59" spans="1:14" x14ac:dyDescent="0.3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</row>
    <row r="60" spans="1:14" x14ac:dyDescent="0.3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</row>
    <row r="61" spans="1:14" x14ac:dyDescent="0.3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</row>
    <row r="62" spans="1:14" x14ac:dyDescent="0.3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</row>
    <row r="63" spans="1:14" x14ac:dyDescent="0.3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</row>
    <row r="64" spans="1:14" x14ac:dyDescent="0.3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</row>
    <row r="65" spans="1:14" x14ac:dyDescent="0.3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</row>
    <row r="66" spans="1:14" x14ac:dyDescent="0.3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</row>
    <row r="67" spans="1:14" x14ac:dyDescent="0.3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</row>
    <row r="68" spans="1:14" x14ac:dyDescent="0.3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</row>
    <row r="69" spans="1:14" x14ac:dyDescent="0.3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</row>
    <row r="70" spans="1:14" x14ac:dyDescent="0.3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</row>
    <row r="71" spans="1:14" x14ac:dyDescent="0.3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</row>
    <row r="72" spans="1:14" x14ac:dyDescent="0.3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</row>
    <row r="73" spans="1:14" x14ac:dyDescent="0.3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</row>
    <row r="74" spans="1:14" x14ac:dyDescent="0.3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</row>
    <row r="75" spans="1:14" x14ac:dyDescent="0.3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</row>
    <row r="76" spans="1:14" x14ac:dyDescent="0.3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</row>
    <row r="77" spans="1:14" x14ac:dyDescent="0.3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</row>
    <row r="78" spans="1:14" x14ac:dyDescent="0.3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</row>
    <row r="79" spans="1:14" x14ac:dyDescent="0.3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</row>
    <row r="80" spans="1:14" x14ac:dyDescent="0.3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</row>
    <row r="81" spans="1:14" x14ac:dyDescent="0.3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</row>
    <row r="82" spans="1:14" x14ac:dyDescent="0.3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</row>
    <row r="83" spans="1:14" x14ac:dyDescent="0.3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</row>
    <row r="84" spans="1:14" x14ac:dyDescent="0.3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</row>
    <row r="85" spans="1:14" x14ac:dyDescent="0.3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</row>
    <row r="86" spans="1:14" x14ac:dyDescent="0.3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</row>
    <row r="87" spans="1:14" x14ac:dyDescent="0.3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</row>
    <row r="88" spans="1:14" x14ac:dyDescent="0.3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</row>
    <row r="89" spans="1:14" x14ac:dyDescent="0.3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</row>
    <row r="90" spans="1:14" x14ac:dyDescent="0.3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</row>
    <row r="91" spans="1:14" x14ac:dyDescent="0.3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</row>
    <row r="92" spans="1:14" x14ac:dyDescent="0.3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</row>
    <row r="93" spans="1:14" x14ac:dyDescent="0.3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</row>
    <row r="94" spans="1:14" x14ac:dyDescent="0.3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</row>
    <row r="95" spans="1:14" x14ac:dyDescent="0.3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</row>
    <row r="96" spans="1:14" x14ac:dyDescent="0.3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</row>
    <row r="97" spans="1:14" x14ac:dyDescent="0.3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</row>
    <row r="98" spans="1:14" x14ac:dyDescent="0.3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</row>
    <row r="99" spans="1:14" x14ac:dyDescent="0.3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</row>
    <row r="100" spans="1:14" x14ac:dyDescent="0.3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</row>
    <row r="101" spans="1:14" x14ac:dyDescent="0.3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</row>
    <row r="102" spans="1:14" x14ac:dyDescent="0.3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</row>
    <row r="103" spans="1:14" x14ac:dyDescent="0.3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</row>
    <row r="104" spans="1:14" x14ac:dyDescent="0.3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</row>
    <row r="105" spans="1:14" x14ac:dyDescent="0.3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</row>
    <row r="106" spans="1:14" x14ac:dyDescent="0.3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</row>
    <row r="107" spans="1:14" x14ac:dyDescent="0.3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</row>
    <row r="108" spans="1:14" x14ac:dyDescent="0.3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</row>
    <row r="109" spans="1:14" x14ac:dyDescent="0.3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</row>
    <row r="110" spans="1:14" x14ac:dyDescent="0.3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</row>
    <row r="111" spans="1:14" x14ac:dyDescent="0.3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</row>
    <row r="112" spans="1:14" x14ac:dyDescent="0.3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</row>
    <row r="113" spans="1:14" x14ac:dyDescent="0.3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</row>
    <row r="114" spans="1:14" x14ac:dyDescent="0.3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</row>
    <row r="115" spans="1:14" x14ac:dyDescent="0.3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</row>
    <row r="116" spans="1:14" x14ac:dyDescent="0.3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</row>
    <row r="117" spans="1:14" x14ac:dyDescent="0.3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</row>
    <row r="118" spans="1:14" x14ac:dyDescent="0.3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</row>
    <row r="119" spans="1:14" x14ac:dyDescent="0.3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</row>
    <row r="120" spans="1:14" x14ac:dyDescent="0.3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</row>
    <row r="121" spans="1:14" x14ac:dyDescent="0.3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</row>
    <row r="122" spans="1:14" x14ac:dyDescent="0.3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</row>
    <row r="123" spans="1:14" x14ac:dyDescent="0.3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</row>
    <row r="124" spans="1:14" x14ac:dyDescent="0.3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</row>
    <row r="125" spans="1:14" x14ac:dyDescent="0.3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</row>
    <row r="126" spans="1:14" x14ac:dyDescent="0.3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</row>
    <row r="127" spans="1:14" x14ac:dyDescent="0.3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</row>
    <row r="128" spans="1:14" x14ac:dyDescent="0.3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</row>
    <row r="129" spans="1:14" x14ac:dyDescent="0.3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</row>
    <row r="130" spans="1:14" x14ac:dyDescent="0.3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</row>
    <row r="131" spans="1:14" x14ac:dyDescent="0.3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</row>
    <row r="132" spans="1:14" x14ac:dyDescent="0.3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</row>
    <row r="133" spans="1:14" x14ac:dyDescent="0.3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</row>
    <row r="134" spans="1:14" x14ac:dyDescent="0.3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</row>
    <row r="135" spans="1:14" x14ac:dyDescent="0.3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</row>
    <row r="136" spans="1:14" x14ac:dyDescent="0.3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</row>
    <row r="137" spans="1:14" x14ac:dyDescent="0.3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</row>
    <row r="138" spans="1:14" x14ac:dyDescent="0.3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  <row r="139" spans="1:14" x14ac:dyDescent="0.3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</row>
    <row r="140" spans="1:14" x14ac:dyDescent="0.3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</row>
    <row r="141" spans="1:14" x14ac:dyDescent="0.3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</row>
    <row r="142" spans="1:14" x14ac:dyDescent="0.3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</row>
    <row r="143" spans="1:14" x14ac:dyDescent="0.3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</row>
    <row r="144" spans="1:14" x14ac:dyDescent="0.3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</row>
    <row r="145" spans="1:14" x14ac:dyDescent="0.3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</row>
    <row r="146" spans="1:14" x14ac:dyDescent="0.3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</row>
    <row r="147" spans="1:14" x14ac:dyDescent="0.3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</row>
    <row r="148" spans="1:14" x14ac:dyDescent="0.3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</row>
    <row r="149" spans="1:14" x14ac:dyDescent="0.3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</row>
    <row r="150" spans="1:14" x14ac:dyDescent="0.3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</row>
    <row r="151" spans="1:14" x14ac:dyDescent="0.3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</row>
    <row r="152" spans="1:14" x14ac:dyDescent="0.3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</row>
    <row r="153" spans="1:14" x14ac:dyDescent="0.3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</row>
    <row r="154" spans="1:14" x14ac:dyDescent="0.3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</row>
    <row r="155" spans="1:14" x14ac:dyDescent="0.3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</row>
    <row r="156" spans="1:14" x14ac:dyDescent="0.3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</row>
    <row r="157" spans="1:14" x14ac:dyDescent="0.3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</row>
    <row r="158" spans="1:14" x14ac:dyDescent="0.3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</row>
    <row r="159" spans="1:14" x14ac:dyDescent="0.3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</row>
    <row r="160" spans="1:14" x14ac:dyDescent="0.3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</row>
    <row r="161" spans="1:14" x14ac:dyDescent="0.3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</row>
    <row r="162" spans="1:14" x14ac:dyDescent="0.3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</row>
    <row r="163" spans="1:14" x14ac:dyDescent="0.3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</row>
    <row r="164" spans="1:14" x14ac:dyDescent="0.3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</row>
    <row r="165" spans="1:14" x14ac:dyDescent="0.3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</row>
    <row r="166" spans="1:14" x14ac:dyDescent="0.3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</row>
    <row r="167" spans="1:14" x14ac:dyDescent="0.3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</row>
    <row r="168" spans="1:14" x14ac:dyDescent="0.3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</row>
    <row r="169" spans="1:14" x14ac:dyDescent="0.3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</row>
    <row r="170" spans="1:14" x14ac:dyDescent="0.3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</row>
    <row r="171" spans="1:14" x14ac:dyDescent="0.3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</row>
    <row r="172" spans="1:14" x14ac:dyDescent="0.3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</row>
    <row r="173" spans="1:14" x14ac:dyDescent="0.3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</row>
    <row r="174" spans="1:14" x14ac:dyDescent="0.3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 x14ac:dyDescent="0.3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 x14ac:dyDescent="0.3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 x14ac:dyDescent="0.3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 x14ac:dyDescent="0.3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 x14ac:dyDescent="0.3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 x14ac:dyDescent="0.3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 x14ac:dyDescent="0.3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 x14ac:dyDescent="0.3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 x14ac:dyDescent="0.3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 x14ac:dyDescent="0.3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 x14ac:dyDescent="0.3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 x14ac:dyDescent="0.3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 x14ac:dyDescent="0.3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 x14ac:dyDescent="0.3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 x14ac:dyDescent="0.3">
      <c r="A189" s="16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 x14ac:dyDescent="0.3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 x14ac:dyDescent="0.3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 x14ac:dyDescent="0.3">
      <c r="A192" s="16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 x14ac:dyDescent="0.3">
      <c r="A193" s="16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 x14ac:dyDescent="0.3">
      <c r="A194" s="16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 x14ac:dyDescent="0.3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 x14ac:dyDescent="0.3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 x14ac:dyDescent="0.3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 x14ac:dyDescent="0.3">
      <c r="A198" s="16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 x14ac:dyDescent="0.3">
      <c r="A199" s="16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 x14ac:dyDescent="0.3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 x14ac:dyDescent="0.3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 x14ac:dyDescent="0.3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 x14ac:dyDescent="0.3">
      <c r="A203" s="16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 x14ac:dyDescent="0.3">
      <c r="A204" s="16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 x14ac:dyDescent="0.3">
      <c r="A205" s="16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 x14ac:dyDescent="0.3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 x14ac:dyDescent="0.3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 x14ac:dyDescent="0.3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 x14ac:dyDescent="0.3">
      <c r="A209" s="165"/>
      <c r="B209" s="165"/>
      <c r="C209" s="165"/>
      <c r="D209" s="165"/>
      <c r="E209" s="165"/>
      <c r="F209" s="165"/>
      <c r="G209" s="165"/>
      <c r="H209" s="165"/>
      <c r="I209" s="165"/>
      <c r="J209" s="163"/>
      <c r="K209" s="163"/>
      <c r="L209" s="163"/>
      <c r="M209" s="163"/>
      <c r="N209" s="163"/>
    </row>
    <row r="210" spans="1:14" x14ac:dyDescent="0.3">
      <c r="A210" s="165"/>
      <c r="B210" s="165"/>
      <c r="C210" s="165"/>
      <c r="D210" s="165"/>
      <c r="E210" s="165"/>
      <c r="F210" s="165"/>
      <c r="G210" s="165"/>
      <c r="H210" s="165"/>
      <c r="I210" s="165"/>
    </row>
    <row r="211" spans="1:14" x14ac:dyDescent="0.3">
      <c r="A211" s="165"/>
      <c r="B211" s="165"/>
      <c r="C211" s="165"/>
      <c r="D211" s="165"/>
      <c r="E211" s="165"/>
      <c r="F211" s="165"/>
      <c r="G211" s="165"/>
      <c r="H211" s="165"/>
      <c r="I211" s="165"/>
    </row>
    <row r="212" spans="1:14" x14ac:dyDescent="0.3">
      <c r="A212" s="165"/>
      <c r="B212" s="165"/>
      <c r="C212" s="165"/>
      <c r="D212" s="165"/>
      <c r="E212" s="165"/>
      <c r="F212" s="165"/>
      <c r="G212" s="165"/>
      <c r="H212" s="165"/>
      <c r="I212" s="165"/>
    </row>
    <row r="213" spans="1:14" x14ac:dyDescent="0.3">
      <c r="A213" s="165"/>
      <c r="B213" s="165"/>
      <c r="C213" s="165"/>
      <c r="D213" s="165"/>
      <c r="E213" s="165"/>
      <c r="F213" s="165"/>
      <c r="G213" s="165"/>
      <c r="H213" s="165"/>
      <c r="I213" s="165"/>
    </row>
    <row r="214" spans="1:14" x14ac:dyDescent="0.3">
      <c r="A214" s="165"/>
      <c r="B214" s="165"/>
      <c r="C214" s="165"/>
      <c r="D214" s="165"/>
      <c r="E214" s="165"/>
      <c r="F214" s="165"/>
      <c r="G214" s="165"/>
      <c r="H214" s="165"/>
      <c r="I214" s="165"/>
    </row>
    <row r="215" spans="1:14" x14ac:dyDescent="0.3">
      <c r="A215" s="165"/>
      <c r="B215" s="165"/>
      <c r="C215" s="165"/>
      <c r="D215" s="165"/>
      <c r="E215" s="165"/>
      <c r="F215" s="165"/>
      <c r="G215" s="165"/>
      <c r="H215" s="165"/>
      <c r="I215" s="165"/>
    </row>
    <row r="216" spans="1:14" x14ac:dyDescent="0.3">
      <c r="A216" s="165"/>
      <c r="B216" s="165"/>
      <c r="C216" s="165"/>
      <c r="D216" s="165"/>
      <c r="E216" s="165"/>
      <c r="F216" s="165"/>
      <c r="G216" s="165"/>
      <c r="H216" s="165"/>
      <c r="I216" s="165"/>
    </row>
    <row r="217" spans="1:14" x14ac:dyDescent="0.3">
      <c r="A217" s="165"/>
      <c r="B217" s="165"/>
      <c r="C217" s="165"/>
      <c r="D217" s="165"/>
      <c r="E217" s="165"/>
      <c r="F217" s="165"/>
      <c r="G217" s="165"/>
      <c r="H217" s="165"/>
      <c r="I217" s="165"/>
    </row>
    <row r="218" spans="1:14" x14ac:dyDescent="0.3">
      <c r="A218" s="165"/>
      <c r="B218" s="165"/>
      <c r="C218" s="165"/>
      <c r="D218" s="165"/>
      <c r="E218" s="165"/>
      <c r="F218" s="165"/>
      <c r="G218" s="165"/>
      <c r="H218" s="165"/>
      <c r="I218" s="165"/>
    </row>
    <row r="219" spans="1:14" x14ac:dyDescent="0.3">
      <c r="A219" s="165"/>
      <c r="B219" s="165"/>
      <c r="C219" s="165"/>
      <c r="D219" s="165"/>
      <c r="E219" s="165"/>
      <c r="F219" s="165"/>
      <c r="G219" s="165"/>
      <c r="H219" s="165"/>
      <c r="I219" s="165"/>
    </row>
    <row r="220" spans="1:14" x14ac:dyDescent="0.3">
      <c r="A220" s="165"/>
      <c r="B220" s="165"/>
      <c r="C220" s="165"/>
      <c r="D220" s="165"/>
      <c r="E220" s="165"/>
      <c r="F220" s="165"/>
      <c r="G220" s="165"/>
      <c r="H220" s="165"/>
      <c r="I220" s="165"/>
    </row>
    <row r="221" spans="1:14" x14ac:dyDescent="0.3">
      <c r="A221" s="165"/>
      <c r="B221" s="165"/>
      <c r="C221" s="165"/>
      <c r="D221" s="165"/>
      <c r="E221" s="165"/>
      <c r="F221" s="165"/>
      <c r="G221" s="165"/>
      <c r="H221" s="165"/>
      <c r="I221" s="165"/>
    </row>
    <row r="222" spans="1:14" x14ac:dyDescent="0.3">
      <c r="A222" s="165"/>
      <c r="B222" s="165"/>
      <c r="C222" s="165"/>
      <c r="D222" s="165"/>
      <c r="E222" s="165"/>
      <c r="F222" s="165"/>
      <c r="G222" s="165"/>
      <c r="H222" s="165"/>
      <c r="I222" s="165"/>
    </row>
    <row r="223" spans="1:14" x14ac:dyDescent="0.3">
      <c r="A223" s="165"/>
      <c r="B223" s="165"/>
      <c r="C223" s="165"/>
      <c r="D223" s="165"/>
      <c r="E223" s="165"/>
      <c r="F223" s="165"/>
      <c r="G223" s="165"/>
      <c r="H223" s="165"/>
      <c r="I223" s="165"/>
    </row>
    <row r="224" spans="1:14" x14ac:dyDescent="0.3">
      <c r="A224" s="165"/>
      <c r="B224" s="165"/>
      <c r="C224" s="165"/>
      <c r="D224" s="165"/>
      <c r="E224" s="165"/>
      <c r="F224" s="165"/>
      <c r="G224" s="165"/>
      <c r="H224" s="165"/>
      <c r="I224" s="165"/>
    </row>
    <row r="225" spans="1:9" x14ac:dyDescent="0.3">
      <c r="A225" s="165"/>
      <c r="B225" s="165"/>
      <c r="C225" s="165"/>
      <c r="D225" s="165"/>
      <c r="E225" s="165"/>
      <c r="F225" s="165"/>
      <c r="G225" s="165"/>
      <c r="H225" s="165"/>
      <c r="I225" s="165"/>
    </row>
    <row r="226" spans="1:9" x14ac:dyDescent="0.3">
      <c r="A226" s="165"/>
      <c r="B226" s="165"/>
      <c r="C226" s="165"/>
      <c r="D226" s="165"/>
      <c r="E226" s="165"/>
      <c r="F226" s="165"/>
      <c r="G226" s="165"/>
      <c r="H226" s="165"/>
      <c r="I226" s="165"/>
    </row>
    <row r="227" spans="1:9" x14ac:dyDescent="0.3">
      <c r="A227" s="165"/>
      <c r="B227" s="165"/>
      <c r="C227" s="165"/>
      <c r="D227" s="165"/>
      <c r="E227" s="165"/>
      <c r="F227" s="165"/>
      <c r="G227" s="165"/>
      <c r="H227" s="165"/>
      <c r="I227" s="165"/>
    </row>
    <row r="228" spans="1:9" x14ac:dyDescent="0.3">
      <c r="A228" s="165"/>
      <c r="B228" s="165"/>
      <c r="C228" s="165"/>
      <c r="D228" s="165"/>
      <c r="E228" s="165"/>
      <c r="F228" s="165"/>
      <c r="G228" s="165"/>
      <c r="H228" s="165"/>
      <c r="I228" s="165"/>
    </row>
    <row r="229" spans="1:9" x14ac:dyDescent="0.3">
      <c r="A229" s="165"/>
      <c r="B229" s="165"/>
      <c r="C229" s="165"/>
      <c r="D229" s="165"/>
      <c r="E229" s="165"/>
      <c r="F229" s="165"/>
      <c r="G229" s="165"/>
      <c r="H229" s="165"/>
      <c r="I229" s="165"/>
    </row>
    <row r="230" spans="1:9" x14ac:dyDescent="0.3">
      <c r="A230" s="165"/>
      <c r="B230" s="165"/>
      <c r="C230" s="165"/>
      <c r="D230" s="165"/>
      <c r="E230" s="165"/>
      <c r="F230" s="165"/>
      <c r="G230" s="165"/>
      <c r="H230" s="165"/>
      <c r="I230" s="165"/>
    </row>
    <row r="231" spans="1:9" x14ac:dyDescent="0.3">
      <c r="A231" s="165"/>
      <c r="B231" s="165"/>
      <c r="C231" s="165"/>
      <c r="D231" s="165"/>
      <c r="E231" s="165"/>
      <c r="F231" s="165"/>
      <c r="G231" s="165"/>
      <c r="H231" s="165"/>
      <c r="I231" s="165"/>
    </row>
    <row r="232" spans="1:9" x14ac:dyDescent="0.3">
      <c r="A232" s="165"/>
      <c r="B232" s="165"/>
      <c r="C232" s="165"/>
      <c r="D232" s="165"/>
      <c r="E232" s="165"/>
      <c r="F232" s="165"/>
      <c r="G232" s="165"/>
      <c r="H232" s="165"/>
      <c r="I232" s="165"/>
    </row>
    <row r="233" spans="1:9" x14ac:dyDescent="0.3">
      <c r="A233" s="165"/>
      <c r="B233" s="165"/>
      <c r="C233" s="165"/>
      <c r="D233" s="165"/>
      <c r="E233" s="165"/>
      <c r="F233" s="165"/>
      <c r="G233" s="165"/>
      <c r="H233" s="165"/>
      <c r="I233" s="165"/>
    </row>
    <row r="234" spans="1:9" x14ac:dyDescent="0.3">
      <c r="A234" s="165"/>
      <c r="B234" s="165"/>
      <c r="C234" s="165"/>
      <c r="D234" s="165"/>
      <c r="E234" s="165"/>
      <c r="F234" s="165"/>
      <c r="G234" s="165"/>
      <c r="H234" s="165"/>
      <c r="I234" s="165"/>
    </row>
    <row r="235" spans="1:9" x14ac:dyDescent="0.3">
      <c r="A235" s="165"/>
      <c r="B235" s="165"/>
      <c r="C235" s="165"/>
      <c r="D235" s="165"/>
      <c r="E235" s="165"/>
      <c r="F235" s="165"/>
      <c r="G235" s="165"/>
      <c r="H235" s="165"/>
      <c r="I235" s="165"/>
    </row>
    <row r="236" spans="1:9" x14ac:dyDescent="0.3">
      <c r="A236" s="165"/>
      <c r="B236" s="165"/>
      <c r="C236" s="165"/>
      <c r="D236" s="165"/>
      <c r="E236" s="165"/>
      <c r="F236" s="165"/>
      <c r="G236" s="165"/>
      <c r="H236" s="165"/>
      <c r="I236" s="165"/>
    </row>
    <row r="237" spans="1:9" x14ac:dyDescent="0.3">
      <c r="A237" s="165"/>
      <c r="B237" s="165"/>
      <c r="C237" s="165"/>
      <c r="D237" s="165"/>
      <c r="E237" s="165"/>
      <c r="F237" s="165"/>
      <c r="G237" s="165"/>
      <c r="H237" s="165"/>
      <c r="I237" s="165"/>
    </row>
    <row r="238" spans="1:9" x14ac:dyDescent="0.3">
      <c r="A238" s="165"/>
      <c r="B238" s="165"/>
      <c r="C238" s="165"/>
      <c r="D238" s="165"/>
      <c r="E238" s="165"/>
      <c r="F238" s="165"/>
      <c r="G238" s="165"/>
      <c r="H238" s="165"/>
      <c r="I238" s="165"/>
    </row>
    <row r="239" spans="1:9" x14ac:dyDescent="0.3">
      <c r="A239" s="165"/>
      <c r="B239" s="165"/>
      <c r="C239" s="165"/>
      <c r="D239" s="165"/>
      <c r="E239" s="165"/>
      <c r="F239" s="165"/>
      <c r="G239" s="165"/>
      <c r="H239" s="165"/>
      <c r="I239" s="165"/>
    </row>
    <row r="240" spans="1:9" x14ac:dyDescent="0.3">
      <c r="A240" s="165"/>
      <c r="B240" s="165"/>
      <c r="C240" s="165"/>
      <c r="D240" s="165"/>
      <c r="E240" s="165"/>
      <c r="F240" s="165"/>
      <c r="G240" s="165"/>
      <c r="H240" s="165"/>
      <c r="I240" s="165"/>
    </row>
    <row r="241" spans="1:9" x14ac:dyDescent="0.3">
      <c r="A241" s="165"/>
      <c r="B241" s="165"/>
      <c r="C241" s="165"/>
      <c r="D241" s="165"/>
      <c r="E241" s="165"/>
      <c r="F241" s="165"/>
      <c r="G241" s="165"/>
      <c r="H241" s="165"/>
      <c r="I241" s="165"/>
    </row>
    <row r="242" spans="1:9" x14ac:dyDescent="0.3">
      <c r="A242" s="165"/>
      <c r="B242" s="165"/>
      <c r="C242" s="165"/>
      <c r="D242" s="165"/>
      <c r="E242" s="165"/>
      <c r="F242" s="165"/>
      <c r="G242" s="165"/>
      <c r="H242" s="165"/>
      <c r="I242" s="165"/>
    </row>
    <row r="243" spans="1:9" x14ac:dyDescent="0.3">
      <c r="A243" s="165"/>
      <c r="B243" s="165"/>
      <c r="C243" s="165"/>
      <c r="D243" s="165"/>
      <c r="E243" s="165"/>
      <c r="F243" s="165"/>
      <c r="G243" s="165"/>
      <c r="H243" s="165"/>
      <c r="I243" s="165"/>
    </row>
    <row r="244" spans="1:9" x14ac:dyDescent="0.3">
      <c r="A244" s="165"/>
      <c r="B244" s="165"/>
      <c r="C244" s="165"/>
      <c r="D244" s="165"/>
      <c r="E244" s="165"/>
      <c r="F244" s="165"/>
      <c r="G244" s="165"/>
      <c r="H244" s="165"/>
      <c r="I244" s="165"/>
    </row>
    <row r="245" spans="1:9" x14ac:dyDescent="0.3">
      <c r="A245" s="165"/>
      <c r="B245" s="165"/>
      <c r="C245" s="165"/>
      <c r="D245" s="165"/>
      <c r="E245" s="165"/>
      <c r="F245" s="165"/>
      <c r="G245" s="165"/>
      <c r="H245" s="165"/>
      <c r="I245" s="165"/>
    </row>
    <row r="246" spans="1:9" x14ac:dyDescent="0.3">
      <c r="A246" s="165"/>
      <c r="B246" s="165"/>
      <c r="C246" s="165"/>
      <c r="D246" s="165"/>
      <c r="E246" s="165"/>
      <c r="F246" s="165"/>
      <c r="G246" s="165"/>
      <c r="H246" s="165"/>
      <c r="I246" s="165"/>
    </row>
    <row r="247" spans="1:9" x14ac:dyDescent="0.3">
      <c r="A247" s="165"/>
      <c r="B247" s="165"/>
      <c r="C247" s="165"/>
      <c r="D247" s="165"/>
      <c r="E247" s="165"/>
      <c r="F247" s="165"/>
      <c r="G247" s="165"/>
      <c r="H247" s="165"/>
      <c r="I247" s="165"/>
    </row>
    <row r="248" spans="1:9" x14ac:dyDescent="0.3">
      <c r="A248" s="165"/>
      <c r="B248" s="165"/>
      <c r="C248" s="165"/>
      <c r="D248" s="165"/>
      <c r="E248" s="165"/>
      <c r="F248" s="165"/>
      <c r="G248" s="165"/>
      <c r="H248" s="165"/>
      <c r="I248" s="165"/>
    </row>
    <row r="249" spans="1:9" x14ac:dyDescent="0.3">
      <c r="A249" s="165"/>
      <c r="B249" s="165"/>
      <c r="C249" s="165"/>
      <c r="D249" s="165"/>
      <c r="E249" s="165"/>
      <c r="F249" s="165"/>
      <c r="G249" s="165"/>
      <c r="H249" s="165"/>
      <c r="I249" s="165"/>
    </row>
    <row r="250" spans="1:9" x14ac:dyDescent="0.3">
      <c r="A250" s="165"/>
      <c r="B250" s="165"/>
      <c r="C250" s="165"/>
      <c r="D250" s="165"/>
      <c r="E250" s="165"/>
      <c r="F250" s="165"/>
      <c r="G250" s="165"/>
      <c r="H250" s="165"/>
      <c r="I250" s="165"/>
    </row>
    <row r="251" spans="1:9" x14ac:dyDescent="0.3">
      <c r="A251" s="165"/>
      <c r="B251" s="165"/>
      <c r="C251" s="165"/>
      <c r="D251" s="165"/>
      <c r="E251" s="165"/>
      <c r="F251" s="165"/>
      <c r="G251" s="165"/>
      <c r="H251" s="165"/>
      <c r="I251" s="165"/>
    </row>
    <row r="252" spans="1:9" x14ac:dyDescent="0.3">
      <c r="A252" s="165"/>
      <c r="B252" s="165"/>
      <c r="C252" s="165"/>
      <c r="D252" s="165"/>
      <c r="E252" s="165"/>
      <c r="F252" s="165"/>
      <c r="G252" s="165"/>
      <c r="H252" s="165"/>
      <c r="I252" s="165"/>
    </row>
    <row r="253" spans="1:9" x14ac:dyDescent="0.3">
      <c r="A253" s="165"/>
      <c r="B253" s="165"/>
      <c r="C253" s="165"/>
      <c r="D253" s="165"/>
      <c r="E253" s="165"/>
      <c r="F253" s="165"/>
      <c r="G253" s="165"/>
      <c r="H253" s="165"/>
      <c r="I253" s="165"/>
    </row>
    <row r="254" spans="1:9" x14ac:dyDescent="0.3">
      <c r="A254" s="165"/>
      <c r="B254" s="165"/>
      <c r="C254" s="165"/>
      <c r="D254" s="165"/>
      <c r="E254" s="165"/>
      <c r="F254" s="165"/>
      <c r="G254" s="165"/>
      <c r="H254" s="165"/>
      <c r="I254" s="165"/>
    </row>
    <row r="255" spans="1:9" x14ac:dyDescent="0.3">
      <c r="A255" s="165"/>
      <c r="B255" s="165"/>
      <c r="C255" s="165"/>
      <c r="D255" s="165"/>
      <c r="E255" s="165"/>
      <c r="F255" s="165"/>
      <c r="G255" s="165"/>
      <c r="H255" s="165"/>
      <c r="I255" s="165"/>
    </row>
    <row r="256" spans="1:9" x14ac:dyDescent="0.3">
      <c r="A256" s="165"/>
      <c r="B256" s="165"/>
      <c r="C256" s="165"/>
      <c r="D256" s="165"/>
      <c r="E256" s="165"/>
      <c r="F256" s="165"/>
      <c r="G256" s="165"/>
      <c r="H256" s="165"/>
      <c r="I256" s="165"/>
    </row>
    <row r="257" spans="1:9" x14ac:dyDescent="0.3">
      <c r="A257" s="165"/>
      <c r="B257" s="165"/>
      <c r="C257" s="165"/>
      <c r="D257" s="165"/>
      <c r="E257" s="165"/>
      <c r="F257" s="165"/>
      <c r="G257" s="165"/>
      <c r="H257" s="165"/>
      <c r="I257" s="165"/>
    </row>
    <row r="258" spans="1:9" x14ac:dyDescent="0.3">
      <c r="A258" s="165"/>
      <c r="B258" s="165"/>
      <c r="C258" s="165"/>
      <c r="D258" s="165"/>
      <c r="E258" s="165"/>
      <c r="F258" s="165"/>
      <c r="G258" s="165"/>
      <c r="H258" s="165"/>
      <c r="I258" s="165"/>
    </row>
    <row r="259" spans="1:9" x14ac:dyDescent="0.3">
      <c r="A259" s="165"/>
      <c r="B259" s="165"/>
      <c r="C259" s="165"/>
      <c r="D259" s="165"/>
      <c r="E259" s="165"/>
      <c r="F259" s="165"/>
      <c r="G259" s="165"/>
      <c r="H259" s="165"/>
      <c r="I259" s="165"/>
    </row>
    <row r="260" spans="1:9" x14ac:dyDescent="0.3">
      <c r="A260" s="165"/>
      <c r="B260" s="165"/>
      <c r="C260" s="165"/>
      <c r="D260" s="165"/>
      <c r="E260" s="165"/>
      <c r="F260" s="165"/>
      <c r="G260" s="165"/>
      <c r="H260" s="165"/>
      <c r="I260" s="165"/>
    </row>
    <row r="261" spans="1:9" x14ac:dyDescent="0.3">
      <c r="A261" s="165"/>
      <c r="B261" s="165"/>
      <c r="C261" s="165"/>
      <c r="D261" s="165"/>
      <c r="E261" s="165"/>
      <c r="F261" s="165"/>
      <c r="G261" s="165"/>
      <c r="H261" s="165"/>
      <c r="I261" s="165"/>
    </row>
    <row r="262" spans="1:9" x14ac:dyDescent="0.3">
      <c r="A262" s="165"/>
      <c r="B262" s="165"/>
      <c r="C262" s="165"/>
      <c r="D262" s="165"/>
      <c r="E262" s="165"/>
      <c r="F262" s="165"/>
      <c r="G262" s="165"/>
      <c r="H262" s="165"/>
      <c r="I262" s="165"/>
    </row>
    <row r="263" spans="1:9" x14ac:dyDescent="0.3">
      <c r="A263" s="165"/>
      <c r="B263" s="165"/>
      <c r="C263" s="165"/>
      <c r="D263" s="165"/>
      <c r="E263" s="165"/>
      <c r="F263" s="165"/>
      <c r="G263" s="165"/>
      <c r="H263" s="165"/>
      <c r="I263" s="165"/>
    </row>
    <row r="264" spans="1:9" x14ac:dyDescent="0.3">
      <c r="A264" s="165"/>
      <c r="B264" s="165"/>
      <c r="C264" s="165"/>
      <c r="D264" s="165"/>
      <c r="E264" s="165"/>
      <c r="F264" s="165"/>
      <c r="G264" s="165"/>
      <c r="H264" s="165"/>
      <c r="I264" s="165"/>
    </row>
    <row r="265" spans="1:9" x14ac:dyDescent="0.3">
      <c r="A265" s="165"/>
      <c r="B265" s="165"/>
      <c r="C265" s="165"/>
      <c r="D265" s="165"/>
      <c r="E265" s="165"/>
      <c r="F265" s="165"/>
      <c r="G265" s="165"/>
      <c r="H265" s="165"/>
      <c r="I265" s="165"/>
    </row>
    <row r="266" spans="1:9" x14ac:dyDescent="0.3">
      <c r="A266" s="165"/>
      <c r="B266" s="165"/>
      <c r="C266" s="165"/>
      <c r="D266" s="165"/>
      <c r="E266" s="165"/>
      <c r="F266" s="165"/>
      <c r="G266" s="165"/>
      <c r="H266" s="165"/>
      <c r="I266" s="165"/>
    </row>
    <row r="267" spans="1:9" x14ac:dyDescent="0.3">
      <c r="A267" s="165"/>
      <c r="B267" s="165"/>
      <c r="C267" s="165"/>
      <c r="D267" s="165"/>
      <c r="E267" s="165"/>
      <c r="F267" s="165"/>
      <c r="G267" s="165"/>
      <c r="H267" s="165"/>
      <c r="I267" s="165"/>
    </row>
    <row r="268" spans="1:9" x14ac:dyDescent="0.3">
      <c r="A268" s="165"/>
      <c r="B268" s="165"/>
      <c r="C268" s="165"/>
      <c r="D268" s="165"/>
      <c r="E268" s="165"/>
      <c r="F268" s="165"/>
      <c r="G268" s="165"/>
      <c r="H268" s="165"/>
      <c r="I268" s="165"/>
    </row>
    <row r="269" spans="1:9" x14ac:dyDescent="0.3">
      <c r="A269" s="165"/>
      <c r="B269" s="165"/>
      <c r="C269" s="165"/>
      <c r="D269" s="165"/>
      <c r="E269" s="165"/>
      <c r="F269" s="165"/>
      <c r="G269" s="165"/>
      <c r="H269" s="165"/>
      <c r="I269" s="165"/>
    </row>
    <row r="270" spans="1:9" x14ac:dyDescent="0.3">
      <c r="A270" s="165"/>
      <c r="B270" s="165"/>
      <c r="C270" s="165"/>
      <c r="D270" s="165"/>
      <c r="E270" s="165"/>
      <c r="F270" s="165"/>
      <c r="G270" s="165"/>
      <c r="H270" s="165"/>
      <c r="I270" s="165"/>
    </row>
    <row r="271" spans="1:9" x14ac:dyDescent="0.3">
      <c r="A271" s="165"/>
      <c r="B271" s="165"/>
      <c r="C271" s="165"/>
      <c r="D271" s="165"/>
      <c r="E271" s="165"/>
      <c r="F271" s="165"/>
      <c r="G271" s="165"/>
      <c r="H271" s="165"/>
      <c r="I271" s="165"/>
    </row>
    <row r="272" spans="1:9" x14ac:dyDescent="0.3">
      <c r="A272" s="165"/>
      <c r="B272" s="165"/>
      <c r="C272" s="165"/>
      <c r="D272" s="165"/>
      <c r="E272" s="165"/>
      <c r="F272" s="165"/>
      <c r="G272" s="165"/>
      <c r="H272" s="165"/>
      <c r="I272" s="165"/>
    </row>
    <row r="273" spans="1:9" x14ac:dyDescent="0.3">
      <c r="A273" s="165"/>
      <c r="B273" s="165"/>
      <c r="C273" s="165"/>
      <c r="D273" s="165"/>
      <c r="E273" s="165"/>
      <c r="F273" s="165"/>
      <c r="G273" s="165"/>
      <c r="H273" s="165"/>
      <c r="I273" s="165"/>
    </row>
    <row r="274" spans="1:9" x14ac:dyDescent="0.3">
      <c r="A274" s="165"/>
      <c r="B274" s="165"/>
      <c r="C274" s="165"/>
      <c r="D274" s="165"/>
      <c r="E274" s="165"/>
      <c r="F274" s="165"/>
      <c r="G274" s="165"/>
      <c r="H274" s="165"/>
      <c r="I274" s="165"/>
    </row>
    <row r="275" spans="1:9" x14ac:dyDescent="0.3">
      <c r="A275" s="165"/>
      <c r="B275" s="165"/>
      <c r="C275" s="165"/>
      <c r="D275" s="165"/>
      <c r="E275" s="165"/>
      <c r="F275" s="165"/>
      <c r="G275" s="165"/>
      <c r="H275" s="165"/>
      <c r="I275" s="165"/>
    </row>
    <row r="276" spans="1:9" x14ac:dyDescent="0.3">
      <c r="A276" s="165"/>
      <c r="B276" s="165"/>
      <c r="C276" s="165"/>
      <c r="D276" s="165"/>
      <c r="E276" s="165"/>
      <c r="F276" s="165"/>
      <c r="G276" s="165"/>
      <c r="H276" s="165"/>
      <c r="I276" s="165"/>
    </row>
    <row r="277" spans="1:9" x14ac:dyDescent="0.3">
      <c r="A277" s="165"/>
      <c r="B277" s="165"/>
      <c r="C277" s="165"/>
      <c r="D277" s="165"/>
      <c r="E277" s="165"/>
      <c r="F277" s="165"/>
      <c r="G277" s="165"/>
      <c r="H277" s="165"/>
      <c r="I277" s="165"/>
    </row>
    <row r="278" spans="1:9" x14ac:dyDescent="0.3">
      <c r="A278" s="165"/>
      <c r="B278" s="165"/>
      <c r="C278" s="165"/>
      <c r="D278" s="165"/>
      <c r="E278" s="165"/>
      <c r="F278" s="165"/>
      <c r="G278" s="165"/>
      <c r="H278" s="165"/>
      <c r="I278" s="165"/>
    </row>
    <row r="279" spans="1:9" x14ac:dyDescent="0.3">
      <c r="A279" s="165"/>
      <c r="B279" s="165"/>
      <c r="C279" s="165"/>
      <c r="D279" s="165"/>
      <c r="E279" s="165"/>
      <c r="F279" s="165"/>
      <c r="G279" s="165"/>
      <c r="H279" s="165"/>
      <c r="I279" s="165"/>
    </row>
    <row r="280" spans="1:9" x14ac:dyDescent="0.3">
      <c r="A280" s="165"/>
      <c r="B280" s="165"/>
      <c r="C280" s="165"/>
      <c r="D280" s="165"/>
      <c r="E280" s="165"/>
      <c r="F280" s="165"/>
      <c r="G280" s="165"/>
      <c r="H280" s="165"/>
      <c r="I280" s="165"/>
    </row>
  </sheetData>
  <hyperlinks>
    <hyperlink ref="F2" location="BOM!A1" display="Back to BOM"/>
    <hyperlink ref="B4" location="BR_A0001" display="BR_A0001"/>
    <hyperlink ref="B6" location="SU_A0800" display="SU 0800 00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zoomScale="70" zoomScaleNormal="70" workbookViewId="0">
      <selection activeCell="N3" sqref="N3"/>
    </sheetView>
  </sheetViews>
  <sheetFormatPr baseColWidth="10" defaultRowHeight="14.4" x14ac:dyDescent="0.3"/>
  <cols>
    <col min="1" max="1" width="11.5546875" customWidth="1"/>
    <col min="2" max="2" width="34.88671875" customWidth="1"/>
    <col min="3" max="3" width="36.44140625" customWidth="1"/>
    <col min="5" max="5" width="13.21875" bestFit="1" customWidth="1"/>
    <col min="7" max="7" width="43.33203125" customWidth="1"/>
    <col min="9" max="9" width="27.44140625" customWidth="1"/>
  </cols>
  <sheetData>
    <row r="1" spans="1:16" x14ac:dyDescent="0.3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</row>
    <row r="2" spans="1:16" x14ac:dyDescent="0.3">
      <c r="A2" s="107" t="s">
        <v>0</v>
      </c>
      <c r="B2" s="16" t="s">
        <v>45</v>
      </c>
      <c r="C2" s="57"/>
      <c r="D2" s="57"/>
      <c r="E2" s="57"/>
      <c r="F2" s="57"/>
      <c r="G2" s="57" t="s">
        <v>69</v>
      </c>
      <c r="H2" s="57"/>
      <c r="I2" s="57"/>
      <c r="J2" s="108" t="s">
        <v>1</v>
      </c>
      <c r="K2" s="90">
        <v>81</v>
      </c>
      <c r="L2" s="57"/>
      <c r="M2" s="107" t="s">
        <v>16</v>
      </c>
      <c r="N2" s="74">
        <f>SU_0800_003_m+SU_0800_003_p</f>
        <v>2.0644187499999997</v>
      </c>
      <c r="O2" s="63"/>
    </row>
    <row r="3" spans="1:16" x14ac:dyDescent="0.3">
      <c r="A3" s="107" t="s">
        <v>3</v>
      </c>
      <c r="B3" s="16" t="str">
        <f>'SU A0800'!B3</f>
        <v>Suspension &amp; Shocks</v>
      </c>
      <c r="C3" s="57"/>
      <c r="D3" s="107" t="s">
        <v>6</v>
      </c>
      <c r="E3" s="94" t="s">
        <v>67</v>
      </c>
      <c r="F3" s="57"/>
      <c r="G3" s="57"/>
      <c r="H3" s="57"/>
      <c r="I3" s="57"/>
      <c r="J3" s="57"/>
      <c r="K3" s="57"/>
      <c r="L3" s="57"/>
      <c r="M3" s="107" t="s">
        <v>4</v>
      </c>
      <c r="N3" s="88">
        <v>4</v>
      </c>
      <c r="O3" s="63"/>
    </row>
    <row r="4" spans="1:16" x14ac:dyDescent="0.3">
      <c r="A4" s="107" t="s">
        <v>5</v>
      </c>
      <c r="B4" s="93" t="str">
        <f>'SU A0800'!B4</f>
        <v>Rear Bell Crank</v>
      </c>
      <c r="C4" s="57"/>
      <c r="D4" s="107" t="s">
        <v>8</v>
      </c>
      <c r="E4" s="57"/>
      <c r="F4" s="57"/>
      <c r="G4" s="57"/>
      <c r="H4" s="57"/>
      <c r="I4" s="57"/>
      <c r="J4" s="109" t="s">
        <v>6</v>
      </c>
      <c r="K4" s="57"/>
      <c r="L4" s="57"/>
      <c r="M4" s="57"/>
      <c r="N4" s="57"/>
      <c r="O4" s="63"/>
    </row>
    <row r="5" spans="1:16" x14ac:dyDescent="0.3">
      <c r="A5" s="107" t="s">
        <v>15</v>
      </c>
      <c r="B5" s="29" t="s">
        <v>92</v>
      </c>
      <c r="C5" s="57"/>
      <c r="D5" s="107" t="s">
        <v>12</v>
      </c>
      <c r="E5" s="57"/>
      <c r="F5" s="57"/>
      <c r="G5" s="57"/>
      <c r="H5" s="57"/>
      <c r="I5" s="57"/>
      <c r="J5" s="109" t="s">
        <v>8</v>
      </c>
      <c r="K5" s="57"/>
      <c r="L5" s="57"/>
      <c r="M5" s="107" t="s">
        <v>9</v>
      </c>
      <c r="N5" s="74">
        <f>N3*N2</f>
        <v>8.257674999999999</v>
      </c>
      <c r="O5" s="63"/>
    </row>
    <row r="6" spans="1:16" x14ac:dyDescent="0.3">
      <c r="A6" s="107" t="s">
        <v>7</v>
      </c>
      <c r="B6" s="139" t="s">
        <v>124</v>
      </c>
      <c r="C6" s="57"/>
      <c r="D6" s="57"/>
      <c r="E6" s="57"/>
      <c r="F6" s="57"/>
      <c r="G6" s="57"/>
      <c r="H6" s="57"/>
      <c r="I6" s="57"/>
      <c r="J6" s="109" t="s">
        <v>12</v>
      </c>
      <c r="K6" s="57"/>
      <c r="L6" s="57"/>
      <c r="M6" s="57"/>
      <c r="N6" s="57"/>
      <c r="O6" s="63"/>
    </row>
    <row r="7" spans="1:16" x14ac:dyDescent="0.3">
      <c r="A7" s="107" t="s">
        <v>10</v>
      </c>
      <c r="B7" s="16" t="s">
        <v>11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63"/>
    </row>
    <row r="8" spans="1:16" x14ac:dyDescent="0.3">
      <c r="A8" s="107" t="s">
        <v>13</v>
      </c>
      <c r="B8" s="1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3"/>
    </row>
    <row r="9" spans="1:16" x14ac:dyDescent="0.3">
      <c r="A9" s="91"/>
      <c r="B9" s="30"/>
      <c r="C9" s="30"/>
      <c r="D9" s="30"/>
      <c r="E9" s="30"/>
      <c r="F9" s="57"/>
      <c r="G9" s="57"/>
      <c r="H9" s="57"/>
      <c r="I9" s="57"/>
      <c r="J9" s="57"/>
      <c r="K9" s="57"/>
      <c r="L9" s="57"/>
      <c r="M9" s="57"/>
      <c r="N9" s="57"/>
      <c r="O9" s="63"/>
    </row>
    <row r="10" spans="1:16" x14ac:dyDescent="0.3">
      <c r="A10" s="110" t="s">
        <v>14</v>
      </c>
      <c r="B10" s="111" t="s">
        <v>19</v>
      </c>
      <c r="C10" s="111" t="s">
        <v>20</v>
      </c>
      <c r="D10" s="111" t="s">
        <v>21</v>
      </c>
      <c r="E10" s="111" t="s">
        <v>22</v>
      </c>
      <c r="F10" s="112" t="s">
        <v>23</v>
      </c>
      <c r="G10" s="112" t="s">
        <v>24</v>
      </c>
      <c r="H10" s="112" t="s">
        <v>25</v>
      </c>
      <c r="I10" s="112" t="s">
        <v>26</v>
      </c>
      <c r="J10" s="112" t="s">
        <v>27</v>
      </c>
      <c r="K10" s="112" t="s">
        <v>28</v>
      </c>
      <c r="L10" s="112" t="s">
        <v>29</v>
      </c>
      <c r="M10" s="112" t="s">
        <v>17</v>
      </c>
      <c r="N10" s="112" t="s">
        <v>18</v>
      </c>
      <c r="O10" s="63"/>
    </row>
    <row r="11" spans="1:16" x14ac:dyDescent="0.3">
      <c r="A11" s="92">
        <v>10</v>
      </c>
      <c r="B11" s="31" t="s">
        <v>93</v>
      </c>
      <c r="C11" s="21" t="s">
        <v>94</v>
      </c>
      <c r="D11" s="33">
        <v>2.25</v>
      </c>
      <c r="E11" s="137">
        <f>L11*J11*K11</f>
        <v>0.15307499999999999</v>
      </c>
      <c r="F11" s="21" t="s">
        <v>95</v>
      </c>
      <c r="G11" s="21"/>
      <c r="H11" s="20"/>
      <c r="I11" s="22" t="s">
        <v>123</v>
      </c>
      <c r="J11" s="138">
        <f>100*65*10^-6</f>
        <v>6.4999999999999997E-3</v>
      </c>
      <c r="K11" s="23">
        <v>3.0000000000000001E-3</v>
      </c>
      <c r="L11" s="32">
        <v>7850</v>
      </c>
      <c r="M11" s="25">
        <v>1</v>
      </c>
      <c r="N11" s="33">
        <f>IF(J11="",D11*M11,D11*J11*K11*L11*M11)</f>
        <v>0.34441874999999994</v>
      </c>
      <c r="O11" s="67"/>
      <c r="P11" s="24"/>
    </row>
    <row r="12" spans="1:16" x14ac:dyDescent="0.3">
      <c r="A12" s="68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13" t="s">
        <v>18</v>
      </c>
      <c r="N12" s="114">
        <f>SUM(N11:N11)</f>
        <v>0.34441874999999994</v>
      </c>
      <c r="O12" s="63"/>
    </row>
    <row r="13" spans="1:16" x14ac:dyDescent="0.3">
      <c r="A13" s="64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3"/>
    </row>
    <row r="14" spans="1:16" x14ac:dyDescent="0.3">
      <c r="A14" s="115" t="s">
        <v>14</v>
      </c>
      <c r="B14" s="112" t="s">
        <v>31</v>
      </c>
      <c r="C14" s="112" t="s">
        <v>20</v>
      </c>
      <c r="D14" s="112" t="s">
        <v>21</v>
      </c>
      <c r="E14" s="112" t="s">
        <v>32</v>
      </c>
      <c r="F14" s="112" t="s">
        <v>17</v>
      </c>
      <c r="G14" s="112" t="s">
        <v>33</v>
      </c>
      <c r="H14" s="112" t="s">
        <v>34</v>
      </c>
      <c r="I14" s="112" t="s">
        <v>18</v>
      </c>
      <c r="J14" s="26"/>
      <c r="K14" s="26"/>
      <c r="L14" s="26"/>
      <c r="M14" s="26"/>
      <c r="N14" s="26"/>
      <c r="O14" s="63"/>
    </row>
    <row r="15" spans="1:16" x14ac:dyDescent="0.3">
      <c r="A15" s="162">
        <v>10</v>
      </c>
      <c r="B15" s="161" t="s">
        <v>96</v>
      </c>
      <c r="C15" s="161" t="s">
        <v>97</v>
      </c>
      <c r="D15" s="160">
        <v>1.3</v>
      </c>
      <c r="E15" s="161" t="s">
        <v>35</v>
      </c>
      <c r="F15" s="161">
        <v>1</v>
      </c>
      <c r="G15" s="161" t="s">
        <v>98</v>
      </c>
      <c r="H15" s="161">
        <v>0.25</v>
      </c>
      <c r="I15" s="160">
        <f>D15*F15*H15</f>
        <v>0.32500000000000001</v>
      </c>
      <c r="J15" s="59"/>
      <c r="K15" s="59"/>
      <c r="L15" s="59"/>
      <c r="M15" s="59"/>
      <c r="N15" s="59"/>
      <c r="O15" s="69"/>
      <c r="P15" s="27"/>
    </row>
    <row r="16" spans="1:16" x14ac:dyDescent="0.3">
      <c r="A16" s="162">
        <v>20</v>
      </c>
      <c r="B16" s="161" t="s">
        <v>99</v>
      </c>
      <c r="C16" s="161" t="s">
        <v>100</v>
      </c>
      <c r="D16" s="160">
        <v>0.01</v>
      </c>
      <c r="E16" s="161" t="s">
        <v>47</v>
      </c>
      <c r="F16" s="161">
        <v>46.5</v>
      </c>
      <c r="G16" s="161" t="s">
        <v>101</v>
      </c>
      <c r="H16" s="161">
        <v>3</v>
      </c>
      <c r="I16" s="160">
        <f>D16*F16*H16</f>
        <v>1.395</v>
      </c>
      <c r="J16" s="57"/>
      <c r="K16" s="57"/>
      <c r="L16" s="57"/>
      <c r="M16" s="57"/>
      <c r="N16" s="57"/>
      <c r="O16" s="63"/>
    </row>
    <row r="17" spans="1:15" x14ac:dyDescent="0.3">
      <c r="A17" s="68"/>
      <c r="B17" s="26"/>
      <c r="C17" s="26"/>
      <c r="D17" s="26"/>
      <c r="E17" s="26"/>
      <c r="F17" s="26"/>
      <c r="G17" s="26"/>
      <c r="H17" s="116" t="s">
        <v>18</v>
      </c>
      <c r="I17" s="114">
        <f>SUM(I15:I16)</f>
        <v>1.72</v>
      </c>
      <c r="J17" s="26"/>
      <c r="K17" s="26"/>
      <c r="L17" s="26"/>
      <c r="M17" s="26"/>
      <c r="N17" s="26"/>
      <c r="O17" s="63"/>
    </row>
    <row r="18" spans="1:15" ht="15" thickBot="1" x14ac:dyDescent="0.35">
      <c r="A18" s="70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2"/>
    </row>
  </sheetData>
  <hyperlinks>
    <hyperlink ref="E3" location="dSU_0800_003" display="Drawing"/>
    <hyperlink ref="B6" location="SU_A0800" display="SU 0800 003"/>
    <hyperlink ref="B4" location="BR_A0001" display="BR_A0001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"/>
  <sheetViews>
    <sheetView zoomScaleNormal="100" workbookViewId="0">
      <selection activeCell="B1" sqref="B1"/>
    </sheetView>
  </sheetViews>
  <sheetFormatPr baseColWidth="10" defaultRowHeight="14.4" x14ac:dyDescent="0.3"/>
  <cols>
    <col min="1" max="1" width="12.109375" customWidth="1"/>
  </cols>
  <sheetData>
    <row r="1" spans="1:2" x14ac:dyDescent="0.3">
      <c r="A1" t="s">
        <v>115</v>
      </c>
      <c r="B1" s="94" t="s">
        <v>124</v>
      </c>
    </row>
  </sheetData>
  <hyperlinks>
    <hyperlink ref="B1" location="SU_0800_003" display="SU 0800 003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N20"/>
  <sheetViews>
    <sheetView topLeftCell="B1" workbookViewId="0">
      <selection activeCell="B6" sqref="B6"/>
    </sheetView>
  </sheetViews>
  <sheetFormatPr baseColWidth="10" defaultRowHeight="14.4" x14ac:dyDescent="0.3"/>
  <cols>
    <col min="2" max="2" width="39.109375" customWidth="1"/>
    <col min="3" max="3" width="30.88671875" customWidth="1"/>
    <col min="7" max="7" width="36.77734375" customWidth="1"/>
    <col min="9" max="9" width="29.21875" customWidth="1"/>
  </cols>
  <sheetData>
    <row r="2" spans="1:14" x14ac:dyDescent="0.3">
      <c r="A2" s="183" t="s">
        <v>0</v>
      </c>
      <c r="B2" s="16" t="s">
        <v>45</v>
      </c>
      <c r="C2" s="165"/>
      <c r="D2" s="165"/>
      <c r="E2" s="165"/>
      <c r="F2" s="164" t="s">
        <v>69</v>
      </c>
      <c r="G2" s="165"/>
      <c r="H2" s="165"/>
      <c r="I2" s="165"/>
      <c r="J2" s="184" t="s">
        <v>1</v>
      </c>
      <c r="K2" s="166">
        <v>81</v>
      </c>
      <c r="L2" s="165"/>
      <c r="M2" s="183" t="s">
        <v>16</v>
      </c>
      <c r="N2" s="170">
        <f>SU_0800_004_m+SU_0800_004_p</f>
        <v>3.3779399999999997</v>
      </c>
    </row>
    <row r="3" spans="1:14" x14ac:dyDescent="0.3">
      <c r="A3" s="182" t="s">
        <v>3</v>
      </c>
      <c r="B3" s="16" t="str">
        <f>'SU A0800'!B3</f>
        <v>Suspension &amp; Shocks</v>
      </c>
      <c r="C3" s="165"/>
      <c r="D3" s="183" t="s">
        <v>6</v>
      </c>
      <c r="E3" s="165"/>
      <c r="F3" s="165"/>
      <c r="G3" s="165"/>
      <c r="H3" s="165"/>
      <c r="I3" s="165"/>
      <c r="J3" s="165"/>
      <c r="K3" s="165"/>
      <c r="L3" s="165"/>
      <c r="M3" s="182" t="s">
        <v>4</v>
      </c>
      <c r="N3" s="168">
        <v>2</v>
      </c>
    </row>
    <row r="4" spans="1:14" x14ac:dyDescent="0.3">
      <c r="A4" s="182" t="s">
        <v>5</v>
      </c>
      <c r="B4" s="93" t="str">
        <f>'SU A0800'!B4</f>
        <v>Rear Bell Crank</v>
      </c>
      <c r="C4" s="165"/>
      <c r="D4" s="182" t="s">
        <v>8</v>
      </c>
      <c r="E4" s="165"/>
      <c r="F4" s="165"/>
      <c r="G4" s="165"/>
      <c r="H4" s="165"/>
      <c r="I4" s="165"/>
      <c r="J4" s="183" t="s">
        <v>6</v>
      </c>
      <c r="K4" s="165"/>
      <c r="L4" s="165"/>
      <c r="M4" s="165"/>
      <c r="N4" s="165"/>
    </row>
    <row r="5" spans="1:14" x14ac:dyDescent="0.3">
      <c r="A5" s="182" t="s">
        <v>15</v>
      </c>
      <c r="B5" s="141" t="s">
        <v>119</v>
      </c>
      <c r="C5" s="165"/>
      <c r="D5" s="182" t="s">
        <v>12</v>
      </c>
      <c r="E5" s="165"/>
      <c r="F5" s="165"/>
      <c r="G5" s="165"/>
      <c r="H5" s="165"/>
      <c r="I5" s="165"/>
      <c r="J5" s="182" t="s">
        <v>8</v>
      </c>
      <c r="K5" s="165"/>
      <c r="L5" s="165"/>
      <c r="M5" s="183" t="s">
        <v>9</v>
      </c>
      <c r="N5" s="170">
        <f>N2*N3</f>
        <v>6.7558799999999994</v>
      </c>
    </row>
    <row r="6" spans="1:14" x14ac:dyDescent="0.3">
      <c r="A6" s="182" t="s">
        <v>7</v>
      </c>
      <c r="B6" s="139" t="s">
        <v>125</v>
      </c>
      <c r="C6" s="165"/>
      <c r="D6" s="165"/>
      <c r="E6" s="165"/>
      <c r="F6" s="165"/>
      <c r="G6" s="165"/>
      <c r="H6" s="165"/>
      <c r="I6" s="165"/>
      <c r="J6" s="182" t="s">
        <v>12</v>
      </c>
      <c r="K6" s="165"/>
      <c r="L6" s="165"/>
      <c r="M6" s="165"/>
      <c r="N6" s="165"/>
    </row>
    <row r="7" spans="1:14" x14ac:dyDescent="0.3">
      <c r="A7" s="182" t="s">
        <v>10</v>
      </c>
      <c r="B7" s="16" t="s">
        <v>11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</row>
    <row r="8" spans="1:14" x14ac:dyDescent="0.3">
      <c r="A8" s="182" t="s">
        <v>13</v>
      </c>
      <c r="B8" s="16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</row>
    <row r="9" spans="1:14" x14ac:dyDescent="0.3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</row>
    <row r="10" spans="1:14" x14ac:dyDescent="0.3">
      <c r="A10" s="158" t="s">
        <v>14</v>
      </c>
      <c r="B10" s="157" t="s">
        <v>19</v>
      </c>
      <c r="C10" s="157" t="s">
        <v>20</v>
      </c>
      <c r="D10" s="176" t="s">
        <v>21</v>
      </c>
      <c r="E10" s="176" t="s">
        <v>22</v>
      </c>
      <c r="F10" s="176" t="s">
        <v>23</v>
      </c>
      <c r="G10" s="176" t="s">
        <v>24</v>
      </c>
      <c r="H10" s="176" t="s">
        <v>25</v>
      </c>
      <c r="I10" s="176" t="s">
        <v>26</v>
      </c>
      <c r="J10" s="176" t="s">
        <v>27</v>
      </c>
      <c r="K10" s="176" t="s">
        <v>28</v>
      </c>
      <c r="L10" s="176" t="s">
        <v>29</v>
      </c>
      <c r="M10" s="176" t="s">
        <v>17</v>
      </c>
      <c r="N10" s="176" t="s">
        <v>18</v>
      </c>
    </row>
    <row r="11" spans="1:14" x14ac:dyDescent="0.3">
      <c r="A11" s="169">
        <v>10</v>
      </c>
      <c r="B11" s="154" t="s">
        <v>93</v>
      </c>
      <c r="C11" s="169" t="s">
        <v>113</v>
      </c>
      <c r="D11" s="173">
        <v>2.25</v>
      </c>
      <c r="E11" s="186">
        <f>J11*K11*L11</f>
        <v>0.36423999999999995</v>
      </c>
      <c r="F11" s="174" t="s">
        <v>95</v>
      </c>
      <c r="G11" s="174"/>
      <c r="H11" s="180"/>
      <c r="I11" s="181" t="s">
        <v>126</v>
      </c>
      <c r="J11" s="181">
        <f>50*58*10^-6</f>
        <v>2.8999999999999998E-3</v>
      </c>
      <c r="K11" s="185">
        <v>1.6E-2</v>
      </c>
      <c r="L11" s="179">
        <v>7850</v>
      </c>
      <c r="M11" s="179">
        <v>1</v>
      </c>
      <c r="N11" s="173">
        <f>D11*E11*M11</f>
        <v>0.81953999999999994</v>
      </c>
    </row>
    <row r="12" spans="1:14" x14ac:dyDescent="0.3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72" t="s">
        <v>18</v>
      </c>
      <c r="N12" s="178">
        <f>N11</f>
        <v>0.81953999999999994</v>
      </c>
    </row>
    <row r="13" spans="1:14" x14ac:dyDescent="0.3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</row>
    <row r="14" spans="1:14" x14ac:dyDescent="0.3">
      <c r="A14" s="177" t="s">
        <v>14</v>
      </c>
      <c r="B14" s="176" t="s">
        <v>31</v>
      </c>
      <c r="C14" s="176" t="s">
        <v>20</v>
      </c>
      <c r="D14" s="176" t="s">
        <v>21</v>
      </c>
      <c r="E14" s="176" t="s">
        <v>32</v>
      </c>
      <c r="F14" s="176" t="s">
        <v>17</v>
      </c>
      <c r="G14" s="176" t="s">
        <v>33</v>
      </c>
      <c r="H14" s="176" t="s">
        <v>34</v>
      </c>
      <c r="I14" s="176" t="s">
        <v>18</v>
      </c>
      <c r="J14" s="167"/>
      <c r="K14" s="167"/>
      <c r="L14" s="167"/>
      <c r="M14" s="167"/>
      <c r="N14" s="167"/>
    </row>
    <row r="15" spans="1:14" x14ac:dyDescent="0.3">
      <c r="A15" s="175">
        <v>10</v>
      </c>
      <c r="B15" s="174" t="s">
        <v>96</v>
      </c>
      <c r="C15" s="174" t="s">
        <v>97</v>
      </c>
      <c r="D15" s="173">
        <v>1.3</v>
      </c>
      <c r="E15" s="174" t="s">
        <v>35</v>
      </c>
      <c r="F15" s="174">
        <v>1</v>
      </c>
      <c r="G15" s="174" t="s">
        <v>127</v>
      </c>
      <c r="H15" s="174">
        <v>0.5</v>
      </c>
      <c r="I15" s="173">
        <f>D15*F15*H15</f>
        <v>0.65</v>
      </c>
      <c r="J15" s="165"/>
      <c r="K15" s="165"/>
      <c r="L15" s="165"/>
      <c r="M15" s="165"/>
      <c r="N15" s="165"/>
    </row>
    <row r="16" spans="1:14" x14ac:dyDescent="0.3">
      <c r="A16" s="175">
        <v>20</v>
      </c>
      <c r="B16" s="174" t="s">
        <v>99</v>
      </c>
      <c r="C16" s="174" t="s">
        <v>100</v>
      </c>
      <c r="D16" s="173">
        <v>0.01</v>
      </c>
      <c r="E16" s="174" t="s">
        <v>47</v>
      </c>
      <c r="F16" s="174">
        <v>20</v>
      </c>
      <c r="G16" s="174" t="s">
        <v>101</v>
      </c>
      <c r="H16" s="174">
        <v>3</v>
      </c>
      <c r="I16" s="173">
        <f>D16*F16*H16</f>
        <v>0.60000000000000009</v>
      </c>
      <c r="J16" s="165"/>
      <c r="K16" s="165"/>
      <c r="L16" s="165"/>
      <c r="M16" s="165"/>
      <c r="N16" s="165"/>
    </row>
    <row r="17" spans="1:14" x14ac:dyDescent="0.3">
      <c r="A17" s="175">
        <v>30</v>
      </c>
      <c r="B17" s="174" t="s">
        <v>46</v>
      </c>
      <c r="C17" s="174"/>
      <c r="D17" s="173">
        <v>1.3</v>
      </c>
      <c r="E17" s="174" t="s">
        <v>35</v>
      </c>
      <c r="F17" s="174">
        <v>1</v>
      </c>
      <c r="G17" s="174"/>
      <c r="H17" s="174"/>
      <c r="I17" s="173">
        <v>1.3</v>
      </c>
      <c r="J17" s="167"/>
      <c r="K17" s="167"/>
      <c r="L17" s="167"/>
      <c r="M17" s="167"/>
      <c r="N17" s="167"/>
    </row>
    <row r="18" spans="1:14" x14ac:dyDescent="0.3">
      <c r="A18" s="175">
        <v>40</v>
      </c>
      <c r="B18" s="174" t="s">
        <v>114</v>
      </c>
      <c r="C18" s="174" t="s">
        <v>104</v>
      </c>
      <c r="D18" s="173">
        <v>0.04</v>
      </c>
      <c r="E18" s="174" t="s">
        <v>105</v>
      </c>
      <c r="F18" s="174">
        <v>7.0000000000000007E-2</v>
      </c>
      <c r="G18" s="174" t="s">
        <v>101</v>
      </c>
      <c r="H18" s="174">
        <v>3</v>
      </c>
      <c r="I18" s="173">
        <f>D18*F18*H18</f>
        <v>8.4000000000000012E-3</v>
      </c>
      <c r="J18" s="165"/>
      <c r="K18" s="165"/>
      <c r="L18" s="165"/>
      <c r="M18" s="165"/>
      <c r="N18" s="165"/>
    </row>
    <row r="19" spans="1:14" x14ac:dyDescent="0.3">
      <c r="A19" s="167"/>
      <c r="B19" s="167"/>
      <c r="C19" s="167"/>
      <c r="D19" s="167"/>
      <c r="E19" s="167"/>
      <c r="F19" s="167"/>
      <c r="G19" s="167"/>
      <c r="H19" s="172" t="s">
        <v>18</v>
      </c>
      <c r="I19" s="171">
        <f>SUM(I15:I18)</f>
        <v>2.5583999999999998</v>
      </c>
    </row>
    <row r="20" spans="1:14" x14ac:dyDescent="0.3">
      <c r="A20" s="165"/>
      <c r="B20" s="165"/>
      <c r="C20" s="165"/>
      <c r="D20" s="165"/>
      <c r="E20" s="165"/>
      <c r="F20" s="165"/>
      <c r="G20" s="165"/>
      <c r="H20" s="166"/>
      <c r="I20" s="170"/>
    </row>
  </sheetData>
  <hyperlinks>
    <hyperlink ref="F2" location="BOM!A1" display="Back to BOM"/>
    <hyperlink ref="B4" location="BR_A0001" display="BR_A0001"/>
    <hyperlink ref="B6" location="SU_A0800" display="SU 0800 004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24</vt:i4>
      </vt:variant>
    </vt:vector>
  </HeadingPairs>
  <TitlesOfParts>
    <vt:vector size="30" baseType="lpstr">
      <vt:lpstr>BOM</vt:lpstr>
      <vt:lpstr>SU A0800</vt:lpstr>
      <vt:lpstr>SU 0800 001</vt:lpstr>
      <vt:lpstr>SU 0600 003</vt:lpstr>
      <vt:lpstr>dSU 0800 003</vt:lpstr>
      <vt:lpstr>SU 0800 004</vt:lpstr>
      <vt:lpstr>BOM!Car</vt:lpstr>
      <vt:lpstr>BOM!CompCode</vt:lpstr>
      <vt:lpstr>dSU_0800_003</vt:lpstr>
      <vt:lpstr>BOM!Impression_des_titres</vt:lpstr>
      <vt:lpstr>SU_0800_001</vt:lpstr>
      <vt:lpstr>SU_0800_001_m</vt:lpstr>
      <vt:lpstr>SU_0800_001_p</vt:lpstr>
      <vt:lpstr>SU_0800_001_q</vt:lpstr>
      <vt:lpstr>SU_0800_003</vt:lpstr>
      <vt:lpstr>SU_0800_003_m</vt:lpstr>
      <vt:lpstr>SU_0800_003_p</vt:lpstr>
      <vt:lpstr>SU_0800_003_q</vt:lpstr>
      <vt:lpstr>SU_0800_004</vt:lpstr>
      <vt:lpstr>SU_0800_004_m</vt:lpstr>
      <vt:lpstr>SU_0800_004_p</vt:lpstr>
      <vt:lpstr>SU_0800_004_q</vt:lpstr>
      <vt:lpstr>SU_A0800</vt:lpstr>
      <vt:lpstr>SU_A0800_f</vt:lpstr>
      <vt:lpstr>SU_A0800_m</vt:lpstr>
      <vt:lpstr>SU_A0800_p</vt:lpstr>
      <vt:lpstr>SU_A0800_pa</vt:lpstr>
      <vt:lpstr>SU_A0800_q</vt:lpstr>
      <vt:lpstr>SU_A0800_t</vt:lpstr>
      <vt:lpstr>BOM!Zone_d_impression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Victor</cp:lastModifiedBy>
  <cp:revision>0</cp:revision>
  <dcterms:created xsi:type="dcterms:W3CDTF">2015-05-29T18:57:13Z</dcterms:created>
  <dcterms:modified xsi:type="dcterms:W3CDTF">2018-04-30T23:18:29Z</dcterms:modified>
  <dc:language>fr-FR</dc:language>
</cp:coreProperties>
</file>