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92"/>
  </bookViews>
  <sheets>
    <sheet name="Cover" sheetId="1" r:id="rId1"/>
    <sheet name="Table of Contents" sheetId="2" r:id="rId2"/>
    <sheet name="Cost Summary" sheetId="3" r:id="rId3"/>
    <sheet name="BOM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">#REF!</definedName>
    <definedName name="BR_01001">'[1]BR 01001'!$B$6</definedName>
    <definedName name="BR_01001_m">'[1]BR 01001'!$N$12</definedName>
    <definedName name="BR_01001_p">'[1]BR 01001'!$I$17</definedName>
    <definedName name="BR_01001_q">'[1]BR 01001'!$N$3</definedName>
    <definedName name="BR_01002">'[1]BR 01002'!$B$6</definedName>
    <definedName name="BR_01002_m">'[1]BR 01002'!$N$12</definedName>
    <definedName name="BR_01002_p">'[1]BR 01002'!$I$17</definedName>
    <definedName name="BR_01002_q">'[1]BR 01002'!$N$3</definedName>
    <definedName name="BR_01003">'[1]BR 01003'!$B$6</definedName>
    <definedName name="BR_01003_m">'[1]BR 01003'!$N$12</definedName>
    <definedName name="BR_01003_p">'[1]BR 01003'!$I$17</definedName>
    <definedName name="BR_01003_q">'[1]BR 01003'!$N$3</definedName>
    <definedName name="BR_01004">'[1]BR 01004'!$B$6</definedName>
    <definedName name="BR_01004_m">'[1]BR 01004'!$N$12</definedName>
    <definedName name="BR_01004_p">'[1]BR 01004'!$I$17</definedName>
    <definedName name="BR_01004_q">'[1]BR 01004'!$N$3</definedName>
    <definedName name="BR_02001">'[1]BR 02001'!$B$6</definedName>
    <definedName name="BR_02001_m">'[1]BR 02001'!$N$12</definedName>
    <definedName name="BR_02001_p">'[1]BR 02001'!$I$17</definedName>
    <definedName name="BR_02001_q">'[1]BR 02001'!$N$3</definedName>
    <definedName name="BR_02002">'[1]BR 02002'!$B$6</definedName>
    <definedName name="BR_02002_m">'[1]BR 02002'!$N$12</definedName>
    <definedName name="BR_02002_p">'[1]BR 02002'!$I$17</definedName>
    <definedName name="BR_02002_q">'[1]BR 02002'!$N$3</definedName>
    <definedName name="BR_02003">'[1]BR 02003'!$B$6</definedName>
    <definedName name="BR_02003_m">'[1]BR 02003'!$N$12</definedName>
    <definedName name="BR_02003_p">'[1]BR 02003'!$I$17</definedName>
    <definedName name="BR_02003_q">'[1]BR 02003'!$N$3</definedName>
    <definedName name="BR_02004">'[1]BR 02004'!$B$6</definedName>
    <definedName name="BR_02004_m">'[1]BR 02004'!$N$12</definedName>
    <definedName name="BR_02004_p">'[1]BR 02004'!$I$17</definedName>
    <definedName name="BR_02004_q">'[1]BR 02004'!$N$3</definedName>
    <definedName name="BR_03001">'[1]BR 03001'!$B$6</definedName>
    <definedName name="BR_03001_m">'[1]BR 03001'!$N$12</definedName>
    <definedName name="BR_03001_p">'[1]BR 03001'!$I$17</definedName>
    <definedName name="BR_03001_q">'[1]BR 03001'!$N$3</definedName>
    <definedName name="BR_03002">'[1]BR 03002'!$B$6</definedName>
    <definedName name="BR_03002_m">'[1]BR 03002'!$N$12</definedName>
    <definedName name="BR_03002_p">'[1]BR 03002'!$I$17</definedName>
    <definedName name="BR_03002_q">'[1]BR 03002'!$N$3</definedName>
    <definedName name="BR_03003">'[1]BR 03003'!$B$6</definedName>
    <definedName name="BR_03003_m">'[1]BR 03003'!$N$12</definedName>
    <definedName name="BR_03003_p">'[1]BR 03003'!$I$17</definedName>
    <definedName name="BR_03003_q">'[1]BR 03003'!$N$3</definedName>
    <definedName name="BR_03004">'[1]BR 03004'!$B$6</definedName>
    <definedName name="BR_03004_m">'[1]BR 03004'!$N$12</definedName>
    <definedName name="BR_03004_p">'[1]BR 03004'!$I$17</definedName>
    <definedName name="BR_03004_q">'[1]BR 03004'!$N$3</definedName>
    <definedName name="BR_A0001">'[1]BR A0001'!$B$5</definedName>
    <definedName name="BR_A0001_BOM">BOM!$C$7</definedName>
    <definedName name="BR_A0001_f">'[1]BR A0001'!$J$37</definedName>
    <definedName name="BR_A0001_m">'[1]BR A0001'!$N$19</definedName>
    <definedName name="BR_A0001_p">'[1]BR A0001'!$I$30</definedName>
    <definedName name="BR_A0001_pa">'[1]BR A0001'!$E$14</definedName>
    <definedName name="BR_A0001_q">'[1]BR A0001'!$N$3</definedName>
    <definedName name="BR_A0001_t" hidden="1">'[4]ST Assembly'!$I$48</definedName>
    <definedName name="BR_A0002">'[1]BR A0002'!$B$5</definedName>
    <definedName name="BR_A0002_BOM">BOM!$C$12</definedName>
    <definedName name="BR_A0002_f">'[1]BR A0002'!$J$37</definedName>
    <definedName name="BR_A0002_m">'[1]BR A0002'!$N$19</definedName>
    <definedName name="BR_A0002_p">'[1]BR A0002'!$I$30</definedName>
    <definedName name="BR_A0002_pa">'[1]BR A0002'!$E$14</definedName>
    <definedName name="BR_A0002_q">'[1]BR A0002'!$N$3</definedName>
    <definedName name="BR_A0003">'[1]BR A0003'!$B$5</definedName>
    <definedName name="BR_A0003_BOM">BOM!$C$17</definedName>
    <definedName name="BR_A0003_f">'[1]BR A0003'!$J$77</definedName>
    <definedName name="BR_A0003_m">'[1]BR A0003'!$N$34</definedName>
    <definedName name="BR_A0003_p">'[1]BR A0003'!$I$64</definedName>
    <definedName name="BR_A0003_pa">'[1]BR A0003'!$E$14</definedName>
    <definedName name="BR_A0003_q">'[1]BR A0003'!$N$3</definedName>
    <definedName name="BR_A0003_t">'[1]BR A0003'!$I$81</definedName>
    <definedName name="Cout_total">'Cost Summary'!$H$16</definedName>
    <definedName name="dSU_510_001">#REF!</definedName>
    <definedName name="EL_01001">[1]EL_01001!$B$6</definedName>
    <definedName name="EL_01001_m">[1]EL_01001!$N$12</definedName>
    <definedName name="EL_01001_p">[1]EL_01001!$I$17</definedName>
    <definedName name="EL_01001_q">[1]EL_01001!$N$3</definedName>
    <definedName name="EL_01002">[1]EL_01002!$B$6</definedName>
    <definedName name="EL_01002_m">[1]EL_01002!$N$12</definedName>
    <definedName name="EL_01002_p">[1]EL_01002!$I$17</definedName>
    <definedName name="EL_01002_q">[1]EL_01002!$N$3</definedName>
    <definedName name="EL_01003">[1]EL_01003!$B$6</definedName>
    <definedName name="EL_01003_m">[1]EL_01003!$N$12</definedName>
    <definedName name="EL_01003_p">[1]EL_01003!$I$17</definedName>
    <definedName name="EL_01003_q">[1]EL_01003!$N$3</definedName>
    <definedName name="EL_01004">[1]EL_01004!$B$6</definedName>
    <definedName name="EL_01004_m">[1]EL_01004!$N$12</definedName>
    <definedName name="EL_01004_p">[1]EL_01004!$I$17</definedName>
    <definedName name="EL_01004_q">[1]EL_01004!$N$3</definedName>
    <definedName name="EL_01005">[1]EL_01005!$B$6</definedName>
    <definedName name="EL_01005_m">[1]EL_01005!$N$12</definedName>
    <definedName name="EL_01005_p">[1]EL_01005!$I$17</definedName>
    <definedName name="EL_01005_q">[1]EL_01005!$N$3</definedName>
    <definedName name="EL_01006">[1]EL_01006!$B$6</definedName>
    <definedName name="EL_01006_m">[1]EL_01006!$N$12</definedName>
    <definedName name="EL_01006_p">[1]EL_01006!$I$17</definedName>
    <definedName name="EL_01006_q">[1]EL_01006!$N$3</definedName>
    <definedName name="EL_02001">'[1]EL 02001'!$B$6</definedName>
    <definedName name="EL_02001_m">'[1]EL 02001'!$N$12</definedName>
    <definedName name="EL_02001_p">'[1]EL 02001'!$I$23</definedName>
    <definedName name="EL_02001_q">'[1]EL 02001'!$N$3</definedName>
    <definedName name="EL_02001_t">'[1]EL 02001'!$I$27</definedName>
    <definedName name="EL_02002">'[1]EL 02002'!$B$6</definedName>
    <definedName name="EL_02002_f">'[1]EL 02002'!$J$35</definedName>
    <definedName name="EL_02002_m">'[1]EL 02002'!$N$20</definedName>
    <definedName name="EL_02002_p">'[1]EL 02002'!$I$31</definedName>
    <definedName name="EL_02002_q">'[1]EL 02002'!$N$3</definedName>
    <definedName name="EL_02003">'[1]EL 02003'!$B$6</definedName>
    <definedName name="EL_02003_m">'[1]EL 02003'!$N$12</definedName>
    <definedName name="EL_02003_p">'[1]EL 02003'!$I$18</definedName>
    <definedName name="EL_02003_q">'[1]EL 02003'!$N$3</definedName>
    <definedName name="EL_02004">[1]EL_02004!$B$6</definedName>
    <definedName name="EL_02004_m">[1]EL_02004!$N$12</definedName>
    <definedName name="EL_02004_p">[1]EL_02004!$I$17</definedName>
    <definedName name="EL_02004_q">[1]EL_02004!$N$3</definedName>
    <definedName name="EL_03001">[1]EL_03001!$B$6</definedName>
    <definedName name="EL_03001_m">[1]EL_03001!$N$12</definedName>
    <definedName name="EL_03001_p">[1]EL_03001!$I$18</definedName>
    <definedName name="EL_03001_q">[1]EL_03001!$N$3</definedName>
    <definedName name="EL_03002">[1]EL_03002!$B$6</definedName>
    <definedName name="EL_03002_m">[1]EL_03002!$N$12</definedName>
    <definedName name="EL_03002_p">[1]EL_03002!$I$18</definedName>
    <definedName name="EL_03002_q">[1]EL_03002!$N$3</definedName>
    <definedName name="EL_03003">[1]EL_03003!$B$6</definedName>
    <definedName name="EL_03003_m">[1]EL_03003!$N$12</definedName>
    <definedName name="EL_03003_p">[1]EL_03003!$I$17</definedName>
    <definedName name="EL_03003_q">[1]EL_03003!$N$3</definedName>
    <definedName name="EL_A0001">[1]EL_A0100!$B$5</definedName>
    <definedName name="EL_A0001_BOM">BOM!$C$154</definedName>
    <definedName name="EL_A0001_f">[1]EL_A0100!$J$110</definedName>
    <definedName name="EL_A0001_m">[1]EL_A0100!$N$66</definedName>
    <definedName name="EL_A0001_p">[1]EL_A0100!$I$86</definedName>
    <definedName name="EL_A0001_pa">[1]EL_A0100!$E$16</definedName>
    <definedName name="EL_A0001_q">[1]EL_A0100!$N$3</definedName>
    <definedName name="EL_A0001_t">[1]EL_A0100!$I$114</definedName>
    <definedName name="EL_A0002">'[1]EL A0200'!$B$5</definedName>
    <definedName name="EL_A0002_BOM">BOM!$C$161</definedName>
    <definedName name="EL_A0002_f">'[1]EL A0200'!$J$61</definedName>
    <definedName name="EL_A0002_m">'[1]EL A0200'!$N$43</definedName>
    <definedName name="EL_A0002_p">'[1]EL A0200'!$I$56</definedName>
    <definedName name="EL_A0002_pa">'[1]EL A0200'!$E$14</definedName>
    <definedName name="EL_A0002_q">'[1]EL A0200'!$N$3</definedName>
    <definedName name="EL_A0002_t">'[1]EL A0200'!$I$65</definedName>
    <definedName name="EL_A0003">[1]EL_A0300!$B$5</definedName>
    <definedName name="EL_A0003_BOM">BOM!$C$166</definedName>
    <definedName name="EL_A0003_f" localSheetId="0">#REF!</definedName>
    <definedName name="EL_A0003_f" localSheetId="1">#REF!</definedName>
    <definedName name="EL_A0003_f">[1]EL_A0300!$J$35</definedName>
    <definedName name="EL_A0003_m" localSheetId="0">#REF!</definedName>
    <definedName name="EL_A0003_m" localSheetId="1">#REF!</definedName>
    <definedName name="EL_A0003_m">[1]EL_A0300!$N$18</definedName>
    <definedName name="EL_A0003_p" localSheetId="0">#REF!</definedName>
    <definedName name="EL_A0003_p" localSheetId="1">#REF!</definedName>
    <definedName name="EL_A0003_p">[1]EL_A0300!$I$29</definedName>
    <definedName name="EL_A0003_pa">[1]EL_A0300!$E$13</definedName>
    <definedName name="EL_A0003_q">[1]EL_A0300!$N$3</definedName>
    <definedName name="EL_A0003_t" localSheetId="0">#REF!</definedName>
    <definedName name="EL_A0003_t" localSheetId="1">#REF!</definedName>
    <definedName name="EL_A0003_t">[1]EL_A0300!$I$39</definedName>
    <definedName name="EN_01001_f">#REF!</definedName>
    <definedName name="EN_01001_m">'[1]EN 01001'!$N$15</definedName>
    <definedName name="EN_01001_p">'[1]EN 01001'!$I$30</definedName>
    <definedName name="EN_01001_q">'[1]EN 01001'!$N$2</definedName>
    <definedName name="EN_01001_t">'[1]EN 01001'!$I$34</definedName>
    <definedName name="EN_01002_m">'[1]EN 01002'!$N$11</definedName>
    <definedName name="EN_01002_p">'[1]EN 01002'!$I$16</definedName>
    <definedName name="EN_01002_q">'[1]EN 01002'!$N$2</definedName>
    <definedName name="EN_01003_m">'[1]EN 01003'!$N$11</definedName>
    <definedName name="EN_01003_p">'[1]EN 01003'!$I$16</definedName>
    <definedName name="EN_01003_q">'[1]EN 01003'!$N$2</definedName>
    <definedName name="EN_02001">[1]EN_02001!$B$6</definedName>
    <definedName name="EN_02001_f">[1]EN_02001!#REF!</definedName>
    <definedName name="EN_02001_m">[1]EN_02001!$N$12</definedName>
    <definedName name="EN_02001_p">[1]EN_02001!$I$19</definedName>
    <definedName name="EN_02001_q">[1]EN_02001!$N$3</definedName>
    <definedName name="EN_02001_t">[1]EN_02001!#REF!</definedName>
    <definedName name="EN_02002">[1]EN_02002!$B$6</definedName>
    <definedName name="EN_02002_m">[1]EN_02002!$N$12</definedName>
    <definedName name="EN_02002_p">[1]EN_02002!$I$17</definedName>
    <definedName name="EN_02002_q">[1]EN_02002!$N$3</definedName>
    <definedName name="EN_02003">[1]EN_02003!$B$6</definedName>
    <definedName name="EN_02003_m">[1]EN_02003!$N$12</definedName>
    <definedName name="EN_02003_p">[1]EN_02003!$I$19</definedName>
    <definedName name="EN_02003_q">[1]EN_02003!$N$3</definedName>
    <definedName name="EN_02003_t">[1]EN_02003!$I$24</definedName>
    <definedName name="EN_02004">[1]EN_02004!$B$6</definedName>
    <definedName name="EN_02004_m">[1]EN_02004!$N$13</definedName>
    <definedName name="EN_02004_p">[1]EN_02004!$I$19</definedName>
    <definedName name="EN_02004_q">[1]EN_02004!$N$3</definedName>
    <definedName name="EN_02004_t">[1]EN_02004!$I$23</definedName>
    <definedName name="EN_02005">[1]EN_02005!$B$6</definedName>
    <definedName name="EN_02005_m">[1]EN_02005!$N$12</definedName>
    <definedName name="EN_02005_p">[1]EN_02005!$I$16</definedName>
    <definedName name="EN_02005_q">[1]EN_02005!$N$3</definedName>
    <definedName name="EN_02005_t">[1]EN_02005!#REF!</definedName>
    <definedName name="EN_02006">[1]EN_02006!$B$6</definedName>
    <definedName name="EN_02006_m">[1]EN_02006!$N$13</definedName>
    <definedName name="EN_02006_p">[1]EN_02006!$I$19</definedName>
    <definedName name="EN_02006_q">[1]EN_02006!$N$3</definedName>
    <definedName name="EN_02006_t">[1]EN_02006!$I$23</definedName>
    <definedName name="EN_02007">[1]EN_02007!$B$6</definedName>
    <definedName name="EN_02007_m">[1]EN_02007!$N$12</definedName>
    <definedName name="EN_02007_p">[1]EN_02007!$I$19</definedName>
    <definedName name="EN_02007_q">[1]EN_02007!$N$3</definedName>
    <definedName name="EN_02007_t">[1]EN_02007!$I$23</definedName>
    <definedName name="EN_02008">[1]EN_02008!$B$6</definedName>
    <definedName name="EN_02008_m">[1]EN_02008!$N$14</definedName>
    <definedName name="EN_02008_p">[1]EN_02008!$I$22</definedName>
    <definedName name="EN_02008_q">[1]EN_02008!$N$3</definedName>
    <definedName name="EN_02009">[1]EN_02009!$B$6</definedName>
    <definedName name="EN_02009_m">[1]EN_02009!$N$12</definedName>
    <definedName name="EN_02009_p">[1]EN_02009!$I$17</definedName>
    <definedName name="EN_02009_q">[1]EN_02009!$N$3</definedName>
    <definedName name="EN_02009_t">[1]EN_02009!$I$21</definedName>
    <definedName name="EN_02010">[1]EN_02010!$B$6</definedName>
    <definedName name="EN_02010_m">[1]EN_02010!$N$12</definedName>
    <definedName name="EN_02010_p">[1]EN_02010!$I$17</definedName>
    <definedName name="EN_02010_q">[1]EN_02010!$N$3</definedName>
    <definedName name="EN_02010_t">[1]EN_02010!#REF!</definedName>
    <definedName name="EN_0300_001">[1]EN_03001!$B$5</definedName>
    <definedName name="EN_0300_001_f">[1]EN_03001!$I$19</definedName>
    <definedName name="EN_0300_001_m">[1]EN_03001!$N$12</definedName>
    <definedName name="EN_0300_001_p">[1]EN_03001!$I$17</definedName>
    <definedName name="EN_0300_001_q">[1]EN_03001!$N$3</definedName>
    <definedName name="EN_0300_001_t">[1]EN_03001!$I$21</definedName>
    <definedName name="EN_0300_002">[1]EN_03002!$B$5</definedName>
    <definedName name="EN_0300_002_f">[1]EN_03002!$I$19</definedName>
    <definedName name="EN_0300_002_m">[1]EN_03002!$N$12</definedName>
    <definedName name="EN_0300_002_p">[1]EN_03002!$I$17</definedName>
    <definedName name="EN_0300_002_q">[1]EN_03002!$N$3</definedName>
    <definedName name="EN_0300_002_t">[1]EN_03002!$I$20</definedName>
    <definedName name="EN_0300_003">[1]EN_03003!$B$5</definedName>
    <definedName name="EN_0300_003_f">[1]EN_03003!$I$19</definedName>
    <definedName name="EN_0300_003_m">[1]EN_03003!$N$12</definedName>
    <definedName name="EN_0300_003_p">[1]EN_03003!$I$17</definedName>
    <definedName name="EN_0300_003_q">[1]EN_03003!$N$3</definedName>
    <definedName name="EN_0300_003_t">[1]EN_03003!$I$20</definedName>
    <definedName name="EN_0300_004">[1]EN_03004!$B$5</definedName>
    <definedName name="EN_0300_004_f">[1]EN_03004!$I$18</definedName>
    <definedName name="EN_0300_004_m">[1]EN_03004!$N$12</definedName>
    <definedName name="EN_0300_004_p">[1]EN_03004!$I$17</definedName>
    <definedName name="EN_0300_004_q">[1]EN_03004!$N$3</definedName>
    <definedName name="EN_0300_004_t">[1]EN_03004!$I$19</definedName>
    <definedName name="EN_0300_005">[1]EN_03005!$B$5</definedName>
    <definedName name="EN_0300_005_f">[1]EN_03005!$I$19</definedName>
    <definedName name="EN_0300_005_m">[1]EN_03005!$N$12</definedName>
    <definedName name="EN_0300_005_p">[1]EN_03005!$I$17</definedName>
    <definedName name="EN_0300_005_q">[1]EN_03005!$N$3</definedName>
    <definedName name="EN_0300_005_t">[1]EN_03005!$I$18</definedName>
    <definedName name="EN_0300_006">[1]EN_03006!$B$5</definedName>
    <definedName name="EN_0300_006_f">[1]EN_03006!$I$19</definedName>
    <definedName name="EN_0300_006_m">[1]EN_03006!$N$12</definedName>
    <definedName name="EN_0300_006_p">[1]EN_03006!$I$17</definedName>
    <definedName name="EN_0300_006_q">[1]EN_03006!$N$3</definedName>
    <definedName name="EN_0300_006_t">[1]EN_03006!$I$18</definedName>
    <definedName name="EN_0300_007">[1]EN_03007!$B$5</definedName>
    <definedName name="EN_0300_007_f">[1]EN_03007!$I$20</definedName>
    <definedName name="EN_0300_007_m">[1]EN_03007!$N$12</definedName>
    <definedName name="EN_0300_007_p">[1]EN_03007!$I$18</definedName>
    <definedName name="EN_0300_007_q">[1]EN_03007!$N$3</definedName>
    <definedName name="EN_0300_007_t">[1]EN_03007!$I$19</definedName>
    <definedName name="EN_0300_008">[1]EN_03008!$B$5</definedName>
    <definedName name="EN_0300_008_f">[1]EN_03008!$I$19</definedName>
    <definedName name="EN_0300_008_m">[1]EN_03008!$N$12</definedName>
    <definedName name="EN_0300_008_p">[1]EN_03008!$I$17</definedName>
    <definedName name="EN_0300_008_q">[1]EN_03008!$N$3</definedName>
    <definedName name="EN_0300_008_t">[1]EN_03008!$I$18</definedName>
    <definedName name="EN_0400_001">[1]EN_04001!$B$5</definedName>
    <definedName name="EN_0400_001_f">[1]EN_04001!$I$19</definedName>
    <definedName name="EN_0400_001_m">[1]EN_04001!$N$12</definedName>
    <definedName name="EN_0400_001_p">[1]EN_04001!$I$18</definedName>
    <definedName name="EN_0400_001_q">[1]EN_04001!$N$3</definedName>
    <definedName name="EN_0400_001_t">[1]EN_04001!$I$20</definedName>
    <definedName name="EN_0400_002">[1]EN_04002!$B$5</definedName>
    <definedName name="EN_0400_002_f">[1]EN_04002!$I$21</definedName>
    <definedName name="EN_0400_002_m">[1]EN_04002!$N$12</definedName>
    <definedName name="EN_0400_002_p">[1]EN_04002!$I$19</definedName>
    <definedName name="EN_0400_002_q">[1]EN_04002!$N$3</definedName>
    <definedName name="EN_0400_002_t">[1]EN_04002!$I$22</definedName>
    <definedName name="EN_0400_003">[1]EN_04003!$B$5</definedName>
    <definedName name="EN_0400_003_f">[1]EN_04003!$I$20</definedName>
    <definedName name="EN_0400_003_m">[1]EN_04003!$N$12</definedName>
    <definedName name="EN_0400_003_p">[1]EN_04003!$I$19</definedName>
    <definedName name="EN_0400_003_q">[1]EN_04003!$N$3</definedName>
    <definedName name="EN_0400_003_t">[1]EN_04003!$I$21</definedName>
    <definedName name="EN_0400_004">[1]EN_04004!$B$5</definedName>
    <definedName name="EN_0400_004_f">[1]EN_04004!$I$20</definedName>
    <definedName name="EN_0400_004_m">[1]EN_04004!$N$12</definedName>
    <definedName name="EN_0400_004_p">[1]EN_04004!$I$19</definedName>
    <definedName name="EN_0400_004_q">[1]EN_04004!$N$3</definedName>
    <definedName name="EN_0400_004_t">[1]EN_04004!$I$21</definedName>
    <definedName name="EN_0400_005">[1]EN_04005!$B$5</definedName>
    <definedName name="EN_0400_005_f">[1]EN_04005!$I$20</definedName>
    <definedName name="EN_0400_005_m">[1]EN_04005!$N$12</definedName>
    <definedName name="EN_0400_005_p">[1]EN_04005!$I$19</definedName>
    <definedName name="EN_0400_005_q">[1]EN_04005!$N$3</definedName>
    <definedName name="EN_0400_005_t">[1]EN_04005!$I$21</definedName>
    <definedName name="EN_0400_006">[1]EN_04006!$B$5</definedName>
    <definedName name="EN_0400_006_f">[1]EN_04006!$I$20</definedName>
    <definedName name="EN_0400_006_m">[1]EN_04006!$N$12</definedName>
    <definedName name="EN_0400_006_p">[1]EN_04006!$I$19</definedName>
    <definedName name="EN_0400_006_q">[1]EN_04006!$N$3</definedName>
    <definedName name="EN_0400_006_t">[1]EN_04006!$I$21</definedName>
    <definedName name="EN_0400_007">[1]EN_04007!$B$5</definedName>
    <definedName name="EN_0400_007_f">[1]EN_04007!$I$18</definedName>
    <definedName name="EN_0400_007_m">[1]EN_04007!$N$12</definedName>
    <definedName name="EN_0400_007_p">[1]EN_04007!$I$17</definedName>
    <definedName name="EN_0400_007_q">[1]EN_04007!$N$3</definedName>
    <definedName name="EN_0400_007_t">[1]EN_04007!$I$19</definedName>
    <definedName name="EN_0400_008">[1]EN_04008!$B$5</definedName>
    <definedName name="EN_0400_008_f">[1]EN_04008!$I$18</definedName>
    <definedName name="EN_0400_008_m">[1]EN_04008!$N$12</definedName>
    <definedName name="EN_0400_008_p">[1]EN_04008!$I$17</definedName>
    <definedName name="EN_0400_008_q">[1]EN_04008!$N$3</definedName>
    <definedName name="EN_0400_008_t">[1]EN_04008!$I$19</definedName>
    <definedName name="EN_0400_009">[1]EN_04009!$B$5</definedName>
    <definedName name="EN_0400_009_f">[1]EN_04009!$I$18</definedName>
    <definedName name="EN_0400_009_m">[1]EN_04009!$N$12</definedName>
    <definedName name="EN_0400_009_p">[1]EN_04009!$I$17</definedName>
    <definedName name="EN_0400_009_q">[1]EN_04009!$N$3</definedName>
    <definedName name="EN_0400_009_t">[1]EN_04009!$I$19</definedName>
    <definedName name="EN_04001_q">'[7]EN Parts'!$N$541</definedName>
    <definedName name="EN_04002_q">'[7]EN Parts'!$N$572</definedName>
    <definedName name="EN_04003_q">'[7]EN Parts'!$N$594</definedName>
    <definedName name="EN_04004_q">'[7]EN Parts'!$N$616</definedName>
    <definedName name="EN_04005_q">'[7]EN Parts'!$N$637</definedName>
    <definedName name="EN_04006_q">'[7]EN Parts'!$N$658</definedName>
    <definedName name="EN_05001">'[1]EN 05001'!$B$5</definedName>
    <definedName name="EN_05001_m">'[1]EN 05001'!$N$13</definedName>
    <definedName name="EN_05001_p">'[1]EN 05001'!$I$26</definedName>
    <definedName name="EN_05001_q">'[1]EN 05001'!$N$2</definedName>
    <definedName name="EN_05001_t">'[1]EN 05001'!$I$30</definedName>
    <definedName name="EN_05002">'[1]EN 05002'!$B$5</definedName>
    <definedName name="EN_05002_m">'[1]EN 05002'!$N$14</definedName>
    <definedName name="EN_05002_p">'[1]EN 05002'!$I$22</definedName>
    <definedName name="EN_05002_q">'[1]EN 05002'!$N$2</definedName>
    <definedName name="EN_05003">'[1]EN 05003'!$B$5</definedName>
    <definedName name="EN_05003_f">'[1]EN 05003'!$J$36</definedName>
    <definedName name="EN_05003_m">'[1]EN 05003'!$N$15</definedName>
    <definedName name="EN_05003_p">'[1]EN 05003'!$I$30</definedName>
    <definedName name="EN_05003_q">'[1]EN 05003'!$N$2</definedName>
    <definedName name="EN_05003_t">'[1]EN 05003'!$I$40</definedName>
    <definedName name="EN_05004">'[1]EN 05004'!$B$5</definedName>
    <definedName name="EN_05004_m">'[1]EN 05004'!$N$11</definedName>
    <definedName name="EN_05004_p">'[1]EN 05004'!$I$16</definedName>
    <definedName name="EN_05004_q">'[1]EN 05004'!$N$2</definedName>
    <definedName name="EN_05005">'[1]EN 05005'!$B$5</definedName>
    <definedName name="EN_05005_m">'[1]EN 05005'!$N$11</definedName>
    <definedName name="EN_05005_p">'[1]EN 05005'!$I$16</definedName>
    <definedName name="EN_05005_q">'[1]EN 05005'!$N$2</definedName>
    <definedName name="EN_06001">'[1]EN 06001'!$B$5</definedName>
    <definedName name="EN_06001_m">'[1]EN 06001'!$N$12</definedName>
    <definedName name="EN_06001_p">'[1]EN 06001'!$I$20</definedName>
    <definedName name="EN_06001_q">'[1]EN 06001'!$N$2</definedName>
    <definedName name="EN_06001_t">'[1]EN 06001'!$I$24</definedName>
    <definedName name="EN_06002">'[1]EN 06002'!$B$5</definedName>
    <definedName name="EN_06002_m">'[1]EN 06002'!$N$11</definedName>
    <definedName name="EN_06002_p">'[1]EN 06002'!$I$17</definedName>
    <definedName name="EN_06002_q">'[1]EN 06002'!$N$2</definedName>
    <definedName name="EN_06003">'[1]EN 06003'!$B$5</definedName>
    <definedName name="EN_06003_m">'[1]EN 06003'!$N$11</definedName>
    <definedName name="EN_06003_p">'[1]EN 06003'!$I$16</definedName>
    <definedName name="EN_06003_q">'[1]EN 06003'!$N$2</definedName>
    <definedName name="EN_06004">'[1]EN 06004'!$B$5</definedName>
    <definedName name="EN_06004_m">'[1]EN 06004'!$N$11</definedName>
    <definedName name="EN_06004_p">'[1]EN 06004'!$I$16</definedName>
    <definedName name="EN_06004_q">'[1]EN 06004'!$N$2</definedName>
    <definedName name="EN_08001">[1]EN_08001!$B$5</definedName>
    <definedName name="EN_08001_m">[1]EN_08001!$N$12</definedName>
    <definedName name="EN_08001_p">[1]EN_08001!$I$17</definedName>
    <definedName name="EN_08001_q">[1]EN_08001!$N$2</definedName>
    <definedName name="EN_08002">[1]EN_08002!$B$5</definedName>
    <definedName name="EN_08002_m">[1]EN_08002!$N$11</definedName>
    <definedName name="EN_08002_p">[1]EN_08002!$I$16</definedName>
    <definedName name="EN_08002_q">[1]EN_08002!$N$2</definedName>
    <definedName name="EN_08003">[1]EN_08003!$B$5</definedName>
    <definedName name="EN_08003_m">[1]EN_08003!$N$11</definedName>
    <definedName name="EN_08003_p">[1]EN_08003!$I$17</definedName>
    <definedName name="EN_08003_q">[1]EN_08003!$N$2</definedName>
    <definedName name="EN_08004">[1]EN_08004!$B$5</definedName>
    <definedName name="EN_08004_m">[1]EN_08004!$N$11</definedName>
    <definedName name="EN_08004_p">[1]EN_08004!$I$16</definedName>
    <definedName name="EN_08004_q">[1]EN_08004!$N$2</definedName>
    <definedName name="EN_08005">[1]EN_08005!$B$5</definedName>
    <definedName name="EN_08005_f">[1]EN_08005!$J$23</definedName>
    <definedName name="EN_08005_m">[1]EN_08005!$N$12</definedName>
    <definedName name="EN_08005_p">[1]EN_08005!$I$19</definedName>
    <definedName name="EN_08005_q">[1]EN_08005!$N$2</definedName>
    <definedName name="EN_08006">[1]EN_08006!$B$5</definedName>
    <definedName name="EN_08006_f">[1]EN_08006!$J$20</definedName>
    <definedName name="EN_08006_m">[1]EN_08006!$N$11</definedName>
    <definedName name="EN_08006_p">[1]EN_08006!$I$16</definedName>
    <definedName name="EN_08006_q">[1]EN_08006!$N$2</definedName>
    <definedName name="EN_08007">[1]EN_08007!$B$5</definedName>
    <definedName name="EN_08007_m">[1]EN_08007!$N$16</definedName>
    <definedName name="EN_08007_p">[1]EN_08007!$I$33</definedName>
    <definedName name="EN_08007_q">[1]EN_08007!$N$2</definedName>
    <definedName name="EN_08007_t">[1]EN_08007!$I$37</definedName>
    <definedName name="EN_08008">[1]EN_08008!$B$5</definedName>
    <definedName name="EN_08008_m">[1]EN_08008!$N$11</definedName>
    <definedName name="EN_08008_p">[1]EN_08008!$I$16</definedName>
    <definedName name="EN_08008_q">[1]EN_08008!$N$2</definedName>
    <definedName name="EN_08009">[1]EN_08009!$B$5</definedName>
    <definedName name="EN_08009_m">[1]EN_08009!$N$11</definedName>
    <definedName name="EN_08009_p">[1]EN_08009!$I$17</definedName>
    <definedName name="EN_08009_q">[1]EN_08009!$N$2</definedName>
    <definedName name="EN_08010">[1]EN_08010!$B$5</definedName>
    <definedName name="EN_08010_f">[1]EN_08010!$J$23</definedName>
    <definedName name="EN_08010_m">[1]EN_08010!$N$12</definedName>
    <definedName name="EN_08010_p">[1]EN_08010!$I$19</definedName>
    <definedName name="EN_08010_q">[1]EN_08010!$N$2</definedName>
    <definedName name="EN_0900_001">[1]EN_09001!$B$6</definedName>
    <definedName name="EN_0900_001_f">[1]EN_09001!$J$39</definedName>
    <definedName name="EN_0900_001_m">[1]EN_09001!$N$15</definedName>
    <definedName name="EN_0900_001_p">[1]EN_09001!$I$32</definedName>
    <definedName name="EN_0900_001_q">[1]EN_09001!$N$3</definedName>
    <definedName name="EN_0900_002">[1]EN_09002!$B$6</definedName>
    <definedName name="EN_0900_002_m">[1]EN_09002!$N$13</definedName>
    <definedName name="EN_0900_002_p">[1]EN_09002!$I$18</definedName>
    <definedName name="EN_0900_002_q">[1]EN_09002!$N$3</definedName>
    <definedName name="EN_0900_003">[1]EN_09003!$B$6</definedName>
    <definedName name="EN_0900_003_m">[1]EN_09003!$N$13</definedName>
    <definedName name="EN_0900_003_p">[1]EN_09003!$I$18</definedName>
    <definedName name="EN_0900_003_q">[1]EN_09003!$N$3</definedName>
    <definedName name="EN_0900_004">[1]EN_09004!$B$6</definedName>
    <definedName name="EN_0900_004_m">[1]EN_09004!$N$13</definedName>
    <definedName name="EN_0900_004_p">[1]EN_09004!$I$18</definedName>
    <definedName name="EN_0900_004_q">[1]EN_09004!$N$3</definedName>
    <definedName name="EN_0900_005">[1]EN_09005!$B$6</definedName>
    <definedName name="EN_0900_005_m">[1]EN_09005!$N$13</definedName>
    <definedName name="EN_0900_005_p">[1]EN_09005!$I$18</definedName>
    <definedName name="EN_0900_005_q">[1]EN_09005!$N$3</definedName>
    <definedName name="EN_0900_006">[1]EN_09006!$B$6</definedName>
    <definedName name="EN_0900_006_m">[1]EN_09006!$N$12</definedName>
    <definedName name="EN_0900_006_p">[1]EN_09006!$I$17</definedName>
    <definedName name="EN_0900_006_q">[1]EN_09006!$N$3</definedName>
    <definedName name="EN_0900_007">[1]EN_09007!$B$6</definedName>
    <definedName name="EN_0900_007_m">[1]EN_09007!$N$12</definedName>
    <definedName name="EN_0900_007_p">[1]EN_09007!$I$17</definedName>
    <definedName name="EN_0900_007_q">[1]EN_09007!$N$3</definedName>
    <definedName name="EN_0900_008">[1]EN_09008!$B$6</definedName>
    <definedName name="EN_0900_008_m">[1]EN_09008!$N$13</definedName>
    <definedName name="EN_0900_008_p">[1]EN_09008!$I$18</definedName>
    <definedName name="EN_0900_008_q">[1]EN_09008!$N$3</definedName>
    <definedName name="EN_0900_009">[1]EN_09009!$B$6</definedName>
    <definedName name="EN_0900_009_m">[1]EN_09009!$N$13</definedName>
    <definedName name="EN_0900_009_p">[1]EN_09009!$I$18</definedName>
    <definedName name="EN_0900_009_q">[1]EN_09009!$N$3</definedName>
    <definedName name="EN_1000_001">[1]EN_10001!$B$6</definedName>
    <definedName name="EN_1000_001_m">[1]EN_10001!$N$13</definedName>
    <definedName name="EN_1000_001_p">[1]EN_10001!$I$22</definedName>
    <definedName name="EN_1000_001_q">[1]EN_10001!$N$3</definedName>
    <definedName name="EN_1000_002">[1]EN_10002!$B$6</definedName>
    <definedName name="EN_1000_002_m">[1]EN_10002!$N$12</definedName>
    <definedName name="EN_1000_002_p">[1]EN_10002!$I$23</definedName>
    <definedName name="EN_1000_002_q">[1]EN_10002!$N$3</definedName>
    <definedName name="EN_1000_003">[1]EN_10003!$B$6</definedName>
    <definedName name="EN_1000_003_m">[1]EN_10003!$N$12</definedName>
    <definedName name="EN_1000_003_p">[1]EN_10003!$I$21</definedName>
    <definedName name="EN_1000_003_q">[1]EN_10003!$N$3</definedName>
    <definedName name="EN_1000_004">[1]EN_10004!$B$6</definedName>
    <definedName name="EN_1000_004_m">[1]EN_10004!$N$12</definedName>
    <definedName name="EN_1000_004_p">[1]EN_10004!$I$21</definedName>
    <definedName name="EN_1000_004_q">[1]EN_10004!$N$3</definedName>
    <definedName name="EN_1100_001">[1]EN_11001!$B$6</definedName>
    <definedName name="EN_1100_001_m">[1]EN_11001!$N$12</definedName>
    <definedName name="EN_1100_001_p">[1]EN_11001!$I$21</definedName>
    <definedName name="EN_1100_001_q">[1]EN_11001!$N$3</definedName>
    <definedName name="EN_1100_002">[1]EN_11002!$B$6</definedName>
    <definedName name="EN_1100_002_m">[1]EN_11002!$N$12</definedName>
    <definedName name="EN_1100_002_p">[1]EN_11002!$I$19</definedName>
    <definedName name="EN_1100_002_q">[1]EN_11002!$N$3</definedName>
    <definedName name="EN_1100_003">[1]EN_11003!$B$6</definedName>
    <definedName name="EN_1100_003_m">[1]EN_11003!$N$12</definedName>
    <definedName name="EN_1100_003_p">[1]EN_11003!$I$18</definedName>
    <definedName name="EN_1100_003_q">[1]EN_11003!$N$3</definedName>
    <definedName name="EN_1100_004">[1]EN_11004!$B$6</definedName>
    <definedName name="EN_1100_004_m">[1]EN_11004!$N$12</definedName>
    <definedName name="EN_1100_004_p">[1]EN_11004!$I$18</definedName>
    <definedName name="EN_1100_004_q">[1]EN_11004!$N$3</definedName>
    <definedName name="EN_1100_005">[1]EN_11005!$B$6</definedName>
    <definedName name="EN_1100_005_m">[1]EN_11005!$N$12</definedName>
    <definedName name="EN_1100_005_p">[1]EN_11005!$I$17</definedName>
    <definedName name="EN_1100_005_q">[1]EN_11005!$N$3</definedName>
    <definedName name="EN_1100_006">[1]EN_11006!$B$6</definedName>
    <definedName name="EN_1100_006_m">[1]EN_11006!$N$12</definedName>
    <definedName name="EN_1100_006_p">[1]EN_11006!$I$17</definedName>
    <definedName name="EN_1100_006_q">[1]EN_11006!$N$3</definedName>
    <definedName name="EN_A0001">'[8]EN Assembly'!$B$5</definedName>
    <definedName name="EN_A0100_BOM">BOM!$C$23</definedName>
    <definedName name="EN_A0100_f">'[1]EN A0100'!$J$43</definedName>
    <definedName name="EN_A0100_m">'[1]EN A0100'!$N$19</definedName>
    <definedName name="EN_A0100_p">'[1]EN A0100'!$I$33</definedName>
    <definedName name="EN_A0100_q">'[1]EN A0100'!$N$2</definedName>
    <definedName name="EN_A0100_t">'[1]EN A0100'!$I$47</definedName>
    <definedName name="EN_A0200">'[1]EN A0200'!$B$5</definedName>
    <definedName name="EN_A0200_BOM">BOM!$C$27</definedName>
    <definedName name="EN_A0200_f">'[1]EN A0200'!$J$57</definedName>
    <definedName name="EN_A0200_m">'[1]EN A0200'!$N$24</definedName>
    <definedName name="EN_A0200_p">'[1]EN A0200'!$I$47</definedName>
    <definedName name="EN_A0200_pa">'[1]EN A0200'!$E$20</definedName>
    <definedName name="EN_A0200_q">'[1]EN A0200'!$N$3</definedName>
    <definedName name="EN_A0200_t">'[1]EN A0200'!$I$61</definedName>
    <definedName name="EN_A0300">[1]EN_A0300!$B$4</definedName>
    <definedName name="EN_A0300_BOM">BOM!$C$38</definedName>
    <definedName name="EN_A0300_f">[1]EN_A0300!$J$73</definedName>
    <definedName name="EN_A0300_m">[1]EN_A0300!$N$26</definedName>
    <definedName name="EN_A0300_p">[1]EN_A0300!$I$63</definedName>
    <definedName name="EN_A0300_pa">[1]EN_A0300!$E$18</definedName>
    <definedName name="EN_A0300_q">[1]EN_A0300!$N$3</definedName>
    <definedName name="EN_A0300_t">[1]EN_A0300!$I$77</definedName>
    <definedName name="EN_A0400">[1]EN_A0400!$B$4</definedName>
    <definedName name="EN_A0400_BOM">BOM!$C$47</definedName>
    <definedName name="EN_A0400_f">[1]EN_A0400!$J$64</definedName>
    <definedName name="EN_A0400_m">[1]EN_A0400!$N$30</definedName>
    <definedName name="EN_A0400_p">[1]EN_A0400!$I$54</definedName>
    <definedName name="EN_A0400_pa">[1]EN_A0400!$E$19</definedName>
    <definedName name="EN_A0400_q">[1]EN_A0400!$N$3</definedName>
    <definedName name="EN_A0400_t">[1]EN_A0400!$J$65</definedName>
    <definedName name="EN_A0500">'[1]EN A0005'!$B$4</definedName>
    <definedName name="EN_A0500_BOM">BOM!$C$57</definedName>
    <definedName name="EN_A0500_f">'[1]EN A0005'!$J$46</definedName>
    <definedName name="EN_A0500_m">'[1]EN A0005'!$N$21</definedName>
    <definedName name="EN_A0500_p">'[1]EN A0005'!$I$36</definedName>
    <definedName name="EN_A0500_q">'[1]EN A0005'!$N$2</definedName>
    <definedName name="EN_A0500_t">'[1]EN A0005'!$I$50</definedName>
    <definedName name="EN_A0600">'[1]EN A0600'!$B$4</definedName>
    <definedName name="EN_A0600_BOM">BOM!$C$63</definedName>
    <definedName name="EN_A0600_f">'[1]EN A0600'!$J$68</definedName>
    <definedName name="EN_A0600_m">'[1]EN A0600'!$N$33</definedName>
    <definedName name="EN_A0600_p">'[1]EN A0600'!$I$56</definedName>
    <definedName name="EN_A0600_q">'[1]EN A0600'!$N$2</definedName>
    <definedName name="EN_A0600_t">'[1]EN A0600'!$I$72</definedName>
    <definedName name="EN_A0700">'[1]EN A0700'!$B$4</definedName>
    <definedName name="EN_A0700_BOM">BOM!$C$68</definedName>
    <definedName name="EN_A0700_f">'[1]EN A0700'!$J$39</definedName>
    <definedName name="EN_A0700_m">'[1]EN A0700'!$N$14</definedName>
    <definedName name="EN_A0700_p">'[1]EN A0700'!$I$30</definedName>
    <definedName name="EN_A0700_q">'[1]EN A0700'!$N$2</definedName>
    <definedName name="EN_A0800">'[1]EN A0800'!$B$4</definedName>
    <definedName name="EN_A0800_BOM">BOM!$C$69</definedName>
    <definedName name="EN_A0800_f">'[1]EN A0800'!$J$62</definedName>
    <definedName name="EN_A0800_m">'[1]EN A0800'!$N$26</definedName>
    <definedName name="EN_A0800_p">'[1]EN A0800'!$I$51</definedName>
    <definedName name="EN_A0800_pa">'[1]EN A0800'!$E$19</definedName>
    <definedName name="EN_A0800_q">'[1]EN A0800'!$N$2</definedName>
    <definedName name="EN_A0800_t">'[1]EN A0800'!$I$66</definedName>
    <definedName name="EN_A0900">[1]EN_A0900!$B$5</definedName>
    <definedName name="EN_A0900_BOM">BOM!$C$80</definedName>
    <definedName name="EN_A0900_f">[1]EN_A0900!$J$56</definedName>
    <definedName name="EN_A0900_m">[1]EN_A0900!$N$27</definedName>
    <definedName name="EN_A0900_p">[1]EN_A0900!$I$44</definedName>
    <definedName name="EN_A0900_pa">[1]EN_A0900!$E$19</definedName>
    <definedName name="EN_A0900_q">[1]EN_A0900!$N$3</definedName>
    <definedName name="EN_A0900_t">[1]EN_A0900!$I$60</definedName>
    <definedName name="EN_A1000_BOM">BOM!$C$90</definedName>
    <definedName name="EN_A1000_f">[1]EN_A1000!$J$42</definedName>
    <definedName name="EN_A1000_m">[1]EN_A1000!$N$19</definedName>
    <definedName name="EN_A1000_p">[1]EN_A1000!$I$34</definedName>
    <definedName name="EN_A1000_pa">[1]EN_A1000!$E$14</definedName>
    <definedName name="EN_A1000_q">[1]EN_A1000!$N$3</definedName>
    <definedName name="EN_A1100">[1]EN_A1100!$B$5</definedName>
    <definedName name="EN_A1100_BOM">BOM!$C$95</definedName>
    <definedName name="EN_A1100_f">[1]EN_A1100!$J$58</definedName>
    <definedName name="EN_A1100_m">[1]EN_A1100!$N$21</definedName>
    <definedName name="EN_A1100_p">[1]EN_A1100!$I$42</definedName>
    <definedName name="EN_A1100_pa">[1]EN_A1100!$E$16</definedName>
    <definedName name="EN_A1100_q">[1]EN_A1100!$N$3</definedName>
    <definedName name="EN_A1100_t">[1]EN_A1100!$I$62</definedName>
    <definedName name="FR_01001">'[1]FR 01001'!$B$6</definedName>
    <definedName name="FR_01001_m">'[1]FR 01001'!$N$13</definedName>
    <definedName name="FR_01001_p">'[1]FR 01001'!$I$20</definedName>
    <definedName name="FR_01001_q">'[1]FR 01001'!$N$3</definedName>
    <definedName name="FR_01002">'[1]FR 01002'!$B$6</definedName>
    <definedName name="FR_01002_f">'[1]FR 01002'!#REF!</definedName>
    <definedName name="FR_01002_m">'[1]FR 01002'!$N$17</definedName>
    <definedName name="FR_01002_p">'[1]FR 01002'!$I$24</definedName>
    <definedName name="FR_01002_q">'[1]FR 01002'!$N$3</definedName>
    <definedName name="FR_01002_t">'[1]FR 01002'!#REF!</definedName>
    <definedName name="FR_01003">'[1]FR 01003'!$B$6</definedName>
    <definedName name="FR_01003_f">'[1]FR 01003'!#REF!</definedName>
    <definedName name="FR_01003_m">'[1]FR 01003'!$N$12</definedName>
    <definedName name="FR_01003_P">'[1]FR 01003'!$I$18</definedName>
    <definedName name="FR_01003_q">'[1]FR 01003'!$N$3</definedName>
    <definedName name="FR_01003_t">'[1]FR 01003'!#REF!</definedName>
    <definedName name="FR_01004">'[1]FR 01004'!$B$6</definedName>
    <definedName name="FR_01004_f">'[1]FR 01004'!#REF!</definedName>
    <definedName name="FR_01004_m">'[1]FR 01004'!$N$12</definedName>
    <definedName name="FR_01004_p">'[1]FR 01004'!$I$18</definedName>
    <definedName name="FR_01004_q">'[1]FR 01004'!$N$3</definedName>
    <definedName name="FR_01004_t">'[1]FR 01004'!#REF!</definedName>
    <definedName name="FR_02001_m">'[1]FR 02001'!$N$15</definedName>
    <definedName name="FR_02001_p">'[1]FR 02001'!$I$26</definedName>
    <definedName name="FR_02001_q">'[1]FR 02001'!$N$3</definedName>
    <definedName name="FR_03001">[1]FR_03001!$B$6</definedName>
    <definedName name="FR_03001_m">[1]FR_03001!$N$12</definedName>
    <definedName name="FR_03001_p">[1]FR_03001!$I$19</definedName>
    <definedName name="FR_03001_q">[1]FR_03001!$N$3</definedName>
    <definedName name="FR_03002">[1]FR_03002!$B$6</definedName>
    <definedName name="FR_03002_m">[1]FR_03002!$N$12</definedName>
    <definedName name="FR_03002_p">[1]FR_03002!$I$21</definedName>
    <definedName name="FR_03002_q">[1]FR_03002!$N$3</definedName>
    <definedName name="FR_03003">[1]FR_03003!$B$6</definedName>
    <definedName name="FR_03003_m">[1]FR_03003!$N$12</definedName>
    <definedName name="FR_03003_p">[1]FR_03003!$I$19</definedName>
    <definedName name="FR_03003_q">[1]FR_03003!$N$3</definedName>
    <definedName name="FR_03004">[1]FR_03004!$B$6</definedName>
    <definedName name="FR_03004_m">[1]FR_03004!$N$12</definedName>
    <definedName name="FR_03004_p">[1]FR_03004!$I$19</definedName>
    <definedName name="FR_03004_q">[1]FR_03004!$N$3</definedName>
    <definedName name="FR_03005">[1]FR_03005!$B$6</definedName>
    <definedName name="FR_03005_m">[1]FR_03005!$N$12</definedName>
    <definedName name="FR_03005_p">[1]FR_03005!$I$19</definedName>
    <definedName name="FR_03005_q">[1]FR_03005!$N$3</definedName>
    <definedName name="FR_03006">[1]FR_03006!$B$6</definedName>
    <definedName name="FR_03006_m">[1]FR_03006!$N$12</definedName>
    <definedName name="FR_03006_p">[1]FR_03006!$I$17</definedName>
    <definedName name="FR_03006_q">[1]FR_03006!$N$3</definedName>
    <definedName name="FR_03007">[1]FR_03007!$B$6</definedName>
    <definedName name="FR_03007_m">[1]FR_03007!$N$12</definedName>
    <definedName name="FR_03007_p">[1]FR_03007!$I$18</definedName>
    <definedName name="FR_03007_q">[1]FR_03007!$N$3</definedName>
    <definedName name="FR_03008">[1]FR_03008!$B$6</definedName>
    <definedName name="FR_03008_m">[1]FR_03008!$N$12</definedName>
    <definedName name="FR_03008_p">[1]FR_03008!$I$17</definedName>
    <definedName name="FR_03008_q">[1]FR_03008!$N$3</definedName>
    <definedName name="FR_03009">[1]FR_03009!$B$6</definedName>
    <definedName name="FR_03009_m">[1]FR_03009!$N$12</definedName>
    <definedName name="FR_03009_p">[1]FR_03009!$I$21</definedName>
    <definedName name="FR_03009_q">[1]FR_03009!$N$3</definedName>
    <definedName name="FR_03010">#REF!</definedName>
    <definedName name="FR_03010_m">#REF!</definedName>
    <definedName name="FR_03010_p">#REF!</definedName>
    <definedName name="FR_03010_q">#REF!</definedName>
    <definedName name="FR_03011">#REF!</definedName>
    <definedName name="FR_03011_m">#REF!</definedName>
    <definedName name="FR_03011_p">#REF!</definedName>
    <definedName name="FR_03011_q">#REF!</definedName>
    <definedName name="FR_03012">[1]FR_03010!$B$6</definedName>
    <definedName name="FR_03012_m">[1]FR_03010!$N$12</definedName>
    <definedName name="FR_03012_p">[1]FR_03010!$I$17</definedName>
    <definedName name="FR_03012_q">[1]FR_03010!$N$3</definedName>
    <definedName name="FR_03013">[1]FR_03011!$B$6</definedName>
    <definedName name="FR_03013_m">[1]FR_03011!$N$12</definedName>
    <definedName name="FR_03013_p">[1]FR_03011!$I$17</definedName>
    <definedName name="FR_03013_q">[1]FR_03011!$N$3</definedName>
    <definedName name="FR_03014">[1]FR_03012!$B$6</definedName>
    <definedName name="FR_03014_m">[1]FR_03012!$N$12</definedName>
    <definedName name="FR_03014_p">[1]FR_03012!$I$17</definedName>
    <definedName name="FR_03014_q">[1]FR_03012!$N$3</definedName>
    <definedName name="FR_04001">[1]FR_04001!$B$6</definedName>
    <definedName name="FR_04001_m">[1]FR_04001!$N$12</definedName>
    <definedName name="FR_04001_p">[1]FR_04001!$I$17</definedName>
    <definedName name="FR_04001_q">[1]FR_04001!$N$3</definedName>
    <definedName name="FR_04002">[1]FR_04002!$B$6</definedName>
    <definedName name="FR_04002_m">[1]FR_04002!$N$12</definedName>
    <definedName name="FR_04002_p">[1]FR_04002!$I$17</definedName>
    <definedName name="FR_04002_q">[1]FR_04002!$N$3</definedName>
    <definedName name="FR_04003">[1]FR_04003!$B$6</definedName>
    <definedName name="FR_04003_m">[1]FR_04003!$N$12</definedName>
    <definedName name="FR_04003_p">[1]FR_04003!$I$17</definedName>
    <definedName name="FR_04003_q">[1]FR_04003!$N$3</definedName>
    <definedName name="FR_05001">'[1]FR 05001'!$B$6</definedName>
    <definedName name="FR_05001_m">'[1]FR 05001'!$N$12</definedName>
    <definedName name="FR_05001_p">'[1]FR 05001'!$I$22</definedName>
    <definedName name="FR_05001_q">'[1]FR 05001'!$N$3</definedName>
    <definedName name="FR_05002">'[1]FR 05002'!$B$6</definedName>
    <definedName name="FR_05002_m">'[1]FR 05002'!$N$12</definedName>
    <definedName name="FR_05002_p">'[1]FR 05002'!$I$16</definedName>
    <definedName name="FR_05002_q">'[1]FR 05002'!$N$3</definedName>
    <definedName name="FR_05002_t">'[1]FR 05002'!$I$21</definedName>
    <definedName name="FR_05003">'[1]FR 05003'!$B$6</definedName>
    <definedName name="FR_05003_m">'[1]FR 05003'!$N$12</definedName>
    <definedName name="FR_05003_p">'[1]FR 05003'!$I$19</definedName>
    <definedName name="FR_05003_q">'[1]FR 05003'!$N$3</definedName>
    <definedName name="FR_05004">'[1]FR 05004'!$B$6</definedName>
    <definedName name="FR_05004_m">'[1]FR 05004'!$N$12</definedName>
    <definedName name="FR_05004_p">'[1]FR 05004'!$I$22</definedName>
    <definedName name="FR_05004_q">'[1]FR 05004'!$N$3</definedName>
    <definedName name="FR_05004_t">'[1]FR 05004'!$I$26</definedName>
    <definedName name="FR_05005">'[1]FR 05005'!$B$6</definedName>
    <definedName name="FR_05005_m">'[1]FR 05005'!$N$12</definedName>
    <definedName name="FR_05005_p">'[1]FR 05005'!$I$19</definedName>
    <definedName name="FR_05005_q">'[1]FR 05005'!$N$3</definedName>
    <definedName name="FR_05005_t">'[1]FR 05005'!$I$22</definedName>
    <definedName name="FR_06001_m">'[1]FR 06001'!$N$12</definedName>
    <definedName name="FR_06001_p">'[1]FR 06001'!$I$21</definedName>
    <definedName name="FR_06001_q">'[1]FR 06001'!$N$3</definedName>
    <definedName name="FR_06002_m">'[1]FR 06002'!$N$12</definedName>
    <definedName name="FR_06002_p">'[1]FR 06002'!$I$20</definedName>
    <definedName name="FR_06002_q">'[1]FR 06002'!$N$3</definedName>
    <definedName name="FR_06003_m">'[1]FR 06003'!$N$12</definedName>
    <definedName name="FR_06003_p">'[1]FR 06003'!$I$17</definedName>
    <definedName name="FR_06003_q">'[1]FR 06003'!$N$3</definedName>
    <definedName name="FR_06004_m">'[1]FR 06004'!$N$12</definedName>
    <definedName name="FR_06004_p">'[1]FR 06004'!$I$18</definedName>
    <definedName name="FR_06004_q">'[1]FR 06004'!$N$3</definedName>
    <definedName name="FR_06005_m">'[1]FR 06005'!$N$12</definedName>
    <definedName name="FR_06005_p">'[1]FR 06005'!$I$18</definedName>
    <definedName name="FR_06005_q">'[1]FR 06005'!$N$3</definedName>
    <definedName name="FR_06006_f">'[1]FR 06006'!$J$28</definedName>
    <definedName name="FR_06006_m">'[1]FR 06006'!$N$12</definedName>
    <definedName name="FR_06006_p">'[1]FR 06006'!$I$25</definedName>
    <definedName name="FR_06006_q">'[1]FR 06006'!$N$3</definedName>
    <definedName name="FR_07001">[1]FR_07001!$B$6</definedName>
    <definedName name="FR_07001_m">[1]FR_07001!$N$12</definedName>
    <definedName name="FR_07001_p">[1]FR_07001!$I$21</definedName>
    <definedName name="FR_07001_q">[1]FR_07001!$N$3</definedName>
    <definedName name="FR_07001_t">[1]FR_07001!$I$26</definedName>
    <definedName name="FR_07002">[1]FR_07002!$B$6</definedName>
    <definedName name="FR_07002_m">[1]FR_07002!$N$12</definedName>
    <definedName name="FR_07002_p">[1]FR_07002!$I$21</definedName>
    <definedName name="FR_07002_q">[1]FR_07002!$N$3</definedName>
    <definedName name="FR_07002_t">[1]FR_07002!$I$25</definedName>
    <definedName name="FR_07003">[1]FR_07003!$B$6</definedName>
    <definedName name="FR_07003_m">[1]FR_07003!$N$12</definedName>
    <definedName name="FR_07003_p">[1]FR_07003!$I$21</definedName>
    <definedName name="FR_07003_q">[1]FR_07003!$N$3</definedName>
    <definedName name="FR_07003_t">[1]FR_07003!$I$25</definedName>
    <definedName name="FR_07004">[1]FR_07004!$B$6</definedName>
    <definedName name="FR_07004_m">[1]FR_07004!$N$13</definedName>
    <definedName name="FR_07004_p">[1]FR_07004!$I$21</definedName>
    <definedName name="FR_07004_q">[1]FR_07004!$N$3</definedName>
    <definedName name="FR_07004_t">[1]FR_07004!$I$25</definedName>
    <definedName name="FR_07005">[1]FR_07005!$B$6</definedName>
    <definedName name="FR_07005_m">[1]FR_07005!$N$13</definedName>
    <definedName name="FR_07005_p">[1]FR_07005!$I$21</definedName>
    <definedName name="FR_07005_q">[1]FR_07005!$N$3</definedName>
    <definedName name="FR_07005_t">[1]FR_07005!$I$25</definedName>
    <definedName name="FR_07006">[1]FR_07006!$B$6</definedName>
    <definedName name="FR_07006_m">[1]FR_07006!$N$12</definedName>
    <definedName name="FR_07006_p">[1]FR_07006!$I$17</definedName>
    <definedName name="FR_07006_q">[1]FR_07006!$N$3</definedName>
    <definedName name="FR_07007">[1]FR_07007!$B$6</definedName>
    <definedName name="FR_07007_m">[1]FR_07007!$N$12</definedName>
    <definedName name="FR_07007_p">[1]FR_07007!$I$17</definedName>
    <definedName name="FR_07007_q">[1]FR_07007!$N$3</definedName>
    <definedName name="FR_07008">[1]FR_07008!$B$6</definedName>
    <definedName name="FR_07008_m">[1]FR_07008!$N$12</definedName>
    <definedName name="FR_07008_p">[1]FR_07008!$I$17</definedName>
    <definedName name="FR_07008_q">[1]FR_07008!$N$3</definedName>
    <definedName name="FR_08001_m">'[1]FR 08001'!$N$12</definedName>
    <definedName name="FR_08001_p">'[1]FR 08001'!$I$19</definedName>
    <definedName name="FR_08001_q">'[1]FR 08001'!$N$3</definedName>
    <definedName name="FR_08002_m">'[1]FR 08002'!$N$12</definedName>
    <definedName name="FR_08002_p">'[1]FR 08002'!$I$20</definedName>
    <definedName name="FR_08002_q">'[1]FR 08002'!$N$3</definedName>
    <definedName name="FR_08003_m">'[1]FR 08003'!$N$12</definedName>
    <definedName name="FR_08003_p">'[1]FR 08003'!$I$17</definedName>
    <definedName name="FR_08003_q">'[1]FR 08003'!$N$3</definedName>
    <definedName name="FR_A0001">'[1]FR A0100'!$B$5</definedName>
    <definedName name="FR_A0001_BOM">BOM!$C$103</definedName>
    <definedName name="FR_A0001_f">'[1]FR A0100'!$J$31</definedName>
    <definedName name="FR_A0001_m">'[1]FR A0100'!$N$18</definedName>
    <definedName name="FR_A0001_p">'[1]FR A0100'!$I$26</definedName>
    <definedName name="FR_A0001_pa">'[1]FR A0100'!$E$14</definedName>
    <definedName name="FR_A0001_q">'[1]FR A0100'!$N$3</definedName>
    <definedName name="FR_A0001_t">'[1]FR A0100'!$I$36</definedName>
    <definedName name="FR_A0200_BOM">BOM!$C$108</definedName>
    <definedName name="FR_A0200_f">'[1]FR A0200'!$J$25</definedName>
    <definedName name="FR_A0200_p">'[1]FR A0200'!$I$17</definedName>
    <definedName name="FR_A0200_q">'[1]FR A0200'!$N$3</definedName>
    <definedName name="FR_A0300">'[1]FR A0300'!$B$5</definedName>
    <definedName name="FR_A0300_BOM">BOM!$C$110</definedName>
    <definedName name="FR_A0300_f">'[1]FR A0300'!$J$104</definedName>
    <definedName name="FR_A0300_m">'[1]FR A0300'!$N$27</definedName>
    <definedName name="FR_A0300_p">'[1]FR A0300'!$I$71</definedName>
    <definedName name="FR_A0300_pa">'[1]FR A0300'!$E$22</definedName>
    <definedName name="FR_A0300_q">'[1]FR A0300'!$N$3</definedName>
    <definedName name="FR_A0300_t">'[1]FR A0300'!$I$108</definedName>
    <definedName name="FR_A0400">'[1]FR A0400'!$B$5</definedName>
    <definedName name="FR_A0400_BOM">BOM!$C$123</definedName>
    <definedName name="FR_A0400_f">'[1]FR A0400'!$J$34</definedName>
    <definedName name="FR_A0400_m">'[1]FR A0400'!$N$17</definedName>
    <definedName name="FR_A0400_p">'[1]FR A0400'!$I$28</definedName>
    <definedName name="FR_A0400_pa">'[1]FR A0400'!$E$13</definedName>
    <definedName name="FR_A0400_q">'[1]FR A0400'!$N$3</definedName>
    <definedName name="FR_A0400_t">'[1]FR A0400'!$I$38</definedName>
    <definedName name="FR_A0500">'[1]FR A0500'!$B$5</definedName>
    <definedName name="FR_A0500_BOM">BOM!$C$127</definedName>
    <definedName name="FR_A0500_f">'[1]FR A0500'!$J$39</definedName>
    <definedName name="FR_A0500_m">'[1]FR A0500'!$N$21</definedName>
    <definedName name="FR_A0500_p">'[1]FR A0500'!$I$33</definedName>
    <definedName name="FR_A0500_pa">'[1]FR A0500'!$E$15</definedName>
    <definedName name="FR_A0500_q">'[1]FR A0500'!$N$3</definedName>
    <definedName name="FR_A0500_t">'[1]FR A0500'!$I$43</definedName>
    <definedName name="FR_A0600">'[1]FR A0600'!$B$5</definedName>
    <definedName name="FR_A0600_BOM">BOM!$C$133</definedName>
    <definedName name="FR_A0600_f">'[1]FR A0600'!$J$88</definedName>
    <definedName name="FR_A0600_m">'[1]FR A0600'!$N$22</definedName>
    <definedName name="FR_A0600_p">'[1]FR A0600'!$I$79</definedName>
    <definedName name="FR_A0600_pa">'[1]FR A0600'!$E$16</definedName>
    <definedName name="FR_A0600_q">'[1]FR A0600'!$N$3</definedName>
    <definedName name="FR_A0600_t">'[1]FR A0600'!$I$92</definedName>
    <definedName name="FR_A0700">'[1]FR A0700'!$B$5</definedName>
    <definedName name="FR_A0700_BOM">BOM!$C$140</definedName>
    <definedName name="FR_A0700_f">'[1]FR A0700'!$J$54</definedName>
    <definedName name="FR_A0700_m">'[1]FR A0700'!$N$23</definedName>
    <definedName name="FR_A0700_p">'[1]FR A0700'!$I$45</definedName>
    <definedName name="FR_A0700_pa">'[1]FR A0700'!$E$18</definedName>
    <definedName name="FR_A0700_q">'[1]FR A0700'!$N$3</definedName>
    <definedName name="FR_A0700_t">'[1]FR A0700'!$I$58</definedName>
    <definedName name="FR_A0800">'[1]FR A0800'!$B$5</definedName>
    <definedName name="FR_A0800_f">'[1]FR A0800'!$J$34</definedName>
    <definedName name="FR_A0800_m">'[1]FR A0800'!$N$18</definedName>
    <definedName name="FR_A0800_p">'[1]FR A0800'!$I$28</definedName>
    <definedName name="FR_A0800_q">'[1]FR A0800'!$N$3</definedName>
    <definedName name="MS_0100_001">'[1]MS 01001'!$B$6</definedName>
    <definedName name="MS_0100_001_BOM">BOM!$C$172</definedName>
    <definedName name="MS_0100_001_m">'[1]MS 01001'!$N$12</definedName>
    <definedName name="MS_0100_001_p">'[1]MS 01001'!$I$18</definedName>
    <definedName name="MS_0100_001_q">'[1]MS 01001'!$N$3</definedName>
    <definedName name="MS_0100_002">'[1]MS 01002'!$B$6</definedName>
    <definedName name="MS_0100_002_BOM">BOM!$C$173</definedName>
    <definedName name="MS_0100_002_m">'[1]MS 01002'!$N$12</definedName>
    <definedName name="MS_0100_002_p">'[1]MS 01002'!$I$17</definedName>
    <definedName name="MS_0100_002_q">'[1]MS 01002'!$N$3</definedName>
    <definedName name="MS_0100_003">'[1]MS 01003'!$B$6</definedName>
    <definedName name="MS_0100_003_BOM">BOM!$C$174</definedName>
    <definedName name="MS_0100_003_m">'[1]MS 01003'!$N$12</definedName>
    <definedName name="MS_0100_003_p">'[1]MS 01003'!$I$18</definedName>
    <definedName name="MS_0100_003_q">'[1]MS 01003'!$N$3</definedName>
    <definedName name="MS_0100_004">'[1]MS 01004'!$B$6</definedName>
    <definedName name="MS_0100_004_BOM">BOM!$C$175</definedName>
    <definedName name="MS_0100_004_m">'[1]MS 01004'!$N$12</definedName>
    <definedName name="MS_0100_004_p">'[1]MS 01004'!$I$17</definedName>
    <definedName name="MS_0100_004_q">'[1]MS 01004'!$N$3</definedName>
    <definedName name="MS_0100_005">'[1]MS 01005'!$B$6</definedName>
    <definedName name="MS_0100_005_BOM">BOM!$C$176</definedName>
    <definedName name="MS_0100_005_m">'[1]MS 01005'!$N$12</definedName>
    <definedName name="MS_0100_005_p">'[1]MS 01005'!$I$17</definedName>
    <definedName name="MS_0100_005_q">'[1]MS 01005'!$N$3</definedName>
    <definedName name="MS_0100_006">'[1]MS 01006'!$B$6</definedName>
    <definedName name="MS_0100_006_BOM">BOM!$C$177</definedName>
    <definedName name="MS_0100_006_m">'[1]MS 01006'!$N$12</definedName>
    <definedName name="MS_0100_006_p">'[1]MS 01006'!$I$17</definedName>
    <definedName name="MS_0100_006_q">'[1]MS 01006'!$N$3</definedName>
    <definedName name="MS_0100_007">'[1]MS 01007'!$B$6</definedName>
    <definedName name="MS_0100_007_BOM">BOM!$C$178</definedName>
    <definedName name="MS_0100_007_m">'[1]MS 01007'!$N$12</definedName>
    <definedName name="MS_0100_007_p">'[1]MS 01007'!$I$17</definedName>
    <definedName name="MS_0100_007_q">'[1]MS 01007'!$N$3</definedName>
    <definedName name="MS_0100_008">'[1]MS 01008'!$B$6</definedName>
    <definedName name="MS_0100_008_BOM">BOM!$C$179</definedName>
    <definedName name="MS_0100_008_m">'[1]MS 01008'!$N$12</definedName>
    <definedName name="MS_0100_008_p">'[1]MS 01008'!$I$17</definedName>
    <definedName name="MS_0100_008_q">'[1]MS 01008'!$N$3</definedName>
    <definedName name="MS_02001_BOM">BOM!$C$181</definedName>
    <definedName name="MS_02001_m">'[1]MS 02001'!$N$13</definedName>
    <definedName name="MS_02001_p">'[1]MS 02001'!$I$18</definedName>
    <definedName name="MS_02001_q">'[1]MS 02001'!$N$3</definedName>
    <definedName name="MS_04001">'[1]MS 04001'!$B$6</definedName>
    <definedName name="MS_04001_BOM">BOM!$C$184</definedName>
    <definedName name="MS_04001_m">'[1]MS 04001'!$N$13</definedName>
    <definedName name="MS_04001_p">'[1]MS 04001'!$I$24</definedName>
    <definedName name="MS_04001_q">'[1]MS 04001'!$N$3</definedName>
    <definedName name="MS_04001_t">'[1]MS 04001'!$I$29</definedName>
    <definedName name="MS_04002">'[1]MS 04002'!$B$6</definedName>
    <definedName name="MS_04002_BOM">BOM!$C$185</definedName>
    <definedName name="MS_04002_m">'[1]MS 04002'!$N$12</definedName>
    <definedName name="MS_04002_p">'[1]MS 04002'!$I$18</definedName>
    <definedName name="MS_04002_q">'[1]MS 04002'!$N$3</definedName>
    <definedName name="MS_04003">'[1]MS 04003'!$B$6</definedName>
    <definedName name="MS_04003_BOM">BOM!$C$186</definedName>
    <definedName name="MS_04003_m">'[1]MS 04003'!$N$12</definedName>
    <definedName name="MS_04003_p">'[1]MS 04003'!$I$18</definedName>
    <definedName name="MS_04003_q">'[1]MS 04003'!$N$3</definedName>
    <definedName name="MS_05001">'[1]MS 05001'!$B$6</definedName>
    <definedName name="MS_05001_BOM">BOM!$C$188</definedName>
    <definedName name="MS_05001_m">'[1]MS 05001'!$N$12</definedName>
    <definedName name="MS_05001_p">'[1]MS 05001'!$I$17</definedName>
    <definedName name="MS_05001_q">'[1]MS 05001'!$N$3</definedName>
    <definedName name="MS_A0100">'[1]MS A0100'!$B$5</definedName>
    <definedName name="MS_A0100_BOM">BOM!$C$171</definedName>
    <definedName name="MS_A0100_f">'[1]MS A0100'!$J$67</definedName>
    <definedName name="MS_A0100_m">'[1]MS A0100'!$N$24</definedName>
    <definedName name="MS_A0100_p">'[1]MS A0100'!$I$59</definedName>
    <definedName name="MS_A0100_pa">'[1]MS A0100'!$E$18</definedName>
    <definedName name="MS_A0100_q">'[1]MS A0100'!$N$3</definedName>
    <definedName name="MS_A0100_t">'[1]MS A0100'!$I$71</definedName>
    <definedName name="MS_A0200">'[1]MS A0200'!$B$5</definedName>
    <definedName name="MS_A0200_BOM">BOM!$C$180</definedName>
    <definedName name="MS_A0200_f">'[1]MS A0200'!$J$23</definedName>
    <definedName name="MS_A0200_p">'[1]MS A0200'!$I$18</definedName>
    <definedName name="MS_A0200_pa">'[1]MS A0200'!$E$12</definedName>
    <definedName name="MS_A0200_q">'[1]MS A0200'!$N$3</definedName>
    <definedName name="MS_A0300">'[1]MS A0300'!$B$5</definedName>
    <definedName name="MS_A0300_BOM">BOM!$C$182</definedName>
    <definedName name="MS_A0300_m">'[1]MS A0300'!$N$14</definedName>
    <definedName name="MS_A0300_p">'[1]MS A0300'!$I$23</definedName>
    <definedName name="MS_A0300_q">'[1]MS A0300'!$N$3</definedName>
    <definedName name="MS_A0400">'[1]MS A0400'!$B$5</definedName>
    <definedName name="MS_A0400_BOM">BOM!$C$183</definedName>
    <definedName name="MS_A0400_f">'[1]MS A0400'!$J$31</definedName>
    <definedName name="MS_A0400_m">'[1]MS A0400'!$N$17</definedName>
    <definedName name="MS_A0400_p">'[1]MS A0400'!$I$25</definedName>
    <definedName name="MS_A0400_pa">'[1]MS A0400'!$E$13</definedName>
    <definedName name="MS_A0400_q">'[1]MS A0400'!$N$3</definedName>
    <definedName name="MS_A0400_t">'[1]MS A0400'!$I$35</definedName>
    <definedName name="MS_A0500">'[1]MS A0500'!$B$5</definedName>
    <definedName name="MS_A0500_BOM">BOM!$C$187</definedName>
    <definedName name="MS_A0500_f">'[1]MS A0500'!$J$30</definedName>
    <definedName name="MS_A0500_m">'[1]MS A0500'!$N$16</definedName>
    <definedName name="MS_A0500_p">'[1]MS A0500'!$I$25</definedName>
    <definedName name="MS_A0500_pa">'[1]MS A0500'!$E$11</definedName>
    <definedName name="MS_A0500_q">'[1]MS A0500'!$N$3</definedName>
    <definedName name="MS_A0500_t">'[1]MS A0500'!$I$34</definedName>
    <definedName name="Process_P1" localSheetId="0">#REF!</definedName>
    <definedName name="Process_P1" localSheetId="1">#REF!</definedName>
    <definedName name="Process_P1">#REF!</definedName>
    <definedName name="Processes" localSheetId="0">#REF!</definedName>
    <definedName name="Processes" localSheetId="1">#REF!</definedName>
    <definedName name="Processes">#REF!</definedName>
    <definedName name="ST_01001">'[1]ST 01001'!$B$6</definedName>
    <definedName name="ST_01001_m">'[1]ST 01001'!$N$12</definedName>
    <definedName name="ST_01001_p">'[1]ST 01001'!$I$22</definedName>
    <definedName name="ST_01001_q">'[1]ST 01001'!$N$3</definedName>
    <definedName name="ST_01002">'[1]ST 01002'!$B$6</definedName>
    <definedName name="ST_01002_m">'[1]ST 01002'!$N$12</definedName>
    <definedName name="ST_01002_p">'[1]ST 01002'!$I$23</definedName>
    <definedName name="ST_01002_q">'[1]ST 01002'!$N$3</definedName>
    <definedName name="ST_01003">'[1]ST 01003'!$B$6</definedName>
    <definedName name="ST_01003_m">'[1]ST 01003'!$N$13</definedName>
    <definedName name="ST_01003_p">'[1]ST 01003'!$I$21</definedName>
    <definedName name="ST_01003_q">'[1]ST 01003'!$N$3</definedName>
    <definedName name="ST_01004">'[1]ST 01004'!$B$6</definedName>
    <definedName name="ST_01004_m">'[1]ST 01004'!$N$13</definedName>
    <definedName name="ST_01004_p">'[1]ST 01004'!$I$24</definedName>
    <definedName name="ST_01004_q">'[1]ST 01004'!$N$3</definedName>
    <definedName name="ST_01005">'[1]ST 01005'!$B$6</definedName>
    <definedName name="ST_01005_m">'[1]ST 01005'!$N$13</definedName>
    <definedName name="ST_01005_p">'[1]ST 01005'!$I$21</definedName>
    <definedName name="ST_01005_q">'[1]ST 01005'!$N$3</definedName>
    <definedName name="ST_01006">'[1]ST 01006'!$B$6</definedName>
    <definedName name="ST_01006_m">'[1]ST 01006'!$N$13</definedName>
    <definedName name="ST_01006_p">'[1]ST 01006'!$I$26</definedName>
    <definedName name="ST_01006_q">'[1]ST 01006'!$N$3</definedName>
    <definedName name="ST_01007">'[1]ST 01007'!$B$6</definedName>
    <definedName name="ST_01007_m">'[1]ST 01007'!$N$12</definedName>
    <definedName name="ST_01007_p">'[1]ST 01007'!$I$23</definedName>
    <definedName name="ST_01007_q">'[1]ST 01007'!$N$3</definedName>
    <definedName name="ST_01008">'[1]ST 01008'!$B$6</definedName>
    <definedName name="ST_01008_m">'[1]ST 01008'!$N$12</definedName>
    <definedName name="ST_01008_p">'[1]ST 01008'!$I$19</definedName>
    <definedName name="ST_01008_q">'[1]ST 01008'!$N$3</definedName>
    <definedName name="ST_01009">'[1]ST 01009'!$B$6</definedName>
    <definedName name="ST_01009_m">'[1]ST 01009'!$N$13</definedName>
    <definedName name="ST_01009_p">'[1]ST 01009'!$I$20</definedName>
    <definedName name="ST_01009_q">'[1]ST 01009'!$N$3</definedName>
    <definedName name="ST_01010">'[1]ST 01010'!$B$6</definedName>
    <definedName name="ST_01010_m">'[1]ST 01010'!$N$12</definedName>
    <definedName name="ST_01010_p">'[1]ST 01010'!$I$18</definedName>
    <definedName name="ST_01010_q">'[1]ST 01010'!$N$3</definedName>
    <definedName name="ST_01011">'[1]ST 01011'!$B$6</definedName>
    <definedName name="ST_01011_m">'[1]ST 01011'!$N$13</definedName>
    <definedName name="ST_01011_p">'[1]ST 01011'!$I$19</definedName>
    <definedName name="ST_01011_q">'[1]ST 01011'!$N$3</definedName>
    <definedName name="ST_02001">'[1]ST 02001'!$B$6</definedName>
    <definedName name="ST_02001_m">'[1]ST 02001'!$N$12</definedName>
    <definedName name="ST_02001_p">'[1]ST 02001'!$I$19</definedName>
    <definedName name="ST_02001_q">'[1]ST 02001'!$N$3</definedName>
    <definedName name="ST_02002">'[1]ST 02002'!$B$6</definedName>
    <definedName name="ST_02002_m">'[1]ST 02002'!$N$12</definedName>
    <definedName name="ST_02002_p">'[1]ST 02002'!$I$17</definedName>
    <definedName name="ST_02002_q">'[1]ST 02002'!$N$3</definedName>
    <definedName name="ST_02003">'[1]ST 02003'!$B$6</definedName>
    <definedName name="ST_02003_m">'[1]ST 02003'!$N$12</definedName>
    <definedName name="ST_02003_p">'[1]ST 02003'!$I$19</definedName>
    <definedName name="ST_02003_q">'[1]ST 02003'!$N$3</definedName>
    <definedName name="ST_02004">'[1]ST 02004'!$B$6</definedName>
    <definedName name="ST_02004_m">'[1]ST 02004'!$N$13</definedName>
    <definedName name="ST_02004_p">'[1]ST 02004'!$I$21</definedName>
    <definedName name="ST_02004_q">'[1]ST 02004'!$N$3</definedName>
    <definedName name="ST_02005">'[1]ST 02005'!$B$6</definedName>
    <definedName name="ST_02005_m">'[1]ST 02005'!$N$13</definedName>
    <definedName name="ST_02005_p">'[1]ST 02005'!$I$21</definedName>
    <definedName name="ST_02005_q">'[1]ST 02005'!$N$3</definedName>
    <definedName name="ST_03001">'[1]ST 03001'!$B$6</definedName>
    <definedName name="ST_03001_m">'[1]ST 03001'!$N$12</definedName>
    <definedName name="ST_03001_p">'[1]ST 03001'!$I$25</definedName>
    <definedName name="ST_03001_q">'[1]ST 03001'!$N$3</definedName>
    <definedName name="ST_03002">'[1]ST 03002'!$B$6</definedName>
    <definedName name="ST_03002_m">'[1]ST 03002'!$N$12</definedName>
    <definedName name="ST_03002_p">'[1]ST 03002'!$I$22</definedName>
    <definedName name="ST_03002_q">'[1]ST 03002'!$N$3</definedName>
    <definedName name="ST_03003">'[1]ST 03003'!$B$6</definedName>
    <definedName name="ST_03003_m">'[1]ST 03003'!$N$12</definedName>
    <definedName name="ST_03003_p">'[1]ST 03003'!$I$19</definedName>
    <definedName name="ST_03003_q">'[1]ST 03003'!$N$3</definedName>
    <definedName name="ST_04001">'[1]ST 04001'!$B$6</definedName>
    <definedName name="ST_04001_m">'[1]ST 04001'!$N$15</definedName>
    <definedName name="ST_04001_p">'[1]ST 04001'!$I$24</definedName>
    <definedName name="ST_04001_q">'[1]ST 04001'!$N$3</definedName>
    <definedName name="ST_04002">'[1]ST 04002'!$B$6</definedName>
    <definedName name="ST_04002_m">'[1]ST 04002'!$N$12</definedName>
    <definedName name="ST_04002_p">'[1]ST 04002'!$I$17</definedName>
    <definedName name="ST_05001">'[1]ST 05001'!$B$6</definedName>
    <definedName name="ST_05001_m">'[1]ST 05001'!$N$12</definedName>
    <definedName name="ST_05001_p">'[1]ST 05001'!$I$16</definedName>
    <definedName name="ST_05001_q">'[1]ST 05001'!$N$3</definedName>
    <definedName name="ST_05002">'[1]ST 05002'!$B$6</definedName>
    <definedName name="ST_05002_m">'[1]ST 05002'!$N$12</definedName>
    <definedName name="ST_05002_p">'[1]ST 05002'!$I$20</definedName>
    <definedName name="ST_05002_q">'[1]ST 05002'!$N$3</definedName>
    <definedName name="ST_05003">'[1]ST 05003'!$B$6</definedName>
    <definedName name="ST_05003_m">'[1]ST 05003'!$N$12</definedName>
    <definedName name="ST_05003_p">'[1]ST 05003'!$I$17</definedName>
    <definedName name="ST_05003_q">'[1]ST 05003'!$N$3</definedName>
    <definedName name="ST_A0100">'[1]ST A0100'!$B$4</definedName>
    <definedName name="ST_A0100_BOM">BOM!$C$190</definedName>
    <definedName name="ST_A0100_f">'[1]ST A0100'!$J$61</definedName>
    <definedName name="ST_A0100_m">'[1]ST A0100'!$N$26</definedName>
    <definedName name="ST_A0100_p">'[1]ST A0100'!$I$49</definedName>
    <definedName name="ST_A0100_q">'[1]ST A0100'!$N$2</definedName>
    <definedName name="ST_A0100_t">'[1]ST A0100'!$I$66</definedName>
    <definedName name="ST_A0200">'[1]ST A0200'!$B$5</definedName>
    <definedName name="ST_A0200_BOM">BOM!$C$202</definedName>
    <definedName name="ST_A0200_f">'[1]ST A0200'!$J$39</definedName>
    <definedName name="ST_A0200_m">'[1]ST A0200'!$N$20</definedName>
    <definedName name="ST_A0200_p">'[1]ST A0200'!$I$35</definedName>
    <definedName name="ST_A0200_q">'[1]ST A0200'!$N$3</definedName>
    <definedName name="ST_A0200_t">'[1]ST A0200'!$I$48</definedName>
    <definedName name="ST_A0300">'[1]ST A0300'!$B$5</definedName>
    <definedName name="ST_A0300_BOM">BOM!$C$208</definedName>
    <definedName name="ST_A0300_f">'[1]ST A0300'!$J$27</definedName>
    <definedName name="ST_A0300_m">'[1]ST A0300'!$N$18</definedName>
    <definedName name="ST_A0300_p">'[1]ST A0300'!$I$23</definedName>
    <definedName name="ST_A0300_q">'[1]ST A0300'!$N$3</definedName>
    <definedName name="ST_A0400">'[1]ST A0400'!$B$5</definedName>
    <definedName name="ST_A0400_BOM">BOM!$C$212</definedName>
    <definedName name="ST_A0400_f">'[1]ST A0400'!$J$22</definedName>
    <definedName name="ST_A0400_p">'[1]ST A0400'!$I$17</definedName>
    <definedName name="ST_A0400_q">'[1]ST A0400'!$N$3</definedName>
    <definedName name="ST_A0500">'[1]ST A0500'!$B$5</definedName>
    <definedName name="ST_A0500_BOM">BOM!$C$215</definedName>
    <definedName name="ST_A0500_f">'[1]ST A0500'!$J$45</definedName>
    <definedName name="ST_A0500_m">'[1]ST A0500'!$N$18</definedName>
    <definedName name="ST_A0500_p">'[1]ST A0500'!$I$37</definedName>
    <definedName name="ST_A0500_q">'[1]ST A0500'!$N$3</definedName>
    <definedName name="SU_01001">'[1]SU 01001'!$B$6</definedName>
    <definedName name="SU_01001_m">'[1]SU 01001'!$N$12</definedName>
    <definedName name="SU_01001_p">'[1]SU 01001'!$I$26</definedName>
    <definedName name="SU_01001_q">'[1]SU 01001'!$N$3</definedName>
    <definedName name="SU_01002">'[1]SU 01002'!$B$6</definedName>
    <definedName name="SU_01002_m">'[1]SU 01002'!$N$12</definedName>
    <definedName name="SU_01002_p">'[1]SU 01002'!$I$21</definedName>
    <definedName name="SU_01002_q">'[1]SU 01002'!$N$3</definedName>
    <definedName name="SU_01003">'[1]SU 01003'!$B$6</definedName>
    <definedName name="SU_01003_m">'[1]SU 01003'!$N$12</definedName>
    <definedName name="SU_01003_p">'[1]SU 01003'!$I$16</definedName>
    <definedName name="SU_01003_q">'[1]SU 01003'!$N$3</definedName>
    <definedName name="SU_01004">'[1]SU 01004'!$B$6</definedName>
    <definedName name="SU_01004_m">'[1]SU 01004'!$N$12</definedName>
    <definedName name="SU_01004_p">'[1]SU 01004'!$I$16</definedName>
    <definedName name="SU_01004_q">'[1]SU 01004'!$N$3</definedName>
    <definedName name="SU_01005">'[1]SU 01005'!$B$6</definedName>
    <definedName name="SU_01005_m">'[1]SU 01005'!$N$12</definedName>
    <definedName name="SU_01005_p">'[1]SU 01005'!$I$17</definedName>
    <definedName name="SU_01005_q">'[1]SU 01005'!$N$3</definedName>
    <definedName name="SU_01006">'[1]SU 01006'!$B$6</definedName>
    <definedName name="SU_01006_m">'[1]SU 01006'!$N$12</definedName>
    <definedName name="SU_01006_p">'[1]SU 01006'!$I$17</definedName>
    <definedName name="SU_01006_q">'[1]SU 01006'!$N$3</definedName>
    <definedName name="SU_01007">'[1]SU 01007'!$B$6</definedName>
    <definedName name="SU_01007_m">'[1]SU 01007'!$N$12</definedName>
    <definedName name="SU_01007_p">'[1]SU 01007'!$I$16</definedName>
    <definedName name="SU_01007_q">'[1]SU 01007'!$N$3</definedName>
    <definedName name="SU_01008">'[1]SU 01008'!$B$6</definedName>
    <definedName name="SU_01008_m">'[1]SU 01008'!$N$13</definedName>
    <definedName name="SU_01008_p">'[1]SU 01008'!$I$21</definedName>
    <definedName name="SU_01008_q">'[1]SU 01008'!$N$3</definedName>
    <definedName name="SU_01009">'[1]SU 01009'!$B$6</definedName>
    <definedName name="SU_01009_m">'[1]SU 01009'!$N$13</definedName>
    <definedName name="SU_01009_p">'[1]SU 01009'!$I$21</definedName>
    <definedName name="SU_01009_q">'[1]SU 01009'!$N$3</definedName>
    <definedName name="SU_01010">'[1]SU 01010'!$B$6</definedName>
    <definedName name="SU_01010_m">'[1]SU 01010'!$N$13</definedName>
    <definedName name="SU_01010_p">'[1]SU 01010'!$I$21</definedName>
    <definedName name="SU_01010_q">'[1]SU 01010'!$N$3</definedName>
    <definedName name="SU_01011">'[1]SU 01011'!$B$6</definedName>
    <definedName name="SU_01011_m">'[1]SU 01011'!$N$13</definedName>
    <definedName name="SU_01011_p">'[1]SU 01011'!$I$21</definedName>
    <definedName name="SU_01011_q">'[1]SU 01011'!$N$3</definedName>
    <definedName name="SU_02001">'[1]SU 02001'!$B$6</definedName>
    <definedName name="SU_02001_m">'[1]SU 02001'!$N$12</definedName>
    <definedName name="SU_02001_p">'[1]SU 02001'!$I$23</definedName>
    <definedName name="SU_02001_q">'[1]SU 02001'!$N$3</definedName>
    <definedName name="SU_02002">'[1]SU 02002'!$B$6</definedName>
    <definedName name="SU_02002_m">'[1]SU 02002'!$N$12</definedName>
    <definedName name="SU_02002_p">'[1]SU 02002'!$I$21</definedName>
    <definedName name="SU_02002_q">'[1]SU 02002'!$N$3</definedName>
    <definedName name="SU_02003">'[1]SU 02003'!$B$6</definedName>
    <definedName name="SU_02003_m">'[1]SU 02003'!$N$12</definedName>
    <definedName name="SU_02003_p">'[1]SU 02003'!$I$16</definedName>
    <definedName name="SU_02003_q">'[1]SU 02003'!$N$3</definedName>
    <definedName name="SU_02004">'[1]SU 02004'!$B$6</definedName>
    <definedName name="SU_02004_m">'[1]SU 02004'!$N$12</definedName>
    <definedName name="SU_02004_p">'[1]SU 02004'!$I$16</definedName>
    <definedName name="SU_02004_q">'[1]SU 02004'!$N$3</definedName>
    <definedName name="SU_02005">'[1]SU 02005'!$B$6</definedName>
    <definedName name="SU_02005_m">'[1]SU 02005'!$N$12</definedName>
    <definedName name="SU_02005_p">'[1]SU 02005'!$I$17</definedName>
    <definedName name="SU_02005_q">'[1]SU 02005'!$N$3</definedName>
    <definedName name="SU_02006">'[1]SU 02006'!$B$6</definedName>
    <definedName name="SU_02006_m">'[1]SU 02006'!$N$12</definedName>
    <definedName name="SU_02006_p">'[1]SU 02006'!$I$17</definedName>
    <definedName name="SU_02006_q">'[1]SU 02006'!$N$3</definedName>
    <definedName name="SU_02007">'[1]SU 02007'!$B$6</definedName>
    <definedName name="SU_02007_m">'[1]SU 02007'!$N$12</definedName>
    <definedName name="SU_02007_p">'[1]SU 02007'!$I$16</definedName>
    <definedName name="SU_02007_q">'[1]SU 02007'!$N$3</definedName>
    <definedName name="SU_02008">'[1]SU 02008'!$B$6</definedName>
    <definedName name="SU_02008_m">'[1]SU 02008'!$N$13</definedName>
    <definedName name="SU_02008_p">'[1]SU 02008'!$I$21</definedName>
    <definedName name="SU_02008_q">'[1]SU 02008'!$N$3</definedName>
    <definedName name="SU_02009">'[1]SU 02009'!$B$6</definedName>
    <definedName name="SU_02009_m">'[1]SU 02009'!$N$13</definedName>
    <definedName name="SU_02009_p">'[1]SU 02009'!$I$21</definedName>
    <definedName name="SU_02009_q">'[1]SU 02009'!$N$3</definedName>
    <definedName name="SU_02010">'[1]SU 02010'!$B$6</definedName>
    <definedName name="SU_02010_m">'[1]SU 02010'!$N$13</definedName>
    <definedName name="SU_02010_p">'[1]SU 02010'!$I$21</definedName>
    <definedName name="SU_02010_q">'[1]SU 02010'!$N$3</definedName>
    <definedName name="SU_02011">'[1]SU 02011'!$B$6</definedName>
    <definedName name="SU_02011_m">'[1]SU 02011'!$N$13</definedName>
    <definedName name="SU_02011_p">'[1]SU 02011'!$I$21</definedName>
    <definedName name="SU_02011_q">'[1]SU 02011'!$N$3</definedName>
    <definedName name="SU_03001">'[1]SU 03001'!$B$6</definedName>
    <definedName name="SU_03001_m">'[1]SU 03001'!$N$12</definedName>
    <definedName name="SU_03001_p">'[1]SU 03001'!$I$26</definedName>
    <definedName name="SU_03001_q">'[1]SU 03001'!$N$3</definedName>
    <definedName name="SU_03002">'[1]SU 03002'!$B$6</definedName>
    <definedName name="SU_03002_m">'[1]SU 03002'!$N$12</definedName>
    <definedName name="SU_03002_p">'[1]SU 03002'!$I$21</definedName>
    <definedName name="SU_03002_q">'[1]SU 03002'!$N$3</definedName>
    <definedName name="SU_03003">'[1]SU 03003'!$B$6</definedName>
    <definedName name="SU_03003_m">'[1]SU 03003'!$N$12</definedName>
    <definedName name="SU_03003_p">'[1]SU 03003'!$I$16</definedName>
    <definedName name="SU_03003_q">'[1]SU 03003'!$N$3</definedName>
    <definedName name="SU_03004">'[1]SU 03004'!$B$6</definedName>
    <definedName name="SU_03004_m">'[1]SU 03004'!$N$12</definedName>
    <definedName name="SU_03004_p">'[1]SU 03004'!$I$16</definedName>
    <definedName name="SU_03004_q">'[1]SU 03004'!$N$3</definedName>
    <definedName name="SU_03005">'[1]SU 03005'!$B$6</definedName>
    <definedName name="SU_03005_m">'[1]SU 03005'!$N$12</definedName>
    <definedName name="SU_03005_p">'[1]SU 03005'!$I$17</definedName>
    <definedName name="SU_03005_q">'[1]SU 03005'!$N$3</definedName>
    <definedName name="SU_03006">'[1]SU 03006'!$B$6</definedName>
    <definedName name="SU_03006_m">'[1]SU 03006'!$N$12</definedName>
    <definedName name="SU_03006_p">'[1]SU 03006'!$I$17</definedName>
    <definedName name="SU_03006_q">'[1]SU 03006'!$N$3</definedName>
    <definedName name="SU_03007">'[1]SU 03007'!$B$6</definedName>
    <definedName name="SU_03007_m">'[1]SU 03007'!$N$12</definedName>
    <definedName name="SU_03007_p">'[1]SU 03007'!$I$16</definedName>
    <definedName name="SU_03007_q">'[1]SU 03007'!$N$3</definedName>
    <definedName name="SU_03008">'[1]SU 03008'!$B$6</definedName>
    <definedName name="SU_03008_m">'[1]SU 03008'!$N$13</definedName>
    <definedName name="SU_03008_p">'[1]SU 03008'!$I$21</definedName>
    <definedName name="SU_03008_q">'[1]SU 03008'!$N$3</definedName>
    <definedName name="SU_03009">'[1]SU 03009'!$B$6</definedName>
    <definedName name="SU_03009_m">'[1]SU 03009'!$N$13</definedName>
    <definedName name="SU_03009_p">'[1]SU 03009'!$I$21</definedName>
    <definedName name="SU_03009_q">'[1]SU 03009'!$N$3</definedName>
    <definedName name="SU_03010">'[1]SU 03010'!$B$6</definedName>
    <definedName name="SU_03010_m">'[1]SU 03010'!$N$13</definedName>
    <definedName name="SU_03010_p">'[1]SU 03010'!$I$21</definedName>
    <definedName name="SU_03010_q">'[1]SU 03010'!$N$3</definedName>
    <definedName name="SU_03011">'[1]SU 03011'!$B$6</definedName>
    <definedName name="SU_03011_m">'[1]SU 03011'!$N$13</definedName>
    <definedName name="SU_03011_p">'[1]SU 03011'!$I$21</definedName>
    <definedName name="SU_03011_q">'[1]SU 03011'!$N$3</definedName>
    <definedName name="SU_04001">'[1]SU 04001'!$B$6</definedName>
    <definedName name="SU_04001_m">'[1]SU 04001'!$N$12</definedName>
    <definedName name="SU_04001_p">'[1]SU 04001'!$I$23</definedName>
    <definedName name="SU_04001_q">'[1]SU 04001'!$N$3</definedName>
    <definedName name="SU_04002">'[1]SU 04002'!$B$6</definedName>
    <definedName name="SU_04002_m">'[1]SU 04002'!$N$12</definedName>
    <definedName name="SU_04002_p">'[1]SU 04002'!$I$21</definedName>
    <definedName name="SU_04002_q">'[1]SU 04002'!$N$3</definedName>
    <definedName name="SU_04003">'[1]SU 04003'!$B$6</definedName>
    <definedName name="SU_04003_m">'[1]SU 04003'!$N$12</definedName>
    <definedName name="SU_04003_p">'[1]SU 04003'!$I$16</definedName>
    <definedName name="SU_04003_q">'[1]SU 04003'!$N$3</definedName>
    <definedName name="SU_04004">'[1]SU 04004'!$B$6</definedName>
    <definedName name="SU_04004_m">'[1]SU 04004'!$N$12</definedName>
    <definedName name="SU_04004_p">'[1]SU 04004'!$I$16</definedName>
    <definedName name="SU_04004_q">'[1]SU 04004'!$N$3</definedName>
    <definedName name="SU_04005">'[1]SU 04005'!$B$6</definedName>
    <definedName name="SU_04005_m">'[1]SU 04005'!$N$12</definedName>
    <definedName name="SU_04005_p">'[1]SU 04005'!$I$17</definedName>
    <definedName name="SU_04005_q">'[1]SU 04005'!$N$3</definedName>
    <definedName name="SU_04006">'[1]SU 04006'!$B$6</definedName>
    <definedName name="SU_04006_m">'[1]SU 04006'!$N$12</definedName>
    <definedName name="SU_04006_p">'[1]SU 04006'!$I$17</definedName>
    <definedName name="SU_04006_q">'[1]SU 04006'!$N$3</definedName>
    <definedName name="SU_04007">'[1]SU 04007'!$B$6</definedName>
    <definedName name="SU_04007_m">'[1]SU 04007'!$N$12</definedName>
    <definedName name="SU_04007_p">'[1]SU 04007'!$I$16</definedName>
    <definedName name="SU_04007_q">'[1]SU 04007'!$N$3</definedName>
    <definedName name="SU_04008">'[1]SU 04008'!$B$6</definedName>
    <definedName name="SU_04008_m">'[1]SU 04008'!$N$13</definedName>
    <definedName name="SU_04008_p">'[1]SU 04008'!$I$21</definedName>
    <definedName name="SU_04008_q">'[1]SU 04008'!$N$3</definedName>
    <definedName name="SU_04009">'[1]SU 04009'!$B$6</definedName>
    <definedName name="SU_04009_m">'[1]SU 04009'!$N$13</definedName>
    <definedName name="SU_04009_p">'[1]SU 04009'!$I$21</definedName>
    <definedName name="SU_04009_q">'[1]SU 04009'!$N$3</definedName>
    <definedName name="SU_04010">'[1]SU 04010'!$B$6</definedName>
    <definedName name="SU_04010_m">'[1]SU 04010'!$N$13</definedName>
    <definedName name="SU_04010_p">'[1]SU 04010'!$I$21</definedName>
    <definedName name="SU_04010_q">'[1]SU 04010'!$N$3</definedName>
    <definedName name="SU_04011">'[1]SU 04011'!$B$6</definedName>
    <definedName name="SU_04011_m">'[1]SU 04011'!$N$13</definedName>
    <definedName name="SU_04011_p">'[1]SU 04011'!$I$21</definedName>
    <definedName name="SU_04011_q">'[1]SU 04011'!$N$3</definedName>
    <definedName name="SU_05001">'[1]SU 05001'!$B$6</definedName>
    <definedName name="SU_05001_f">'[1]SU 05001'!#REF!</definedName>
    <definedName name="SU_05001_m">'[1]SU 05001'!$N$12</definedName>
    <definedName name="SU_05001_p">'[1]SU 05001'!$I$22</definedName>
    <definedName name="SU_05001_q">'[1]SU 05001'!$N$3</definedName>
    <definedName name="SU_05001_t">'[1]SU 05001'!#REF!</definedName>
    <definedName name="SU_06001">'[1]SU 06001'!$B$6</definedName>
    <definedName name="SU_06001_m">'[1]SU 06001'!$N$12</definedName>
    <definedName name="SU_06001_p">'[1]SU 06001'!$I$17</definedName>
    <definedName name="SU_06001_q">'[1]SU 06001'!$N$3</definedName>
    <definedName name="SU_06002">'[1]SU 06002'!$B$6</definedName>
    <definedName name="SU_06002_m">'[1]SU 06002'!$N$12</definedName>
    <definedName name="SU_06002_p">'[1]SU 06002'!$I$17</definedName>
    <definedName name="SU_06002_q">'[1]SU 06002'!$N$3</definedName>
    <definedName name="SU_06003">'[1]SU 06003'!$B$6</definedName>
    <definedName name="SU_06003_m">'[1]SU 06003'!$N$12</definedName>
    <definedName name="SU_06003_p">'[1]SU 06003'!$I$17</definedName>
    <definedName name="SU_06003_q">'[1]SU 06003'!$N$3</definedName>
    <definedName name="SU_06004">'[1]SU 06004'!$B$6</definedName>
    <definedName name="SU_06004_m">'[1]SU 06004'!$N$12</definedName>
    <definedName name="SU_06004_p">'[1]SU 06004'!$I$19</definedName>
    <definedName name="SU_06004_q">'[1]SU 06004'!$N$3</definedName>
    <definedName name="SU_07001">'[1]SU 07001'!$B$6</definedName>
    <definedName name="SU_07001_f">'[1]SU 07001'!#REF!</definedName>
    <definedName name="SU_07001_m">'[1]SU 07001'!$N$12</definedName>
    <definedName name="SU_07001_p">'[1]SU 07001'!$I$22</definedName>
    <definedName name="SU_07001_q">'[1]SU 07001'!$N$3</definedName>
    <definedName name="SU_07001_t">'[1]SU 07001'!#REF!</definedName>
    <definedName name="SU_08001">'[1]SU 08001'!$B$6</definedName>
    <definedName name="SU_08001_m">'[1]SU 08001'!$N$12</definedName>
    <definedName name="SU_08001_p">'[1]SU 08001'!$I$17</definedName>
    <definedName name="SU_08001_q">'[1]SU 08001'!$N$3</definedName>
    <definedName name="SU_08002">'[1]SU 08002'!$B$6</definedName>
    <definedName name="SU_08002_m">'[1]SU 08002'!$N$12</definedName>
    <definedName name="SU_08002_p">'[1]SU 08002'!$I$17</definedName>
    <definedName name="SU_08002_q">'[1]SU 08002'!$N$3</definedName>
    <definedName name="SU_08003">'[1]SU 08003'!$B$6</definedName>
    <definedName name="SU_08003_m">'[1]SU 08003'!$N$12</definedName>
    <definedName name="SU_08003_p">'[1]SU 08003'!$I$19</definedName>
    <definedName name="SU_08003_q">'[1]SU 08003'!$N$3</definedName>
    <definedName name="SU_09001">'[1]SU 09001'!$B$6</definedName>
    <definedName name="SU_09001_m">'[1]SU 09001'!$N$12</definedName>
    <definedName name="SU_09001_p">'[1]SU 09001'!$I$16</definedName>
    <definedName name="SU_09001_q">'[1]SU 09001'!$N$3</definedName>
    <definedName name="SU_09002">'[1]SU 09002'!$B$6</definedName>
    <definedName name="SU_09002_m">'[1]SU 09002'!$N$12</definedName>
    <definedName name="SU_09002_p">'[1]SU 09002'!$I$19</definedName>
    <definedName name="SU_09002_q">'[1]SU 09002'!$N$3</definedName>
    <definedName name="SU_09003">'[1]SU 09003'!$B$6</definedName>
    <definedName name="SU_09003_m">'[1]SU 09003'!$N$12</definedName>
    <definedName name="SU_09003_p">'[1]SU 09003'!$I$17</definedName>
    <definedName name="SU_09003_q">'[1]SU 09003'!$N$3</definedName>
    <definedName name="SU_09004">'[1]SU 09004'!$B$6</definedName>
    <definedName name="SU_09004_m">'[1]SU 09004'!$N$12</definedName>
    <definedName name="SU_09004_p">'[1]SU 09004'!$I$17</definedName>
    <definedName name="SU_09004_q">'[1]SU 09004'!$N$3</definedName>
    <definedName name="SU_10001">'[1]SU 10001'!$B$6</definedName>
    <definedName name="SU_10001_m">'[1]SU 10001'!$N$12</definedName>
    <definedName name="SU_10001_p">'[1]SU 10001'!$I$29</definedName>
    <definedName name="SU_10001_q">'[1]SU 10001'!$N$3</definedName>
    <definedName name="SU_10002">'[1]SU 10002'!$B$6</definedName>
    <definedName name="SU_10002_m">'[1]SU 10002'!$N$12</definedName>
    <definedName name="SU_10002_p">'[1]SU 10002'!$I$19</definedName>
    <definedName name="SU_10002_q">'[1]SU 10002'!$N$3</definedName>
    <definedName name="SU_10003">'[1]SU 10003'!$B$6</definedName>
    <definedName name="SU_10003_m">'[1]SU 10003'!$N$12</definedName>
    <definedName name="SU_10003_p">'[1]SU 10003'!$I$23</definedName>
    <definedName name="SU_10003_q">'[1]SU 10003'!$N$3</definedName>
    <definedName name="SU_10004">'[1]SU 10004'!$B$6</definedName>
    <definedName name="SU_10004_m">'[1]SU 10004'!$N$12</definedName>
    <definedName name="SU_10004_p">'[1]SU 10004'!$I$18</definedName>
    <definedName name="SU_10004_q">'[1]SU 10004'!$N$3</definedName>
    <definedName name="SU_10005">'[1]SU 10005'!$B$6</definedName>
    <definedName name="SU_10005_m">'[1]SU 10005'!$N$12</definedName>
    <definedName name="SU_10005_p">'[1]SU 10005'!$I$17</definedName>
    <definedName name="SU_10005_q">'[1]SU 10005'!$N$3</definedName>
    <definedName name="SU_11001">'[1]SU 11001'!$B$6</definedName>
    <definedName name="SU_11001_m">'[1]SU 11001'!$N$12</definedName>
    <definedName name="SU_11001_p">'[1]SU 11001'!$I$28</definedName>
    <definedName name="SU_11001_q">'[1]SU 11001'!$N$3</definedName>
    <definedName name="SU_11002">'[1]SU 11002'!$B$6</definedName>
    <definedName name="SU_11002_m">'[1]SU 11002'!$N$12</definedName>
    <definedName name="SU_11002_p">'[1]SU 11002'!$I$23</definedName>
    <definedName name="SU_11002_q">'[1]SU 11002'!$N$3</definedName>
    <definedName name="SU_11003">'[1]SU 11003'!$B$6</definedName>
    <definedName name="SU_11003_m">'[1]SU 11003'!$N$12</definedName>
    <definedName name="SU_11003_p">'[1]SU 11003'!$I$18</definedName>
    <definedName name="SU_11003_q">'[1]SU 11003'!$N$3</definedName>
    <definedName name="SU_11004">'[1]SU 11004'!$B$6</definedName>
    <definedName name="SU_11004_m">'[1]SU 11004'!$N$12</definedName>
    <definedName name="SU_11004_p">'[1]SU 11004'!$I$17</definedName>
    <definedName name="SU_11004_q">'[1]SU 11004'!$N$3</definedName>
    <definedName name="SU_12001">'[1]SU 12001'!$B$6</definedName>
    <definedName name="SU_12001_m">'[1]SU 12001'!$N$12</definedName>
    <definedName name="SU_12001_p">'[1]SU 12001'!$I$16</definedName>
    <definedName name="SU_12001_q">'[1]SU 12001'!$N$3</definedName>
    <definedName name="SU_12002">'[1]SU 12002'!$B$6</definedName>
    <definedName name="SU_12002_m">'[1]SU 12002'!$N$12</definedName>
    <definedName name="SU_12002_p">'[1]SU 12002'!$I$19</definedName>
    <definedName name="SU_12002_q">'[1]SU 12002'!$N$3</definedName>
    <definedName name="SU_12003">'[1]SU 12003'!$B$6</definedName>
    <definedName name="SU_12003_m">'[1]SU 12003'!$N$12</definedName>
    <definedName name="SU_12003_p">'[1]SU 12003'!$I$17</definedName>
    <definedName name="SU_12003_q">'[1]SU 12003'!$N$3</definedName>
    <definedName name="SU_12004">'[1]SU 12004'!$B$6</definedName>
    <definedName name="SU_12004_M">'[1]SU 12004'!$N$12</definedName>
    <definedName name="SU_12004_P">'[1]SU 12004'!$I$17</definedName>
    <definedName name="SU_12004_q">'[1]SU 12004'!$N$3</definedName>
    <definedName name="SU_13001">'[1]SU 13001'!$B$6</definedName>
    <definedName name="SU_13001_m">'[1]SU 13001'!$N$12</definedName>
    <definedName name="SU_13001_p">'[1]SU 13001'!$I$20</definedName>
    <definedName name="SU_13001_q">'[1]SU 13001'!$N$3</definedName>
    <definedName name="SU_13002">'[1]SU 13002'!$B$6</definedName>
    <definedName name="SU_13002_m">'[1]SU 13002'!$N$12</definedName>
    <definedName name="SU_13002_p">'[1]SU 13002'!$I$17</definedName>
    <definedName name="SU_13002_q">'[1]SU 13002'!$N$3</definedName>
    <definedName name="SU_A0100">'[1]SU A0100'!$B$5</definedName>
    <definedName name="SU_A0100_BOM">BOM!$C$220</definedName>
    <definedName name="SU_A0100_f">'[1]SU A0100'!$J$58</definedName>
    <definedName name="SU_A0100_m">'[1]SU A0100'!$N$27</definedName>
    <definedName name="SU_A0100_p">'[1]SU A0100'!$I$52</definedName>
    <definedName name="SU_A0100_pa">'[1]SU A0100'!$E$21</definedName>
    <definedName name="SU_A0100_q">'[1]SU A0100'!$N$3</definedName>
    <definedName name="SU_A0100_t">'[1]SU A0100'!$I$62</definedName>
    <definedName name="SU_A0200">'[1]SU A0200'!$B$5</definedName>
    <definedName name="SU_A0200_BOM">BOM!$C$232</definedName>
    <definedName name="SU_A0200_f">'[1]SU A0200'!$J$58</definedName>
    <definedName name="SU_A0200_m">'[1]SU A0200'!$N$27</definedName>
    <definedName name="SU_A0200_p">'[1]SU A0200'!$I$52</definedName>
    <definedName name="SU_A0200_pa">'[1]SU A0200'!$E$21</definedName>
    <definedName name="SU_A0200_q">'[1]SU A0200'!$N$3</definedName>
    <definedName name="SU_A0200_t">'[1]SU A0200'!$I$62</definedName>
    <definedName name="SU_A0300">'[1]SU A0300'!$B$5</definedName>
    <definedName name="SU_A0300_BOM">BOM!$C$244</definedName>
    <definedName name="SU_A0300_f">'[1]SU A0300'!$J$58</definedName>
    <definedName name="SU_A0300_m">'[1]SU A0300'!$N$27</definedName>
    <definedName name="SU_A0300_p">'[1]SU A0300'!$I$52</definedName>
    <definedName name="SU_A0300_pa">'[1]SU A0300'!$E$21</definedName>
    <definedName name="SU_A0300_q">'[1]SU A0300'!$N$3</definedName>
    <definedName name="SU_A0300_t">'[1]SU A0300'!$I$62</definedName>
    <definedName name="SU_A0400">'[1]SU A0400'!$B$5</definedName>
    <definedName name="SU_A0400_BOM">BOM!$C$256</definedName>
    <definedName name="SU_A0400_f">'[1]SU A0400'!$J$58</definedName>
    <definedName name="SU_A0400_m">'[1]SU A0400'!$N$27</definedName>
    <definedName name="SU_A0400_p">'[1]SU A0400'!$I$52</definedName>
    <definedName name="SU_A0400_pa">'[1]SU A0400'!$E$21</definedName>
    <definedName name="SU_A0400_q">'[1]SU A0400'!$N$3</definedName>
    <definedName name="SU_A0400_t">'[1]SU A0400'!$I$62</definedName>
    <definedName name="SU_A0500_BOM">BOM!$C$268</definedName>
    <definedName name="SU_A0500_f">'[1]SU A0500'!$J$37</definedName>
    <definedName name="SU_A0500_m">'[1]SU A0500'!$N$18</definedName>
    <definedName name="SU_A0500_p">'[1]SU A0500'!$I$31</definedName>
    <definedName name="SU_A0500_pa">'[1]SU A0500'!$E$11</definedName>
    <definedName name="SU_A0500_q">'[1]SU A0500'!$N$3</definedName>
    <definedName name="SU_A0500_t">'[1]SU A0500'!$I$41</definedName>
    <definedName name="SU_A0600">'[1]SU A0600'!$B$5</definedName>
    <definedName name="SU_A0600_BOM">BOM!$C$270</definedName>
    <definedName name="SU_A0600_f">'[1]SU A0600'!$J$38</definedName>
    <definedName name="SU_A0600_m">'[1]SU A0600'!$N$19</definedName>
    <definedName name="SU_A0600_p">'[1]SU A0600'!$I$32</definedName>
    <definedName name="SU_A0600_pa">'[1]SU A0600'!$E$14</definedName>
    <definedName name="SU_A0600_q">'[1]SU A0600'!$N$3</definedName>
    <definedName name="SU_A0600_t">'[1]SU A0600'!$I$42</definedName>
    <definedName name="SU_A0700">'[1]SU A0700'!$B$5</definedName>
    <definedName name="SU_A0700_BOM">BOM!$C$275</definedName>
    <definedName name="SU_A0700_f">'[1]SU A0700'!$J$37</definedName>
    <definedName name="SU_A0700_m">'[1]SU A0700'!$N$18</definedName>
    <definedName name="SU_A0700_p">'[1]SU A0700'!$I$31</definedName>
    <definedName name="SU_A0700_pa">'[1]SU A0700'!$E$11</definedName>
    <definedName name="SU_A0700_q">'[1]SU A0700'!$N$3</definedName>
    <definedName name="SU_A0700_t">'[1]SU A0700'!$I$41</definedName>
    <definedName name="SU_A0800">'[1]SU A0800'!$B$5</definedName>
    <definedName name="SU_A0800_BOM">BOM!$C$277</definedName>
    <definedName name="SU_A0800_f">'[1]SU A0800'!$J$37</definedName>
    <definedName name="SU_A0800_m">'[1]SU A0800'!$N$18</definedName>
    <definedName name="SU_A0800_p">'[1]SU A0800'!$I$31</definedName>
    <definedName name="SU_A0800_pa">'[1]SU A0800'!$E$13</definedName>
    <definedName name="SU_A0800_q">'[1]SU A0800'!$N$3</definedName>
    <definedName name="SU_A0800_t">'[1]SU A0800'!$I$41</definedName>
    <definedName name="SU_A0900">'[1]SU A0900'!$B$5</definedName>
    <definedName name="SU_A0900_BOM">BOM!$C$281</definedName>
    <definedName name="SU_A0900_f">'[1]SU A0900'!$J$46</definedName>
    <definedName name="SU_A0900_m">'[1]SU A0900'!$N$19</definedName>
    <definedName name="SU_A0900_p">'[1]SU A0900'!$I$38</definedName>
    <definedName name="SU_A0900_q">'[1]SU A0900'!$N$3</definedName>
    <definedName name="SU_A1000">'[1]SU A1000'!$B$5</definedName>
    <definedName name="SU_A1000_BOM">BOM!$C$286</definedName>
    <definedName name="SU_A1000_f">'[1]SU A1000'!$J$39</definedName>
    <definedName name="SU_A1000_p">'[1]SU A1000'!$I$30</definedName>
    <definedName name="SU_A1000_pa">'[1]SU A1000'!$E$15</definedName>
    <definedName name="SU_A1000_q">'[1]SU A1000'!$L$3</definedName>
    <definedName name="SU_A1100">'[1]SU A1100 '!$B$5</definedName>
    <definedName name="SU_A1100_BOM">BOM!$C$292</definedName>
    <definedName name="SU_A1100_f">'[1]SU A1100 '!$J$42</definedName>
    <definedName name="SU_A1100_p">'[1]SU A1100 '!$I$30</definedName>
    <definedName name="SU_A1100_q">'[1]SU A1100 '!$N$3</definedName>
    <definedName name="SU_A1200">'[1]SU A1200'!$B$5</definedName>
    <definedName name="SU_A1200_BOM">BOM!$C$297</definedName>
    <definedName name="SU_A1200_f">'[1]SU A1200'!$J$46</definedName>
    <definedName name="SU_A1200_m">'[1]SU A1200'!$N$19</definedName>
    <definedName name="SU_A1200_p">'[1]SU A1200'!$I$38</definedName>
    <definedName name="SU_A1200_pa">'[1]SU A1200'!$E$14</definedName>
    <definedName name="SU_A1200_q">'[1]SU A1200'!$N$3</definedName>
    <definedName name="SU_A1300">'[1]SU A1300'!$B$5</definedName>
    <definedName name="SU_A1300_BOM">BOM!$C$302</definedName>
    <definedName name="SU_A1300_f">'[1]SU A1300'!$J$41</definedName>
    <definedName name="SU_A1300_m">'[1]SU A1300'!$N$17</definedName>
    <definedName name="SU_A1300_p">'[1]SU A1300'!$I$33</definedName>
    <definedName name="SU_A1300_pa">'[1]SU A1300'!$E$12</definedName>
    <definedName name="SU_A1300_q">'[1]SU A1300'!$N$3</definedName>
    <definedName name="SU_A1300_t">'[1]SU A1300'!#REF!</definedName>
    <definedName name="Uni" localSheetId="0">[9]BOM!#REF!</definedName>
    <definedName name="Uni" localSheetId="1">[9]BOM!#REF!</definedName>
    <definedName name="Uni">[2]BOM!#REF!</definedName>
    <definedName name="WT_02001">'[1]WT 02001'!$B$6</definedName>
    <definedName name="WT_02001_m">'[1]WT 02001'!$N$12</definedName>
    <definedName name="WT_02001_p">'[1]WT 02001'!$I$25</definedName>
    <definedName name="WT_02001_q">'[1]WT 02001'!$N$3</definedName>
    <definedName name="WT_02002_m">'[1]WT 02002'!$N$12</definedName>
    <definedName name="WT_02002_p">'[1]WT 02002'!$I$19</definedName>
    <definedName name="WT_02002_q">'[1]WT 02002'!$N$3</definedName>
    <definedName name="WT_02003_m">'[1]WT 02003'!$N$12</definedName>
    <definedName name="WT_02003_p">'[1]WT 02003'!$I$21</definedName>
    <definedName name="WT_02003_q">'[1]WT 02003'!$N$3</definedName>
    <definedName name="WT_02004_m">'[1]WT 02004'!$N$12</definedName>
    <definedName name="WT_02004_p">'[1]WT 02004'!$I$17</definedName>
    <definedName name="WT_02004_q">'[1]WT 02004'!$N$3</definedName>
    <definedName name="WT_02005_m">'[1]WT 02005'!$N$12</definedName>
    <definedName name="WT_02005_p">'[1]WT 02005'!$I$17</definedName>
    <definedName name="WT_02005_q">'[1]WT 02005'!$N$3</definedName>
    <definedName name="WT_03001">'[1]WT 03001'!$B$6</definedName>
    <definedName name="WT_03001_m">'[1]WT 03001'!$N$12</definedName>
    <definedName name="WT_03001_p">'[1]WT 03001'!$I$24</definedName>
    <definedName name="WT_03001_q">'[1]WT 03001'!$N$3</definedName>
    <definedName name="WT_03002">'[1]WT 03002'!$B$6</definedName>
    <definedName name="WT_03002_m">'[1]WT 03002'!$N$12</definedName>
    <definedName name="WT_03002_p">'[1]WT 03002'!$I$19</definedName>
    <definedName name="WT_03002_q">'[1]WT 03002'!$N$3</definedName>
    <definedName name="WT_03003">'[1]WT 03003'!$B$6</definedName>
    <definedName name="WT_03003_m">'[1]WT 03003'!$N$12</definedName>
    <definedName name="WT_03003_p">'[1]WT 03003'!$I$21</definedName>
    <definedName name="WT_03003_q">'[1]WT 03003'!$N$3</definedName>
    <definedName name="WT_03004">'[1]WT 03004'!$B$6</definedName>
    <definedName name="WT_03004_m">'[1]WT 03004'!$N$12</definedName>
    <definedName name="WT_03004_p">'[1]WT 03004'!$I$19</definedName>
    <definedName name="WT_03004_q">'[1]WT 03004'!$N$3</definedName>
    <definedName name="WT_03005">'[1]WT 03005'!$B$6</definedName>
    <definedName name="WT_03005_m">'[1]WT 03005'!$N$12</definedName>
    <definedName name="WT_03005_p">'[1]WT 03005'!$I$17</definedName>
    <definedName name="WT_03005_q">'[1]WT 03005'!$N$3</definedName>
    <definedName name="WT_A0100">'[1]WT A0100'!$B$5</definedName>
    <definedName name="WT_A0100_BOM">BOM!$C$306</definedName>
    <definedName name="WT_A0100_f">'[1]WT A0100'!$J$24</definedName>
    <definedName name="WT_A0100_m">'[1]WT A0100'!$N$15</definedName>
    <definedName name="WT_A0100_p">'[1]WT A0100'!$I$20</definedName>
    <definedName name="WT_A0100_q">'[1]WT A0100'!$N$3</definedName>
    <definedName name="WT_A0200_BOM">BOM!$C$307</definedName>
    <definedName name="WT_A0200_f">'[1]WT A0200'!$J$37</definedName>
    <definedName name="WT_A0200_m">'[1]WT A0200'!$N$21</definedName>
    <definedName name="WT_A0200_p">'[1]WT A0200'!$I$33</definedName>
    <definedName name="WT_A0200_pa">'[1]WT A0200'!$E$15</definedName>
    <definedName name="WT_A0200_q">'[1]WT A0200'!$N$3</definedName>
    <definedName name="WT_A0300_BOM">BOM!$C$313</definedName>
    <definedName name="WT_A0300_f">'[1]WT A0300'!$J$34</definedName>
    <definedName name="WT_A0300_m">'[1]WT A0300'!$N$20</definedName>
    <definedName name="WT_A0300_p">'[1]WT A0300'!$I$30</definedName>
    <definedName name="WT_A0300_q">'[1]WT A0300'!$N$3</definedName>
    <definedName name="_xlnm.Print_Area" localSheetId="0">Cover!$A$1:$M$39</definedName>
    <definedName name="_xlnm.Print_Area" localSheetId="1">'Table of Contents'!$A$1:$I$27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9" i="4" l="1"/>
  <c r="K318" i="4"/>
  <c r="J318" i="4"/>
  <c r="H318" i="4" s="1"/>
  <c r="N318" i="4" s="1"/>
  <c r="I318" i="4"/>
  <c r="F318" i="4"/>
  <c r="C318" i="4"/>
  <c r="K317" i="4"/>
  <c r="J317" i="4"/>
  <c r="I317" i="4"/>
  <c r="F317" i="4"/>
  <c r="C317" i="4"/>
  <c r="K316" i="4"/>
  <c r="J316" i="4"/>
  <c r="I316" i="4"/>
  <c r="F316" i="4"/>
  <c r="C316" i="4"/>
  <c r="K315" i="4"/>
  <c r="J315" i="4"/>
  <c r="H315" i="4" s="1"/>
  <c r="N315" i="4" s="1"/>
  <c r="I315" i="4"/>
  <c r="F315" i="4"/>
  <c r="C315" i="4"/>
  <c r="K314" i="4"/>
  <c r="J314" i="4"/>
  <c r="H314" i="4" s="1"/>
  <c r="N314" i="4" s="1"/>
  <c r="I314" i="4"/>
  <c r="F314" i="4"/>
  <c r="C314" i="4"/>
  <c r="L313" i="4"/>
  <c r="K313" i="4"/>
  <c r="J313" i="4"/>
  <c r="I313" i="4"/>
  <c r="H313" i="4"/>
  <c r="N313" i="4" s="1"/>
  <c r="F313" i="4"/>
  <c r="E318" i="4" s="1"/>
  <c r="K312" i="4"/>
  <c r="J312" i="4"/>
  <c r="H312" i="4" s="1"/>
  <c r="N312" i="4" s="1"/>
  <c r="I312" i="4"/>
  <c r="F312" i="4"/>
  <c r="E312" i="4"/>
  <c r="K311" i="4"/>
  <c r="J311" i="4"/>
  <c r="I311" i="4"/>
  <c r="H311" i="4"/>
  <c r="F311" i="4"/>
  <c r="K310" i="4"/>
  <c r="J310" i="4"/>
  <c r="I310" i="4"/>
  <c r="H310" i="4"/>
  <c r="N310" i="4" s="1"/>
  <c r="F310" i="4"/>
  <c r="E310" i="4"/>
  <c r="K309" i="4"/>
  <c r="J309" i="4"/>
  <c r="H309" i="4" s="1"/>
  <c r="N309" i="4" s="1"/>
  <c r="I309" i="4"/>
  <c r="F309" i="4"/>
  <c r="E309" i="4"/>
  <c r="K308" i="4"/>
  <c r="J308" i="4"/>
  <c r="H308" i="4" s="1"/>
  <c r="N308" i="4" s="1"/>
  <c r="I308" i="4"/>
  <c r="F308" i="4"/>
  <c r="E308" i="4"/>
  <c r="L307" i="4"/>
  <c r="K307" i="4"/>
  <c r="J307" i="4"/>
  <c r="H307" i="4" s="1"/>
  <c r="N307" i="4" s="1"/>
  <c r="I307" i="4"/>
  <c r="F307" i="4"/>
  <c r="E311" i="4" s="1"/>
  <c r="L306" i="4"/>
  <c r="K306" i="4"/>
  <c r="J306" i="4"/>
  <c r="I306" i="4"/>
  <c r="H306" i="4"/>
  <c r="F306" i="4"/>
  <c r="C306" i="4"/>
  <c r="B305" i="4"/>
  <c r="K304" i="4"/>
  <c r="J304" i="4"/>
  <c r="H304" i="4" s="1"/>
  <c r="N304" i="4" s="1"/>
  <c r="I304" i="4"/>
  <c r="F304" i="4"/>
  <c r="C304" i="4"/>
  <c r="B304" i="4"/>
  <c r="K303" i="4"/>
  <c r="J303" i="4"/>
  <c r="H303" i="4" s="1"/>
  <c r="N303" i="4" s="1"/>
  <c r="I303" i="4"/>
  <c r="F303" i="4"/>
  <c r="C303" i="4"/>
  <c r="B303" i="4"/>
  <c r="L302" i="4"/>
  <c r="K302" i="4"/>
  <c r="J302" i="4"/>
  <c r="H302" i="4" s="1"/>
  <c r="N302" i="4" s="1"/>
  <c r="I302" i="4"/>
  <c r="F302" i="4"/>
  <c r="C302" i="4"/>
  <c r="B302" i="4"/>
  <c r="K301" i="4"/>
  <c r="J301" i="4"/>
  <c r="I301" i="4"/>
  <c r="F301" i="4"/>
  <c r="C301" i="4"/>
  <c r="B301" i="4"/>
  <c r="K300" i="4"/>
  <c r="J300" i="4"/>
  <c r="I300" i="4"/>
  <c r="H300" i="4"/>
  <c r="N300" i="4" s="1"/>
  <c r="F300" i="4"/>
  <c r="C300" i="4"/>
  <c r="B300" i="4"/>
  <c r="K299" i="4"/>
  <c r="J299" i="4"/>
  <c r="I299" i="4"/>
  <c r="H299" i="4"/>
  <c r="F299" i="4"/>
  <c r="C299" i="4"/>
  <c r="B299" i="4"/>
  <c r="K298" i="4"/>
  <c r="J298" i="4"/>
  <c r="H298" i="4" s="1"/>
  <c r="N298" i="4" s="1"/>
  <c r="I298" i="4"/>
  <c r="F298" i="4"/>
  <c r="E298" i="4"/>
  <c r="C298" i="4"/>
  <c r="B298" i="4"/>
  <c r="L297" i="4"/>
  <c r="K297" i="4"/>
  <c r="J297" i="4"/>
  <c r="I297" i="4"/>
  <c r="H297" i="4"/>
  <c r="N297" i="4" s="1"/>
  <c r="F297" i="4"/>
  <c r="E301" i="4" s="1"/>
  <c r="C297" i="4"/>
  <c r="B297" i="4"/>
  <c r="K296" i="4"/>
  <c r="J296" i="4"/>
  <c r="I296" i="4"/>
  <c r="H296" i="4"/>
  <c r="N296" i="4" s="1"/>
  <c r="F296" i="4"/>
  <c r="C296" i="4"/>
  <c r="B296" i="4"/>
  <c r="K295" i="4"/>
  <c r="J295" i="4"/>
  <c r="I295" i="4"/>
  <c r="H295" i="4"/>
  <c r="N295" i="4" s="1"/>
  <c r="F295" i="4"/>
  <c r="C295" i="4"/>
  <c r="B295" i="4"/>
  <c r="K294" i="4"/>
  <c r="J294" i="4"/>
  <c r="H294" i="4" s="1"/>
  <c r="N294" i="4" s="1"/>
  <c r="I294" i="4"/>
  <c r="F294" i="4"/>
  <c r="E294" i="4"/>
  <c r="C294" i="4"/>
  <c r="B294" i="4"/>
  <c r="K293" i="4"/>
  <c r="J293" i="4"/>
  <c r="H293" i="4" s="1"/>
  <c r="N293" i="4" s="1"/>
  <c r="I293" i="4"/>
  <c r="F293" i="4"/>
  <c r="C293" i="4"/>
  <c r="B293" i="4"/>
  <c r="L292" i="4"/>
  <c r="K292" i="4"/>
  <c r="I292" i="4"/>
  <c r="H292" i="4"/>
  <c r="N292" i="4" s="1"/>
  <c r="F292" i="4"/>
  <c r="E293" i="4" s="1"/>
  <c r="C292" i="4"/>
  <c r="B292" i="4"/>
  <c r="K291" i="4"/>
  <c r="J291" i="4"/>
  <c r="I291" i="4"/>
  <c r="H291" i="4"/>
  <c r="N291" i="4" s="1"/>
  <c r="F291" i="4"/>
  <c r="C291" i="4"/>
  <c r="B291" i="4"/>
  <c r="K290" i="4"/>
  <c r="J290" i="4"/>
  <c r="I290" i="4"/>
  <c r="H290" i="4"/>
  <c r="N290" i="4" s="1"/>
  <c r="F290" i="4"/>
  <c r="C290" i="4"/>
  <c r="B290" i="4"/>
  <c r="K289" i="4"/>
  <c r="J289" i="4"/>
  <c r="H289" i="4" s="1"/>
  <c r="N289" i="4" s="1"/>
  <c r="I289" i="4"/>
  <c r="F289" i="4"/>
  <c r="E289" i="4"/>
  <c r="C289" i="4"/>
  <c r="B289" i="4"/>
  <c r="K288" i="4"/>
  <c r="J288" i="4"/>
  <c r="H288" i="4" s="1"/>
  <c r="N288" i="4" s="1"/>
  <c r="I288" i="4"/>
  <c r="F288" i="4"/>
  <c r="E288" i="4"/>
  <c r="C288" i="4"/>
  <c r="B288" i="4"/>
  <c r="K287" i="4"/>
  <c r="J287" i="4"/>
  <c r="I287" i="4"/>
  <c r="H287" i="4"/>
  <c r="N287" i="4" s="1"/>
  <c r="F287" i="4"/>
  <c r="C287" i="4"/>
  <c r="B287" i="4"/>
  <c r="L286" i="4"/>
  <c r="K286" i="4"/>
  <c r="I286" i="4"/>
  <c r="H286" i="4"/>
  <c r="N286" i="4" s="1"/>
  <c r="F286" i="4"/>
  <c r="E291" i="4" s="1"/>
  <c r="C286" i="4"/>
  <c r="B286" i="4"/>
  <c r="K285" i="4"/>
  <c r="J285" i="4"/>
  <c r="I285" i="4"/>
  <c r="H285" i="4"/>
  <c r="N285" i="4" s="1"/>
  <c r="F285" i="4"/>
  <c r="C285" i="4"/>
  <c r="B285" i="4"/>
  <c r="K284" i="4"/>
  <c r="J284" i="4"/>
  <c r="H284" i="4" s="1"/>
  <c r="N284" i="4" s="1"/>
  <c r="I284" i="4"/>
  <c r="F284" i="4"/>
  <c r="E284" i="4"/>
  <c r="C284" i="4"/>
  <c r="B284" i="4"/>
  <c r="K283" i="4"/>
  <c r="J283" i="4"/>
  <c r="H283" i="4" s="1"/>
  <c r="N283" i="4" s="1"/>
  <c r="I283" i="4"/>
  <c r="F283" i="4"/>
  <c r="E283" i="4"/>
  <c r="C283" i="4"/>
  <c r="B283" i="4"/>
  <c r="K282" i="4"/>
  <c r="J282" i="4"/>
  <c r="I282" i="4"/>
  <c r="H282" i="4"/>
  <c r="N282" i="4" s="1"/>
  <c r="F282" i="4"/>
  <c r="C282" i="4"/>
  <c r="B282" i="4"/>
  <c r="L281" i="4"/>
  <c r="K281" i="4"/>
  <c r="J281" i="4"/>
  <c r="H281" i="4" s="1"/>
  <c r="N281" i="4" s="1"/>
  <c r="I281" i="4"/>
  <c r="F281" i="4"/>
  <c r="E282" i="4" s="1"/>
  <c r="C281" i="4"/>
  <c r="B281" i="4"/>
  <c r="K280" i="4"/>
  <c r="J280" i="4"/>
  <c r="H280" i="4" s="1"/>
  <c r="N280" i="4" s="1"/>
  <c r="I280" i="4"/>
  <c r="E280" i="4"/>
  <c r="C280" i="4"/>
  <c r="B280" i="4"/>
  <c r="K279" i="4"/>
  <c r="J279" i="4"/>
  <c r="H279" i="4" s="1"/>
  <c r="N279" i="4" s="1"/>
  <c r="I279" i="4"/>
  <c r="E279" i="4"/>
  <c r="C279" i="4"/>
  <c r="B279" i="4"/>
  <c r="K278" i="4"/>
  <c r="J278" i="4"/>
  <c r="H278" i="4" s="1"/>
  <c r="N278" i="4" s="1"/>
  <c r="I278" i="4"/>
  <c r="E278" i="4"/>
  <c r="C278" i="4"/>
  <c r="B278" i="4"/>
  <c r="M277" i="4"/>
  <c r="L277" i="4"/>
  <c r="K277" i="4"/>
  <c r="J277" i="4"/>
  <c r="I277" i="4"/>
  <c r="H277" i="4"/>
  <c r="N277" i="4" s="1"/>
  <c r="C277" i="4"/>
  <c r="B277" i="4"/>
  <c r="K276" i="4"/>
  <c r="J276" i="4"/>
  <c r="H276" i="4" s="1"/>
  <c r="N276" i="4" s="1"/>
  <c r="I276" i="4"/>
  <c r="F276" i="4"/>
  <c r="E276" i="4"/>
  <c r="C276" i="4"/>
  <c r="B276" i="4"/>
  <c r="M275" i="4"/>
  <c r="L275" i="4"/>
  <c r="K275" i="4"/>
  <c r="J275" i="4"/>
  <c r="H275" i="4" s="1"/>
  <c r="N275" i="4" s="1"/>
  <c r="I275" i="4"/>
  <c r="F275" i="4"/>
  <c r="C275" i="4"/>
  <c r="B275" i="4"/>
  <c r="K274" i="4"/>
  <c r="J274" i="4"/>
  <c r="H274" i="4" s="1"/>
  <c r="N274" i="4" s="1"/>
  <c r="I274" i="4"/>
  <c r="C274" i="4"/>
  <c r="B274" i="4"/>
  <c r="K273" i="4"/>
  <c r="J273" i="4"/>
  <c r="I273" i="4"/>
  <c r="H273" i="4"/>
  <c r="C273" i="4"/>
  <c r="B273" i="4"/>
  <c r="K272" i="4"/>
  <c r="J272" i="4"/>
  <c r="I272" i="4"/>
  <c r="H272" i="4"/>
  <c r="N272" i="4" s="1"/>
  <c r="C272" i="4"/>
  <c r="B272" i="4"/>
  <c r="K271" i="4"/>
  <c r="J271" i="4"/>
  <c r="I271" i="4"/>
  <c r="C271" i="4"/>
  <c r="M270" i="4"/>
  <c r="L270" i="4"/>
  <c r="K270" i="4"/>
  <c r="J270" i="4"/>
  <c r="H270" i="4" s="1"/>
  <c r="N270" i="4" s="1"/>
  <c r="I270" i="4"/>
  <c r="F270" i="4"/>
  <c r="C270" i="4"/>
  <c r="K269" i="4"/>
  <c r="J269" i="4"/>
  <c r="H269" i="4" s="1"/>
  <c r="N269" i="4" s="1"/>
  <c r="I269" i="4"/>
  <c r="F269" i="4"/>
  <c r="E269" i="4"/>
  <c r="C269" i="4"/>
  <c r="M268" i="4"/>
  <c r="L268" i="4"/>
  <c r="K268" i="4"/>
  <c r="J268" i="4"/>
  <c r="I268" i="4"/>
  <c r="H268" i="4"/>
  <c r="N268" i="4" s="1"/>
  <c r="F268" i="4"/>
  <c r="K267" i="4"/>
  <c r="J267" i="4"/>
  <c r="H267" i="4" s="1"/>
  <c r="N267" i="4" s="1"/>
  <c r="I267" i="4"/>
  <c r="F267" i="4"/>
  <c r="E267" i="4"/>
  <c r="C267" i="4"/>
  <c r="K266" i="4"/>
  <c r="J266" i="4"/>
  <c r="H266" i="4" s="1"/>
  <c r="N266" i="4" s="1"/>
  <c r="I266" i="4"/>
  <c r="F266" i="4"/>
  <c r="E266" i="4"/>
  <c r="C266" i="4"/>
  <c r="K265" i="4"/>
  <c r="J265" i="4"/>
  <c r="H265" i="4" s="1"/>
  <c r="N265" i="4" s="1"/>
  <c r="I265" i="4"/>
  <c r="F265" i="4"/>
  <c r="E265" i="4"/>
  <c r="C265" i="4"/>
  <c r="K264" i="4"/>
  <c r="J264" i="4"/>
  <c r="H264" i="4" s="1"/>
  <c r="N264" i="4" s="1"/>
  <c r="I264" i="4"/>
  <c r="F264" i="4"/>
  <c r="E264" i="4"/>
  <c r="C264" i="4"/>
  <c r="K263" i="4"/>
  <c r="J263" i="4"/>
  <c r="H263" i="4" s="1"/>
  <c r="N263" i="4" s="1"/>
  <c r="I263" i="4"/>
  <c r="F263" i="4"/>
  <c r="E263" i="4"/>
  <c r="C263" i="4"/>
  <c r="K262" i="4"/>
  <c r="J262" i="4"/>
  <c r="H262" i="4" s="1"/>
  <c r="N262" i="4" s="1"/>
  <c r="I262" i="4"/>
  <c r="F262" i="4"/>
  <c r="E262" i="4"/>
  <c r="C262" i="4"/>
  <c r="K261" i="4"/>
  <c r="J261" i="4"/>
  <c r="H261" i="4" s="1"/>
  <c r="N261" i="4" s="1"/>
  <c r="I261" i="4"/>
  <c r="F261" i="4"/>
  <c r="E261" i="4"/>
  <c r="C261" i="4"/>
  <c r="K260" i="4"/>
  <c r="J260" i="4"/>
  <c r="H260" i="4" s="1"/>
  <c r="N260" i="4" s="1"/>
  <c r="I260" i="4"/>
  <c r="F260" i="4"/>
  <c r="E260" i="4"/>
  <c r="C260" i="4"/>
  <c r="K259" i="4"/>
  <c r="J259" i="4"/>
  <c r="H259" i="4" s="1"/>
  <c r="N259" i="4" s="1"/>
  <c r="I259" i="4"/>
  <c r="F259" i="4"/>
  <c r="E259" i="4"/>
  <c r="C259" i="4"/>
  <c r="K258" i="4"/>
  <c r="J258" i="4"/>
  <c r="H258" i="4" s="1"/>
  <c r="N258" i="4" s="1"/>
  <c r="I258" i="4"/>
  <c r="F258" i="4"/>
  <c r="E258" i="4"/>
  <c r="C258" i="4"/>
  <c r="K257" i="4"/>
  <c r="J257" i="4"/>
  <c r="H257" i="4" s="1"/>
  <c r="N257" i="4" s="1"/>
  <c r="I257" i="4"/>
  <c r="F257" i="4"/>
  <c r="E257" i="4"/>
  <c r="C257" i="4"/>
  <c r="M256" i="4"/>
  <c r="L256" i="4"/>
  <c r="K256" i="4"/>
  <c r="J256" i="4"/>
  <c r="I256" i="4"/>
  <c r="H256" i="4"/>
  <c r="N256" i="4" s="1"/>
  <c r="F256" i="4"/>
  <c r="C256" i="4"/>
  <c r="K255" i="4"/>
  <c r="J255" i="4"/>
  <c r="H255" i="4" s="1"/>
  <c r="N255" i="4" s="1"/>
  <c r="I255" i="4"/>
  <c r="F255" i="4"/>
  <c r="E255" i="4"/>
  <c r="C255" i="4"/>
  <c r="K254" i="4"/>
  <c r="J254" i="4"/>
  <c r="I254" i="4"/>
  <c r="F254" i="4"/>
  <c r="E254" i="4"/>
  <c r="C254" i="4"/>
  <c r="K253" i="4"/>
  <c r="J253" i="4"/>
  <c r="H253" i="4" s="1"/>
  <c r="N253" i="4" s="1"/>
  <c r="I253" i="4"/>
  <c r="F253" i="4"/>
  <c r="E253" i="4"/>
  <c r="C253" i="4"/>
  <c r="K252" i="4"/>
  <c r="J252" i="4"/>
  <c r="I252" i="4"/>
  <c r="F252" i="4"/>
  <c r="E252" i="4"/>
  <c r="C252" i="4"/>
  <c r="K251" i="4"/>
  <c r="J251" i="4"/>
  <c r="H251" i="4" s="1"/>
  <c r="N251" i="4" s="1"/>
  <c r="I251" i="4"/>
  <c r="F251" i="4"/>
  <c r="E251" i="4"/>
  <c r="C251" i="4"/>
  <c r="K250" i="4"/>
  <c r="J250" i="4"/>
  <c r="I250" i="4"/>
  <c r="F250" i="4"/>
  <c r="E250" i="4"/>
  <c r="C250" i="4"/>
  <c r="K249" i="4"/>
  <c r="J249" i="4"/>
  <c r="H249" i="4" s="1"/>
  <c r="N249" i="4" s="1"/>
  <c r="I249" i="4"/>
  <c r="F249" i="4"/>
  <c r="E249" i="4"/>
  <c r="C249" i="4"/>
  <c r="K248" i="4"/>
  <c r="J248" i="4"/>
  <c r="I248" i="4"/>
  <c r="F248" i="4"/>
  <c r="E248" i="4"/>
  <c r="C248" i="4"/>
  <c r="K247" i="4"/>
  <c r="J247" i="4"/>
  <c r="H247" i="4" s="1"/>
  <c r="N247" i="4" s="1"/>
  <c r="I247" i="4"/>
  <c r="F247" i="4"/>
  <c r="E247" i="4"/>
  <c r="C247" i="4"/>
  <c r="K246" i="4"/>
  <c r="J246" i="4"/>
  <c r="I246" i="4"/>
  <c r="F246" i="4"/>
  <c r="E246" i="4"/>
  <c r="C246" i="4"/>
  <c r="K245" i="4"/>
  <c r="J245" i="4"/>
  <c r="H245" i="4" s="1"/>
  <c r="N245" i="4" s="1"/>
  <c r="I245" i="4"/>
  <c r="F245" i="4"/>
  <c r="E245" i="4"/>
  <c r="C245" i="4"/>
  <c r="M244" i="4"/>
  <c r="H244" i="4" s="1"/>
  <c r="L244" i="4"/>
  <c r="K244" i="4"/>
  <c r="J244" i="4"/>
  <c r="I244" i="4"/>
  <c r="F244" i="4"/>
  <c r="C244" i="4"/>
  <c r="K243" i="4"/>
  <c r="J243" i="4"/>
  <c r="I243" i="4"/>
  <c r="H243" i="4"/>
  <c r="N243" i="4" s="1"/>
  <c r="F243" i="4"/>
  <c r="C243" i="4"/>
  <c r="K242" i="4"/>
  <c r="J242" i="4"/>
  <c r="I242" i="4"/>
  <c r="H242" i="4"/>
  <c r="N242" i="4" s="1"/>
  <c r="F242" i="4"/>
  <c r="C242" i="4"/>
  <c r="K241" i="4"/>
  <c r="J241" i="4"/>
  <c r="I241" i="4"/>
  <c r="H241" i="4"/>
  <c r="N241" i="4" s="1"/>
  <c r="F241" i="4"/>
  <c r="C241" i="4"/>
  <c r="K240" i="4"/>
  <c r="J240" i="4"/>
  <c r="I240" i="4"/>
  <c r="H240" i="4"/>
  <c r="N240" i="4" s="1"/>
  <c r="F240" i="4"/>
  <c r="C240" i="4"/>
  <c r="K239" i="4"/>
  <c r="J239" i="4"/>
  <c r="I239" i="4"/>
  <c r="H239" i="4"/>
  <c r="N239" i="4" s="1"/>
  <c r="F239" i="4"/>
  <c r="C239" i="4"/>
  <c r="K238" i="4"/>
  <c r="J238" i="4"/>
  <c r="I238" i="4"/>
  <c r="H238" i="4"/>
  <c r="N238" i="4" s="1"/>
  <c r="F238" i="4"/>
  <c r="C238" i="4"/>
  <c r="K237" i="4"/>
  <c r="J237" i="4"/>
  <c r="I237" i="4"/>
  <c r="H237" i="4"/>
  <c r="N237" i="4" s="1"/>
  <c r="F237" i="4"/>
  <c r="C237" i="4"/>
  <c r="K236" i="4"/>
  <c r="J236" i="4"/>
  <c r="I236" i="4"/>
  <c r="H236" i="4"/>
  <c r="N236" i="4" s="1"/>
  <c r="F236" i="4"/>
  <c r="C236" i="4"/>
  <c r="K235" i="4"/>
  <c r="J235" i="4"/>
  <c r="I235" i="4"/>
  <c r="H235" i="4"/>
  <c r="N235" i="4" s="1"/>
  <c r="F235" i="4"/>
  <c r="C235" i="4"/>
  <c r="K234" i="4"/>
  <c r="J234" i="4"/>
  <c r="I234" i="4"/>
  <c r="H234" i="4"/>
  <c r="N234" i="4" s="1"/>
  <c r="F234" i="4"/>
  <c r="C234" i="4"/>
  <c r="K233" i="4"/>
  <c r="J233" i="4"/>
  <c r="I233" i="4"/>
  <c r="H233" i="4"/>
  <c r="N233" i="4" s="1"/>
  <c r="F233" i="4"/>
  <c r="C233" i="4"/>
  <c r="M232" i="4"/>
  <c r="L232" i="4"/>
  <c r="K232" i="4"/>
  <c r="J232" i="4"/>
  <c r="H232" i="4" s="1"/>
  <c r="N232" i="4" s="1"/>
  <c r="I232" i="4"/>
  <c r="F232" i="4"/>
  <c r="E243" i="4" s="1"/>
  <c r="C232" i="4"/>
  <c r="K231" i="4"/>
  <c r="J231" i="4"/>
  <c r="I231" i="4"/>
  <c r="H231" i="4"/>
  <c r="N231" i="4" s="1"/>
  <c r="F231" i="4"/>
  <c r="C231" i="4"/>
  <c r="K230" i="4"/>
  <c r="J230" i="4"/>
  <c r="I230" i="4"/>
  <c r="H230" i="4"/>
  <c r="F230" i="4"/>
  <c r="C230" i="4"/>
  <c r="K229" i="4"/>
  <c r="J229" i="4"/>
  <c r="I229" i="4"/>
  <c r="H229" i="4"/>
  <c r="N229" i="4" s="1"/>
  <c r="F229" i="4"/>
  <c r="C229" i="4"/>
  <c r="K228" i="4"/>
  <c r="J228" i="4"/>
  <c r="I228" i="4"/>
  <c r="H228" i="4"/>
  <c r="F228" i="4"/>
  <c r="C228" i="4"/>
  <c r="K227" i="4"/>
  <c r="J227" i="4"/>
  <c r="I227" i="4"/>
  <c r="H227" i="4"/>
  <c r="N227" i="4" s="1"/>
  <c r="F227" i="4"/>
  <c r="C227" i="4"/>
  <c r="K226" i="4"/>
  <c r="J226" i="4"/>
  <c r="I226" i="4"/>
  <c r="H226" i="4"/>
  <c r="F226" i="4"/>
  <c r="C226" i="4"/>
  <c r="K225" i="4"/>
  <c r="J225" i="4"/>
  <c r="I225" i="4"/>
  <c r="H225" i="4"/>
  <c r="N225" i="4" s="1"/>
  <c r="F225" i="4"/>
  <c r="C225" i="4"/>
  <c r="K224" i="4"/>
  <c r="J224" i="4"/>
  <c r="I224" i="4"/>
  <c r="H224" i="4"/>
  <c r="F224" i="4"/>
  <c r="C224" i="4"/>
  <c r="K223" i="4"/>
  <c r="J223" i="4"/>
  <c r="I223" i="4"/>
  <c r="H223" i="4"/>
  <c r="N223" i="4" s="1"/>
  <c r="F223" i="4"/>
  <c r="C223" i="4"/>
  <c r="K222" i="4"/>
  <c r="J222" i="4"/>
  <c r="I222" i="4"/>
  <c r="H222" i="4"/>
  <c r="F222" i="4"/>
  <c r="C222" i="4"/>
  <c r="K221" i="4"/>
  <c r="J221" i="4"/>
  <c r="I221" i="4"/>
  <c r="J305" i="4" s="1"/>
  <c r="H221" i="4"/>
  <c r="N221" i="4" s="1"/>
  <c r="F221" i="4"/>
  <c r="C221" i="4"/>
  <c r="M220" i="4"/>
  <c r="L220" i="4"/>
  <c r="K220" i="4"/>
  <c r="J220" i="4"/>
  <c r="I220" i="4"/>
  <c r="F220" i="4"/>
  <c r="C220" i="4"/>
  <c r="B219" i="4"/>
  <c r="K218" i="4"/>
  <c r="H218" i="4" s="1"/>
  <c r="N218" i="4" s="1"/>
  <c r="J218" i="4"/>
  <c r="I218" i="4"/>
  <c r="F218" i="4"/>
  <c r="C218" i="4"/>
  <c r="K217" i="4"/>
  <c r="H217" i="4" s="1"/>
  <c r="N217" i="4" s="1"/>
  <c r="J217" i="4"/>
  <c r="I217" i="4"/>
  <c r="F217" i="4"/>
  <c r="C217" i="4"/>
  <c r="K216" i="4"/>
  <c r="J216" i="4"/>
  <c r="I216" i="4"/>
  <c r="H216" i="4"/>
  <c r="N216" i="4" s="1"/>
  <c r="F216" i="4"/>
  <c r="C216" i="4"/>
  <c r="L215" i="4"/>
  <c r="K215" i="4"/>
  <c r="J215" i="4"/>
  <c r="I215" i="4"/>
  <c r="N215" i="4" s="1"/>
  <c r="H215" i="4"/>
  <c r="F215" i="4"/>
  <c r="E218" i="4" s="1"/>
  <c r="C215" i="4"/>
  <c r="K214" i="4"/>
  <c r="J214" i="4"/>
  <c r="I214" i="4"/>
  <c r="H214" i="4"/>
  <c r="N214" i="4" s="1"/>
  <c r="F214" i="4"/>
  <c r="C214" i="4"/>
  <c r="K213" i="4"/>
  <c r="J213" i="4"/>
  <c r="H213" i="4" s="1"/>
  <c r="N213" i="4" s="1"/>
  <c r="I213" i="4"/>
  <c r="F213" i="4"/>
  <c r="C213" i="4"/>
  <c r="L212" i="4"/>
  <c r="K212" i="4"/>
  <c r="H212" i="4" s="1"/>
  <c r="N212" i="4" s="1"/>
  <c r="I212" i="4"/>
  <c r="F212" i="4"/>
  <c r="C212" i="4"/>
  <c r="K211" i="4"/>
  <c r="J211" i="4"/>
  <c r="I211" i="4"/>
  <c r="H211" i="4"/>
  <c r="N211" i="4" s="1"/>
  <c r="F211" i="4"/>
  <c r="C211" i="4"/>
  <c r="K210" i="4"/>
  <c r="J210" i="4"/>
  <c r="I210" i="4"/>
  <c r="H210" i="4"/>
  <c r="N210" i="4" s="1"/>
  <c r="F210" i="4"/>
  <c r="C210" i="4"/>
  <c r="K209" i="4"/>
  <c r="J209" i="4"/>
  <c r="H209" i="4" s="1"/>
  <c r="N209" i="4" s="1"/>
  <c r="I209" i="4"/>
  <c r="F209" i="4"/>
  <c r="C209" i="4"/>
  <c r="L208" i="4"/>
  <c r="K208" i="4"/>
  <c r="J208" i="4"/>
  <c r="I208" i="4"/>
  <c r="F208" i="4"/>
  <c r="C208" i="4"/>
  <c r="K207" i="4"/>
  <c r="J207" i="4"/>
  <c r="H207" i="4" s="1"/>
  <c r="I207" i="4"/>
  <c r="F207" i="4"/>
  <c r="C207" i="4"/>
  <c r="K206" i="4"/>
  <c r="J206" i="4"/>
  <c r="I206" i="4"/>
  <c r="H206" i="4"/>
  <c r="N206" i="4" s="1"/>
  <c r="F206" i="4"/>
  <c r="C206" i="4"/>
  <c r="K205" i="4"/>
  <c r="H205" i="4" s="1"/>
  <c r="N205" i="4" s="1"/>
  <c r="J205" i="4"/>
  <c r="I205" i="4"/>
  <c r="F205" i="4"/>
  <c r="C205" i="4"/>
  <c r="K204" i="4"/>
  <c r="J204" i="4"/>
  <c r="H204" i="4" s="1"/>
  <c r="N204" i="4" s="1"/>
  <c r="I204" i="4"/>
  <c r="F204" i="4"/>
  <c r="C204" i="4"/>
  <c r="K203" i="4"/>
  <c r="J203" i="4"/>
  <c r="H203" i="4" s="1"/>
  <c r="I203" i="4"/>
  <c r="F203" i="4"/>
  <c r="C203" i="4"/>
  <c r="M202" i="4"/>
  <c r="L202" i="4"/>
  <c r="K202" i="4"/>
  <c r="J202" i="4"/>
  <c r="H202" i="4" s="1"/>
  <c r="N202" i="4" s="1"/>
  <c r="I202" i="4"/>
  <c r="F202" i="4"/>
  <c r="C202" i="4"/>
  <c r="K201" i="4"/>
  <c r="J201" i="4"/>
  <c r="H201" i="4" s="1"/>
  <c r="I201" i="4"/>
  <c r="F201" i="4"/>
  <c r="C201" i="4"/>
  <c r="K200" i="4"/>
  <c r="J200" i="4"/>
  <c r="I200" i="4"/>
  <c r="H200" i="4"/>
  <c r="N200" i="4" s="1"/>
  <c r="F200" i="4"/>
  <c r="C200" i="4"/>
  <c r="K199" i="4"/>
  <c r="H199" i="4" s="1"/>
  <c r="N199" i="4" s="1"/>
  <c r="J199" i="4"/>
  <c r="I199" i="4"/>
  <c r="F199" i="4"/>
  <c r="C199" i="4"/>
  <c r="K198" i="4"/>
  <c r="J198" i="4"/>
  <c r="H198" i="4" s="1"/>
  <c r="I198" i="4"/>
  <c r="N198" i="4" s="1"/>
  <c r="F198" i="4"/>
  <c r="C198" i="4"/>
  <c r="K197" i="4"/>
  <c r="J197" i="4"/>
  <c r="H197" i="4" s="1"/>
  <c r="I197" i="4"/>
  <c r="N197" i="4" s="1"/>
  <c r="F197" i="4"/>
  <c r="C197" i="4"/>
  <c r="K196" i="4"/>
  <c r="J196" i="4"/>
  <c r="I196" i="4"/>
  <c r="H196" i="4"/>
  <c r="N196" i="4" s="1"/>
  <c r="F196" i="4"/>
  <c r="C196" i="4"/>
  <c r="K195" i="4"/>
  <c r="H195" i="4" s="1"/>
  <c r="N195" i="4" s="1"/>
  <c r="J195" i="4"/>
  <c r="I195" i="4"/>
  <c r="F195" i="4"/>
  <c r="C195" i="4"/>
  <c r="K194" i="4"/>
  <c r="J194" i="4"/>
  <c r="H194" i="4" s="1"/>
  <c r="I194" i="4"/>
  <c r="N194" i="4" s="1"/>
  <c r="F194" i="4"/>
  <c r="C194" i="4"/>
  <c r="K193" i="4"/>
  <c r="J193" i="4"/>
  <c r="H193" i="4" s="1"/>
  <c r="I193" i="4"/>
  <c r="F193" i="4"/>
  <c r="C193" i="4"/>
  <c r="K192" i="4"/>
  <c r="J192" i="4"/>
  <c r="I192" i="4"/>
  <c r="H192" i="4"/>
  <c r="N192" i="4" s="1"/>
  <c r="F192" i="4"/>
  <c r="C192" i="4"/>
  <c r="K191" i="4"/>
  <c r="H191" i="4" s="1"/>
  <c r="N191" i="4" s="1"/>
  <c r="J191" i="4"/>
  <c r="I191" i="4"/>
  <c r="F191" i="4"/>
  <c r="C191" i="4"/>
  <c r="M190" i="4"/>
  <c r="L190" i="4"/>
  <c r="K190" i="4"/>
  <c r="J190" i="4"/>
  <c r="I190" i="4"/>
  <c r="H190" i="4"/>
  <c r="N190" i="4" s="1"/>
  <c r="F190" i="4"/>
  <c r="C190" i="4"/>
  <c r="B189" i="4"/>
  <c r="K188" i="4"/>
  <c r="J188" i="4"/>
  <c r="H188" i="4" s="1"/>
  <c r="I188" i="4"/>
  <c r="N188" i="4" s="1"/>
  <c r="F188" i="4"/>
  <c r="E188" i="4"/>
  <c r="C188" i="4"/>
  <c r="B188" i="4"/>
  <c r="M187" i="4"/>
  <c r="L187" i="4"/>
  <c r="K187" i="4"/>
  <c r="J187" i="4"/>
  <c r="I187" i="4"/>
  <c r="H187" i="4"/>
  <c r="N187" i="4" s="1"/>
  <c r="F187" i="4"/>
  <c r="C187" i="4"/>
  <c r="B187" i="4"/>
  <c r="K186" i="4"/>
  <c r="J186" i="4"/>
  <c r="I186" i="4"/>
  <c r="H186" i="4"/>
  <c r="N186" i="4" s="1"/>
  <c r="F186" i="4"/>
  <c r="C186" i="4"/>
  <c r="B186" i="4"/>
  <c r="K185" i="4"/>
  <c r="J185" i="4"/>
  <c r="H185" i="4" s="1"/>
  <c r="I185" i="4"/>
  <c r="M189" i="4" s="1"/>
  <c r="G11" i="3" s="1"/>
  <c r="F185" i="4"/>
  <c r="C185" i="4"/>
  <c r="B185" i="4"/>
  <c r="M184" i="4"/>
  <c r="K184" i="4"/>
  <c r="H184" i="4" s="1"/>
  <c r="N184" i="4" s="1"/>
  <c r="J184" i="4"/>
  <c r="I184" i="4"/>
  <c r="F184" i="4"/>
  <c r="C184" i="4"/>
  <c r="B184" i="4"/>
  <c r="M183" i="4"/>
  <c r="L183" i="4"/>
  <c r="K183" i="4"/>
  <c r="J183" i="4"/>
  <c r="H183" i="4" s="1"/>
  <c r="N183" i="4" s="1"/>
  <c r="I183" i="4"/>
  <c r="F183" i="4"/>
  <c r="E184" i="4" s="1"/>
  <c r="C183" i="4"/>
  <c r="B183" i="4"/>
  <c r="K182" i="4"/>
  <c r="J182" i="4"/>
  <c r="H182" i="4" s="1"/>
  <c r="N182" i="4" s="1"/>
  <c r="I182" i="4"/>
  <c r="F182" i="4"/>
  <c r="C182" i="4"/>
  <c r="B182" i="4"/>
  <c r="K181" i="4"/>
  <c r="J181" i="4"/>
  <c r="H181" i="4" s="1"/>
  <c r="N181" i="4" s="1"/>
  <c r="I181" i="4"/>
  <c r="F181" i="4"/>
  <c r="E181" i="4"/>
  <c r="L180" i="4"/>
  <c r="K180" i="4"/>
  <c r="H180" i="4" s="1"/>
  <c r="N180" i="4" s="1"/>
  <c r="I180" i="4"/>
  <c r="F180" i="4"/>
  <c r="C180" i="4"/>
  <c r="B180" i="4"/>
  <c r="K179" i="4"/>
  <c r="J179" i="4"/>
  <c r="H179" i="4" s="1"/>
  <c r="I179" i="4"/>
  <c r="F179" i="4"/>
  <c r="C179" i="4"/>
  <c r="B179" i="4"/>
  <c r="K178" i="4"/>
  <c r="J178" i="4"/>
  <c r="H178" i="4" s="1"/>
  <c r="N178" i="4" s="1"/>
  <c r="I178" i="4"/>
  <c r="F178" i="4"/>
  <c r="C178" i="4"/>
  <c r="B178" i="4"/>
  <c r="K177" i="4"/>
  <c r="H177" i="4" s="1"/>
  <c r="N177" i="4" s="1"/>
  <c r="J177" i="4"/>
  <c r="I177" i="4"/>
  <c r="F177" i="4"/>
  <c r="C177" i="4"/>
  <c r="B177" i="4"/>
  <c r="K176" i="4"/>
  <c r="J176" i="4"/>
  <c r="I176" i="4"/>
  <c r="H176" i="4"/>
  <c r="N176" i="4" s="1"/>
  <c r="F176" i="4"/>
  <c r="C176" i="4"/>
  <c r="B176" i="4"/>
  <c r="K175" i="4"/>
  <c r="J175" i="4"/>
  <c r="H175" i="4" s="1"/>
  <c r="I175" i="4"/>
  <c r="F175" i="4"/>
  <c r="C175" i="4"/>
  <c r="B175" i="4"/>
  <c r="K174" i="4"/>
  <c r="J174" i="4"/>
  <c r="H174" i="4" s="1"/>
  <c r="N174" i="4" s="1"/>
  <c r="I174" i="4"/>
  <c r="F174" i="4"/>
  <c r="C174" i="4"/>
  <c r="B174" i="4"/>
  <c r="K173" i="4"/>
  <c r="H173" i="4" s="1"/>
  <c r="N173" i="4" s="1"/>
  <c r="J173" i="4"/>
  <c r="I173" i="4"/>
  <c r="F173" i="4"/>
  <c r="C173" i="4"/>
  <c r="B173" i="4"/>
  <c r="K172" i="4"/>
  <c r="J172" i="4"/>
  <c r="I172" i="4"/>
  <c r="H172" i="4"/>
  <c r="N172" i="4" s="1"/>
  <c r="F172" i="4"/>
  <c r="C172" i="4"/>
  <c r="B172" i="4"/>
  <c r="M171" i="4"/>
  <c r="L171" i="4"/>
  <c r="K171" i="4"/>
  <c r="H171" i="4" s="1"/>
  <c r="N171" i="4" s="1"/>
  <c r="J171" i="4"/>
  <c r="I171" i="4"/>
  <c r="F171" i="4"/>
  <c r="C171" i="4"/>
  <c r="B171" i="4"/>
  <c r="B170" i="4"/>
  <c r="K169" i="4"/>
  <c r="J169" i="4"/>
  <c r="H169" i="4" s="1"/>
  <c r="I169" i="4"/>
  <c r="F169" i="4"/>
  <c r="C169" i="4"/>
  <c r="B169" i="4"/>
  <c r="K168" i="4"/>
  <c r="J168" i="4"/>
  <c r="H168" i="4" s="1"/>
  <c r="N168" i="4" s="1"/>
  <c r="I168" i="4"/>
  <c r="F168" i="4"/>
  <c r="E168" i="4"/>
  <c r="C168" i="4"/>
  <c r="B168" i="4"/>
  <c r="K167" i="4"/>
  <c r="H167" i="4" s="1"/>
  <c r="N167" i="4" s="1"/>
  <c r="J167" i="4"/>
  <c r="I167" i="4"/>
  <c r="F167" i="4"/>
  <c r="C167" i="4"/>
  <c r="B167" i="4"/>
  <c r="M166" i="4"/>
  <c r="L166" i="4"/>
  <c r="K166" i="4"/>
  <c r="J166" i="4"/>
  <c r="H166" i="4" s="1"/>
  <c r="N166" i="4" s="1"/>
  <c r="I166" i="4"/>
  <c r="F166" i="4"/>
  <c r="E167" i="4" s="1"/>
  <c r="C166" i="4"/>
  <c r="K165" i="4"/>
  <c r="J165" i="4"/>
  <c r="H165" i="4" s="1"/>
  <c r="N165" i="4" s="1"/>
  <c r="I165" i="4"/>
  <c r="F165" i="4"/>
  <c r="E165" i="4"/>
  <c r="C165" i="4"/>
  <c r="B165" i="4"/>
  <c r="K164" i="4"/>
  <c r="H164" i="4" s="1"/>
  <c r="N164" i="4" s="1"/>
  <c r="J164" i="4"/>
  <c r="I164" i="4"/>
  <c r="F164" i="4"/>
  <c r="C164" i="4"/>
  <c r="B164" i="4"/>
  <c r="L163" i="4"/>
  <c r="K163" i="4"/>
  <c r="J163" i="4"/>
  <c r="H163" i="4" s="1"/>
  <c r="N163" i="4" s="1"/>
  <c r="I163" i="4"/>
  <c r="F163" i="4"/>
  <c r="C163" i="4"/>
  <c r="B163" i="4"/>
  <c r="M162" i="4"/>
  <c r="K162" i="4"/>
  <c r="H162" i="4" s="1"/>
  <c r="N162" i="4" s="1"/>
  <c r="J162" i="4"/>
  <c r="I162" i="4"/>
  <c r="F162" i="4"/>
  <c r="C162" i="4"/>
  <c r="B162" i="4"/>
  <c r="M161" i="4"/>
  <c r="L161" i="4"/>
  <c r="K161" i="4"/>
  <c r="J161" i="4"/>
  <c r="H161" i="4" s="1"/>
  <c r="N161" i="4" s="1"/>
  <c r="I161" i="4"/>
  <c r="F161" i="4"/>
  <c r="E164" i="4" s="1"/>
  <c r="C161" i="4"/>
  <c r="B161" i="4"/>
  <c r="B166" i="4" s="1"/>
  <c r="K160" i="4"/>
  <c r="J160" i="4"/>
  <c r="H160" i="4" s="1"/>
  <c r="N160" i="4" s="1"/>
  <c r="I160" i="4"/>
  <c r="F160" i="4"/>
  <c r="E160" i="4"/>
  <c r="C160" i="4"/>
  <c r="B160" i="4"/>
  <c r="K159" i="4"/>
  <c r="H159" i="4" s="1"/>
  <c r="N159" i="4" s="1"/>
  <c r="J159" i="4"/>
  <c r="I159" i="4"/>
  <c r="F159" i="4"/>
  <c r="C159" i="4"/>
  <c r="B159" i="4"/>
  <c r="K158" i="4"/>
  <c r="J158" i="4"/>
  <c r="I158" i="4"/>
  <c r="H158" i="4"/>
  <c r="N158" i="4" s="1"/>
  <c r="F158" i="4"/>
  <c r="C158" i="4"/>
  <c r="B158" i="4"/>
  <c r="K157" i="4"/>
  <c r="J157" i="4"/>
  <c r="H157" i="4" s="1"/>
  <c r="I157" i="4"/>
  <c r="M170" i="4" s="1"/>
  <c r="F157" i="4"/>
  <c r="C157" i="4"/>
  <c r="B157" i="4"/>
  <c r="K156" i="4"/>
  <c r="J156" i="4"/>
  <c r="H156" i="4" s="1"/>
  <c r="N156" i="4" s="1"/>
  <c r="I156" i="4"/>
  <c r="F156" i="4"/>
  <c r="E156" i="4"/>
  <c r="C156" i="4"/>
  <c r="B156" i="4"/>
  <c r="K155" i="4"/>
  <c r="H155" i="4" s="1"/>
  <c r="N155" i="4" s="1"/>
  <c r="J155" i="4"/>
  <c r="I155" i="4"/>
  <c r="F155" i="4"/>
  <c r="C155" i="4"/>
  <c r="B155" i="4"/>
  <c r="M154" i="4"/>
  <c r="L154" i="4"/>
  <c r="K154" i="4"/>
  <c r="J154" i="4"/>
  <c r="H154" i="4" s="1"/>
  <c r="N154" i="4" s="1"/>
  <c r="I154" i="4"/>
  <c r="F154" i="4"/>
  <c r="E159" i="4" s="1"/>
  <c r="C154" i="4"/>
  <c r="B154" i="4"/>
  <c r="B153" i="4"/>
  <c r="K152" i="4"/>
  <c r="J152" i="4"/>
  <c r="I152" i="4"/>
  <c r="H152" i="4"/>
  <c r="N152" i="4" s="1"/>
  <c r="F152" i="4"/>
  <c r="B152" i="4"/>
  <c r="K151" i="4"/>
  <c r="J151" i="4"/>
  <c r="I151" i="4"/>
  <c r="H151" i="4"/>
  <c r="N151" i="4" s="1"/>
  <c r="F151" i="4"/>
  <c r="B151" i="4"/>
  <c r="K150" i="4"/>
  <c r="J150" i="4"/>
  <c r="I150" i="4"/>
  <c r="H150" i="4"/>
  <c r="N150" i="4" s="1"/>
  <c r="F150" i="4"/>
  <c r="B150" i="4"/>
  <c r="L149" i="4"/>
  <c r="K149" i="4"/>
  <c r="J149" i="4"/>
  <c r="H149" i="4" s="1"/>
  <c r="N149" i="4" s="1"/>
  <c r="I149" i="4"/>
  <c r="F149" i="4"/>
  <c r="E152" i="4" s="1"/>
  <c r="C149" i="4"/>
  <c r="B149" i="4"/>
  <c r="K148" i="4"/>
  <c r="J148" i="4"/>
  <c r="H148" i="4" s="1"/>
  <c r="I148" i="4"/>
  <c r="F148" i="4"/>
  <c r="E148" i="4"/>
  <c r="C148" i="4"/>
  <c r="B148" i="4"/>
  <c r="K147" i="4"/>
  <c r="J147" i="4"/>
  <c r="H147" i="4" s="1"/>
  <c r="N147" i="4" s="1"/>
  <c r="I147" i="4"/>
  <c r="F147" i="4"/>
  <c r="E147" i="4"/>
  <c r="C147" i="4"/>
  <c r="B147" i="4"/>
  <c r="K146" i="4"/>
  <c r="H146" i="4" s="1"/>
  <c r="N146" i="4" s="1"/>
  <c r="J146" i="4"/>
  <c r="I146" i="4"/>
  <c r="F146" i="4"/>
  <c r="C146" i="4"/>
  <c r="B146" i="4"/>
  <c r="M145" i="4"/>
  <c r="K145" i="4"/>
  <c r="J145" i="4"/>
  <c r="H145" i="4" s="1"/>
  <c r="N145" i="4" s="1"/>
  <c r="I145" i="4"/>
  <c r="F145" i="4"/>
  <c r="E145" i="4"/>
  <c r="C145" i="4"/>
  <c r="B145" i="4"/>
  <c r="M144" i="4"/>
  <c r="K144" i="4"/>
  <c r="H144" i="4" s="1"/>
  <c r="N144" i="4" s="1"/>
  <c r="J144" i="4"/>
  <c r="I144" i="4"/>
  <c r="F144" i="4"/>
  <c r="C144" i="4"/>
  <c r="B144" i="4"/>
  <c r="M143" i="4"/>
  <c r="K143" i="4"/>
  <c r="J143" i="4"/>
  <c r="H143" i="4" s="1"/>
  <c r="N143" i="4" s="1"/>
  <c r="I143" i="4"/>
  <c r="F143" i="4"/>
  <c r="E143" i="4"/>
  <c r="C143" i="4"/>
  <c r="B143" i="4"/>
  <c r="M142" i="4"/>
  <c r="K142" i="4"/>
  <c r="H142" i="4" s="1"/>
  <c r="N142" i="4" s="1"/>
  <c r="J142" i="4"/>
  <c r="I142" i="4"/>
  <c r="F142" i="4"/>
  <c r="C142" i="4"/>
  <c r="B142" i="4"/>
  <c r="M141" i="4"/>
  <c r="K141" i="4"/>
  <c r="J141" i="4"/>
  <c r="H141" i="4" s="1"/>
  <c r="N141" i="4" s="1"/>
  <c r="I141" i="4"/>
  <c r="F141" i="4"/>
  <c r="E141" i="4"/>
  <c r="C141" i="4"/>
  <c r="B141" i="4"/>
  <c r="M140" i="4"/>
  <c r="L140" i="4"/>
  <c r="K140" i="4"/>
  <c r="J140" i="4"/>
  <c r="I140" i="4"/>
  <c r="H140" i="4"/>
  <c r="N140" i="4" s="1"/>
  <c r="F140" i="4"/>
  <c r="E146" i="4" s="1"/>
  <c r="C140" i="4"/>
  <c r="B140" i="4"/>
  <c r="L139" i="4"/>
  <c r="K139" i="4"/>
  <c r="J139" i="4"/>
  <c r="H139" i="4" s="1"/>
  <c r="I139" i="4"/>
  <c r="N139" i="4" s="1"/>
  <c r="B139" i="4"/>
  <c r="K138" i="4"/>
  <c r="J138" i="4"/>
  <c r="I138" i="4"/>
  <c r="H138" i="4"/>
  <c r="N138" i="4" s="1"/>
  <c r="B138" i="4"/>
  <c r="K137" i="4"/>
  <c r="H137" i="4" s="1"/>
  <c r="N137" i="4" s="1"/>
  <c r="J137" i="4"/>
  <c r="I137" i="4"/>
  <c r="B137" i="4"/>
  <c r="K136" i="4"/>
  <c r="J136" i="4"/>
  <c r="I136" i="4"/>
  <c r="E136" i="4"/>
  <c r="B136" i="4"/>
  <c r="K135" i="4"/>
  <c r="J135" i="4"/>
  <c r="H135" i="4" s="1"/>
  <c r="I135" i="4"/>
  <c r="B135" i="4"/>
  <c r="K134" i="4"/>
  <c r="J134" i="4"/>
  <c r="I134" i="4"/>
  <c r="H134" i="4"/>
  <c r="N134" i="4" s="1"/>
  <c r="C134" i="4"/>
  <c r="B134" i="4"/>
  <c r="M133" i="4"/>
  <c r="L133" i="4"/>
  <c r="K133" i="4"/>
  <c r="J133" i="4"/>
  <c r="H133" i="4" s="1"/>
  <c r="N133" i="4" s="1"/>
  <c r="I133" i="4"/>
  <c r="F133" i="4"/>
  <c r="C133" i="4"/>
  <c r="B133" i="4"/>
  <c r="M132" i="4"/>
  <c r="K132" i="4"/>
  <c r="H132" i="4" s="1"/>
  <c r="N132" i="4" s="1"/>
  <c r="J132" i="4"/>
  <c r="I132" i="4"/>
  <c r="F132" i="4"/>
  <c r="C132" i="4"/>
  <c r="B132" i="4"/>
  <c r="M131" i="4"/>
  <c r="K131" i="4"/>
  <c r="J131" i="4"/>
  <c r="H131" i="4" s="1"/>
  <c r="N131" i="4" s="1"/>
  <c r="I131" i="4"/>
  <c r="F131" i="4"/>
  <c r="E131" i="4"/>
  <c r="C131" i="4"/>
  <c r="B131" i="4"/>
  <c r="K130" i="4"/>
  <c r="J130" i="4"/>
  <c r="H130" i="4" s="1"/>
  <c r="N130" i="4" s="1"/>
  <c r="I130" i="4"/>
  <c r="F130" i="4"/>
  <c r="E130" i="4"/>
  <c r="C130" i="4"/>
  <c r="B130" i="4"/>
  <c r="M129" i="4"/>
  <c r="K129" i="4"/>
  <c r="J129" i="4"/>
  <c r="I129" i="4"/>
  <c r="H129" i="4"/>
  <c r="N129" i="4" s="1"/>
  <c r="F129" i="4"/>
  <c r="C129" i="4"/>
  <c r="B129" i="4"/>
  <c r="K128" i="4"/>
  <c r="J128" i="4"/>
  <c r="H128" i="4" s="1"/>
  <c r="I128" i="4"/>
  <c r="F128" i="4"/>
  <c r="E128" i="4"/>
  <c r="C128" i="4"/>
  <c r="B128" i="4"/>
  <c r="M127" i="4"/>
  <c r="L127" i="4"/>
  <c r="K127" i="4"/>
  <c r="J127" i="4"/>
  <c r="I127" i="4"/>
  <c r="H127" i="4"/>
  <c r="N127" i="4" s="1"/>
  <c r="F127" i="4"/>
  <c r="E132" i="4" s="1"/>
  <c r="C127" i="4"/>
  <c r="B127" i="4"/>
  <c r="K126" i="4"/>
  <c r="J126" i="4"/>
  <c r="I126" i="4"/>
  <c r="H126" i="4"/>
  <c r="N126" i="4" s="1"/>
  <c r="F126" i="4"/>
  <c r="C126" i="4"/>
  <c r="B126" i="4"/>
  <c r="K125" i="4"/>
  <c r="J125" i="4"/>
  <c r="H125" i="4" s="1"/>
  <c r="I125" i="4"/>
  <c r="F125" i="4"/>
  <c r="E125" i="4"/>
  <c r="C125" i="4"/>
  <c r="B125" i="4"/>
  <c r="K124" i="4"/>
  <c r="J124" i="4"/>
  <c r="H124" i="4" s="1"/>
  <c r="N124" i="4" s="1"/>
  <c r="I124" i="4"/>
  <c r="F124" i="4"/>
  <c r="E124" i="4"/>
  <c r="C124" i="4"/>
  <c r="B124" i="4"/>
  <c r="M123" i="4"/>
  <c r="L123" i="4"/>
  <c r="K123" i="4"/>
  <c r="J123" i="4"/>
  <c r="H123" i="4" s="1"/>
  <c r="N123" i="4" s="1"/>
  <c r="I123" i="4"/>
  <c r="F123" i="4"/>
  <c r="E126" i="4" s="1"/>
  <c r="C123" i="4"/>
  <c r="B123" i="4"/>
  <c r="K122" i="4"/>
  <c r="J122" i="4"/>
  <c r="H122" i="4" s="1"/>
  <c r="I122" i="4"/>
  <c r="F122" i="4"/>
  <c r="C122" i="4"/>
  <c r="B122" i="4"/>
  <c r="K121" i="4"/>
  <c r="J121" i="4"/>
  <c r="I121" i="4"/>
  <c r="F121" i="4"/>
  <c r="E121" i="4"/>
  <c r="C121" i="4"/>
  <c r="B121" i="4"/>
  <c r="K120" i="4"/>
  <c r="H120" i="4" s="1"/>
  <c r="N120" i="4" s="1"/>
  <c r="J120" i="4"/>
  <c r="I120" i="4"/>
  <c r="F120" i="4"/>
  <c r="C120" i="4"/>
  <c r="B120" i="4"/>
  <c r="K119" i="4"/>
  <c r="H119" i="4" s="1"/>
  <c r="N119" i="4" s="1"/>
  <c r="J119" i="4"/>
  <c r="I119" i="4"/>
  <c r="F119" i="4"/>
  <c r="C119" i="4"/>
  <c r="B119" i="4"/>
  <c r="K118" i="4"/>
  <c r="J118" i="4"/>
  <c r="I118" i="4"/>
  <c r="H118" i="4"/>
  <c r="N118" i="4" s="1"/>
  <c r="F118" i="4"/>
  <c r="C118" i="4"/>
  <c r="B118" i="4"/>
  <c r="K117" i="4"/>
  <c r="J117" i="4"/>
  <c r="H117" i="4" s="1"/>
  <c r="I117" i="4"/>
  <c r="F117" i="4"/>
  <c r="C117" i="4"/>
  <c r="B117" i="4"/>
  <c r="K116" i="4"/>
  <c r="J116" i="4"/>
  <c r="H116" i="4" s="1"/>
  <c r="N116" i="4" s="1"/>
  <c r="I116" i="4"/>
  <c r="F116" i="4"/>
  <c r="E116" i="4"/>
  <c r="C116" i="4"/>
  <c r="B116" i="4"/>
  <c r="K115" i="4"/>
  <c r="H115" i="4" s="1"/>
  <c r="N115" i="4" s="1"/>
  <c r="J115" i="4"/>
  <c r="I115" i="4"/>
  <c r="F115" i="4"/>
  <c r="C115" i="4"/>
  <c r="B115" i="4"/>
  <c r="K114" i="4"/>
  <c r="J114" i="4"/>
  <c r="I114" i="4"/>
  <c r="H114" i="4"/>
  <c r="N114" i="4" s="1"/>
  <c r="F114" i="4"/>
  <c r="C114" i="4"/>
  <c r="B114" i="4"/>
  <c r="K113" i="4"/>
  <c r="J113" i="4"/>
  <c r="H113" i="4" s="1"/>
  <c r="I113" i="4"/>
  <c r="F113" i="4"/>
  <c r="C113" i="4"/>
  <c r="B113" i="4"/>
  <c r="K112" i="4"/>
  <c r="J112" i="4"/>
  <c r="H112" i="4" s="1"/>
  <c r="N112" i="4" s="1"/>
  <c r="I112" i="4"/>
  <c r="F112" i="4"/>
  <c r="E112" i="4"/>
  <c r="C112" i="4"/>
  <c r="B112" i="4"/>
  <c r="K111" i="4"/>
  <c r="H111" i="4" s="1"/>
  <c r="N111" i="4" s="1"/>
  <c r="J111" i="4"/>
  <c r="I111" i="4"/>
  <c r="F111" i="4"/>
  <c r="C111" i="4"/>
  <c r="B111" i="4"/>
  <c r="M110" i="4"/>
  <c r="L110" i="4"/>
  <c r="K110" i="4"/>
  <c r="J110" i="4"/>
  <c r="H110" i="4" s="1"/>
  <c r="N110" i="4" s="1"/>
  <c r="I110" i="4"/>
  <c r="F110" i="4"/>
  <c r="E120" i="4" s="1"/>
  <c r="C110" i="4"/>
  <c r="B110" i="4"/>
  <c r="K109" i="4"/>
  <c r="J109" i="4"/>
  <c r="H109" i="4" s="1"/>
  <c r="N109" i="4" s="1"/>
  <c r="I109" i="4"/>
  <c r="F109" i="4"/>
  <c r="E109" i="4"/>
  <c r="C109" i="4"/>
  <c r="B109" i="4"/>
  <c r="L108" i="4"/>
  <c r="H108" i="4" s="1"/>
  <c r="N108" i="4" s="1"/>
  <c r="K108" i="4"/>
  <c r="I108" i="4"/>
  <c r="F108" i="4"/>
  <c r="C108" i="4"/>
  <c r="B108" i="4"/>
  <c r="K107" i="4"/>
  <c r="H107" i="4" s="1"/>
  <c r="N107" i="4" s="1"/>
  <c r="J107" i="4"/>
  <c r="I107" i="4"/>
  <c r="F107" i="4"/>
  <c r="C107" i="4"/>
  <c r="B107" i="4"/>
  <c r="K106" i="4"/>
  <c r="J106" i="4"/>
  <c r="I106" i="4"/>
  <c r="H106" i="4"/>
  <c r="N106" i="4" s="1"/>
  <c r="F106" i="4"/>
  <c r="C106" i="4"/>
  <c r="B106" i="4"/>
  <c r="K105" i="4"/>
  <c r="J105" i="4"/>
  <c r="H105" i="4" s="1"/>
  <c r="N105" i="4" s="1"/>
  <c r="I105" i="4"/>
  <c r="F105" i="4"/>
  <c r="E105" i="4"/>
  <c r="C105" i="4"/>
  <c r="B105" i="4"/>
  <c r="K104" i="4"/>
  <c r="J104" i="4"/>
  <c r="H104" i="4" s="1"/>
  <c r="N104" i="4" s="1"/>
  <c r="I104" i="4"/>
  <c r="F104" i="4"/>
  <c r="E104" i="4"/>
  <c r="C104" i="4"/>
  <c r="B104" i="4"/>
  <c r="M103" i="4"/>
  <c r="L103" i="4"/>
  <c r="K103" i="4"/>
  <c r="J103" i="4"/>
  <c r="H103" i="4" s="1"/>
  <c r="N103" i="4" s="1"/>
  <c r="I103" i="4"/>
  <c r="F103" i="4"/>
  <c r="E107" i="4" s="1"/>
  <c r="C103" i="4"/>
  <c r="B103" i="4"/>
  <c r="B102" i="4"/>
  <c r="K101" i="4"/>
  <c r="H101" i="4" s="1"/>
  <c r="N101" i="4" s="1"/>
  <c r="J101" i="4"/>
  <c r="I101" i="4"/>
  <c r="F101" i="4"/>
  <c r="C101" i="4"/>
  <c r="B101" i="4"/>
  <c r="K100" i="4"/>
  <c r="J100" i="4"/>
  <c r="I100" i="4"/>
  <c r="H100" i="4"/>
  <c r="N100" i="4" s="1"/>
  <c r="F100" i="4"/>
  <c r="C100" i="4"/>
  <c r="B100" i="4"/>
  <c r="K99" i="4"/>
  <c r="J99" i="4"/>
  <c r="H99" i="4" s="1"/>
  <c r="I99" i="4"/>
  <c r="F99" i="4"/>
  <c r="C99" i="4"/>
  <c r="B99" i="4"/>
  <c r="K98" i="4"/>
  <c r="J98" i="4"/>
  <c r="H98" i="4" s="1"/>
  <c r="N98" i="4" s="1"/>
  <c r="I98" i="4"/>
  <c r="F98" i="4"/>
  <c r="C98" i="4"/>
  <c r="B98" i="4"/>
  <c r="K97" i="4"/>
  <c r="H97" i="4" s="1"/>
  <c r="N97" i="4" s="1"/>
  <c r="J97" i="4"/>
  <c r="I97" i="4"/>
  <c r="F97" i="4"/>
  <c r="C97" i="4"/>
  <c r="B97" i="4"/>
  <c r="K96" i="4"/>
  <c r="J96" i="4"/>
  <c r="I96" i="4"/>
  <c r="H96" i="4"/>
  <c r="N96" i="4" s="1"/>
  <c r="F96" i="4"/>
  <c r="C96" i="4"/>
  <c r="B96" i="4"/>
  <c r="M95" i="4"/>
  <c r="L95" i="4"/>
  <c r="K95" i="4"/>
  <c r="H95" i="4" s="1"/>
  <c r="N95" i="4" s="1"/>
  <c r="J95" i="4"/>
  <c r="I95" i="4"/>
  <c r="F95" i="4"/>
  <c r="E98" i="4" s="1"/>
  <c r="C95" i="4"/>
  <c r="B95" i="4"/>
  <c r="K94" i="4"/>
  <c r="H94" i="4" s="1"/>
  <c r="N94" i="4" s="1"/>
  <c r="J94" i="4"/>
  <c r="I94" i="4"/>
  <c r="F94" i="4"/>
  <c r="C94" i="4"/>
  <c r="B94" i="4"/>
  <c r="K93" i="4"/>
  <c r="J93" i="4"/>
  <c r="I93" i="4"/>
  <c r="H93" i="4"/>
  <c r="N93" i="4" s="1"/>
  <c r="F93" i="4"/>
  <c r="C93" i="4"/>
  <c r="B93" i="4"/>
  <c r="K92" i="4"/>
  <c r="J92" i="4"/>
  <c r="H92" i="4" s="1"/>
  <c r="I92" i="4"/>
  <c r="F92" i="4"/>
  <c r="E92" i="4"/>
  <c r="C92" i="4"/>
  <c r="B92" i="4"/>
  <c r="K91" i="4"/>
  <c r="J91" i="4"/>
  <c r="H91" i="4" s="1"/>
  <c r="N91" i="4" s="1"/>
  <c r="I91" i="4"/>
  <c r="F91" i="4"/>
  <c r="E91" i="4"/>
  <c r="C91" i="4"/>
  <c r="B91" i="4"/>
  <c r="L90" i="4"/>
  <c r="H90" i="4" s="1"/>
  <c r="N90" i="4" s="1"/>
  <c r="K90" i="4"/>
  <c r="J90" i="4"/>
  <c r="I90" i="4"/>
  <c r="F90" i="4"/>
  <c r="E94" i="4" s="1"/>
  <c r="C90" i="4"/>
  <c r="B90" i="4"/>
  <c r="K89" i="4"/>
  <c r="J89" i="4"/>
  <c r="I89" i="4"/>
  <c r="H89" i="4"/>
  <c r="N89" i="4" s="1"/>
  <c r="F89" i="4"/>
  <c r="C89" i="4"/>
  <c r="B89" i="4"/>
  <c r="K88" i="4"/>
  <c r="J88" i="4"/>
  <c r="H88" i="4" s="1"/>
  <c r="N88" i="4" s="1"/>
  <c r="I88" i="4"/>
  <c r="F88" i="4"/>
  <c r="C88" i="4"/>
  <c r="B88" i="4"/>
  <c r="K87" i="4"/>
  <c r="J87" i="4"/>
  <c r="H87" i="4" s="1"/>
  <c r="N87" i="4" s="1"/>
  <c r="I87" i="4"/>
  <c r="F87" i="4"/>
  <c r="E87" i="4"/>
  <c r="C87" i="4"/>
  <c r="B87" i="4"/>
  <c r="K86" i="4"/>
  <c r="H86" i="4" s="1"/>
  <c r="N86" i="4" s="1"/>
  <c r="J86" i="4"/>
  <c r="I86" i="4"/>
  <c r="F86" i="4"/>
  <c r="C86" i="4"/>
  <c r="B86" i="4"/>
  <c r="K85" i="4"/>
  <c r="J85" i="4"/>
  <c r="I85" i="4"/>
  <c r="H85" i="4"/>
  <c r="N85" i="4" s="1"/>
  <c r="F85" i="4"/>
  <c r="C85" i="4"/>
  <c r="B85" i="4"/>
  <c r="K84" i="4"/>
  <c r="J84" i="4"/>
  <c r="H84" i="4" s="1"/>
  <c r="N84" i="4" s="1"/>
  <c r="I84" i="4"/>
  <c r="F84" i="4"/>
  <c r="E84" i="4"/>
  <c r="C84" i="4"/>
  <c r="B84" i="4"/>
  <c r="K83" i="4"/>
  <c r="J83" i="4"/>
  <c r="H83" i="4" s="1"/>
  <c r="N83" i="4" s="1"/>
  <c r="I83" i="4"/>
  <c r="F83" i="4"/>
  <c r="E83" i="4"/>
  <c r="C83" i="4"/>
  <c r="B83" i="4"/>
  <c r="K82" i="4"/>
  <c r="H82" i="4" s="1"/>
  <c r="N82" i="4" s="1"/>
  <c r="J82" i="4"/>
  <c r="I82" i="4"/>
  <c r="F82" i="4"/>
  <c r="C82" i="4"/>
  <c r="B82" i="4"/>
  <c r="L81" i="4"/>
  <c r="K81" i="4"/>
  <c r="J81" i="4"/>
  <c r="H81" i="4" s="1"/>
  <c r="I81" i="4"/>
  <c r="N81" i="4" s="1"/>
  <c r="F81" i="4"/>
  <c r="E81" i="4"/>
  <c r="C81" i="4"/>
  <c r="B81" i="4"/>
  <c r="M80" i="4"/>
  <c r="L80" i="4"/>
  <c r="K80" i="4"/>
  <c r="J80" i="4"/>
  <c r="I80" i="4"/>
  <c r="H80" i="4"/>
  <c r="N80" i="4" s="1"/>
  <c r="F80" i="4"/>
  <c r="E86" i="4" s="1"/>
  <c r="C80" i="4"/>
  <c r="B80" i="4"/>
  <c r="L79" i="4"/>
  <c r="K79" i="4"/>
  <c r="J79" i="4"/>
  <c r="H79" i="4" s="1"/>
  <c r="N79" i="4" s="1"/>
  <c r="I79" i="4"/>
  <c r="F79" i="4"/>
  <c r="C79" i="4"/>
  <c r="B79" i="4"/>
  <c r="K78" i="4"/>
  <c r="J78" i="4"/>
  <c r="H78" i="4" s="1"/>
  <c r="N78" i="4" s="1"/>
  <c r="I78" i="4"/>
  <c r="F78" i="4"/>
  <c r="E78" i="4"/>
  <c r="C78" i="4"/>
  <c r="B78" i="4"/>
  <c r="K77" i="4"/>
  <c r="H77" i="4" s="1"/>
  <c r="N77" i="4" s="1"/>
  <c r="J77" i="4"/>
  <c r="I77" i="4"/>
  <c r="F77" i="4"/>
  <c r="C77" i="4"/>
  <c r="B77" i="4"/>
  <c r="M76" i="4"/>
  <c r="K76" i="4"/>
  <c r="J76" i="4"/>
  <c r="H76" i="4" s="1"/>
  <c r="N76" i="4" s="1"/>
  <c r="I76" i="4"/>
  <c r="F76" i="4"/>
  <c r="C76" i="4"/>
  <c r="B76" i="4"/>
  <c r="L75" i="4"/>
  <c r="K75" i="4"/>
  <c r="H75" i="4" s="1"/>
  <c r="N75" i="4" s="1"/>
  <c r="J75" i="4"/>
  <c r="I75" i="4"/>
  <c r="F75" i="4"/>
  <c r="C75" i="4"/>
  <c r="B75" i="4"/>
  <c r="L74" i="4"/>
  <c r="K74" i="4"/>
  <c r="J74" i="4"/>
  <c r="H74" i="4" s="1"/>
  <c r="N74" i="4" s="1"/>
  <c r="I74" i="4"/>
  <c r="F74" i="4"/>
  <c r="C74" i="4"/>
  <c r="B74" i="4"/>
  <c r="K73" i="4"/>
  <c r="J73" i="4"/>
  <c r="H73" i="4" s="1"/>
  <c r="N73" i="4" s="1"/>
  <c r="I73" i="4"/>
  <c r="F73" i="4"/>
  <c r="E73" i="4"/>
  <c r="C73" i="4"/>
  <c r="B73" i="4"/>
  <c r="K72" i="4"/>
  <c r="H72" i="4" s="1"/>
  <c r="N72" i="4" s="1"/>
  <c r="J72" i="4"/>
  <c r="I72" i="4"/>
  <c r="F72" i="4"/>
  <c r="C72" i="4"/>
  <c r="B72" i="4"/>
  <c r="K71" i="4"/>
  <c r="J71" i="4"/>
  <c r="I71" i="4"/>
  <c r="H71" i="4"/>
  <c r="N71" i="4" s="1"/>
  <c r="F71" i="4"/>
  <c r="C71" i="4"/>
  <c r="B71" i="4"/>
  <c r="K70" i="4"/>
  <c r="J70" i="4"/>
  <c r="H70" i="4" s="1"/>
  <c r="I70" i="4"/>
  <c r="F70" i="4"/>
  <c r="C70" i="4"/>
  <c r="B70" i="4"/>
  <c r="M69" i="4"/>
  <c r="L69" i="4"/>
  <c r="K69" i="4"/>
  <c r="J69" i="4"/>
  <c r="I69" i="4"/>
  <c r="H69" i="4"/>
  <c r="N69" i="4" s="1"/>
  <c r="F69" i="4"/>
  <c r="E77" i="4" s="1"/>
  <c r="C69" i="4"/>
  <c r="L68" i="4"/>
  <c r="K68" i="4"/>
  <c r="J68" i="4"/>
  <c r="H68" i="4" s="1"/>
  <c r="I68" i="4"/>
  <c r="N68" i="4" s="1"/>
  <c r="F68" i="4"/>
  <c r="C68" i="4"/>
  <c r="K67" i="4"/>
  <c r="J67" i="4"/>
  <c r="H67" i="4" s="1"/>
  <c r="N67" i="4" s="1"/>
  <c r="I67" i="4"/>
  <c r="F67" i="4"/>
  <c r="C67" i="4"/>
  <c r="B67" i="4"/>
  <c r="K66" i="4"/>
  <c r="J66" i="4"/>
  <c r="H66" i="4" s="1"/>
  <c r="N66" i="4" s="1"/>
  <c r="I66" i="4"/>
  <c r="F66" i="4"/>
  <c r="E66" i="4"/>
  <c r="C66" i="4"/>
  <c r="B66" i="4"/>
  <c r="K65" i="4"/>
  <c r="J65" i="4"/>
  <c r="I65" i="4"/>
  <c r="F65" i="4"/>
  <c r="C65" i="4"/>
  <c r="B65" i="4"/>
  <c r="M64" i="4"/>
  <c r="K64" i="4"/>
  <c r="H64" i="4" s="1"/>
  <c r="N64" i="4" s="1"/>
  <c r="J64" i="4"/>
  <c r="I64" i="4"/>
  <c r="F64" i="4"/>
  <c r="C64" i="4"/>
  <c r="B64" i="4"/>
  <c r="M63" i="4"/>
  <c r="L63" i="4"/>
  <c r="H63" i="4" s="1"/>
  <c r="N63" i="4" s="1"/>
  <c r="K63" i="4"/>
  <c r="J63" i="4"/>
  <c r="I63" i="4"/>
  <c r="F63" i="4"/>
  <c r="E65" i="4" s="1"/>
  <c r="C63" i="4"/>
  <c r="K62" i="4"/>
  <c r="J62" i="4"/>
  <c r="I62" i="4"/>
  <c r="H62" i="4"/>
  <c r="N62" i="4" s="1"/>
  <c r="F62" i="4"/>
  <c r="C62" i="4"/>
  <c r="B62" i="4"/>
  <c r="K61" i="4"/>
  <c r="J61" i="4"/>
  <c r="H61" i="4" s="1"/>
  <c r="N61" i="4" s="1"/>
  <c r="I61" i="4"/>
  <c r="F61" i="4"/>
  <c r="C61" i="4"/>
  <c r="B61" i="4"/>
  <c r="M60" i="4"/>
  <c r="L60" i="4"/>
  <c r="K60" i="4"/>
  <c r="J60" i="4"/>
  <c r="I60" i="4"/>
  <c r="H60" i="4"/>
  <c r="N60" i="4" s="1"/>
  <c r="F60" i="4"/>
  <c r="C60" i="4"/>
  <c r="B60" i="4"/>
  <c r="K59" i="4"/>
  <c r="J59" i="4"/>
  <c r="H59" i="4" s="1"/>
  <c r="I59" i="4"/>
  <c r="F59" i="4"/>
  <c r="C59" i="4"/>
  <c r="B59" i="4"/>
  <c r="M58" i="4"/>
  <c r="K58" i="4"/>
  <c r="H58" i="4" s="1"/>
  <c r="N58" i="4" s="1"/>
  <c r="J58" i="4"/>
  <c r="I58" i="4"/>
  <c r="F58" i="4"/>
  <c r="C58" i="4"/>
  <c r="B58" i="4"/>
  <c r="M57" i="4"/>
  <c r="L57" i="4"/>
  <c r="K57" i="4"/>
  <c r="J57" i="4"/>
  <c r="H57" i="4" s="1"/>
  <c r="N57" i="4" s="1"/>
  <c r="I57" i="4"/>
  <c r="F57" i="4"/>
  <c r="E58" i="4" s="1"/>
  <c r="C57" i="4"/>
  <c r="B57" i="4"/>
  <c r="B63" i="4" s="1"/>
  <c r="B68" i="4" s="1"/>
  <c r="B69" i="4" s="1"/>
  <c r="M56" i="4"/>
  <c r="L56" i="4"/>
  <c r="K56" i="4"/>
  <c r="J56" i="4"/>
  <c r="I56" i="4"/>
  <c r="H56" i="4"/>
  <c r="N56" i="4" s="1"/>
  <c r="F56" i="4"/>
  <c r="B56" i="4"/>
  <c r="M55" i="4"/>
  <c r="L55" i="4"/>
  <c r="K55" i="4"/>
  <c r="J55" i="4"/>
  <c r="H55" i="4" s="1"/>
  <c r="N55" i="4" s="1"/>
  <c r="I55" i="4"/>
  <c r="F55" i="4"/>
  <c r="E55" i="4"/>
  <c r="B55" i="4"/>
  <c r="M54" i="4"/>
  <c r="L54" i="4"/>
  <c r="K54" i="4"/>
  <c r="J54" i="4"/>
  <c r="I54" i="4"/>
  <c r="H54" i="4"/>
  <c r="N54" i="4" s="1"/>
  <c r="F54" i="4"/>
  <c r="B54" i="4"/>
  <c r="M53" i="4"/>
  <c r="L53" i="4"/>
  <c r="K53" i="4"/>
  <c r="J53" i="4"/>
  <c r="H53" i="4" s="1"/>
  <c r="N53" i="4" s="1"/>
  <c r="I53" i="4"/>
  <c r="F53" i="4"/>
  <c r="E53" i="4"/>
  <c r="B53" i="4"/>
  <c r="M52" i="4"/>
  <c r="L52" i="4"/>
  <c r="K52" i="4"/>
  <c r="J52" i="4"/>
  <c r="I52" i="4"/>
  <c r="H52" i="4"/>
  <c r="N52" i="4" s="1"/>
  <c r="F52" i="4"/>
  <c r="B52" i="4"/>
  <c r="M51" i="4"/>
  <c r="L51" i="4"/>
  <c r="K51" i="4"/>
  <c r="J51" i="4"/>
  <c r="H51" i="4" s="1"/>
  <c r="N51" i="4" s="1"/>
  <c r="I51" i="4"/>
  <c r="F51" i="4"/>
  <c r="E51" i="4"/>
  <c r="B51" i="4"/>
  <c r="M50" i="4"/>
  <c r="L50" i="4"/>
  <c r="H50" i="4" s="1"/>
  <c r="N50" i="4" s="1"/>
  <c r="K50" i="4"/>
  <c r="J50" i="4"/>
  <c r="I50" i="4"/>
  <c r="F50" i="4"/>
  <c r="B50" i="4"/>
  <c r="M49" i="4"/>
  <c r="L49" i="4"/>
  <c r="K49" i="4"/>
  <c r="J49" i="4"/>
  <c r="H49" i="4" s="1"/>
  <c r="N49" i="4" s="1"/>
  <c r="I49" i="4"/>
  <c r="F49" i="4"/>
  <c r="E49" i="4"/>
  <c r="B49" i="4"/>
  <c r="M48" i="4"/>
  <c r="L48" i="4"/>
  <c r="K48" i="4"/>
  <c r="J48" i="4"/>
  <c r="I48" i="4"/>
  <c r="H48" i="4"/>
  <c r="N48" i="4" s="1"/>
  <c r="F48" i="4"/>
  <c r="B48" i="4"/>
  <c r="M47" i="4"/>
  <c r="L47" i="4"/>
  <c r="K47" i="4"/>
  <c r="J47" i="4"/>
  <c r="H47" i="4" s="1"/>
  <c r="N47" i="4" s="1"/>
  <c r="I47" i="4"/>
  <c r="F47" i="4"/>
  <c r="E56" i="4" s="1"/>
  <c r="B47" i="4"/>
  <c r="M46" i="4"/>
  <c r="L46" i="4"/>
  <c r="K46" i="4"/>
  <c r="J46" i="4"/>
  <c r="H46" i="4" s="1"/>
  <c r="N46" i="4" s="1"/>
  <c r="I46" i="4"/>
  <c r="F46" i="4"/>
  <c r="B46" i="4"/>
  <c r="M45" i="4"/>
  <c r="H45" i="4" s="1"/>
  <c r="L45" i="4"/>
  <c r="K45" i="4"/>
  <c r="J45" i="4"/>
  <c r="I45" i="4"/>
  <c r="F45" i="4"/>
  <c r="B45" i="4"/>
  <c r="M44" i="4"/>
  <c r="L44" i="4"/>
  <c r="K44" i="4"/>
  <c r="J44" i="4"/>
  <c r="I44" i="4"/>
  <c r="F44" i="4"/>
  <c r="B44" i="4"/>
  <c r="M43" i="4"/>
  <c r="H43" i="4" s="1"/>
  <c r="L43" i="4"/>
  <c r="K43" i="4"/>
  <c r="J43" i="4"/>
  <c r="I43" i="4"/>
  <c r="F43" i="4"/>
  <c r="B43" i="4"/>
  <c r="M42" i="4"/>
  <c r="L42" i="4"/>
  <c r="K42" i="4"/>
  <c r="J42" i="4"/>
  <c r="H42" i="4" s="1"/>
  <c r="N42" i="4" s="1"/>
  <c r="I42" i="4"/>
  <c r="F42" i="4"/>
  <c r="B42" i="4"/>
  <c r="M41" i="4"/>
  <c r="H41" i="4" s="1"/>
  <c r="L41" i="4"/>
  <c r="K41" i="4"/>
  <c r="J41" i="4"/>
  <c r="I41" i="4"/>
  <c r="F41" i="4"/>
  <c r="B41" i="4"/>
  <c r="M40" i="4"/>
  <c r="L40" i="4"/>
  <c r="K40" i="4"/>
  <c r="J40" i="4"/>
  <c r="I40" i="4"/>
  <c r="F40" i="4"/>
  <c r="B40" i="4"/>
  <c r="M39" i="4"/>
  <c r="H39" i="4" s="1"/>
  <c r="L39" i="4"/>
  <c r="K39" i="4"/>
  <c r="J39" i="4"/>
  <c r="I39" i="4"/>
  <c r="F39" i="4"/>
  <c r="B39" i="4"/>
  <c r="M38" i="4"/>
  <c r="L38" i="4"/>
  <c r="K38" i="4"/>
  <c r="J38" i="4"/>
  <c r="H38" i="4" s="1"/>
  <c r="N38" i="4" s="1"/>
  <c r="I38" i="4"/>
  <c r="F38" i="4"/>
  <c r="B38" i="4"/>
  <c r="K37" i="4"/>
  <c r="J37" i="4"/>
  <c r="H37" i="4" s="1"/>
  <c r="N37" i="4" s="1"/>
  <c r="I37" i="4"/>
  <c r="F37" i="4"/>
  <c r="C37" i="4"/>
  <c r="B37" i="4"/>
  <c r="M36" i="4"/>
  <c r="K36" i="4"/>
  <c r="J36" i="4"/>
  <c r="I36" i="4"/>
  <c r="H36" i="4"/>
  <c r="N36" i="4" s="1"/>
  <c r="F36" i="4"/>
  <c r="C36" i="4"/>
  <c r="B36" i="4"/>
  <c r="K35" i="4"/>
  <c r="J35" i="4"/>
  <c r="I35" i="4"/>
  <c r="H35" i="4"/>
  <c r="F35" i="4"/>
  <c r="C35" i="4"/>
  <c r="B35" i="4"/>
  <c r="M34" i="4"/>
  <c r="K34" i="4"/>
  <c r="J34" i="4"/>
  <c r="H34" i="4" s="1"/>
  <c r="N34" i="4" s="1"/>
  <c r="I34" i="4"/>
  <c r="F34" i="4"/>
  <c r="C34" i="4"/>
  <c r="B34" i="4"/>
  <c r="M33" i="4"/>
  <c r="K33" i="4"/>
  <c r="J33" i="4"/>
  <c r="I33" i="4"/>
  <c r="N33" i="4" s="1"/>
  <c r="H33" i="4"/>
  <c r="F33" i="4"/>
  <c r="C33" i="4"/>
  <c r="B33" i="4"/>
  <c r="K32" i="4"/>
  <c r="J32" i="4"/>
  <c r="H32" i="4" s="1"/>
  <c r="N32" i="4" s="1"/>
  <c r="I32" i="4"/>
  <c r="F32" i="4"/>
  <c r="C32" i="4"/>
  <c r="B32" i="4"/>
  <c r="M31" i="4"/>
  <c r="H31" i="4" s="1"/>
  <c r="N31" i="4" s="1"/>
  <c r="K31" i="4"/>
  <c r="J31" i="4"/>
  <c r="I31" i="4"/>
  <c r="F31" i="4"/>
  <c r="C31" i="4"/>
  <c r="B31" i="4"/>
  <c r="M30" i="4"/>
  <c r="K30" i="4"/>
  <c r="J30" i="4"/>
  <c r="H30" i="4" s="1"/>
  <c r="N30" i="4" s="1"/>
  <c r="I30" i="4"/>
  <c r="F30" i="4"/>
  <c r="C30" i="4"/>
  <c r="B30" i="4"/>
  <c r="K29" i="4"/>
  <c r="J29" i="4"/>
  <c r="H29" i="4" s="1"/>
  <c r="N29" i="4" s="1"/>
  <c r="I29" i="4"/>
  <c r="F29" i="4"/>
  <c r="C29" i="4"/>
  <c r="B29" i="4"/>
  <c r="K28" i="4"/>
  <c r="J28" i="4"/>
  <c r="I28" i="4"/>
  <c r="H28" i="4"/>
  <c r="N28" i="4" s="1"/>
  <c r="F28" i="4"/>
  <c r="C28" i="4"/>
  <c r="B28" i="4"/>
  <c r="M27" i="4"/>
  <c r="L27" i="4"/>
  <c r="K27" i="4"/>
  <c r="H27" i="4" s="1"/>
  <c r="N27" i="4" s="1"/>
  <c r="J27" i="4"/>
  <c r="I27" i="4"/>
  <c r="F27" i="4"/>
  <c r="C27" i="4"/>
  <c r="B27" i="4"/>
  <c r="K26" i="4"/>
  <c r="H26" i="4" s="1"/>
  <c r="N26" i="4" s="1"/>
  <c r="J26" i="4"/>
  <c r="I26" i="4"/>
  <c r="F26" i="4"/>
  <c r="B26" i="4"/>
  <c r="K25" i="4"/>
  <c r="H25" i="4" s="1"/>
  <c r="N25" i="4" s="1"/>
  <c r="J25" i="4"/>
  <c r="I25" i="4"/>
  <c r="F25" i="4"/>
  <c r="B25" i="4"/>
  <c r="M24" i="4"/>
  <c r="K24" i="4"/>
  <c r="J24" i="4"/>
  <c r="I24" i="4"/>
  <c r="H24" i="4"/>
  <c r="N24" i="4" s="1"/>
  <c r="F24" i="4"/>
  <c r="B24" i="4"/>
  <c r="M23" i="4"/>
  <c r="L23" i="4"/>
  <c r="K23" i="4"/>
  <c r="J23" i="4"/>
  <c r="H23" i="4" s="1"/>
  <c r="N23" i="4" s="1"/>
  <c r="I23" i="4"/>
  <c r="F23" i="4"/>
  <c r="E26" i="4" s="1"/>
  <c r="B23" i="4"/>
  <c r="B22" i="4"/>
  <c r="K21" i="4"/>
  <c r="H21" i="4" s="1"/>
  <c r="N21" i="4" s="1"/>
  <c r="J21" i="4"/>
  <c r="I21" i="4"/>
  <c r="F21" i="4"/>
  <c r="E21" i="4"/>
  <c r="C21" i="4"/>
  <c r="B21" i="4"/>
  <c r="K20" i="4"/>
  <c r="J20" i="4"/>
  <c r="I20" i="4"/>
  <c r="H20" i="4"/>
  <c r="N20" i="4" s="1"/>
  <c r="F20" i="4"/>
  <c r="C20" i="4"/>
  <c r="B20" i="4"/>
  <c r="K19" i="4"/>
  <c r="J19" i="4"/>
  <c r="H19" i="4" s="1"/>
  <c r="N19" i="4" s="1"/>
  <c r="I19" i="4"/>
  <c r="F19" i="4"/>
  <c r="E19" i="4"/>
  <c r="C19" i="4"/>
  <c r="B19" i="4"/>
  <c r="K18" i="4"/>
  <c r="J18" i="4"/>
  <c r="H18" i="4" s="1"/>
  <c r="N18" i="4" s="1"/>
  <c r="I18" i="4"/>
  <c r="F18" i="4"/>
  <c r="E18" i="4"/>
  <c r="C18" i="4"/>
  <c r="B18" i="4"/>
  <c r="M17" i="4"/>
  <c r="L17" i="4"/>
  <c r="K17" i="4"/>
  <c r="J17" i="4"/>
  <c r="H17" i="4" s="1"/>
  <c r="N17" i="4" s="1"/>
  <c r="I17" i="4"/>
  <c r="F17" i="4"/>
  <c r="E20" i="4" s="1"/>
  <c r="C17" i="4"/>
  <c r="B17" i="4"/>
  <c r="K16" i="4"/>
  <c r="J16" i="4"/>
  <c r="H16" i="4" s="1"/>
  <c r="N16" i="4" s="1"/>
  <c r="I16" i="4"/>
  <c r="F16" i="4"/>
  <c r="C16" i="4"/>
  <c r="B16" i="4"/>
  <c r="K15" i="4"/>
  <c r="J15" i="4"/>
  <c r="H15" i="4" s="1"/>
  <c r="N15" i="4" s="1"/>
  <c r="I15" i="4"/>
  <c r="F15" i="4"/>
  <c r="E15" i="4"/>
  <c r="C15" i="4"/>
  <c r="B15" i="4"/>
  <c r="K14" i="4"/>
  <c r="H14" i="4" s="1"/>
  <c r="N14" i="4" s="1"/>
  <c r="J14" i="4"/>
  <c r="I14" i="4"/>
  <c r="F14" i="4"/>
  <c r="C14" i="4"/>
  <c r="B14" i="4"/>
  <c r="K13" i="4"/>
  <c r="J13" i="4"/>
  <c r="I13" i="4"/>
  <c r="H13" i="4"/>
  <c r="N13" i="4" s="1"/>
  <c r="F13" i="4"/>
  <c r="C13" i="4"/>
  <c r="B13" i="4"/>
  <c r="L12" i="4"/>
  <c r="K12" i="4"/>
  <c r="J12" i="4"/>
  <c r="H12" i="4" s="1"/>
  <c r="N12" i="4" s="1"/>
  <c r="I12" i="4"/>
  <c r="F12" i="4"/>
  <c r="E14" i="4" s="1"/>
  <c r="C12" i="4"/>
  <c r="B12" i="4"/>
  <c r="K11" i="4"/>
  <c r="J11" i="4"/>
  <c r="H11" i="4" s="1"/>
  <c r="N11" i="4" s="1"/>
  <c r="I11" i="4"/>
  <c r="F11" i="4"/>
  <c r="C11" i="4"/>
  <c r="B11" i="4"/>
  <c r="K10" i="4"/>
  <c r="H10" i="4" s="1"/>
  <c r="N10" i="4" s="1"/>
  <c r="J10" i="4"/>
  <c r="I10" i="4"/>
  <c r="F10" i="4"/>
  <c r="C10" i="4"/>
  <c r="B10" i="4"/>
  <c r="K9" i="4"/>
  <c r="J9" i="4"/>
  <c r="I9" i="4"/>
  <c r="H9" i="4"/>
  <c r="N9" i="4" s="1"/>
  <c r="F9" i="4"/>
  <c r="C9" i="4"/>
  <c r="B9" i="4"/>
  <c r="K8" i="4"/>
  <c r="J8" i="4"/>
  <c r="H8" i="4" s="1"/>
  <c r="N8" i="4" s="1"/>
  <c r="I8" i="4"/>
  <c r="K22" i="4" s="1"/>
  <c r="E7" i="3" s="1"/>
  <c r="F8" i="4"/>
  <c r="C8" i="4"/>
  <c r="B8" i="4"/>
  <c r="L7" i="4"/>
  <c r="K7" i="4"/>
  <c r="H7" i="4" s="1"/>
  <c r="N7" i="4" s="1"/>
  <c r="J7" i="4"/>
  <c r="I7" i="4"/>
  <c r="J22" i="4" s="1"/>
  <c r="D7" i="3" s="1"/>
  <c r="F7" i="4"/>
  <c r="E10" i="4" s="1"/>
  <c r="C7" i="4"/>
  <c r="B7" i="4"/>
  <c r="D13" i="3"/>
  <c r="G10" i="3"/>
  <c r="C5" i="3"/>
  <c r="C4" i="3"/>
  <c r="N22" i="4" l="1"/>
  <c r="H7" i="3" s="1"/>
  <c r="E34" i="4"/>
  <c r="E36" i="4"/>
  <c r="E35" i="4"/>
  <c r="E33" i="4"/>
  <c r="E8" i="4"/>
  <c r="E16" i="4"/>
  <c r="L22" i="4"/>
  <c r="F7" i="3" s="1"/>
  <c r="E37" i="4"/>
  <c r="N41" i="4"/>
  <c r="N45" i="4"/>
  <c r="N59" i="4"/>
  <c r="N70" i="4"/>
  <c r="N92" i="4"/>
  <c r="E11" i="4"/>
  <c r="E30" i="4"/>
  <c r="E9" i="4"/>
  <c r="E13" i="4"/>
  <c r="M22" i="4"/>
  <c r="G7" i="3" s="1"/>
  <c r="E24" i="4"/>
  <c r="E28" i="4"/>
  <c r="E31" i="4"/>
  <c r="H65" i="4"/>
  <c r="N65" i="4" s="1"/>
  <c r="N99" i="4"/>
  <c r="N117" i="4"/>
  <c r="E177" i="4"/>
  <c r="E173" i="4"/>
  <c r="E176" i="4"/>
  <c r="E172" i="4"/>
  <c r="E179" i="4"/>
  <c r="E175" i="4"/>
  <c r="E174" i="4"/>
  <c r="E178" i="4"/>
  <c r="J102" i="4"/>
  <c r="D8" i="3" s="1"/>
  <c r="M102" i="4"/>
  <c r="G8" i="3" s="1"/>
  <c r="L102" i="4"/>
  <c r="F8" i="3" s="1"/>
  <c r="E25" i="4"/>
  <c r="E29" i="4"/>
  <c r="E32" i="4"/>
  <c r="N35" i="4"/>
  <c r="N102" i="4" s="1"/>
  <c r="H8" i="3" s="1"/>
  <c r="E46" i="4"/>
  <c r="E44" i="4"/>
  <c r="E42" i="4"/>
  <c r="E40" i="4"/>
  <c r="E45" i="4"/>
  <c r="E43" i="4"/>
  <c r="E41" i="4"/>
  <c r="E39" i="4"/>
  <c r="N39" i="4"/>
  <c r="H40" i="4"/>
  <c r="N40" i="4" s="1"/>
  <c r="N43" i="4"/>
  <c r="H44" i="4"/>
  <c r="N44" i="4" s="1"/>
  <c r="E101" i="4"/>
  <c r="E97" i="4"/>
  <c r="E100" i="4"/>
  <c r="E96" i="4"/>
  <c r="E99" i="4"/>
  <c r="K102" i="4"/>
  <c r="E8" i="3" s="1"/>
  <c r="E16" i="3" s="1"/>
  <c r="K153" i="4"/>
  <c r="E9" i="3" s="1"/>
  <c r="J153" i="4"/>
  <c r="D9" i="3" s="1"/>
  <c r="M153" i="4"/>
  <c r="G9" i="3" s="1"/>
  <c r="L153" i="4"/>
  <c r="F9" i="3" s="1"/>
  <c r="N113" i="4"/>
  <c r="N153" i="4" s="1"/>
  <c r="H9" i="3" s="1"/>
  <c r="E59" i="4"/>
  <c r="E61" i="4"/>
  <c r="E64" i="4"/>
  <c r="E67" i="4"/>
  <c r="E70" i="4"/>
  <c r="E74" i="4"/>
  <c r="E76" i="4"/>
  <c r="E79" i="4"/>
  <c r="E88" i="4"/>
  <c r="E113" i="4"/>
  <c r="E117" i="4"/>
  <c r="N125" i="4"/>
  <c r="N128" i="4"/>
  <c r="N157" i="4"/>
  <c r="N170" i="4" s="1"/>
  <c r="H10" i="3" s="1"/>
  <c r="L189" i="4"/>
  <c r="F11" i="3" s="1"/>
  <c r="N185" i="4"/>
  <c r="N203" i="4"/>
  <c r="N244" i="4"/>
  <c r="E48" i="4"/>
  <c r="E50" i="4"/>
  <c r="E52" i="4"/>
  <c r="E54" i="4"/>
  <c r="E60" i="4"/>
  <c r="E62" i="4"/>
  <c r="E71" i="4"/>
  <c r="E85" i="4"/>
  <c r="E89" i="4"/>
  <c r="E93" i="4"/>
  <c r="E106" i="4"/>
  <c r="E114" i="4"/>
  <c r="E118" i="4"/>
  <c r="N122" i="4"/>
  <c r="E138" i="4"/>
  <c r="E134" i="4"/>
  <c r="E139" i="4"/>
  <c r="E135" i="4"/>
  <c r="N135" i="4"/>
  <c r="E137" i="4"/>
  <c r="N148" i="4"/>
  <c r="L170" i="4"/>
  <c r="F10" i="3" s="1"/>
  <c r="N169" i="4"/>
  <c r="N179" i="4"/>
  <c r="E72" i="4"/>
  <c r="E75" i="4"/>
  <c r="E82" i="4"/>
  <c r="E111" i="4"/>
  <c r="E115" i="4"/>
  <c r="E119" i="4"/>
  <c r="H121" i="4"/>
  <c r="N121" i="4" s="1"/>
  <c r="E122" i="4"/>
  <c r="H136" i="4"/>
  <c r="N136" i="4" s="1"/>
  <c r="N189" i="4"/>
  <c r="H11" i="3" s="1"/>
  <c r="N175" i="4"/>
  <c r="N193" i="4"/>
  <c r="N219" i="4" s="1"/>
  <c r="H12" i="3" s="1"/>
  <c r="N201" i="4"/>
  <c r="E157" i="4"/>
  <c r="E163" i="4"/>
  <c r="E169" i="4"/>
  <c r="J170" i="4"/>
  <c r="D10" i="3" s="1"/>
  <c r="D16" i="3" s="1"/>
  <c r="E185" i="4"/>
  <c r="J189" i="4"/>
  <c r="D11" i="3" s="1"/>
  <c r="K219" i="4"/>
  <c r="E12" i="3" s="1"/>
  <c r="J219" i="4"/>
  <c r="D12" i="3" s="1"/>
  <c r="M219" i="4"/>
  <c r="G12" i="3" s="1"/>
  <c r="N207" i="4"/>
  <c r="E231" i="4"/>
  <c r="E230" i="4"/>
  <c r="E229" i="4"/>
  <c r="E228" i="4"/>
  <c r="E227" i="4"/>
  <c r="E226" i="4"/>
  <c r="E225" i="4"/>
  <c r="E224" i="4"/>
  <c r="E223" i="4"/>
  <c r="E222" i="4"/>
  <c r="E221" i="4"/>
  <c r="E129" i="4"/>
  <c r="E150" i="4"/>
  <c r="E151" i="4"/>
  <c r="E158" i="4"/>
  <c r="K170" i="4"/>
  <c r="E10" i="3" s="1"/>
  <c r="E186" i="4"/>
  <c r="K189" i="4"/>
  <c r="E11" i="3" s="1"/>
  <c r="H208" i="4"/>
  <c r="N208" i="4" s="1"/>
  <c r="M305" i="4"/>
  <c r="G13" i="3" s="1"/>
  <c r="N273" i="4"/>
  <c r="J319" i="4"/>
  <c r="D14" i="3" s="1"/>
  <c r="M319" i="4"/>
  <c r="G14" i="3" s="1"/>
  <c r="L319" i="4"/>
  <c r="F14" i="3" s="1"/>
  <c r="N306" i="4"/>
  <c r="N311" i="4"/>
  <c r="H316" i="4"/>
  <c r="N316" i="4" s="1"/>
  <c r="E142" i="4"/>
  <c r="E144" i="4"/>
  <c r="E155" i="4"/>
  <c r="E162" i="4"/>
  <c r="L219" i="4"/>
  <c r="F12" i="3" s="1"/>
  <c r="H220" i="4"/>
  <c r="N220" i="4" s="1"/>
  <c r="N222" i="4"/>
  <c r="N224" i="4"/>
  <c r="N226" i="4"/>
  <c r="N228" i="4"/>
  <c r="N230" i="4"/>
  <c r="H246" i="4"/>
  <c r="N246" i="4" s="1"/>
  <c r="H248" i="4"/>
  <c r="N248" i="4" s="1"/>
  <c r="H250" i="4"/>
  <c r="N250" i="4" s="1"/>
  <c r="H252" i="4"/>
  <c r="N252" i="4" s="1"/>
  <c r="H254" i="4"/>
  <c r="N254" i="4" s="1"/>
  <c r="H271" i="4"/>
  <c r="N271" i="4" s="1"/>
  <c r="N299" i="4"/>
  <c r="H301" i="4"/>
  <c r="N301" i="4" s="1"/>
  <c r="H317" i="4"/>
  <c r="N317" i="4" s="1"/>
  <c r="K319" i="4"/>
  <c r="E14" i="3" s="1"/>
  <c r="E285" i="4"/>
  <c r="E290" i="4"/>
  <c r="E295" i="4"/>
  <c r="E299" i="4"/>
  <c r="K305" i="4"/>
  <c r="E13" i="3" s="1"/>
  <c r="E216" i="4"/>
  <c r="E217" i="4"/>
  <c r="E233" i="4"/>
  <c r="E234" i="4"/>
  <c r="E235" i="4"/>
  <c r="E236" i="4"/>
  <c r="E237" i="4"/>
  <c r="E238" i="4"/>
  <c r="E239" i="4"/>
  <c r="E240" i="4"/>
  <c r="E241" i="4"/>
  <c r="E242" i="4"/>
  <c r="E287" i="4"/>
  <c r="E296" i="4"/>
  <c r="E300" i="4"/>
  <c r="L305" i="4"/>
  <c r="F13" i="3" s="1"/>
  <c r="E314" i="4"/>
  <c r="E315" i="4"/>
  <c r="E316" i="4"/>
  <c r="E317" i="4"/>
  <c r="G16" i="3" l="1"/>
  <c r="N305" i="4"/>
  <c r="H13" i="3" s="1"/>
  <c r="H16" i="3" s="1"/>
  <c r="O1" i="4" s="1"/>
  <c r="F16" i="3"/>
  <c r="N319" i="4"/>
  <c r="H14" i="3" s="1"/>
</calcChain>
</file>

<file path=xl/sharedStrings.xml><?xml version="1.0" encoding="utf-8"?>
<sst xmlns="http://schemas.openxmlformats.org/spreadsheetml/2006/main" count="544" uniqueCount="113">
  <si>
    <t>Table of contents</t>
  </si>
  <si>
    <t>for:</t>
  </si>
  <si>
    <t>Ecole Centrale de Lyon</t>
  </si>
  <si>
    <t>Car # 81</t>
  </si>
  <si>
    <t>Cost Summary</t>
  </si>
  <si>
    <t>BOM</t>
  </si>
  <si>
    <t>Brake System</t>
  </si>
  <si>
    <t xml:space="preserve">Engine and Drivetrain </t>
  </si>
  <si>
    <t xml:space="preserve">Frame &amp; Body </t>
  </si>
  <si>
    <t>Electrical</t>
  </si>
  <si>
    <t xml:space="preserve">Miscellaneous, Finish and Assembly </t>
  </si>
  <si>
    <t xml:space="preserve">Steering System </t>
  </si>
  <si>
    <t xml:space="preserve">Suspension System </t>
  </si>
  <si>
    <t xml:space="preserve">Wheels, Wheel Bearings and Tires </t>
  </si>
  <si>
    <t>Cost Summary Basics</t>
  </si>
  <si>
    <t>Area Totals</t>
  </si>
  <si>
    <t>Materials</t>
  </si>
  <si>
    <t>Processes</t>
  </si>
  <si>
    <t>Fasteners</t>
  </si>
  <si>
    <t>Tooling</t>
  </si>
  <si>
    <t>Total</t>
  </si>
  <si>
    <t>Engine &amp; Drivetrain</t>
  </si>
  <si>
    <t>Frame &amp; Body</t>
  </si>
  <si>
    <t>Miscellaneous, Finish &amp; Assembly</t>
  </si>
  <si>
    <t>Steering System</t>
  </si>
  <si>
    <t>Suspension System</t>
  </si>
  <si>
    <t>Wheels, Wheel Bearings &amp; Tires</t>
  </si>
  <si>
    <t>Total Vehicle</t>
  </si>
  <si>
    <t>Composition for total vehicle:</t>
  </si>
  <si>
    <t>University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</si>
  <si>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</si>
  <si>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</si>
  <si>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</si>
  <si>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</si>
  <si>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</si>
  <si>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</si>
  <si>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</si>
  <si>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</si>
  <si>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</si>
  <si>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</si>
  <si>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</si>
  <si>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</si>
  <si>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</si>
  <si>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</si>
  <si>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</si>
  <si>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</si>
  <si>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</si>
  <si>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</si>
  <si>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</si>
  <si>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</si>
  <si>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</si>
  <si>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</si>
  <si>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</si>
  <si>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EN A0100</t>
  </si>
  <si>
    <t>EN 01001</t>
  </si>
  <si>
    <t>EN 01002</t>
  </si>
  <si>
    <t>EN 01003</t>
  </si>
  <si>
    <t>EN A0300</t>
  </si>
  <si>
    <t>EN 03001</t>
  </si>
  <si>
    <t>EN 03002</t>
  </si>
  <si>
    <t>EN 03003</t>
  </si>
  <si>
    <t>EN 03004</t>
  </si>
  <si>
    <t>EN 03005</t>
  </si>
  <si>
    <t>EN 03006</t>
  </si>
  <si>
    <t>EN 03007</t>
  </si>
  <si>
    <t>EN 03008</t>
  </si>
  <si>
    <t>EN A0400</t>
  </si>
  <si>
    <t>EN 04001</t>
  </si>
  <si>
    <t>EN 04002</t>
  </si>
  <si>
    <t>EN 04003</t>
  </si>
  <si>
    <t>EN 04004</t>
  </si>
  <si>
    <t>EN 04005</t>
  </si>
  <si>
    <t>EN 04006</t>
  </si>
  <si>
    <t>EN 04007</t>
  </si>
  <si>
    <t>EN 04008</t>
  </si>
  <si>
    <t>EN 04009</t>
  </si>
  <si>
    <t>Engine gear boxx drum gear</t>
  </si>
  <si>
    <t>FR 06002</t>
  </si>
  <si>
    <t>Engine gear box shifting pinion shaft</t>
  </si>
  <si>
    <t>FR 06003</t>
  </si>
  <si>
    <t>Engine gear box actator tab</t>
  </si>
  <si>
    <t>FR 06004</t>
  </si>
  <si>
    <t>Front engine gearbox actuator mount</t>
  </si>
  <si>
    <t>FR 06005</t>
  </si>
  <si>
    <t>Rear engine gearbox actuator mount</t>
  </si>
  <si>
    <t>FR 06006</t>
  </si>
  <si>
    <t>Engine gearbox actuator coupling</t>
  </si>
  <si>
    <t>FR 08001</t>
  </si>
  <si>
    <t>FR 08002</t>
  </si>
  <si>
    <t>FR 08003</t>
  </si>
  <si>
    <t>MS 02001</t>
  </si>
  <si>
    <t>Steering Rack</t>
  </si>
  <si>
    <t>Steering Column Assy</t>
  </si>
  <si>
    <t xml:space="preserve">Quick Release </t>
  </si>
  <si>
    <t>Steering Wheel Assy</t>
  </si>
  <si>
    <t>Suspension &amp; Shocks</t>
  </si>
  <si>
    <t>SU A0500</t>
  </si>
  <si>
    <t>Front Bell Cranck</t>
  </si>
  <si>
    <t>Rocker bushing</t>
  </si>
  <si>
    <t>Rocker spacer</t>
  </si>
  <si>
    <t>Sheets of metal for rocker</t>
  </si>
  <si>
    <t>Front rocker mount</t>
  </si>
  <si>
    <t>Rear Bell Cranck</t>
  </si>
  <si>
    <t>Rear rocker mount</t>
  </si>
  <si>
    <t>Rear Pushrod</t>
  </si>
  <si>
    <t>Wheels, Wheel Bearings and Tires</t>
  </si>
  <si>
    <t>WT A0200</t>
  </si>
  <si>
    <t>WT 02001</t>
  </si>
  <si>
    <t>WT 02002</t>
  </si>
  <si>
    <t>WT 02003</t>
  </si>
  <si>
    <t>WT 02004</t>
  </si>
  <si>
    <t>WT 02005</t>
  </si>
  <si>
    <t>WT A0300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</si>
</sst>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$-409]* #,##0.00_ ;_-[$$-409]* \-#,##0.00\ ;_-[$$-409]* &quot;-&quot;??_ ;_-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i/>
      <sz val="22"/>
      <name val="Arial"/>
      <family val="2"/>
    </font>
    <font>
      <b/>
      <i/>
      <sz val="16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6"/>
      <color theme="10"/>
      <name val="Arial Rounded MT Bold"/>
      <family val="2"/>
    </font>
    <font>
      <sz val="16"/>
      <color theme="1"/>
      <name val="Arial Rounded MT Bold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9"/>
      <name val="Arial"/>
      <family val="2"/>
    </font>
    <font>
      <b/>
      <sz val="11"/>
      <color theme="0"/>
      <name val="Calibri"/>
      <family val="2"/>
    </font>
    <font>
      <b/>
      <i/>
      <sz val="10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7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rgb="FF0000FF"/>
      <name val="Calibri"/>
      <family val="2"/>
      <scheme val="minor"/>
    </font>
    <font>
      <sz val="11"/>
      <color rgb="FF000000"/>
      <name val="Arial"/>
      <family val="2"/>
    </font>
    <font>
      <b/>
      <sz val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CC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7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380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4" fillId="0" borderId="0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center" vertical="top" wrapText="1"/>
    </xf>
    <xf numFmtId="0" fontId="4" fillId="0" borderId="0" xfId="2" applyFont="1" applyAlignment="1">
      <alignment vertical="top" wrapText="1"/>
    </xf>
    <xf numFmtId="0" fontId="5" fillId="0" borderId="0" xfId="2" applyFont="1" applyBorder="1" applyAlignment="1">
      <alignment horizontal="center" vertical="top" wrapText="1"/>
    </xf>
    <xf numFmtId="0" fontId="5" fillId="0" borderId="5" xfId="2" applyFont="1" applyBorder="1" applyAlignment="1">
      <alignment horizontal="center" vertical="top" wrapText="1"/>
    </xf>
    <xf numFmtId="0" fontId="5" fillId="0" borderId="0" xfId="2" applyFont="1" applyAlignment="1">
      <alignment horizontal="center" vertical="top" wrapText="1"/>
    </xf>
    <xf numFmtId="0" fontId="3" fillId="0" borderId="0" xfId="2" applyBorder="1" applyAlignment="1">
      <alignment horizontal="right"/>
    </xf>
    <xf numFmtId="0" fontId="6" fillId="0" borderId="0" xfId="2" applyFont="1" applyFill="1" applyBorder="1" applyAlignment="1">
      <alignment horizontal="center" wrapText="1"/>
    </xf>
    <xf numFmtId="0" fontId="3" fillId="0" borderId="0" xfId="2" applyBorder="1"/>
    <xf numFmtId="0" fontId="7" fillId="0" borderId="0" xfId="3"/>
    <xf numFmtId="0" fontId="7" fillId="0" borderId="4" xfId="3" applyBorder="1"/>
    <xf numFmtId="0" fontId="8" fillId="0" borderId="6" xfId="3" applyFont="1" applyBorder="1" applyAlignment="1">
      <alignment horizontal="left" vertical="center"/>
    </xf>
    <xf numFmtId="0" fontId="8" fillId="0" borderId="7" xfId="3" applyFont="1" applyBorder="1" applyAlignment="1">
      <alignment horizontal="left" vertical="center"/>
    </xf>
    <xf numFmtId="0" fontId="8" fillId="0" borderId="8" xfId="3" applyFont="1" applyBorder="1" applyAlignment="1">
      <alignment horizontal="left" vertical="center"/>
    </xf>
    <xf numFmtId="0" fontId="9" fillId="0" borderId="9" xfId="1" applyFont="1" applyBorder="1" applyAlignment="1">
      <alignment vertical="center"/>
    </xf>
    <xf numFmtId="0" fontId="7" fillId="0" borderId="0" xfId="3" applyBorder="1"/>
    <xf numFmtId="0" fontId="7" fillId="0" borderId="5" xfId="3" applyBorder="1"/>
    <xf numFmtId="0" fontId="1" fillId="0" borderId="0" xfId="1" applyBorder="1"/>
    <xf numFmtId="0" fontId="1" fillId="0" borderId="5" xfId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5" fillId="0" borderId="0" xfId="2" applyFont="1" applyAlignment="1">
      <alignment horizontal="center" vertical="top" wrapText="1"/>
    </xf>
    <xf numFmtId="0" fontId="3" fillId="0" borderId="0" xfId="2"/>
    <xf numFmtId="0" fontId="3" fillId="0" borderId="0" xfId="2" applyAlignment="1">
      <alignment horizontal="right"/>
    </xf>
    <xf numFmtId="0" fontId="10" fillId="0" borderId="0" xfId="2" applyFont="1" applyAlignment="1">
      <alignment horizontal="center" wrapText="1"/>
    </xf>
    <xf numFmtId="0" fontId="3" fillId="0" borderId="0" xfId="2" applyAlignment="1">
      <alignment horizontal="center" vertical="top"/>
    </xf>
    <xf numFmtId="0" fontId="10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center" wrapText="1"/>
    </xf>
    <xf numFmtId="0" fontId="12" fillId="2" borderId="0" xfId="2" applyFont="1" applyFill="1" applyBorder="1" applyProtection="1">
      <protection locked="0"/>
    </xf>
    <xf numFmtId="0" fontId="3" fillId="3" borderId="0" xfId="2" applyFill="1" applyBorder="1"/>
    <xf numFmtId="164" fontId="13" fillId="3" borderId="0" xfId="4" applyFont="1" applyFill="1" applyBorder="1"/>
    <xf numFmtId="0" fontId="3" fillId="4" borderId="0" xfId="2" applyFill="1"/>
    <xf numFmtId="164" fontId="13" fillId="4" borderId="0" xfId="5" applyFont="1" applyFill="1"/>
    <xf numFmtId="0" fontId="3" fillId="5" borderId="0" xfId="2" applyFill="1"/>
    <xf numFmtId="164" fontId="13" fillId="5" borderId="0" xfId="5" applyFont="1" applyFill="1"/>
    <xf numFmtId="0" fontId="3" fillId="6" borderId="0" xfId="2" applyFill="1"/>
    <xf numFmtId="164" fontId="13" fillId="6" borderId="0" xfId="5" applyFont="1" applyFill="1"/>
    <xf numFmtId="0" fontId="3" fillId="7" borderId="0" xfId="2" applyFont="1" applyFill="1" applyBorder="1" applyProtection="1">
      <protection locked="0"/>
    </xf>
    <xf numFmtId="0" fontId="3" fillId="8" borderId="0" xfId="2" applyFont="1" applyFill="1" applyBorder="1" applyProtection="1">
      <protection locked="0"/>
    </xf>
    <xf numFmtId="164" fontId="14" fillId="8" borderId="0" xfId="5" applyFont="1" applyFill="1"/>
    <xf numFmtId="0" fontId="15" fillId="9" borderId="0" xfId="2" applyFont="1" applyFill="1" applyBorder="1" applyProtection="1">
      <protection locked="0"/>
    </xf>
    <xf numFmtId="0" fontId="16" fillId="10" borderId="0" xfId="2" applyFont="1" applyFill="1" applyBorder="1" applyProtection="1">
      <protection locked="0"/>
    </xf>
    <xf numFmtId="164" fontId="14" fillId="9" borderId="0" xfId="5" applyFont="1" applyFill="1"/>
    <xf numFmtId="0" fontId="3" fillId="11" borderId="0" xfId="2" applyFill="1"/>
    <xf numFmtId="164" fontId="13" fillId="11" borderId="0" xfId="5" applyFont="1" applyFill="1"/>
    <xf numFmtId="0" fontId="3" fillId="12" borderId="0" xfId="2" applyFill="1"/>
    <xf numFmtId="164" fontId="13" fillId="12" borderId="0" xfId="5" applyFont="1" applyFill="1"/>
    <xf numFmtId="0" fontId="17" fillId="13" borderId="0" xfId="2" applyFont="1" applyFill="1"/>
    <xf numFmtId="164" fontId="17" fillId="13" borderId="13" xfId="4" applyFont="1" applyFill="1" applyBorder="1"/>
    <xf numFmtId="164" fontId="3" fillId="0" borderId="0" xfId="2" applyNumberFormat="1"/>
    <xf numFmtId="0" fontId="18" fillId="14" borderId="14" xfId="6" applyFont="1" applyFill="1" applyBorder="1"/>
    <xf numFmtId="0" fontId="1" fillId="15" borderId="15" xfId="6" applyFont="1" applyFill="1" applyBorder="1"/>
    <xf numFmtId="0" fontId="10" fillId="0" borderId="0" xfId="2" applyFont="1"/>
    <xf numFmtId="0" fontId="19" fillId="0" borderId="0" xfId="2" applyFont="1"/>
    <xf numFmtId="0" fontId="11" fillId="0" borderId="0" xfId="2" applyFont="1"/>
    <xf numFmtId="165" fontId="10" fillId="0" borderId="0" xfId="7" applyFont="1"/>
    <xf numFmtId="0" fontId="18" fillId="16" borderId="0" xfId="6" applyFont="1" applyFill="1" applyBorder="1" applyAlignment="1"/>
    <xf numFmtId="0" fontId="20" fillId="16" borderId="0" xfId="6" applyFont="1" applyFill="1" applyBorder="1" applyAlignment="1"/>
    <xf numFmtId="2" fontId="1" fillId="17" borderId="16" xfId="6" quotePrefix="1" applyNumberFormat="1" applyFill="1" applyBorder="1" applyAlignment="1">
      <alignment horizontal="right"/>
    </xf>
    <xf numFmtId="0" fontId="3" fillId="0" borderId="0" xfId="2" applyFont="1"/>
    <xf numFmtId="0" fontId="18" fillId="14" borderId="17" xfId="6" applyFont="1" applyFill="1" applyBorder="1"/>
    <xf numFmtId="0" fontId="1" fillId="15" borderId="18" xfId="6" applyFont="1" applyFill="1" applyBorder="1"/>
    <xf numFmtId="0" fontId="1" fillId="0" borderId="0" xfId="6" applyBorder="1"/>
    <xf numFmtId="0" fontId="1" fillId="0" borderId="0" xfId="6"/>
    <xf numFmtId="0" fontId="1" fillId="0" borderId="0" xfId="6" applyFont="1"/>
    <xf numFmtId="0" fontId="18" fillId="14" borderId="19" xfId="6" applyFont="1" applyFill="1" applyBorder="1"/>
    <xf numFmtId="0" fontId="1" fillId="15" borderId="18" xfId="6" quotePrefix="1" applyFill="1" applyBorder="1" applyAlignment="1">
      <alignment horizontal="left"/>
    </xf>
    <xf numFmtId="0" fontId="18" fillId="14" borderId="20" xfId="6" applyFont="1" applyFill="1" applyBorder="1"/>
    <xf numFmtId="0" fontId="1" fillId="15" borderId="18" xfId="6" quotePrefix="1" applyFont="1" applyFill="1" applyBorder="1" applyAlignment="1">
      <alignment horizontal="left"/>
    </xf>
    <xf numFmtId="0" fontId="20" fillId="0" borderId="0" xfId="6" applyFont="1" applyFill="1" applyBorder="1"/>
    <xf numFmtId="0" fontId="1" fillId="0" borderId="0" xfId="6" applyFont="1" applyFill="1" applyBorder="1"/>
    <xf numFmtId="0" fontId="1" fillId="0" borderId="0" xfId="6" applyFill="1" applyBorder="1"/>
    <xf numFmtId="0" fontId="1" fillId="0" borderId="0" xfId="6" applyFill="1"/>
    <xf numFmtId="0" fontId="1" fillId="0" borderId="0" xfId="6" applyFont="1" applyFill="1"/>
    <xf numFmtId="0" fontId="21" fillId="0" borderId="0" xfId="2" applyFont="1" applyAlignment="1">
      <alignment horizontal="center"/>
    </xf>
    <xf numFmtId="0" fontId="21" fillId="0" borderId="21" xfId="2" applyFont="1" applyBorder="1" applyAlignment="1">
      <alignment horizontal="center" wrapText="1"/>
    </xf>
    <xf numFmtId="165" fontId="21" fillId="0" borderId="21" xfId="7" applyFont="1" applyBorder="1" applyAlignment="1">
      <alignment horizontal="center" wrapText="1"/>
    </xf>
    <xf numFmtId="2" fontId="21" fillId="0" borderId="21" xfId="2" applyNumberFormat="1" applyFont="1" applyBorder="1" applyAlignment="1">
      <alignment horizontal="center" wrapText="1"/>
    </xf>
    <xf numFmtId="0" fontId="22" fillId="0" borderId="0" xfId="2" applyFont="1"/>
    <xf numFmtId="0" fontId="12" fillId="18" borderId="9" xfId="2" applyFont="1" applyFill="1" applyBorder="1" applyProtection="1">
      <protection locked="0"/>
    </xf>
    <xf numFmtId="0" fontId="12" fillId="18" borderId="9" xfId="2" applyFont="1" applyFill="1" applyBorder="1" applyAlignment="1">
      <alignment horizontal="left"/>
    </xf>
    <xf numFmtId="18" fontId="12" fillId="18" borderId="9" xfId="2" applyNumberFormat="1" applyFont="1" applyFill="1" applyBorder="1" applyAlignment="1" applyProtection="1">
      <protection locked="0"/>
    </xf>
    <xf numFmtId="0" fontId="23" fillId="18" borderId="9" xfId="8" applyFill="1" applyBorder="1" applyAlignment="1">
      <alignment horizontal="left"/>
    </xf>
    <xf numFmtId="166" fontId="12" fillId="18" borderId="9" xfId="7" applyNumberFormat="1" applyFont="1" applyFill="1" applyBorder="1" applyProtection="1">
      <protection locked="0"/>
    </xf>
    <xf numFmtId="37" fontId="12" fillId="18" borderId="9" xfId="2" applyNumberFormat="1" applyFont="1" applyFill="1" applyBorder="1" applyAlignment="1" applyProtection="1">
      <alignment horizontal="center"/>
      <protection locked="0"/>
    </xf>
    <xf numFmtId="166" fontId="12" fillId="18" borderId="9" xfId="2" applyNumberFormat="1" applyFont="1" applyFill="1" applyBorder="1" applyAlignment="1" applyProtection="1">
      <alignment horizontal="center"/>
      <protection locked="0"/>
    </xf>
    <xf numFmtId="166" fontId="12" fillId="18" borderId="9" xfId="2" applyNumberFormat="1" applyFont="1" applyFill="1" applyBorder="1" applyAlignment="1">
      <alignment horizontal="right"/>
    </xf>
    <xf numFmtId="0" fontId="12" fillId="18" borderId="9" xfId="2" applyFont="1" applyFill="1" applyBorder="1" applyAlignment="1">
      <alignment horizontal="center"/>
    </xf>
    <xf numFmtId="0" fontId="12" fillId="3" borderId="9" xfId="2" applyFont="1" applyFill="1" applyBorder="1" applyProtection="1">
      <protection locked="0"/>
    </xf>
    <xf numFmtId="0" fontId="12" fillId="3" borderId="9" xfId="2" applyFont="1" applyFill="1" applyBorder="1" applyAlignment="1">
      <alignment horizontal="left"/>
    </xf>
    <xf numFmtId="18" fontId="12" fillId="3" borderId="9" xfId="2" applyNumberFormat="1" applyFont="1" applyFill="1" applyBorder="1" applyAlignment="1" applyProtection="1">
      <alignment horizontal="right"/>
      <protection locked="0"/>
    </xf>
    <xf numFmtId="18" fontId="12" fillId="3" borderId="9" xfId="2" applyNumberFormat="1" applyFont="1" applyFill="1" applyBorder="1" applyAlignment="1" applyProtection="1">
      <protection locked="0"/>
    </xf>
    <xf numFmtId="0" fontId="23" fillId="3" borderId="0" xfId="8" applyFill="1"/>
    <xf numFmtId="166" fontId="12" fillId="3" borderId="9" xfId="7" applyNumberFormat="1" applyFont="1" applyFill="1" applyBorder="1" applyProtection="1">
      <protection locked="0"/>
    </xf>
    <xf numFmtId="37" fontId="12" fillId="3" borderId="9" xfId="2" applyNumberFormat="1" applyFont="1" applyFill="1" applyBorder="1" applyAlignment="1" applyProtection="1">
      <alignment horizontal="center"/>
      <protection locked="0"/>
    </xf>
    <xf numFmtId="166" fontId="12" fillId="3" borderId="9" xfId="2" applyNumberFormat="1" applyFont="1" applyFill="1" applyBorder="1" applyAlignment="1" applyProtection="1">
      <alignment horizontal="center"/>
      <protection locked="0"/>
    </xf>
    <xf numFmtId="166" fontId="12" fillId="3" borderId="9" xfId="2" applyNumberFormat="1" applyFont="1" applyFill="1" applyBorder="1" applyAlignment="1">
      <alignment horizontal="right"/>
    </xf>
    <xf numFmtId="0" fontId="12" fillId="3" borderId="9" xfId="2" applyFont="1" applyFill="1" applyBorder="1" applyAlignment="1">
      <alignment horizontal="center"/>
    </xf>
    <xf numFmtId="0" fontId="23" fillId="3" borderId="9" xfId="8" applyFill="1" applyBorder="1" applyAlignment="1">
      <alignment horizontal="left"/>
    </xf>
    <xf numFmtId="0" fontId="23" fillId="18" borderId="0" xfId="8" applyFill="1"/>
    <xf numFmtId="0" fontId="23" fillId="3" borderId="9" xfId="8" applyFill="1" applyBorder="1"/>
    <xf numFmtId="0" fontId="12" fillId="0" borderId="22" xfId="2" applyFont="1" applyFill="1" applyBorder="1" applyProtection="1">
      <protection locked="0"/>
    </xf>
    <xf numFmtId="0" fontId="12" fillId="0" borderId="22" xfId="2" applyFont="1" applyFill="1" applyBorder="1" applyAlignment="1">
      <alignment horizontal="left"/>
    </xf>
    <xf numFmtId="18" fontId="12" fillId="0" borderId="22" xfId="2" applyNumberFormat="1" applyFont="1" applyFill="1" applyBorder="1" applyAlignment="1" applyProtection="1">
      <protection locked="0"/>
    </xf>
    <xf numFmtId="165" fontId="12" fillId="0" borderId="22" xfId="7" applyFont="1" applyFill="1" applyBorder="1" applyProtection="1">
      <protection locked="0"/>
    </xf>
    <xf numFmtId="0" fontId="12" fillId="0" borderId="22" xfId="2" applyFont="1" applyFill="1" applyBorder="1" applyAlignment="1" applyProtection="1">
      <alignment horizontal="center"/>
      <protection locked="0"/>
    </xf>
    <xf numFmtId="166" fontId="12" fillId="0" borderId="22" xfId="2" applyNumberFormat="1" applyFont="1" applyFill="1" applyBorder="1" applyAlignment="1">
      <alignment horizontal="right"/>
    </xf>
    <xf numFmtId="0" fontId="12" fillId="0" borderId="22" xfId="2" applyFont="1" applyFill="1" applyBorder="1" applyAlignment="1">
      <alignment horizontal="center"/>
    </xf>
    <xf numFmtId="0" fontId="3" fillId="0" borderId="0" xfId="2" applyFont="1" applyFill="1"/>
    <xf numFmtId="0" fontId="12" fillId="4" borderId="9" xfId="2" applyFont="1" applyFill="1" applyBorder="1" applyProtection="1">
      <protection locked="0"/>
    </xf>
    <xf numFmtId="0" fontId="12" fillId="19" borderId="9" xfId="2" applyFont="1" applyFill="1" applyBorder="1" applyAlignment="1">
      <alignment horizontal="left"/>
    </xf>
    <xf numFmtId="18" fontId="12" fillId="19" borderId="9" xfId="2" applyNumberFormat="1" applyFont="1" applyFill="1" applyBorder="1" applyAlignment="1" applyProtection="1">
      <alignment horizontal="left"/>
      <protection locked="0"/>
    </xf>
    <xf numFmtId="18" fontId="12" fillId="19" borderId="9" xfId="2" applyNumberFormat="1" applyFont="1" applyFill="1" applyBorder="1" applyAlignment="1" applyProtection="1">
      <protection locked="0"/>
    </xf>
    <xf numFmtId="0" fontId="23" fillId="19" borderId="9" xfId="8" applyFill="1" applyBorder="1" applyAlignment="1">
      <alignment horizontal="left"/>
    </xf>
    <xf numFmtId="166" fontId="12" fillId="19" borderId="9" xfId="7" applyNumberFormat="1" applyFont="1" applyFill="1" applyBorder="1" applyProtection="1">
      <protection locked="0"/>
    </xf>
    <xf numFmtId="37" fontId="12" fillId="19" borderId="9" xfId="2" applyNumberFormat="1" applyFont="1" applyFill="1" applyBorder="1" applyAlignment="1" applyProtection="1">
      <alignment horizontal="center"/>
      <protection locked="0"/>
    </xf>
    <xf numFmtId="166" fontId="12" fillId="19" borderId="9" xfId="2" applyNumberFormat="1" applyFont="1" applyFill="1" applyBorder="1" applyAlignment="1">
      <alignment horizontal="right"/>
    </xf>
    <xf numFmtId="0" fontId="12" fillId="19" borderId="9" xfId="2" applyFont="1" applyFill="1" applyBorder="1" applyAlignment="1">
      <alignment horizontal="center"/>
    </xf>
    <xf numFmtId="0" fontId="12" fillId="20" borderId="9" xfId="2" applyFont="1" applyFill="1" applyBorder="1" applyProtection="1">
      <protection locked="0"/>
    </xf>
    <xf numFmtId="0" fontId="12" fillId="20" borderId="9" xfId="2" applyFont="1" applyFill="1" applyBorder="1" applyAlignment="1">
      <alignment horizontal="left"/>
    </xf>
    <xf numFmtId="18" fontId="12" fillId="20" borderId="9" xfId="2" applyNumberFormat="1" applyFont="1" applyFill="1" applyBorder="1" applyAlignment="1" applyProtection="1">
      <alignment horizontal="right"/>
      <protection locked="0"/>
    </xf>
    <xf numFmtId="18" fontId="12" fillId="20" borderId="9" xfId="2" applyNumberFormat="1" applyFont="1" applyFill="1" applyBorder="1" applyAlignment="1" applyProtection="1">
      <protection locked="0"/>
    </xf>
    <xf numFmtId="0" fontId="23" fillId="20" borderId="9" xfId="8" applyFill="1" applyBorder="1" applyAlignment="1">
      <alignment horizontal="left"/>
    </xf>
    <xf numFmtId="166" fontId="12" fillId="20" borderId="9" xfId="7" applyNumberFormat="1" applyFont="1" applyFill="1" applyBorder="1" applyProtection="1">
      <protection locked="0"/>
    </xf>
    <xf numFmtId="37" fontId="12" fillId="21" borderId="9" xfId="2" applyNumberFormat="1" applyFont="1" applyFill="1" applyBorder="1" applyAlignment="1" applyProtection="1">
      <alignment horizontal="center"/>
      <protection locked="0"/>
    </xf>
    <xf numFmtId="166" fontId="12" fillId="21" borderId="9" xfId="2" applyNumberFormat="1" applyFont="1" applyFill="1" applyBorder="1" applyAlignment="1" applyProtection="1">
      <alignment horizontal="center"/>
      <protection locked="0"/>
    </xf>
    <xf numFmtId="166" fontId="12" fillId="21" borderId="9" xfId="2" applyNumberFormat="1" applyFont="1" applyFill="1" applyBorder="1" applyAlignment="1">
      <alignment horizontal="right"/>
    </xf>
    <xf numFmtId="0" fontId="12" fillId="20" borderId="9" xfId="2" applyFont="1" applyFill="1" applyBorder="1" applyAlignment="1">
      <alignment horizontal="center"/>
    </xf>
    <xf numFmtId="0" fontId="12" fillId="20" borderId="0" xfId="2" applyFont="1" applyFill="1" applyAlignment="1">
      <alignment horizontal="center"/>
    </xf>
    <xf numFmtId="0" fontId="23" fillId="20" borderId="21" xfId="8" applyFill="1" applyBorder="1" applyAlignment="1">
      <alignment horizontal="left" wrapText="1"/>
    </xf>
    <xf numFmtId="0" fontId="12" fillId="20" borderId="21" xfId="2" applyFont="1" applyFill="1" applyBorder="1" applyAlignment="1">
      <alignment horizontal="center" wrapText="1"/>
    </xf>
    <xf numFmtId="0" fontId="12" fillId="19" borderId="9" xfId="2" applyFont="1" applyFill="1" applyBorder="1" applyProtection="1">
      <protection locked="0"/>
    </xf>
    <xf numFmtId="166" fontId="12" fillId="19" borderId="9" xfId="2" applyNumberFormat="1" applyFont="1" applyFill="1" applyBorder="1" applyAlignment="1" applyProtection="1">
      <alignment horizontal="center"/>
      <protection locked="0"/>
    </xf>
    <xf numFmtId="0" fontId="12" fillId="21" borderId="9" xfId="2" applyFont="1" applyFill="1" applyBorder="1" applyProtection="1">
      <protection locked="0"/>
    </xf>
    <xf numFmtId="0" fontId="12" fillId="21" borderId="9" xfId="2" applyFont="1" applyFill="1" applyBorder="1" applyAlignment="1">
      <alignment horizontal="left"/>
    </xf>
    <xf numFmtId="18" fontId="12" fillId="21" borderId="9" xfId="2" applyNumberFormat="1" applyFont="1" applyFill="1" applyBorder="1" applyAlignment="1" applyProtection="1">
      <alignment horizontal="right"/>
      <protection locked="0"/>
    </xf>
    <xf numFmtId="18" fontId="12" fillId="21" borderId="9" xfId="2" applyNumberFormat="1" applyFont="1" applyFill="1" applyBorder="1" applyAlignment="1" applyProtection="1">
      <protection locked="0"/>
    </xf>
    <xf numFmtId="0" fontId="23" fillId="21" borderId="9" xfId="8" applyFill="1" applyBorder="1" applyAlignment="1">
      <alignment horizontal="left"/>
    </xf>
    <xf numFmtId="166" fontId="12" fillId="21" borderId="9" xfId="7" applyNumberFormat="1" applyFont="1" applyFill="1" applyBorder="1" applyProtection="1">
      <protection locked="0"/>
    </xf>
    <xf numFmtId="0" fontId="12" fillId="21" borderId="9" xfId="2" applyFont="1" applyFill="1" applyBorder="1" applyAlignment="1">
      <alignment horizontal="center"/>
    </xf>
    <xf numFmtId="11" fontId="12" fillId="21" borderId="9" xfId="2" applyNumberFormat="1" applyFont="1" applyFill="1" applyBorder="1" applyAlignment="1" applyProtection="1">
      <protection locked="0"/>
    </xf>
    <xf numFmtId="0" fontId="12" fillId="21" borderId="21" xfId="2" applyFont="1" applyFill="1" applyBorder="1" applyProtection="1">
      <protection locked="0"/>
    </xf>
    <xf numFmtId="0" fontId="12" fillId="21" borderId="21" xfId="2" applyFont="1" applyFill="1" applyBorder="1" applyAlignment="1">
      <alignment horizontal="left"/>
    </xf>
    <xf numFmtId="18" fontId="12" fillId="21" borderId="21" xfId="2" applyNumberFormat="1" applyFont="1" applyFill="1" applyBorder="1" applyAlignment="1" applyProtection="1">
      <alignment horizontal="right"/>
      <protection locked="0"/>
    </xf>
    <xf numFmtId="18" fontId="12" fillId="21" borderId="21" xfId="2" applyNumberFormat="1" applyFont="1" applyFill="1" applyBorder="1" applyAlignment="1" applyProtection="1">
      <protection locked="0"/>
    </xf>
    <xf numFmtId="0" fontId="23" fillId="21" borderId="21" xfId="8" applyFill="1" applyBorder="1" applyAlignment="1">
      <alignment horizontal="left"/>
    </xf>
    <xf numFmtId="166" fontId="12" fillId="21" borderId="21" xfId="7" applyNumberFormat="1" applyFont="1" applyFill="1" applyBorder="1" applyProtection="1">
      <protection locked="0"/>
    </xf>
    <xf numFmtId="37" fontId="12" fillId="21" borderId="21" xfId="2" applyNumberFormat="1" applyFont="1" applyFill="1" applyBorder="1" applyAlignment="1" applyProtection="1">
      <alignment horizontal="center"/>
      <protection locked="0"/>
    </xf>
    <xf numFmtId="166" fontId="12" fillId="21" borderId="21" xfId="2" applyNumberFormat="1" applyFont="1" applyFill="1" applyBorder="1" applyAlignment="1" applyProtection="1">
      <alignment horizontal="center"/>
      <protection locked="0"/>
    </xf>
    <xf numFmtId="166" fontId="12" fillId="21" borderId="21" xfId="2" applyNumberFormat="1" applyFont="1" applyFill="1" applyBorder="1" applyAlignment="1">
      <alignment horizontal="right"/>
    </xf>
    <xf numFmtId="0" fontId="12" fillId="21" borderId="21" xfId="2" applyFont="1" applyFill="1" applyBorder="1" applyAlignment="1">
      <alignment horizontal="center"/>
    </xf>
    <xf numFmtId="0" fontId="12" fillId="4" borderId="9" xfId="2" applyFont="1" applyFill="1" applyBorder="1" applyAlignment="1">
      <alignment horizontal="left"/>
    </xf>
    <xf numFmtId="18" fontId="12" fillId="4" borderId="9" xfId="2" applyNumberFormat="1" applyFont="1" applyFill="1" applyBorder="1" applyAlignment="1" applyProtection="1">
      <alignment horizontal="left"/>
      <protection locked="0"/>
    </xf>
    <xf numFmtId="18" fontId="12" fillId="4" borderId="9" xfId="2" applyNumberFormat="1" applyFont="1" applyFill="1" applyBorder="1" applyAlignment="1" applyProtection="1">
      <protection locked="0"/>
    </xf>
    <xf numFmtId="0" fontId="23" fillId="4" borderId="9" xfId="8" applyFill="1" applyBorder="1" applyAlignment="1">
      <alignment horizontal="left"/>
    </xf>
    <xf numFmtId="166" fontId="12" fillId="4" borderId="9" xfId="7" applyNumberFormat="1" applyFont="1" applyFill="1" applyBorder="1" applyProtection="1">
      <protection locked="0"/>
    </xf>
    <xf numFmtId="166" fontId="12" fillId="4" borderId="9" xfId="2" applyNumberFormat="1" applyFont="1" applyFill="1" applyBorder="1" applyAlignment="1" applyProtection="1">
      <alignment horizontal="center"/>
      <protection locked="0"/>
    </xf>
    <xf numFmtId="166" fontId="12" fillId="4" borderId="9" xfId="2" applyNumberFormat="1" applyFont="1" applyFill="1" applyBorder="1" applyAlignment="1">
      <alignment horizontal="right"/>
    </xf>
    <xf numFmtId="0" fontId="12" fillId="4" borderId="9" xfId="2" applyFont="1" applyFill="1" applyBorder="1" applyAlignment="1">
      <alignment horizontal="center"/>
    </xf>
    <xf numFmtId="37" fontId="12" fillId="4" borderId="9" xfId="2" applyNumberFormat="1" applyFont="1" applyFill="1" applyBorder="1" applyAlignment="1" applyProtection="1">
      <alignment horizontal="center"/>
      <protection locked="0"/>
    </xf>
    <xf numFmtId="0" fontId="12" fillId="21" borderId="23" xfId="2" applyFont="1" applyFill="1" applyBorder="1" applyProtection="1">
      <protection locked="0"/>
    </xf>
    <xf numFmtId="18" fontId="12" fillId="21" borderId="24" xfId="2" applyNumberFormat="1" applyFont="1" applyFill="1" applyBorder="1" applyAlignment="1" applyProtection="1">
      <alignment horizontal="right"/>
      <protection locked="0"/>
    </xf>
    <xf numFmtId="18" fontId="12" fillId="21" borderId="24" xfId="2" applyNumberFormat="1" applyFont="1" applyFill="1" applyBorder="1" applyAlignment="1" applyProtection="1">
      <protection locked="0"/>
    </xf>
    <xf numFmtId="0" fontId="23" fillId="21" borderId="24" xfId="8" applyFill="1" applyBorder="1" applyAlignment="1">
      <alignment horizontal="left"/>
    </xf>
    <xf numFmtId="166" fontId="12" fillId="19" borderId="21" xfId="7" applyNumberFormat="1" applyFont="1" applyFill="1" applyBorder="1" applyProtection="1">
      <protection locked="0"/>
    </xf>
    <xf numFmtId="166" fontId="12" fillId="19" borderId="21" xfId="2" applyNumberFormat="1" applyFont="1" applyFill="1" applyBorder="1" applyAlignment="1">
      <alignment horizontal="right"/>
    </xf>
    <xf numFmtId="0" fontId="12" fillId="21" borderId="25" xfId="2" applyFont="1" applyFill="1" applyBorder="1" applyAlignment="1">
      <alignment horizontal="center"/>
    </xf>
    <xf numFmtId="0" fontId="12" fillId="0" borderId="26" xfId="2" applyFont="1" applyFill="1" applyBorder="1" applyProtection="1">
      <protection locked="0"/>
    </xf>
    <xf numFmtId="0" fontId="12" fillId="0" borderId="27" xfId="2" applyFont="1" applyFill="1" applyBorder="1" applyAlignment="1">
      <alignment horizontal="left"/>
    </xf>
    <xf numFmtId="18" fontId="12" fillId="0" borderId="27" xfId="2" applyNumberFormat="1" applyFont="1" applyFill="1" applyBorder="1" applyAlignment="1" applyProtection="1">
      <protection locked="0"/>
    </xf>
    <xf numFmtId="165" fontId="12" fillId="0" borderId="27" xfId="7" applyFont="1" applyFill="1" applyBorder="1" applyProtection="1">
      <protection locked="0"/>
    </xf>
    <xf numFmtId="0" fontId="12" fillId="0" borderId="27" xfId="2" applyFont="1" applyFill="1" applyBorder="1" applyAlignment="1" applyProtection="1">
      <alignment horizontal="center"/>
      <protection locked="0"/>
    </xf>
    <xf numFmtId="166" fontId="12" fillId="0" borderId="27" xfId="2" applyNumberFormat="1" applyFont="1" applyFill="1" applyBorder="1" applyAlignment="1">
      <alignment horizontal="right"/>
    </xf>
    <xf numFmtId="0" fontId="12" fillId="0" borderId="28" xfId="2" applyFont="1" applyFill="1" applyBorder="1" applyAlignment="1">
      <alignment horizontal="center"/>
    </xf>
    <xf numFmtId="0" fontId="12" fillId="5" borderId="9" xfId="2" applyFont="1" applyFill="1" applyBorder="1" applyProtection="1">
      <protection locked="0"/>
    </xf>
    <xf numFmtId="0" fontId="12" fillId="5" borderId="9" xfId="2" applyFont="1" applyFill="1" applyBorder="1" applyAlignment="1">
      <alignment horizontal="left"/>
    </xf>
    <xf numFmtId="18" fontId="12" fillId="5" borderId="9" xfId="2" applyNumberFormat="1" applyFont="1" applyFill="1" applyBorder="1" applyAlignment="1" applyProtection="1">
      <protection locked="0"/>
    </xf>
    <xf numFmtId="0" fontId="7" fillId="5" borderId="9" xfId="3" applyFill="1" applyBorder="1" applyAlignment="1">
      <alignment horizontal="left"/>
    </xf>
    <xf numFmtId="166" fontId="12" fillId="5" borderId="9" xfId="7" applyNumberFormat="1" applyFont="1" applyFill="1" applyBorder="1" applyProtection="1">
      <protection locked="0"/>
    </xf>
    <xf numFmtId="37" fontId="12" fillId="5" borderId="9" xfId="2" applyNumberFormat="1" applyFont="1" applyFill="1" applyBorder="1" applyAlignment="1" applyProtection="1">
      <alignment horizontal="center"/>
      <protection locked="0"/>
    </xf>
    <xf numFmtId="166" fontId="12" fillId="5" borderId="9" xfId="2" applyNumberFormat="1" applyFont="1" applyFill="1" applyBorder="1" applyAlignment="1" applyProtection="1">
      <alignment horizontal="center"/>
      <protection locked="0"/>
    </xf>
    <xf numFmtId="166" fontId="12" fillId="5" borderId="9" xfId="2" applyNumberFormat="1" applyFont="1" applyFill="1" applyBorder="1" applyAlignment="1">
      <alignment horizontal="right"/>
    </xf>
    <xf numFmtId="0" fontId="12" fillId="5" borderId="9" xfId="2" applyFont="1" applyFill="1" applyBorder="1" applyAlignment="1">
      <alignment horizontal="center"/>
    </xf>
    <xf numFmtId="0" fontId="12" fillId="22" borderId="9" xfId="2" applyFont="1" applyFill="1" applyBorder="1" applyProtection="1">
      <protection locked="0"/>
    </xf>
    <xf numFmtId="0" fontId="12" fillId="22" borderId="9" xfId="2" applyFont="1" applyFill="1" applyBorder="1" applyAlignment="1">
      <alignment horizontal="left"/>
    </xf>
    <xf numFmtId="18" fontId="12" fillId="22" borderId="9" xfId="2" applyNumberFormat="1" applyFont="1" applyFill="1" applyBorder="1" applyAlignment="1" applyProtection="1">
      <alignment horizontal="right"/>
      <protection locked="0"/>
    </xf>
    <xf numFmtId="18" fontId="12" fillId="22" borderId="9" xfId="2" applyNumberFormat="1" applyFont="1" applyFill="1" applyBorder="1" applyAlignment="1" applyProtection="1">
      <protection locked="0"/>
    </xf>
    <xf numFmtId="0" fontId="7" fillId="22" borderId="9" xfId="3" applyFill="1" applyBorder="1" applyAlignment="1">
      <alignment horizontal="left"/>
    </xf>
    <xf numFmtId="166" fontId="12" fillId="22" borderId="9" xfId="7" applyNumberFormat="1" applyFont="1" applyFill="1" applyBorder="1" applyProtection="1">
      <protection locked="0"/>
    </xf>
    <xf numFmtId="37" fontId="12" fillId="22" borderId="9" xfId="2" applyNumberFormat="1" applyFont="1" applyFill="1" applyBorder="1" applyAlignment="1" applyProtection="1">
      <alignment horizontal="center"/>
      <protection locked="0"/>
    </xf>
    <xf numFmtId="166" fontId="12" fillId="22" borderId="9" xfId="2" applyNumberFormat="1" applyFont="1" applyFill="1" applyBorder="1" applyAlignment="1" applyProtection="1">
      <alignment horizontal="center"/>
      <protection locked="0"/>
    </xf>
    <xf numFmtId="166" fontId="12" fillId="22" borderId="9" xfId="2" applyNumberFormat="1" applyFont="1" applyFill="1" applyBorder="1" applyAlignment="1">
      <alignment horizontal="right"/>
    </xf>
    <xf numFmtId="0" fontId="12" fillId="22" borderId="9" xfId="2" applyFont="1" applyFill="1" applyBorder="1" applyAlignment="1">
      <alignment horizontal="center"/>
    </xf>
    <xf numFmtId="18" fontId="12" fillId="5" borderId="9" xfId="2" applyNumberFormat="1" applyFont="1" applyFill="1" applyBorder="1" applyAlignment="1" applyProtection="1">
      <alignment horizontal="left"/>
      <protection locked="0"/>
    </xf>
    <xf numFmtId="0" fontId="7" fillId="22" borderId="0" xfId="3" applyFill="1"/>
    <xf numFmtId="11" fontId="12" fillId="22" borderId="9" xfId="2" applyNumberFormat="1" applyFont="1" applyFill="1" applyBorder="1" applyAlignment="1" applyProtection="1">
      <protection locked="0"/>
    </xf>
    <xf numFmtId="0" fontId="23" fillId="5" borderId="9" xfId="8" applyFill="1" applyBorder="1" applyAlignment="1">
      <alignment horizontal="left"/>
    </xf>
    <xf numFmtId="0" fontId="7" fillId="22" borderId="9" xfId="3" applyFill="1" applyBorder="1"/>
    <xf numFmtId="0" fontId="7" fillId="22" borderId="29" xfId="3" applyNumberFormat="1" applyFill="1" applyBorder="1" applyAlignment="1" applyProtection="1"/>
    <xf numFmtId="0" fontId="23" fillId="22" borderId="29" xfId="8" applyNumberFormat="1" applyFill="1" applyBorder="1" applyAlignment="1" applyProtection="1"/>
    <xf numFmtId="0" fontId="23" fillId="22" borderId="29" xfId="8" applyFill="1" applyBorder="1"/>
    <xf numFmtId="0" fontId="12" fillId="22" borderId="9" xfId="2" applyFont="1" applyFill="1" applyBorder="1" applyAlignment="1" applyProtection="1">
      <alignment horizontal="center"/>
      <protection locked="0"/>
    </xf>
    <xf numFmtId="0" fontId="12" fillId="5" borderId="24" xfId="2" applyFont="1" applyFill="1" applyBorder="1" applyProtection="1">
      <protection locked="0"/>
    </xf>
    <xf numFmtId="0" fontId="12" fillId="5" borderId="24" xfId="2" applyFont="1" applyFill="1" applyBorder="1" applyAlignment="1">
      <alignment horizontal="left"/>
    </xf>
    <xf numFmtId="18" fontId="12" fillId="5" borderId="24" xfId="2" applyNumberFormat="1" applyFont="1" applyFill="1" applyBorder="1" applyAlignment="1" applyProtection="1">
      <alignment horizontal="left"/>
      <protection locked="0"/>
    </xf>
    <xf numFmtId="18" fontId="12" fillId="5" borderId="24" xfId="2" applyNumberFormat="1" applyFont="1" applyFill="1" applyBorder="1" applyAlignment="1" applyProtection="1">
      <protection locked="0"/>
    </xf>
    <xf numFmtId="0" fontId="7" fillId="5" borderId="24" xfId="3" applyFill="1" applyBorder="1" applyAlignment="1">
      <alignment horizontal="left"/>
    </xf>
    <xf numFmtId="11" fontId="12" fillId="5" borderId="24" xfId="2" applyNumberFormat="1" applyFont="1" applyFill="1" applyBorder="1" applyAlignment="1" applyProtection="1">
      <protection locked="0"/>
    </xf>
    <xf numFmtId="37" fontId="12" fillId="5" borderId="24" xfId="2" applyNumberFormat="1" applyFont="1" applyFill="1" applyBorder="1" applyAlignment="1" applyProtection="1">
      <alignment horizontal="center"/>
      <protection locked="0"/>
    </xf>
    <xf numFmtId="166" fontId="12" fillId="5" borderId="24" xfId="2" applyNumberFormat="1" applyFont="1" applyFill="1" applyBorder="1" applyAlignment="1" applyProtection="1">
      <alignment horizontal="center"/>
      <protection locked="0"/>
    </xf>
    <xf numFmtId="0" fontId="12" fillId="5" borderId="24" xfId="2" applyFont="1" applyFill="1" applyBorder="1" applyAlignment="1">
      <alignment horizontal="center"/>
    </xf>
    <xf numFmtId="0" fontId="12" fillId="22" borderId="24" xfId="2" applyFont="1" applyFill="1" applyBorder="1" applyProtection="1">
      <protection locked="0"/>
    </xf>
    <xf numFmtId="18" fontId="12" fillId="22" borderId="24" xfId="2" applyNumberFormat="1" applyFont="1" applyFill="1" applyBorder="1" applyAlignment="1" applyProtection="1">
      <alignment horizontal="right"/>
      <protection locked="0"/>
    </xf>
    <xf numFmtId="18" fontId="12" fillId="22" borderId="24" xfId="2" applyNumberFormat="1" applyFont="1" applyFill="1" applyBorder="1" applyAlignment="1" applyProtection="1">
      <protection locked="0"/>
    </xf>
    <xf numFmtId="0" fontId="7" fillId="22" borderId="24" xfId="3" applyFill="1" applyBorder="1" applyAlignment="1">
      <alignment horizontal="left"/>
    </xf>
    <xf numFmtId="11" fontId="12" fillId="22" borderId="24" xfId="2" applyNumberFormat="1" applyFont="1" applyFill="1" applyBorder="1" applyAlignment="1" applyProtection="1">
      <protection locked="0"/>
    </xf>
    <xf numFmtId="0" fontId="12" fillId="22" borderId="24" xfId="2" applyFont="1" applyFill="1" applyBorder="1" applyAlignment="1">
      <alignment horizontal="center"/>
    </xf>
    <xf numFmtId="0" fontId="12" fillId="6" borderId="9" xfId="2" applyFont="1" applyFill="1" applyBorder="1" applyProtection="1">
      <protection locked="0"/>
    </xf>
    <xf numFmtId="0" fontId="12" fillId="23" borderId="9" xfId="2" applyFont="1" applyFill="1" applyBorder="1" applyAlignment="1">
      <alignment horizontal="left"/>
    </xf>
    <xf numFmtId="18" fontId="12" fillId="23" borderId="9" xfId="2" applyNumberFormat="1" applyFont="1" applyFill="1" applyBorder="1" applyAlignment="1" applyProtection="1">
      <protection locked="0"/>
    </xf>
    <xf numFmtId="0" fontId="24" fillId="23" borderId="9" xfId="9" applyFill="1" applyBorder="1" applyAlignment="1">
      <alignment horizontal="left"/>
    </xf>
    <xf numFmtId="166" fontId="12" fillId="23" borderId="9" xfId="7" applyNumberFormat="1" applyFont="1" applyFill="1" applyBorder="1" applyProtection="1">
      <protection locked="0"/>
    </xf>
    <xf numFmtId="37" fontId="12" fillId="23" borderId="9" xfId="2" applyNumberFormat="1" applyFont="1" applyFill="1" applyBorder="1" applyAlignment="1" applyProtection="1">
      <alignment horizontal="center"/>
      <protection locked="0"/>
    </xf>
    <xf numFmtId="166" fontId="12" fillId="23" borderId="9" xfId="2" applyNumberFormat="1" applyFont="1" applyFill="1" applyBorder="1" applyAlignment="1" applyProtection="1">
      <alignment horizontal="center"/>
      <protection locked="0"/>
    </xf>
    <xf numFmtId="166" fontId="12" fillId="6" borderId="9" xfId="2" applyNumberFormat="1" applyFont="1" applyFill="1" applyBorder="1" applyAlignment="1" applyProtection="1">
      <alignment horizontal="center"/>
      <protection locked="0"/>
    </xf>
    <xf numFmtId="166" fontId="12" fillId="23" borderId="9" xfId="2" applyNumberFormat="1" applyFont="1" applyFill="1" applyBorder="1" applyAlignment="1">
      <alignment horizontal="right"/>
    </xf>
    <xf numFmtId="0" fontId="12" fillId="23" borderId="9" xfId="2" applyFont="1" applyFill="1" applyBorder="1" applyAlignment="1">
      <alignment horizontal="center"/>
    </xf>
    <xf numFmtId="0" fontId="12" fillId="24" borderId="9" xfId="2" applyFont="1" applyFill="1" applyBorder="1" applyProtection="1">
      <protection locked="0"/>
    </xf>
    <xf numFmtId="0" fontId="12" fillId="24" borderId="9" xfId="2" applyFont="1" applyFill="1" applyBorder="1" applyAlignment="1">
      <alignment horizontal="left"/>
    </xf>
    <xf numFmtId="18" fontId="12" fillId="24" borderId="9" xfId="2" applyNumberFormat="1" applyFont="1" applyFill="1" applyBorder="1" applyAlignment="1" applyProtection="1">
      <alignment horizontal="right"/>
      <protection locked="0"/>
    </xf>
    <xf numFmtId="18" fontId="12" fillId="24" borderId="9" xfId="2" applyNumberFormat="1" applyFont="1" applyFill="1" applyBorder="1" applyAlignment="1" applyProtection="1">
      <protection locked="0"/>
    </xf>
    <xf numFmtId="0" fontId="24" fillId="24" borderId="9" xfId="9" applyFill="1" applyBorder="1" applyAlignment="1">
      <alignment horizontal="left"/>
    </xf>
    <xf numFmtId="166" fontId="12" fillId="24" borderId="9" xfId="7" applyNumberFormat="1" applyFont="1" applyFill="1" applyBorder="1" applyProtection="1">
      <protection locked="0"/>
    </xf>
    <xf numFmtId="37" fontId="12" fillId="24" borderId="9" xfId="2" applyNumberFormat="1" applyFont="1" applyFill="1" applyBorder="1" applyAlignment="1" applyProtection="1">
      <alignment horizontal="center"/>
      <protection locked="0"/>
    </xf>
    <xf numFmtId="166" fontId="12" fillId="24" borderId="9" xfId="2" applyNumberFormat="1" applyFont="1" applyFill="1" applyBorder="1" applyAlignment="1" applyProtection="1">
      <alignment horizontal="center"/>
      <protection locked="0"/>
    </xf>
    <xf numFmtId="166" fontId="12" fillId="24" borderId="9" xfId="2" applyNumberFormat="1" applyFont="1" applyFill="1" applyBorder="1" applyAlignment="1">
      <alignment horizontal="right"/>
    </xf>
    <xf numFmtId="0" fontId="12" fillId="24" borderId="9" xfId="2" applyFont="1" applyFill="1" applyBorder="1" applyAlignment="1">
      <alignment horizontal="center"/>
    </xf>
    <xf numFmtId="0" fontId="12" fillId="6" borderId="9" xfId="2" applyFont="1" applyFill="1" applyBorder="1" applyAlignment="1">
      <alignment horizontal="left"/>
    </xf>
    <xf numFmtId="18" fontId="12" fillId="6" borderId="9" xfId="2" applyNumberFormat="1" applyFont="1" applyFill="1" applyBorder="1" applyAlignment="1" applyProtection="1">
      <protection locked="0"/>
    </xf>
    <xf numFmtId="0" fontId="24" fillId="6" borderId="9" xfId="9" applyFill="1" applyBorder="1" applyAlignment="1">
      <alignment horizontal="left"/>
    </xf>
    <xf numFmtId="166" fontId="12" fillId="6" borderId="9" xfId="7" applyNumberFormat="1" applyFont="1" applyFill="1" applyBorder="1" applyProtection="1">
      <protection locked="0"/>
    </xf>
    <xf numFmtId="0" fontId="12" fillId="6" borderId="9" xfId="2" applyFont="1" applyFill="1" applyBorder="1" applyAlignment="1" applyProtection="1">
      <alignment horizontal="center"/>
      <protection locked="0"/>
    </xf>
    <xf numFmtId="166" fontId="12" fillId="6" borderId="9" xfId="2" applyNumberFormat="1" applyFont="1" applyFill="1" applyBorder="1" applyAlignment="1">
      <alignment horizontal="right"/>
    </xf>
    <xf numFmtId="0" fontId="12" fillId="6" borderId="9" xfId="2" applyFont="1" applyFill="1" applyBorder="1" applyAlignment="1">
      <alignment horizontal="center"/>
    </xf>
    <xf numFmtId="11" fontId="12" fillId="24" borderId="9" xfId="2" applyNumberFormat="1" applyFont="1" applyFill="1" applyBorder="1" applyAlignment="1" applyProtection="1">
      <protection locked="0"/>
    </xf>
    <xf numFmtId="0" fontId="12" fillId="8" borderId="9" xfId="2" applyFont="1" applyFill="1" applyBorder="1" applyProtection="1">
      <protection locked="0"/>
    </xf>
    <xf numFmtId="0" fontId="12" fillId="8" borderId="9" xfId="2" applyFont="1" applyFill="1" applyBorder="1" applyAlignment="1">
      <alignment horizontal="left"/>
    </xf>
    <xf numFmtId="18" fontId="12" fillId="8" borderId="9" xfId="2" applyNumberFormat="1" applyFont="1" applyFill="1" applyBorder="1" applyAlignment="1" applyProtection="1">
      <protection locked="0"/>
    </xf>
    <xf numFmtId="0" fontId="23" fillId="8" borderId="9" xfId="8" applyFill="1" applyBorder="1" applyAlignment="1">
      <alignment horizontal="left"/>
    </xf>
    <xf numFmtId="166" fontId="12" fillId="8" borderId="9" xfId="7" applyNumberFormat="1" applyFont="1" applyFill="1" applyBorder="1" applyProtection="1">
      <protection locked="0"/>
    </xf>
    <xf numFmtId="37" fontId="12" fillId="8" borderId="9" xfId="2" applyNumberFormat="1" applyFont="1" applyFill="1" applyBorder="1" applyAlignment="1" applyProtection="1">
      <alignment horizontal="center"/>
      <protection locked="0"/>
    </xf>
    <xf numFmtId="166" fontId="12" fillId="8" borderId="9" xfId="2" applyNumberFormat="1" applyFont="1" applyFill="1" applyBorder="1" applyAlignment="1" applyProtection="1">
      <alignment horizontal="center"/>
      <protection locked="0"/>
    </xf>
    <xf numFmtId="166" fontId="12" fillId="8" borderId="9" xfId="2" applyNumberFormat="1" applyFont="1" applyFill="1" applyBorder="1" applyAlignment="1">
      <alignment horizontal="right"/>
    </xf>
    <xf numFmtId="0" fontId="12" fillId="8" borderId="9" xfId="2" applyFont="1" applyFill="1" applyBorder="1" applyAlignment="1">
      <alignment horizontal="center"/>
    </xf>
    <xf numFmtId="0" fontId="12" fillId="25" borderId="9" xfId="2" applyFont="1" applyFill="1" applyBorder="1" applyProtection="1">
      <protection locked="0"/>
    </xf>
    <xf numFmtId="0" fontId="12" fillId="25" borderId="9" xfId="2" applyFont="1" applyFill="1" applyBorder="1" applyAlignment="1">
      <alignment horizontal="left"/>
    </xf>
    <xf numFmtId="18" fontId="12" fillId="25" borderId="9" xfId="2" applyNumberFormat="1" applyFont="1" applyFill="1" applyBorder="1" applyAlignment="1" applyProtection="1">
      <alignment horizontal="right"/>
      <protection locked="0"/>
    </xf>
    <xf numFmtId="18" fontId="12" fillId="25" borderId="9" xfId="2" applyNumberFormat="1" applyFont="1" applyFill="1" applyBorder="1" applyAlignment="1" applyProtection="1">
      <protection locked="0"/>
    </xf>
    <xf numFmtId="0" fontId="23" fillId="25" borderId="9" xfId="8" applyFill="1" applyBorder="1" applyAlignment="1">
      <alignment horizontal="left"/>
    </xf>
    <xf numFmtId="166" fontId="12" fillId="25" borderId="9" xfId="7" applyNumberFormat="1" applyFont="1" applyFill="1" applyBorder="1" applyProtection="1">
      <protection locked="0"/>
    </xf>
    <xf numFmtId="37" fontId="12" fillId="25" borderId="9" xfId="2" applyNumberFormat="1" applyFont="1" applyFill="1" applyBorder="1" applyAlignment="1" applyProtection="1">
      <alignment horizontal="center"/>
      <protection locked="0"/>
    </xf>
    <xf numFmtId="166" fontId="12" fillId="25" borderId="9" xfId="2" applyNumberFormat="1" applyFont="1" applyFill="1" applyBorder="1" applyAlignment="1" applyProtection="1">
      <alignment horizontal="center"/>
      <protection locked="0"/>
    </xf>
    <xf numFmtId="166" fontId="12" fillId="25" borderId="9" xfId="2" applyNumberFormat="1" applyFont="1" applyFill="1" applyBorder="1" applyAlignment="1">
      <alignment horizontal="right"/>
    </xf>
    <xf numFmtId="0" fontId="12" fillId="25" borderId="9" xfId="2" applyFont="1" applyFill="1" applyBorder="1" applyAlignment="1">
      <alignment horizontal="center"/>
    </xf>
    <xf numFmtId="0" fontId="12" fillId="25" borderId="9" xfId="2" applyFont="1" applyFill="1" applyBorder="1" applyAlignment="1" applyProtection="1">
      <alignment horizontal="center"/>
      <protection locked="0"/>
    </xf>
    <xf numFmtId="0" fontId="23" fillId="25" borderId="0" xfId="8" applyFill="1"/>
    <xf numFmtId="0" fontId="25" fillId="25" borderId="9" xfId="2" applyFont="1" applyFill="1" applyBorder="1" applyAlignment="1">
      <alignment horizontal="left"/>
    </xf>
    <xf numFmtId="0" fontId="12" fillId="25" borderId="21" xfId="2" applyFont="1" applyFill="1" applyBorder="1" applyProtection="1">
      <protection locked="0"/>
    </xf>
    <xf numFmtId="0" fontId="12" fillId="25" borderId="21" xfId="2" applyFont="1" applyFill="1" applyBorder="1" applyAlignment="1">
      <alignment horizontal="left"/>
    </xf>
    <xf numFmtId="18" fontId="12" fillId="25" borderId="21" xfId="2" applyNumberFormat="1" applyFont="1" applyFill="1" applyBorder="1" applyAlignment="1" applyProtection="1">
      <alignment horizontal="right"/>
      <protection locked="0"/>
    </xf>
    <xf numFmtId="18" fontId="12" fillId="25" borderId="21" xfId="2" applyNumberFormat="1" applyFont="1" applyFill="1" applyBorder="1" applyAlignment="1" applyProtection="1">
      <protection locked="0"/>
    </xf>
    <xf numFmtId="0" fontId="23" fillId="25" borderId="21" xfId="8" applyFill="1" applyBorder="1" applyAlignment="1">
      <alignment horizontal="left"/>
    </xf>
    <xf numFmtId="11" fontId="12" fillId="25" borderId="21" xfId="2" applyNumberFormat="1" applyFont="1" applyFill="1" applyBorder="1" applyAlignment="1" applyProtection="1">
      <protection locked="0"/>
    </xf>
    <xf numFmtId="166" fontId="12" fillId="25" borderId="21" xfId="7" applyNumberFormat="1" applyFont="1" applyFill="1" applyBorder="1" applyProtection="1">
      <protection locked="0"/>
    </xf>
    <xf numFmtId="37" fontId="12" fillId="25" borderId="21" xfId="2" applyNumberFormat="1" applyFont="1" applyFill="1" applyBorder="1" applyAlignment="1" applyProtection="1">
      <alignment horizontal="center"/>
      <protection locked="0"/>
    </xf>
    <xf numFmtId="166" fontId="12" fillId="25" borderId="21" xfId="2" applyNumberFormat="1" applyFont="1" applyFill="1" applyBorder="1" applyAlignment="1" applyProtection="1">
      <alignment horizontal="center"/>
      <protection locked="0"/>
    </xf>
    <xf numFmtId="166" fontId="12" fillId="25" borderId="21" xfId="2" applyNumberFormat="1" applyFont="1" applyFill="1" applyBorder="1" applyAlignment="1">
      <alignment horizontal="right"/>
    </xf>
    <xf numFmtId="0" fontId="12" fillId="25" borderId="21" xfId="2" applyFont="1" applyFill="1" applyBorder="1" applyAlignment="1">
      <alignment horizontal="center"/>
    </xf>
    <xf numFmtId="0" fontId="3" fillId="0" borderId="0" xfId="2" applyFont="1" applyBorder="1"/>
    <xf numFmtId="0" fontId="3" fillId="0" borderId="21" xfId="2" applyFont="1" applyBorder="1"/>
    <xf numFmtId="0" fontId="12" fillId="25" borderId="0" xfId="2" applyFont="1" applyFill="1"/>
    <xf numFmtId="18" fontId="23" fillId="25" borderId="9" xfId="8" applyNumberFormat="1" applyFill="1" applyBorder="1" applyAlignment="1" applyProtection="1">
      <protection locked="0"/>
    </xf>
    <xf numFmtId="0" fontId="10" fillId="25" borderId="9" xfId="2" applyFont="1" applyFill="1" applyBorder="1"/>
    <xf numFmtId="166" fontId="3" fillId="25" borderId="9" xfId="7" applyNumberFormat="1" applyFont="1" applyFill="1" applyBorder="1"/>
    <xf numFmtId="0" fontId="12" fillId="7" borderId="9" xfId="2" applyFont="1" applyFill="1" applyBorder="1" applyProtection="1">
      <protection locked="0"/>
    </xf>
    <xf numFmtId="0" fontId="3" fillId="0" borderId="0" xfId="2" applyFont="1" applyFill="1" applyBorder="1"/>
    <xf numFmtId="0" fontId="3" fillId="0" borderId="30" xfId="2" applyFont="1" applyFill="1" applyBorder="1"/>
    <xf numFmtId="0" fontId="12" fillId="10" borderId="9" xfId="2" applyFont="1" applyFill="1" applyBorder="1" applyProtection="1">
      <protection locked="0"/>
    </xf>
    <xf numFmtId="0" fontId="12" fillId="10" borderId="9" xfId="2" applyFont="1" applyFill="1" applyBorder="1" applyAlignment="1">
      <alignment horizontal="left"/>
    </xf>
    <xf numFmtId="18" fontId="12" fillId="10" borderId="9" xfId="2" applyNumberFormat="1" applyFont="1" applyFill="1" applyBorder="1" applyAlignment="1" applyProtection="1">
      <protection locked="0"/>
    </xf>
    <xf numFmtId="18" fontId="23" fillId="10" borderId="9" xfId="8" applyNumberFormat="1" applyFill="1" applyBorder="1" applyAlignment="1" applyProtection="1">
      <protection locked="0"/>
    </xf>
    <xf numFmtId="166" fontId="12" fillId="10" borderId="9" xfId="7" applyNumberFormat="1" applyFont="1" applyFill="1" applyBorder="1" applyProtection="1">
      <protection locked="0"/>
    </xf>
    <xf numFmtId="37" fontId="12" fillId="10" borderId="9" xfId="2" applyNumberFormat="1" applyFont="1" applyFill="1" applyBorder="1" applyAlignment="1" applyProtection="1">
      <alignment horizontal="center"/>
      <protection locked="0"/>
    </xf>
    <xf numFmtId="166" fontId="12" fillId="10" borderId="9" xfId="2" applyNumberFormat="1" applyFont="1" applyFill="1" applyBorder="1" applyAlignment="1" applyProtection="1">
      <alignment horizontal="center"/>
      <protection locked="0"/>
    </xf>
    <xf numFmtId="166" fontId="12" fillId="10" borderId="9" xfId="2" applyNumberFormat="1" applyFont="1" applyFill="1" applyBorder="1" applyAlignment="1">
      <alignment horizontal="right"/>
    </xf>
    <xf numFmtId="0" fontId="12" fillId="10" borderId="9" xfId="2" applyFont="1" applyFill="1" applyBorder="1" applyAlignment="1">
      <alignment horizontal="center"/>
    </xf>
    <xf numFmtId="0" fontId="12" fillId="26" borderId="9" xfId="2" applyFont="1" applyFill="1" applyBorder="1" applyProtection="1">
      <protection locked="0"/>
    </xf>
    <xf numFmtId="0" fontId="12" fillId="26" borderId="9" xfId="2" applyFont="1" applyFill="1" applyBorder="1" applyAlignment="1">
      <alignment horizontal="left"/>
    </xf>
    <xf numFmtId="18" fontId="12" fillId="26" borderId="9" xfId="2" applyNumberFormat="1" applyFont="1" applyFill="1" applyBorder="1" applyAlignment="1" applyProtection="1">
      <alignment horizontal="right"/>
      <protection locked="0"/>
    </xf>
    <xf numFmtId="18" fontId="12" fillId="26" borderId="9" xfId="2" applyNumberFormat="1" applyFont="1" applyFill="1" applyBorder="1" applyAlignment="1" applyProtection="1">
      <protection locked="0"/>
    </xf>
    <xf numFmtId="0" fontId="23" fillId="26" borderId="9" xfId="8" applyFill="1" applyBorder="1" applyAlignment="1">
      <alignment horizontal="left"/>
    </xf>
    <xf numFmtId="166" fontId="12" fillId="26" borderId="9" xfId="7" applyNumberFormat="1" applyFont="1" applyFill="1" applyBorder="1" applyProtection="1">
      <protection locked="0"/>
    </xf>
    <xf numFmtId="37" fontId="12" fillId="26" borderId="9" xfId="2" applyNumberFormat="1" applyFont="1" applyFill="1" applyBorder="1" applyAlignment="1" applyProtection="1">
      <alignment horizontal="center"/>
      <protection locked="0"/>
    </xf>
    <xf numFmtId="166" fontId="12" fillId="26" borderId="9" xfId="2" applyNumberFormat="1" applyFont="1" applyFill="1" applyBorder="1" applyAlignment="1" applyProtection="1">
      <alignment horizontal="center"/>
      <protection locked="0"/>
    </xf>
    <xf numFmtId="166" fontId="12" fillId="26" borderId="9" xfId="2" applyNumberFormat="1" applyFont="1" applyFill="1" applyBorder="1" applyAlignment="1">
      <alignment horizontal="right"/>
    </xf>
    <xf numFmtId="0" fontId="12" fillId="26" borderId="9" xfId="2" applyFont="1" applyFill="1" applyBorder="1" applyAlignment="1">
      <alignment horizontal="center"/>
    </xf>
    <xf numFmtId="0" fontId="12" fillId="26" borderId="9" xfId="2" applyFont="1" applyFill="1" applyBorder="1" applyAlignment="1" applyProtection="1">
      <alignment horizontal="center"/>
      <protection locked="0"/>
    </xf>
    <xf numFmtId="11" fontId="12" fillId="26" borderId="9" xfId="2" applyNumberFormat="1" applyFont="1" applyFill="1" applyBorder="1" applyAlignment="1" applyProtection="1">
      <protection locked="0"/>
    </xf>
    <xf numFmtId="0" fontId="12" fillId="27" borderId="9" xfId="2" applyFont="1" applyFill="1" applyBorder="1" applyProtection="1">
      <protection locked="0"/>
    </xf>
    <xf numFmtId="0" fontId="12" fillId="27" borderId="9" xfId="2" applyFont="1" applyFill="1" applyBorder="1" applyAlignment="1">
      <alignment horizontal="left"/>
    </xf>
    <xf numFmtId="18" fontId="12" fillId="27" borderId="9" xfId="2" applyNumberFormat="1" applyFont="1" applyFill="1" applyBorder="1" applyAlignment="1" applyProtection="1">
      <protection locked="0"/>
    </xf>
    <xf numFmtId="18" fontId="23" fillId="27" borderId="9" xfId="8" applyNumberFormat="1" applyFill="1" applyBorder="1" applyAlignment="1" applyProtection="1">
      <protection locked="0"/>
    </xf>
    <xf numFmtId="166" fontId="12" fillId="27" borderId="9" xfId="7" applyNumberFormat="1" applyFont="1" applyFill="1" applyBorder="1" applyProtection="1">
      <protection locked="0"/>
    </xf>
    <xf numFmtId="0" fontId="12" fillId="27" borderId="9" xfId="2" applyFont="1" applyFill="1" applyBorder="1" applyAlignment="1" applyProtection="1">
      <alignment horizontal="center"/>
      <protection locked="0"/>
    </xf>
    <xf numFmtId="166" fontId="12" fillId="27" borderId="9" xfId="2" applyNumberFormat="1" applyFont="1" applyFill="1" applyBorder="1" applyAlignment="1" applyProtection="1">
      <alignment horizontal="center"/>
      <protection locked="0"/>
    </xf>
    <xf numFmtId="166" fontId="12" fillId="27" borderId="9" xfId="2" applyNumberFormat="1" applyFont="1" applyFill="1" applyBorder="1" applyAlignment="1">
      <alignment horizontal="right"/>
    </xf>
    <xf numFmtId="0" fontId="12" fillId="27" borderId="9" xfId="2" applyFont="1" applyFill="1" applyBorder="1" applyAlignment="1">
      <alignment horizontal="center"/>
    </xf>
    <xf numFmtId="0" fontId="12" fillId="28" borderId="9" xfId="2" applyFont="1" applyFill="1" applyBorder="1" applyProtection="1">
      <protection locked="0"/>
    </xf>
    <xf numFmtId="18" fontId="12" fillId="28" borderId="9" xfId="2" applyNumberFormat="1" applyFont="1" applyFill="1" applyBorder="1" applyAlignment="1" applyProtection="1">
      <alignment horizontal="right"/>
      <protection locked="0"/>
    </xf>
    <xf numFmtId="18" fontId="12" fillId="28" borderId="9" xfId="2" applyNumberFormat="1" applyFont="1" applyFill="1" applyBorder="1" applyAlignment="1" applyProtection="1">
      <protection locked="0"/>
    </xf>
    <xf numFmtId="0" fontId="23" fillId="28" borderId="9" xfId="8" applyFill="1" applyBorder="1" applyAlignment="1">
      <alignment horizontal="left"/>
    </xf>
    <xf numFmtId="166" fontId="12" fillId="28" borderId="9" xfId="7" applyNumberFormat="1" applyFont="1" applyFill="1" applyBorder="1" applyProtection="1">
      <protection locked="0"/>
    </xf>
    <xf numFmtId="0" fontId="12" fillId="28" borderId="9" xfId="2" applyFont="1" applyFill="1" applyBorder="1" applyAlignment="1" applyProtection="1">
      <alignment horizontal="center"/>
      <protection locked="0"/>
    </xf>
    <xf numFmtId="166" fontId="12" fillId="28" borderId="9" xfId="2" applyNumberFormat="1" applyFont="1" applyFill="1" applyBorder="1" applyAlignment="1" applyProtection="1">
      <alignment horizontal="center"/>
      <protection locked="0"/>
    </xf>
    <xf numFmtId="166" fontId="12" fillId="28" borderId="9" xfId="2" applyNumberFormat="1" applyFont="1" applyFill="1" applyBorder="1" applyAlignment="1">
      <alignment horizontal="right"/>
    </xf>
    <xf numFmtId="0" fontId="12" fillId="28" borderId="9" xfId="2" applyFont="1" applyFill="1" applyBorder="1" applyAlignment="1">
      <alignment horizontal="center"/>
    </xf>
    <xf numFmtId="0" fontId="23" fillId="27" borderId="9" xfId="8" applyFill="1" applyBorder="1" applyAlignment="1">
      <alignment horizontal="left"/>
    </xf>
    <xf numFmtId="37" fontId="12" fillId="27" borderId="9" xfId="2" applyNumberFormat="1" applyFont="1" applyFill="1" applyBorder="1" applyAlignment="1" applyProtection="1">
      <alignment horizontal="center"/>
      <protection locked="0"/>
    </xf>
    <xf numFmtId="37" fontId="12" fillId="28" borderId="9" xfId="2" applyNumberFormat="1" applyFont="1" applyFill="1" applyBorder="1" applyAlignment="1" applyProtection="1">
      <alignment horizontal="center"/>
      <protection locked="0"/>
    </xf>
    <xf numFmtId="0" fontId="12" fillId="28" borderId="9" xfId="2" applyFont="1" applyFill="1" applyBorder="1" applyAlignment="1">
      <alignment horizontal="left"/>
    </xf>
    <xf numFmtId="49" fontId="23" fillId="28" borderId="9" xfId="8" applyNumberFormat="1" applyFill="1" applyBorder="1"/>
    <xf numFmtId="0" fontId="23" fillId="28" borderId="9" xfId="8" applyFill="1" applyBorder="1"/>
    <xf numFmtId="0" fontId="12" fillId="28" borderId="24" xfId="2" applyFont="1" applyFill="1" applyBorder="1" applyProtection="1">
      <protection locked="0"/>
    </xf>
    <xf numFmtId="18" fontId="12" fillId="28" borderId="24" xfId="2" applyNumberFormat="1" applyFont="1" applyFill="1" applyBorder="1" applyAlignment="1" applyProtection="1">
      <protection locked="0"/>
    </xf>
    <xf numFmtId="0" fontId="12" fillId="28" borderId="24" xfId="2" applyFont="1" applyFill="1" applyBorder="1" applyAlignment="1">
      <alignment horizontal="center"/>
    </xf>
    <xf numFmtId="49" fontId="23" fillId="28" borderId="0" xfId="8" applyNumberFormat="1" applyFill="1"/>
    <xf numFmtId="0" fontId="25" fillId="12" borderId="9" xfId="2" applyFont="1" applyFill="1" applyBorder="1" applyProtection="1">
      <protection locked="0"/>
    </xf>
    <xf numFmtId="0" fontId="12" fillId="12" borderId="9" xfId="2" applyFont="1" applyFill="1" applyBorder="1" applyAlignment="1">
      <alignment horizontal="left"/>
    </xf>
    <xf numFmtId="18" fontId="12" fillId="12" borderId="9" xfId="2" applyNumberFormat="1" applyFont="1" applyFill="1" applyBorder="1" applyAlignment="1" applyProtection="1">
      <protection locked="0"/>
    </xf>
    <xf numFmtId="0" fontId="23" fillId="12" borderId="9" xfId="8" applyFill="1" applyBorder="1" applyAlignment="1">
      <alignment horizontal="left"/>
    </xf>
    <xf numFmtId="166" fontId="12" fillId="12" borderId="9" xfId="7" applyNumberFormat="1" applyFont="1" applyFill="1" applyBorder="1" applyProtection="1">
      <protection locked="0"/>
    </xf>
    <xf numFmtId="37" fontId="12" fillId="12" borderId="9" xfId="2" applyNumberFormat="1" applyFont="1" applyFill="1" applyBorder="1" applyAlignment="1" applyProtection="1">
      <alignment horizontal="center"/>
      <protection locked="0"/>
    </xf>
    <xf numFmtId="166" fontId="12" fillId="12" borderId="9" xfId="2" applyNumberFormat="1" applyFont="1" applyFill="1" applyBorder="1" applyAlignment="1" applyProtection="1">
      <alignment horizontal="center"/>
      <protection locked="0"/>
    </xf>
    <xf numFmtId="166" fontId="12" fillId="12" borderId="9" xfId="2" applyNumberFormat="1" applyFont="1" applyFill="1" applyBorder="1" applyAlignment="1">
      <alignment horizontal="right"/>
    </xf>
    <xf numFmtId="0" fontId="12" fillId="12" borderId="9" xfId="2" applyFont="1" applyFill="1" applyBorder="1" applyAlignment="1">
      <alignment horizontal="center"/>
    </xf>
    <xf numFmtId="0" fontId="12" fillId="12" borderId="9" xfId="2" applyFont="1" applyFill="1" applyBorder="1" applyProtection="1">
      <protection locked="0"/>
    </xf>
    <xf numFmtId="18" fontId="12" fillId="12" borderId="9" xfId="2" applyNumberFormat="1" applyFont="1" applyFill="1" applyBorder="1" applyAlignment="1" applyProtection="1">
      <alignment horizontal="left"/>
      <protection locked="0"/>
    </xf>
    <xf numFmtId="0" fontId="12" fillId="29" borderId="9" xfId="2" applyFont="1" applyFill="1" applyBorder="1" applyProtection="1">
      <protection locked="0"/>
    </xf>
    <xf numFmtId="0" fontId="12" fillId="29" borderId="9" xfId="2" applyFont="1" applyFill="1" applyBorder="1" applyAlignment="1">
      <alignment horizontal="left"/>
    </xf>
    <xf numFmtId="18" fontId="12" fillId="29" borderId="9" xfId="2" applyNumberFormat="1" applyFont="1" applyFill="1" applyBorder="1" applyAlignment="1" applyProtection="1">
      <alignment horizontal="right"/>
      <protection locked="0"/>
    </xf>
    <xf numFmtId="18" fontId="12" fillId="29" borderId="9" xfId="2" applyNumberFormat="1" applyFont="1" applyFill="1" applyBorder="1" applyAlignment="1" applyProtection="1">
      <protection locked="0"/>
    </xf>
    <xf numFmtId="0" fontId="23" fillId="29" borderId="9" xfId="8" applyFill="1" applyBorder="1" applyAlignment="1">
      <alignment horizontal="left"/>
    </xf>
    <xf numFmtId="166" fontId="12" fillId="29" borderId="9" xfId="7" applyNumberFormat="1" applyFont="1" applyFill="1" applyBorder="1" applyProtection="1">
      <protection locked="0"/>
    </xf>
    <xf numFmtId="0" fontId="12" fillId="29" borderId="9" xfId="2" applyFont="1" applyFill="1" applyBorder="1" applyAlignment="1" applyProtection="1">
      <alignment horizontal="center"/>
      <protection locked="0"/>
    </xf>
    <xf numFmtId="166" fontId="12" fillId="29" borderId="9" xfId="2" applyNumberFormat="1" applyFont="1" applyFill="1" applyBorder="1" applyAlignment="1" applyProtection="1">
      <alignment horizontal="center"/>
      <protection locked="0"/>
    </xf>
    <xf numFmtId="166" fontId="12" fillId="29" borderId="9" xfId="2" applyNumberFormat="1" applyFont="1" applyFill="1" applyBorder="1" applyAlignment="1">
      <alignment horizontal="right"/>
    </xf>
    <xf numFmtId="0" fontId="12" fillId="29" borderId="9" xfId="2" applyFont="1" applyFill="1" applyBorder="1" applyAlignment="1">
      <alignment horizontal="center"/>
    </xf>
    <xf numFmtId="11" fontId="12" fillId="12" borderId="9" xfId="2" applyNumberFormat="1" applyFont="1" applyFill="1" applyBorder="1" applyAlignment="1" applyProtection="1">
      <protection locked="0"/>
    </xf>
    <xf numFmtId="0" fontId="12" fillId="12" borderId="9" xfId="2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Protection="1">
      <protection locked="0"/>
    </xf>
    <xf numFmtId="0" fontId="12" fillId="0" borderId="0" xfId="2" applyFont="1" applyFill="1" applyBorder="1" applyAlignment="1">
      <alignment horizontal="left"/>
    </xf>
    <xf numFmtId="18" fontId="12" fillId="0" borderId="0" xfId="2" applyNumberFormat="1" applyFont="1" applyFill="1" applyBorder="1" applyAlignment="1" applyProtection="1">
      <protection locked="0"/>
    </xf>
    <xf numFmtId="165" fontId="12" fillId="0" borderId="0" xfId="7" applyFont="1" applyFill="1" applyBorder="1" applyProtection="1">
      <protection locked="0"/>
    </xf>
    <xf numFmtId="0" fontId="12" fillId="0" borderId="0" xfId="2" applyFont="1" applyFill="1" applyBorder="1" applyAlignment="1" applyProtection="1">
      <alignment horizontal="center"/>
      <protection locked="0"/>
    </xf>
    <xf numFmtId="166" fontId="12" fillId="0" borderId="0" xfId="2" applyNumberFormat="1" applyFont="1" applyFill="1" applyBorder="1" applyAlignment="1">
      <alignment horizontal="right"/>
    </xf>
    <xf numFmtId="0" fontId="12" fillId="0" borderId="0" xfId="2" applyFont="1" applyFill="1" applyBorder="1" applyAlignment="1">
      <alignment horizontal="center"/>
    </xf>
    <xf numFmtId="0" fontId="3" fillId="0" borderId="0" xfId="2" applyFont="1" applyProtection="1">
      <protection locked="0"/>
    </xf>
    <xf numFmtId="165" fontId="3" fillId="0" borderId="0" xfId="7" applyFont="1"/>
    <xf numFmtId="165" fontId="3" fillId="0" borderId="0" xfId="2" applyNumberFormat="1" applyFont="1"/>
    <xf numFmtId="0" fontId="10" fillId="0" borderId="0" xfId="2" applyFont="1" applyProtection="1">
      <protection locked="0"/>
    </xf>
    <xf numFmtId="0" fontId="26" fillId="0" borderId="0" xfId="2" applyFont="1"/>
  </cellXfs>
  <cellStyles count="10">
    <cellStyle name="Comma 2" xfId="7"/>
    <cellStyle name="Currency 2" xfId="4"/>
    <cellStyle name="Lien hypertexte" xfId="3" builtinId="8"/>
    <cellStyle name="Lien hypertexte 2" xfId="8"/>
    <cellStyle name="Lien hypertexte 3" xfId="9"/>
    <cellStyle name="Monétaire 10" xfId="5"/>
    <cellStyle name="Normal" xfId="0" builtinId="0"/>
    <cellStyle name="Normal 2 2" xfId="2"/>
    <cellStyle name="Normal 2 2 4 2 2" xfId="1"/>
    <cellStyle name="Normal 3" xfId="6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36542610921574"/>
          <c:y val="3.287671232876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25634178905207"/>
          <c:y val="0.46241084816435013"/>
          <c:w val="0.30707610146862485"/>
          <c:h val="0.1987934487435524"/>
        </c:manualLayout>
      </c:layout>
      <c:pie3DChart>
        <c:varyColors val="1"/>
        <c:ser>
          <c:idx val="0"/>
          <c:order val="0"/>
          <c:tx>
            <c:strRef>
              <c:f>'Cost Summary'!$B$6</c:f>
              <c:strCache>
                <c:ptCount val="1"/>
                <c:pt idx="0">
                  <c:v>Area Totals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8DB4E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EC1-4E59-8B77-D2F9458B3468}"/>
              </c:ext>
            </c:extLst>
          </c:dPt>
          <c:dPt>
            <c:idx val="1"/>
            <c:bubble3D val="0"/>
            <c:spPr>
              <a:solidFill>
                <a:srgbClr val="76933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EC1-4E59-8B77-D2F9458B3468}"/>
              </c:ext>
            </c:extLst>
          </c:dPt>
          <c:dPt>
            <c:idx val="2"/>
            <c:bubble3D val="0"/>
            <c:spPr>
              <a:solidFill>
                <a:srgbClr val="FF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EC1-4E59-8B77-D2F9458B3468}"/>
              </c:ext>
            </c:extLst>
          </c:dPt>
          <c:dPt>
            <c:idx val="3"/>
            <c:bubble3D val="0"/>
            <c:spPr>
              <a:solidFill>
                <a:srgbClr val="F7964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EC1-4E59-8B77-D2F9458B3468}"/>
              </c:ext>
            </c:extLst>
          </c:dPt>
          <c:dPt>
            <c:idx val="4"/>
            <c:bubble3D val="0"/>
            <c:spPr>
              <a:solidFill>
                <a:srgbClr val="B1A0C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EC1-4E59-8B77-D2F9458B3468}"/>
              </c:ext>
            </c:extLst>
          </c:dPt>
          <c:dPt>
            <c:idx val="5"/>
            <c:bubble3D val="0"/>
            <c:spPr>
              <a:solidFill>
                <a:srgbClr val="E26B0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EC1-4E59-8B77-D2F9458B3468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EC1-4E59-8B77-D2F9458B3468}"/>
              </c:ext>
            </c:extLst>
          </c:dPt>
          <c:dPt>
            <c:idx val="7"/>
            <c:bubble3D val="0"/>
            <c:spPr>
              <a:solidFill>
                <a:srgbClr val="33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EC1-4E59-8B77-D2F9458B34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'Cost Summary'!$C$7:$C$14</c:f>
              <c:strCache>
                <c:ptCount val="8"/>
                <c:pt idx="0">
                  <c:v>Brake System</c:v>
                </c:pt>
                <c:pt idx="1">
                  <c:v>Engine &amp; Drivetrain</c:v>
                </c:pt>
                <c:pt idx="2">
                  <c:v>Frame &amp; Body</c:v>
                </c:pt>
                <c:pt idx="3">
                  <c:v>Electrical</c:v>
                </c:pt>
                <c:pt idx="4">
                  <c:v>Miscellaneous, Finish &amp; Assembly</c:v>
                </c:pt>
                <c:pt idx="5">
                  <c:v>Steering System</c:v>
                </c:pt>
                <c:pt idx="6">
                  <c:v>Suspension System</c:v>
                </c:pt>
                <c:pt idx="7">
                  <c:v>Wheels, Wheel Bearings &amp; Tires</c:v>
                </c:pt>
              </c:strCache>
            </c:strRef>
          </c:cat>
          <c:val>
            <c:numRef>
              <c:f>'Cost Summary'!$H$7:$H$14</c:f>
              <c:numCache>
                <c:formatCode>_("$"* #\ ##0.00_);_("$"* \(#\ ##0.00\);_("$"* "-"??_);_(@_)</c:formatCode>
                <c:ptCount val="8"/>
                <c:pt idx="0">
                  <c:v>1111.3709751010633</c:v>
                </c:pt>
                <c:pt idx="1">
                  <c:v>4205.1924401804181</c:v>
                </c:pt>
                <c:pt idx="2">
                  <c:v>2467.2200288759923</c:v>
                </c:pt>
                <c:pt idx="3">
                  <c:v>1932.297841121667</c:v>
                </c:pt>
                <c:pt idx="4">
                  <c:v>294.4415616610691</c:v>
                </c:pt>
                <c:pt idx="5">
                  <c:v>342.53140643485278</c:v>
                </c:pt>
                <c:pt idx="6">
                  <c:v>2817.3333628326109</c:v>
                </c:pt>
                <c:pt idx="7">
                  <c:v>1967.1666259487806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C1-4E59-8B77-D2F9458B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808345173145147"/>
          <c:y val="0.33263745632736347"/>
          <c:w val="0.29269221454248306"/>
          <c:h val="0.4406916618859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801631</xdr:colOff>
      <xdr:row>38</xdr:row>
      <xdr:rowOff>171134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77151" cy="7120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170143</xdr:colOff>
      <xdr:row>3</xdr:row>
      <xdr:rowOff>228600</xdr:rowOff>
    </xdr:from>
    <xdr:to>
      <xdr:col>7</xdr:col>
      <xdr:colOff>1</xdr:colOff>
      <xdr:row>4</xdr:row>
      <xdr:rowOff>272947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4683" y="1074420"/>
          <a:ext cx="2062518" cy="303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20</xdr:row>
      <xdr:rowOff>0</xdr:rowOff>
    </xdr:from>
    <xdr:to>
      <xdr:col>8</xdr:col>
      <xdr:colOff>7620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30480</xdr:colOff>
      <xdr:row>2</xdr:row>
      <xdr:rowOff>7620</xdr:rowOff>
    </xdr:from>
    <xdr:to>
      <xdr:col>7</xdr:col>
      <xdr:colOff>394636</xdr:colOff>
      <xdr:row>5</xdr:row>
      <xdr:rowOff>15240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5280" y="434340"/>
          <a:ext cx="2406316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s/Cost_Global_Vulcanix_glob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quette_EPSA/Cost%20Report/Cost%20final/FSAE_Cost_eBOM_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RAPHAL~1/AppData/Local/Temp/MS_A01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aquette_EPSA/ST%20-%20Steering%20System/Cost/template_cost_steering_lecture_seu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thur\Documents\Cours%20ECL\EPSA\Vulcanix-v1.0\SU%20-%20Suspension\Cost\SU_A13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&#239;c\Dropbox\EPSA\Cost\Cost_annees_precedentes\Cost-Atomix-v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pha&#235;l\Desktop\ECL\2A\EPSA\Cost_Report_Vulcanix\template_cost_engine_lecture_seul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erre-antoine_allart\Dropbox\Cost_prive\081_Ecole%20Centrale%20de%20Lyon_FSAEI_CR_Suppl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dBR 01002"/>
      <sheetName val="BR 01003"/>
      <sheetName val="BR 01004"/>
      <sheetName val="dBR 01004"/>
      <sheetName val="BR A0002"/>
      <sheetName val="BR 02001"/>
      <sheetName val="BR 02002"/>
      <sheetName val="dBR 02002"/>
      <sheetName val="BR 02003"/>
      <sheetName val="BR 02004"/>
      <sheetName val="dBR 02004"/>
      <sheetName val="BR A0003"/>
      <sheetName val="BR 03001"/>
      <sheetName val="dBR 03001"/>
      <sheetName val="BR 03002"/>
      <sheetName val="dBR 03002"/>
      <sheetName val="BR 03003"/>
      <sheetName val="dBR 03003"/>
      <sheetName val="BR 03004"/>
      <sheetName val="dBR 03004"/>
      <sheetName val="EN"/>
      <sheetName val="EN A0100"/>
      <sheetName val="EN 01001"/>
      <sheetName val="EN 01002"/>
      <sheetName val="dEN 01002"/>
      <sheetName val="EN 01003"/>
      <sheetName val="dEN 01003"/>
      <sheetName val="EN A0200"/>
      <sheetName val="EN_02001"/>
      <sheetName val="dEN_02001"/>
      <sheetName val="EN_02002"/>
      <sheetName val="dEN_02002"/>
      <sheetName val="EN_02003"/>
      <sheetName val="EN_02004"/>
      <sheetName val="EN_02005"/>
      <sheetName val="EN_02006"/>
      <sheetName val="EN_02007"/>
      <sheetName val="EN_02008"/>
      <sheetName val="EN_02009"/>
      <sheetName val="EN_02010"/>
      <sheetName val="EN_A0300"/>
      <sheetName val="EN_03001"/>
      <sheetName val="EN_03002"/>
      <sheetName val="dEN_03002"/>
      <sheetName val="EN_03003"/>
      <sheetName val="EN_03004"/>
      <sheetName val="dEN_03004"/>
      <sheetName val="EN_03005"/>
      <sheetName val="dEN_03005"/>
      <sheetName val="EN_03006"/>
      <sheetName val="dEN_03006"/>
      <sheetName val="EN_03007"/>
      <sheetName val="dEN_03007"/>
      <sheetName val="EN_03008"/>
      <sheetName val="dEN_03008"/>
      <sheetName val="EN_A0400"/>
      <sheetName val="EN_04001"/>
      <sheetName val="EN_04002"/>
      <sheetName val="EN_04003"/>
      <sheetName val="EN_04004"/>
      <sheetName val="EN_04005"/>
      <sheetName val="EN_04006"/>
      <sheetName val="EN_04007"/>
      <sheetName val="EN_04008"/>
      <sheetName val="EN_04009"/>
      <sheetName val="EN A0005"/>
      <sheetName val="EN 05001"/>
      <sheetName val="EN 05001 Drawing"/>
      <sheetName val="EN 05002"/>
      <sheetName val="EN 05003"/>
      <sheetName val="EN 05004"/>
      <sheetName val="EN 05004 Drawing"/>
      <sheetName val="EN 05005"/>
      <sheetName val="EN 05005 Drawing"/>
      <sheetName val="EN A0600"/>
      <sheetName val="EN 06001"/>
      <sheetName val="EN 06002"/>
      <sheetName val="EN 06003"/>
      <sheetName val="dEN 06003"/>
      <sheetName val="EN 06004"/>
      <sheetName val="dEN 06004"/>
      <sheetName val="EN A0700"/>
      <sheetName val="EN A0800"/>
      <sheetName val="EN_08001"/>
      <sheetName val="dEN_08001"/>
      <sheetName val="EN_08002"/>
      <sheetName val="dEN_08002"/>
      <sheetName val="EN_08003"/>
      <sheetName val="dEN_08003"/>
      <sheetName val="EN_08004"/>
      <sheetName val="dEN_08004"/>
      <sheetName val="EN_08005"/>
      <sheetName val="EN_08006"/>
      <sheetName val="EN_08007"/>
      <sheetName val="EN_08008"/>
      <sheetName val="dEN_08008"/>
      <sheetName val="EN_08009"/>
      <sheetName val="dEN_08009"/>
      <sheetName val="EN_08010"/>
      <sheetName val="EN_A0900"/>
      <sheetName val="EN_09001"/>
      <sheetName val="EN_09002"/>
      <sheetName val="dEN_09002"/>
      <sheetName val="EN_09003"/>
      <sheetName val="dEN_09003"/>
      <sheetName val="EN_09004"/>
      <sheetName val="dEN_09004"/>
      <sheetName val="EN_09005"/>
      <sheetName val="dEN_09005"/>
      <sheetName val="EN_09006"/>
      <sheetName val="dEN_09006"/>
      <sheetName val="EN_09007"/>
      <sheetName val="dEN_09007"/>
      <sheetName val="EN_09008"/>
      <sheetName val="dEN_09008"/>
      <sheetName val="EN_09009"/>
      <sheetName val="dEN_09009"/>
      <sheetName val="EN_A1000"/>
      <sheetName val="EN_10001"/>
      <sheetName val="EN_10002"/>
      <sheetName val="EN_10003"/>
      <sheetName val="dEN_10003"/>
      <sheetName val="EN_10004"/>
      <sheetName val="dEN_10004"/>
      <sheetName val="EN_A1100"/>
      <sheetName val="EN_11001"/>
      <sheetName val="EN_11002"/>
      <sheetName val="EN_11003"/>
      <sheetName val="dEN_11003"/>
      <sheetName val="EN_11004"/>
      <sheetName val="dEN_11004"/>
      <sheetName val="EN_11005"/>
      <sheetName val="dEN_11005"/>
      <sheetName val="EN_11006"/>
      <sheetName val="dEN_11006"/>
      <sheetName val="FR"/>
      <sheetName val="FR A0100"/>
      <sheetName val="FR 01001"/>
      <sheetName val="FR 01002"/>
      <sheetName val="FR 01003"/>
      <sheetName val="FR 01004"/>
      <sheetName val="dFR 01004"/>
      <sheetName val="FR A0200"/>
      <sheetName val="FR 02001"/>
      <sheetName val="FR A0300"/>
      <sheetName val="FR_03001"/>
      <sheetName val="dFR_03001"/>
      <sheetName val="FR_03002"/>
      <sheetName val="dFR_03002"/>
      <sheetName val="FR_03003"/>
      <sheetName val="dFR_03003"/>
      <sheetName val="FR_03004"/>
      <sheetName val="dFR_03004"/>
      <sheetName val="FR_03005"/>
      <sheetName val="dFR_03005"/>
      <sheetName val="FR_03006"/>
      <sheetName val="dFR_03006"/>
      <sheetName val="FR_03007"/>
      <sheetName val="dFR_03007"/>
      <sheetName val="FR_03008"/>
      <sheetName val="dFR_03008"/>
      <sheetName val="FR_03009"/>
      <sheetName val="dFR_03009"/>
      <sheetName val="FR_03010"/>
      <sheetName val="dFR_03010"/>
      <sheetName val="FR_03011"/>
      <sheetName val="dFR_03011"/>
      <sheetName val="FR_03012"/>
      <sheetName val="dFR_03012"/>
      <sheetName val="FR A0400"/>
      <sheetName val="FR_04001"/>
      <sheetName val="dFR_04001"/>
      <sheetName val="FR_04002"/>
      <sheetName val="dFR_04002"/>
      <sheetName val="FR_04003"/>
      <sheetName val="dFR_04003"/>
      <sheetName val="FR A0500"/>
      <sheetName val="FR 05001"/>
      <sheetName val="dFR 05001"/>
      <sheetName val="FR 05002"/>
      <sheetName val="FR 05003"/>
      <sheetName val="FR 05004"/>
      <sheetName val="FR 05005"/>
      <sheetName val="FR A0600"/>
      <sheetName val="FR 06001"/>
      <sheetName val="FR 06002"/>
      <sheetName val="FR 06003"/>
      <sheetName val="FR 06004"/>
      <sheetName val="dFR 06004"/>
      <sheetName val="FR 06005"/>
      <sheetName val="dFR 06005"/>
      <sheetName val="FR 06006"/>
      <sheetName val="FR A0700"/>
      <sheetName val="FR_07001"/>
      <sheetName val="dFR_07001"/>
      <sheetName val="FR_07002"/>
      <sheetName val="dFR_07002"/>
      <sheetName val="FR_07003"/>
      <sheetName val="dFR_07003"/>
      <sheetName val="FR_07004"/>
      <sheetName val="dFR_07004"/>
      <sheetName val="FR_07005"/>
      <sheetName val="dFR_07005"/>
      <sheetName val="FR_07006"/>
      <sheetName val="dFR_07006"/>
      <sheetName val="FR_07007"/>
      <sheetName val="dFR_07007"/>
      <sheetName val="FR_07008"/>
      <sheetName val="dFR_07008"/>
      <sheetName val="FR A0800"/>
      <sheetName val="FR 08001"/>
      <sheetName val="FR 08002"/>
      <sheetName val="FR 08003"/>
      <sheetName val="EL"/>
      <sheetName val="EL_A0100"/>
      <sheetName val="EL_01001"/>
      <sheetName val="dEL_01001"/>
      <sheetName val="EL_01002"/>
      <sheetName val="dEL_01002"/>
      <sheetName val="EL_01003"/>
      <sheetName val="dEL_01003"/>
      <sheetName val="EL_01004"/>
      <sheetName val="EL_01005"/>
      <sheetName val="dEL_01005"/>
      <sheetName val="EL_01006"/>
      <sheetName val="dEL_01006"/>
      <sheetName val="EL A0200"/>
      <sheetName val="EL 02001"/>
      <sheetName val="EL 02002"/>
      <sheetName val="EL 02003"/>
      <sheetName val="dEL 02003"/>
      <sheetName val="EL_02004"/>
      <sheetName val="dEL 02004"/>
      <sheetName val="EL_A0300"/>
      <sheetName val="EL_03001"/>
      <sheetName val="dEL_03001"/>
      <sheetName val="EL_03002"/>
      <sheetName val="dEL_03002"/>
      <sheetName val="EL_03003"/>
      <sheetName val="dEL_03003"/>
      <sheetName val="MS"/>
      <sheetName val="MS A0100"/>
      <sheetName val="MS 01001"/>
      <sheetName val="dMS 01001"/>
      <sheetName val="MS 01002"/>
      <sheetName val="dMS 01002"/>
      <sheetName val="MS 01003"/>
      <sheetName val="dMS 01003"/>
      <sheetName val="MS 01004"/>
      <sheetName val="dMS 01004"/>
      <sheetName val="MS 01005"/>
      <sheetName val="dMS 01005"/>
      <sheetName val="MS 01006"/>
      <sheetName val="dMS 01006"/>
      <sheetName val="MS 01007"/>
      <sheetName val="dMS 01007"/>
      <sheetName val="MS 01008"/>
      <sheetName val="dMS 01008"/>
      <sheetName val="MS A0200"/>
      <sheetName val="MS 02001"/>
      <sheetName val="MS A0300"/>
      <sheetName val="MS A0400"/>
      <sheetName val="MS 04001"/>
      <sheetName val="MS 04002"/>
      <sheetName val="dMS 04002"/>
      <sheetName val="MS 04003"/>
      <sheetName val="dMS 04003"/>
      <sheetName val="MS A0500"/>
      <sheetName val="MS 05001"/>
      <sheetName val="dMS 05001"/>
      <sheetName val="ST"/>
      <sheetName val="ST A0100"/>
      <sheetName val="ST 01001"/>
      <sheetName val="ST 01002"/>
      <sheetName val="ST 01003"/>
      <sheetName val="ST 01004"/>
      <sheetName val="ST 01005"/>
      <sheetName val="ST 01006"/>
      <sheetName val="ST 01007"/>
      <sheetName val="ST 01008"/>
      <sheetName val="ST 01008 Drawing"/>
      <sheetName val="ST 01009"/>
      <sheetName val="ST 01009 Drawing"/>
      <sheetName val="ST 01010"/>
      <sheetName val="ST 01011"/>
      <sheetName val="ST 01011 Drawing"/>
      <sheetName val="ST A0200"/>
      <sheetName val="ST 02001"/>
      <sheetName val="ST 02002"/>
      <sheetName val="ST 02003"/>
      <sheetName val="ST 02003 Drawing"/>
      <sheetName val="ST 02004"/>
      <sheetName val="ST 02004 Drawing"/>
      <sheetName val="ST 02005"/>
      <sheetName val="ST A0300"/>
      <sheetName val="ST 03001"/>
      <sheetName val="ST 03002"/>
      <sheetName val="ST 03003"/>
      <sheetName val="ST A0400"/>
      <sheetName val="ST 04001"/>
      <sheetName val="ST 04002"/>
      <sheetName val="ST 04002 Drawing"/>
      <sheetName val="ST A0500"/>
      <sheetName val="ST 05001"/>
      <sheetName val="ST 05002"/>
      <sheetName val="dST 05002"/>
      <sheetName val="ST 05003"/>
      <sheetName val="dST 05003"/>
      <sheetName val="SU"/>
      <sheetName val="SU A0100"/>
      <sheetName val="SU 01001"/>
      <sheetName val="dSU 01001"/>
      <sheetName val="SU 01002"/>
      <sheetName val="dSU 01002"/>
      <sheetName val="SU 01003"/>
      <sheetName val="SU 01004"/>
      <sheetName val="SU 01005"/>
      <sheetName val="dSU 01005"/>
      <sheetName val="SU 01006"/>
      <sheetName val="dSU 01006"/>
      <sheetName val="SU 01007"/>
      <sheetName val="dSU 01007"/>
      <sheetName val="SU 01008"/>
      <sheetName val="dSU 01008"/>
      <sheetName val="SU 01009"/>
      <sheetName val="dSU 01009"/>
      <sheetName val="SU 01010"/>
      <sheetName val="dSU 01010"/>
      <sheetName val="SU 01011"/>
      <sheetName val="dSU 01011"/>
      <sheetName val="SU A0200"/>
      <sheetName val="SU 02001"/>
      <sheetName val="dSU 02001"/>
      <sheetName val="SU 02002"/>
      <sheetName val="dSU 02002"/>
      <sheetName val="SU 02003"/>
      <sheetName val="SU 02004"/>
      <sheetName val="SU 02005"/>
      <sheetName val="dSU 02005"/>
      <sheetName val="SU 02006"/>
      <sheetName val="dSU 02006"/>
      <sheetName val="SU 02007"/>
      <sheetName val="dSU 02007"/>
      <sheetName val="SU 02008"/>
      <sheetName val="dSU 02008"/>
      <sheetName val="SU 02009"/>
      <sheetName val="dSU 02009"/>
      <sheetName val="SU 02010"/>
      <sheetName val="dSU 02010"/>
      <sheetName val="SU 02011"/>
      <sheetName val="dSU 02011"/>
      <sheetName val="SU A0300"/>
      <sheetName val="SU 03001"/>
      <sheetName val="dSU 03001"/>
      <sheetName val="SU 03002"/>
      <sheetName val="dSU 03002"/>
      <sheetName val="SU 03003"/>
      <sheetName val="SU 03004"/>
      <sheetName val="SU 03005"/>
      <sheetName val="dSU 03005"/>
      <sheetName val="SU 03006"/>
      <sheetName val="dSU 03006"/>
      <sheetName val="SU 03007"/>
      <sheetName val="dSU 03007"/>
      <sheetName val="SU 03008"/>
      <sheetName val="dSU 03008"/>
      <sheetName val="SU 03009"/>
      <sheetName val="dSU 03009"/>
      <sheetName val="SU 03010"/>
      <sheetName val="dSU 03010"/>
      <sheetName val="SU 03011"/>
      <sheetName val="dSU 03011"/>
      <sheetName val="SU A0400"/>
      <sheetName val="SU 04001"/>
      <sheetName val="dSU 04001"/>
      <sheetName val="SU 04002"/>
      <sheetName val="dSU 04002"/>
      <sheetName val="SU 04003"/>
      <sheetName val="SU 04004"/>
      <sheetName val="SU 04005"/>
      <sheetName val="dSU 04005"/>
      <sheetName val="SU 04006"/>
      <sheetName val="dSU 04006"/>
      <sheetName val="SU 04007"/>
      <sheetName val="dSU 04007"/>
      <sheetName val="SU 04008"/>
      <sheetName val="dSU 04008"/>
      <sheetName val="SU 04009"/>
      <sheetName val="dSU 04009"/>
      <sheetName val="SU 04010"/>
      <sheetName val="dSU 04010"/>
      <sheetName val="SU 04011"/>
      <sheetName val="dSU 04011"/>
      <sheetName val="SU A0500"/>
      <sheetName val="SU 05001"/>
      <sheetName val="dSU 05001"/>
      <sheetName val="SU A0600"/>
      <sheetName val="SU 06001"/>
      <sheetName val="SU 06002"/>
      <sheetName val="SU 06003"/>
      <sheetName val="dSU 06003"/>
      <sheetName val="SU 06004"/>
      <sheetName val="SU A0700"/>
      <sheetName val="SU 07001"/>
      <sheetName val="dSU 07001"/>
      <sheetName val="SU A0800"/>
      <sheetName val="SU 08001"/>
      <sheetName val="SU 08002"/>
      <sheetName val="dSU 08002"/>
      <sheetName val="SU 08003"/>
      <sheetName val="SU A0900"/>
      <sheetName val="SU 09001"/>
      <sheetName val="SU 09002"/>
      <sheetName val="dSU 09002"/>
      <sheetName val="SU 09003"/>
      <sheetName val="dSU 09003"/>
      <sheetName val="SU 09004"/>
      <sheetName val="dSU 09004"/>
      <sheetName val="SU A1000"/>
      <sheetName val="SU 10001"/>
      <sheetName val="dSU 10001"/>
      <sheetName val="SU 10002"/>
      <sheetName val="dSU 10002"/>
      <sheetName val="SU 10003"/>
      <sheetName val="dSU 10003"/>
      <sheetName val="SU 10004"/>
      <sheetName val="dSU 10004"/>
      <sheetName val="SU 10005"/>
      <sheetName val="dSU 10005"/>
      <sheetName val="SU A1100 "/>
      <sheetName val="SU 11001"/>
      <sheetName val="dSU 11001"/>
      <sheetName val="SU 11002"/>
      <sheetName val="dSU 11002"/>
      <sheetName val="SU 11003"/>
      <sheetName val="dSU 11003"/>
      <sheetName val="SU 11004"/>
      <sheetName val="dSU 11004"/>
      <sheetName val="SU A1200"/>
      <sheetName val="SU 12001"/>
      <sheetName val="SU 12002"/>
      <sheetName val="dSU 12002"/>
      <sheetName val="SU 12003"/>
      <sheetName val="dSU 12003"/>
      <sheetName val="SU 12004"/>
      <sheetName val="dSU 12004"/>
      <sheetName val="SU A1300"/>
      <sheetName val="SU 13001"/>
      <sheetName val="dSU 13001"/>
      <sheetName val="SU 13002"/>
      <sheetName val="dSU 13002"/>
      <sheetName val="WT"/>
      <sheetName val="WT A0100"/>
      <sheetName val="WT A0200"/>
      <sheetName val="WT 02001"/>
      <sheetName val="dWT 02001"/>
      <sheetName val="WT 02002"/>
      <sheetName val="dWT 02002"/>
      <sheetName val="WT 02003"/>
      <sheetName val="dWT 02003"/>
      <sheetName val="WT 02004"/>
      <sheetName val="dWT 02004"/>
      <sheetName val="WT 02005"/>
      <sheetName val="dWT 02005"/>
      <sheetName val="WT A0300"/>
      <sheetName val="WT 03001"/>
      <sheetName val="dWT 03001"/>
      <sheetName val="WT 03002"/>
      <sheetName val="dWT 03002"/>
      <sheetName val="WT 03003"/>
      <sheetName val="dWT 03003"/>
      <sheetName val="WT 03004"/>
      <sheetName val="dWT 03004"/>
      <sheetName val="WT 03005"/>
      <sheetName val="dWT 03005"/>
    </sheetNames>
    <sheetDataSet>
      <sheetData sheetId="0"/>
      <sheetData sheetId="1"/>
      <sheetData sheetId="2">
        <row r="6">
          <cell r="B6" t="str">
            <v>Area Totals</v>
          </cell>
        </row>
        <row r="7">
          <cell r="C7" t="str">
            <v>Brake System</v>
          </cell>
          <cell r="H7">
            <v>1111.3709751010633</v>
          </cell>
        </row>
        <row r="8">
          <cell r="C8" t="str">
            <v>Engine &amp; Drivetrain</v>
          </cell>
          <cell r="H8">
            <v>4205.1924401804181</v>
          </cell>
        </row>
        <row r="9">
          <cell r="C9" t="str">
            <v>Frame &amp; Body</v>
          </cell>
          <cell r="H9">
            <v>2467.2200288759923</v>
          </cell>
        </row>
        <row r="10">
          <cell r="C10" t="str">
            <v>Electrical</v>
          </cell>
          <cell r="H10">
            <v>1932.297841121667</v>
          </cell>
        </row>
        <row r="11">
          <cell r="C11" t="str">
            <v>Miscellaneous, Finish &amp; Assembly</v>
          </cell>
          <cell r="H11">
            <v>294.4415616610691</v>
          </cell>
        </row>
        <row r="12">
          <cell r="C12" t="str">
            <v>Steering System</v>
          </cell>
          <cell r="H12">
            <v>342.53140643485278</v>
          </cell>
        </row>
        <row r="13">
          <cell r="C13" t="str">
            <v>Suspension System</v>
          </cell>
          <cell r="H13">
            <v>2817.3333628326109</v>
          </cell>
        </row>
        <row r="14">
          <cell r="C14" t="str">
            <v>Wheels, Wheel Bearings &amp; Tires</v>
          </cell>
          <cell r="H14">
            <v>1967.1666259487806</v>
          </cell>
        </row>
      </sheetData>
      <sheetData sheetId="3"/>
      <sheetData sheetId="4"/>
      <sheetData sheetId="5">
        <row r="3">
          <cell r="B3" t="str">
            <v>Brake System</v>
          </cell>
          <cell r="N3">
            <v>2</v>
          </cell>
        </row>
        <row r="4">
          <cell r="B4" t="str">
            <v>Front Brake Rotor</v>
          </cell>
        </row>
        <row r="5">
          <cell r="B5" t="str">
            <v>BR A0100</v>
          </cell>
        </row>
        <row r="14">
          <cell r="E14">
            <v>11.584626837190916</v>
          </cell>
        </row>
        <row r="19">
          <cell r="N19">
            <v>84.708956000000001</v>
          </cell>
        </row>
        <row r="30">
          <cell r="I30">
            <v>4.42</v>
          </cell>
        </row>
        <row r="37">
          <cell r="J37">
            <v>0.61370974668793365</v>
          </cell>
        </row>
      </sheetData>
      <sheetData sheetId="6">
        <row r="3">
          <cell r="N3">
            <v>1</v>
          </cell>
        </row>
        <row r="5">
          <cell r="B5" t="str">
            <v>Brake Rotor</v>
          </cell>
        </row>
        <row r="6">
          <cell r="B6" t="str">
            <v>BR 01001</v>
          </cell>
        </row>
        <row r="12">
          <cell r="N12">
            <v>1.4669236125</v>
          </cell>
        </row>
        <row r="17">
          <cell r="I17">
            <v>1.9237299999999997</v>
          </cell>
        </row>
      </sheetData>
      <sheetData sheetId="7">
        <row r="3">
          <cell r="N3">
            <v>1</v>
          </cell>
        </row>
        <row r="5">
          <cell r="B5" t="str">
            <v>Brake Shrink Disc</v>
          </cell>
        </row>
        <row r="6">
          <cell r="B6" t="str">
            <v>BR 01002</v>
          </cell>
        </row>
        <row r="12">
          <cell r="N12">
            <v>1.8871946657382919</v>
          </cell>
        </row>
        <row r="17">
          <cell r="I17">
            <v>4.1320000000000006</v>
          </cell>
        </row>
      </sheetData>
      <sheetData sheetId="8"/>
      <sheetData sheetId="9">
        <row r="3">
          <cell r="N3">
            <v>6</v>
          </cell>
        </row>
        <row r="5">
          <cell r="B5" t="str">
            <v>Brake Bobbin</v>
          </cell>
        </row>
        <row r="6">
          <cell r="B6" t="str">
            <v>BR 01003</v>
          </cell>
        </row>
        <row r="12">
          <cell r="N12">
            <v>3.6081308249999992E-2</v>
          </cell>
        </row>
        <row r="17">
          <cell r="I17">
            <v>0.23246266666666668</v>
          </cell>
        </row>
      </sheetData>
      <sheetData sheetId="10">
        <row r="3">
          <cell r="N3">
            <v>2</v>
          </cell>
        </row>
        <row r="5">
          <cell r="B5" t="str">
            <v>Brake Caliper Spacer</v>
          </cell>
        </row>
        <row r="6">
          <cell r="B6" t="str">
            <v>BR 01004</v>
          </cell>
        </row>
        <row r="12">
          <cell r="N12">
            <v>4.0090354726311485E-2</v>
          </cell>
        </row>
        <row r="17">
          <cell r="I17">
            <v>0.24166700000000002</v>
          </cell>
        </row>
      </sheetData>
      <sheetData sheetId="11"/>
      <sheetData sheetId="12">
        <row r="3">
          <cell r="B3" t="str">
            <v>Brake System</v>
          </cell>
          <cell r="N3">
            <v>2</v>
          </cell>
        </row>
        <row r="4">
          <cell r="B4" t="str">
            <v>Rear Brake Rotor</v>
          </cell>
        </row>
        <row r="5">
          <cell r="B5" t="str">
            <v>BR A0200</v>
          </cell>
        </row>
        <row r="14">
          <cell r="E14">
            <v>11.719626837190914</v>
          </cell>
        </row>
        <row r="19">
          <cell r="N19">
            <v>84.708956000000001</v>
          </cell>
        </row>
        <row r="30">
          <cell r="I30">
            <v>4.42</v>
          </cell>
        </row>
        <row r="37">
          <cell r="J37">
            <v>0.61370974668793365</v>
          </cell>
        </row>
      </sheetData>
      <sheetData sheetId="13">
        <row r="3">
          <cell r="B3" t="str">
            <v>Brake System</v>
          </cell>
          <cell r="N3">
            <v>1</v>
          </cell>
        </row>
        <row r="5">
          <cell r="B5" t="str">
            <v>Brake Rotor</v>
          </cell>
        </row>
        <row r="6">
          <cell r="B6" t="str">
            <v>BR 02001</v>
          </cell>
        </row>
        <row r="12">
          <cell r="N12">
            <v>1.4669236125</v>
          </cell>
        </row>
        <row r="17">
          <cell r="I17">
            <v>1.9237299999999997</v>
          </cell>
        </row>
      </sheetData>
      <sheetData sheetId="14">
        <row r="3">
          <cell r="N3">
            <v>1</v>
          </cell>
        </row>
        <row r="5">
          <cell r="B5" t="str">
            <v>Brake Shrink Disc</v>
          </cell>
        </row>
        <row r="6">
          <cell r="B6" t="str">
            <v>BR 02002</v>
          </cell>
        </row>
        <row r="12">
          <cell r="N12">
            <v>1.8871946657382919</v>
          </cell>
        </row>
        <row r="17">
          <cell r="I17">
            <v>4.2670000000000003</v>
          </cell>
        </row>
      </sheetData>
      <sheetData sheetId="15"/>
      <sheetData sheetId="16">
        <row r="3">
          <cell r="N3">
            <v>6</v>
          </cell>
        </row>
        <row r="5">
          <cell r="B5" t="str">
            <v>Brake Bobbin</v>
          </cell>
        </row>
        <row r="6">
          <cell r="B6" t="str">
            <v>BR 02003</v>
          </cell>
        </row>
        <row r="12">
          <cell r="N12">
            <v>3.6081308249999992E-2</v>
          </cell>
        </row>
        <row r="17">
          <cell r="I17">
            <v>0.23246266666666668</v>
          </cell>
        </row>
      </sheetData>
      <sheetData sheetId="17">
        <row r="3">
          <cell r="N3">
            <v>2</v>
          </cell>
        </row>
        <row r="5">
          <cell r="B5" t="str">
            <v>Brake Caliper Spacer</v>
          </cell>
        </row>
        <row r="6">
          <cell r="B6" t="str">
            <v>BR 02004</v>
          </cell>
        </row>
        <row r="12">
          <cell r="N12">
            <v>4.0090354726311485E-2</v>
          </cell>
        </row>
        <row r="17">
          <cell r="I17">
            <v>0.24166700000000002</v>
          </cell>
        </row>
      </sheetData>
      <sheetData sheetId="18"/>
      <sheetData sheetId="19">
        <row r="3">
          <cell r="B3" t="str">
            <v>Brake System</v>
          </cell>
          <cell r="N3">
            <v>1</v>
          </cell>
        </row>
        <row r="4">
          <cell r="B4" t="str">
            <v>Brake Circuit Assembly</v>
          </cell>
        </row>
        <row r="5">
          <cell r="B5" t="str">
            <v>BR A0300</v>
          </cell>
        </row>
        <row r="14">
          <cell r="E14">
            <v>6.1575561250000002</v>
          </cell>
        </row>
        <row r="34">
          <cell r="N34">
            <v>655.03345956250007</v>
          </cell>
        </row>
        <row r="64">
          <cell r="I64">
            <v>40.967599999999997</v>
          </cell>
        </row>
        <row r="77">
          <cell r="J77">
            <v>2.9665224113810575</v>
          </cell>
        </row>
        <row r="81">
          <cell r="I81">
            <v>0.66666666666666663</v>
          </cell>
        </row>
      </sheetData>
      <sheetData sheetId="20">
        <row r="3">
          <cell r="B3" t="str">
            <v>Brake System</v>
          </cell>
          <cell r="N3">
            <v>1</v>
          </cell>
        </row>
        <row r="5">
          <cell r="B5" t="str">
            <v>Hydraulic Fluid Reservoir Mount</v>
          </cell>
        </row>
        <row r="6">
          <cell r="B6" t="str">
            <v>BR 03001</v>
          </cell>
        </row>
        <row r="12">
          <cell r="N12">
            <v>3.1792499999999994E-2</v>
          </cell>
        </row>
        <row r="17">
          <cell r="I17">
            <v>1.6838500000000001</v>
          </cell>
        </row>
      </sheetData>
      <sheetData sheetId="21"/>
      <sheetData sheetId="22">
        <row r="3">
          <cell r="N3">
            <v>1</v>
          </cell>
        </row>
        <row r="5">
          <cell r="B5" t="str">
            <v>Distribution Tee Mount</v>
          </cell>
        </row>
        <row r="6">
          <cell r="B6" t="str">
            <v>BR 03002</v>
          </cell>
        </row>
        <row r="12">
          <cell r="N12">
            <v>2.6493750000000003E-2</v>
          </cell>
        </row>
        <row r="17">
          <cell r="I17">
            <v>1.63141</v>
          </cell>
        </row>
      </sheetData>
      <sheetData sheetId="23"/>
      <sheetData sheetId="24">
        <row r="3">
          <cell r="N3">
            <v>2</v>
          </cell>
        </row>
        <row r="5">
          <cell r="B5" t="str">
            <v>Internal Spacer</v>
          </cell>
        </row>
        <row r="6">
          <cell r="B6" t="str">
            <v>BR 03003</v>
          </cell>
        </row>
        <row r="12">
          <cell r="N12">
            <v>2.3491125000000002E-2</v>
          </cell>
        </row>
        <row r="17">
          <cell r="I17">
            <v>0.70184000000000002</v>
          </cell>
        </row>
      </sheetData>
      <sheetData sheetId="25"/>
      <sheetData sheetId="26">
        <row r="3">
          <cell r="N3">
            <v>2</v>
          </cell>
        </row>
        <row r="5">
          <cell r="B5" t="str">
            <v>External Spacer</v>
          </cell>
        </row>
        <row r="6">
          <cell r="B6" t="str">
            <v>BR 03004</v>
          </cell>
        </row>
        <row r="12">
          <cell r="N12">
            <v>5.033812500000001E-3</v>
          </cell>
        </row>
        <row r="17">
          <cell r="I17">
            <v>0.66164000000000001</v>
          </cell>
        </row>
      </sheetData>
      <sheetData sheetId="27"/>
      <sheetData sheetId="28"/>
      <sheetData sheetId="29">
        <row r="2">
          <cell r="B2" t="str">
            <v>Engine &amp; Drivetrain</v>
          </cell>
          <cell r="N2">
            <v>1</v>
          </cell>
        </row>
        <row r="3">
          <cell r="B3" t="str">
            <v>Engine</v>
          </cell>
        </row>
        <row r="19">
          <cell r="N19">
            <v>1500.213344</v>
          </cell>
        </row>
        <row r="33">
          <cell r="I33">
            <v>76.377982849999995</v>
          </cell>
        </row>
        <row r="43">
          <cell r="J43">
            <v>5.7350202721198675</v>
          </cell>
        </row>
        <row r="47">
          <cell r="I47">
            <v>0.66666666666666663</v>
          </cell>
        </row>
      </sheetData>
      <sheetData sheetId="30">
        <row r="2">
          <cell r="B2" t="str">
            <v>Engine &amp; Drivetrain</v>
          </cell>
          <cell r="N2">
            <v>1</v>
          </cell>
        </row>
        <row r="4">
          <cell r="B4" t="str">
            <v>Flat Sump</v>
          </cell>
        </row>
        <row r="15">
          <cell r="N15">
            <v>10.574961264000001</v>
          </cell>
        </row>
        <row r="30">
          <cell r="I30">
            <v>26.04</v>
          </cell>
        </row>
        <row r="34">
          <cell r="I34">
            <v>2.1666666666666665</v>
          </cell>
        </row>
      </sheetData>
      <sheetData sheetId="31">
        <row r="2">
          <cell r="N2">
            <v>2</v>
          </cell>
        </row>
        <row r="4">
          <cell r="B4" t="str">
            <v>Rear tab</v>
          </cell>
        </row>
        <row r="11">
          <cell r="N11">
            <v>0.20347200000000001</v>
          </cell>
        </row>
        <row r="16">
          <cell r="I16">
            <v>1.214</v>
          </cell>
        </row>
      </sheetData>
      <sheetData sheetId="32"/>
      <sheetData sheetId="33">
        <row r="2">
          <cell r="N2">
            <v>2</v>
          </cell>
        </row>
        <row r="4">
          <cell r="B4" t="str">
            <v>Rear tube</v>
          </cell>
        </row>
        <row r="11">
          <cell r="N11">
            <v>0.14205025342471611</v>
          </cell>
        </row>
        <row r="16">
          <cell r="I16">
            <v>1.1540000000000001</v>
          </cell>
        </row>
      </sheetData>
      <sheetData sheetId="34"/>
      <sheetData sheetId="35">
        <row r="3">
          <cell r="B3" t="str">
            <v>Engine and Drivetrain</v>
          </cell>
          <cell r="N3">
            <v>1</v>
          </cell>
        </row>
        <row r="4">
          <cell r="B4" t="str">
            <v>Exhaust System</v>
          </cell>
        </row>
        <row r="5">
          <cell r="B5" t="str">
            <v>EN A0200</v>
          </cell>
        </row>
        <row r="20">
          <cell r="E20">
            <v>260.69839691057143</v>
          </cell>
        </row>
        <row r="24">
          <cell r="N24">
            <v>6</v>
          </cell>
        </row>
        <row r="47">
          <cell r="I47">
            <v>92.688849013323178</v>
          </cell>
        </row>
        <row r="57">
          <cell r="J57">
            <v>1.0377863716797775</v>
          </cell>
        </row>
        <row r="61">
          <cell r="I61">
            <v>1</v>
          </cell>
        </row>
      </sheetData>
      <sheetData sheetId="36">
        <row r="3">
          <cell r="B3" t="str">
            <v>Engine and Drivetrain</v>
          </cell>
          <cell r="N3">
            <v>4</v>
          </cell>
        </row>
        <row r="5">
          <cell r="B5" t="str">
            <v>Exhaust Tip</v>
          </cell>
        </row>
        <row r="6">
          <cell r="B6" t="str">
            <v>EN 02001</v>
          </cell>
        </row>
        <row r="12">
          <cell r="N12">
            <v>0.64123759419506832</v>
          </cell>
        </row>
        <row r="19">
          <cell r="I19">
            <v>3.7125000000000004</v>
          </cell>
        </row>
      </sheetData>
      <sheetData sheetId="37"/>
      <sheetData sheetId="38">
        <row r="3">
          <cell r="N3">
            <v>4</v>
          </cell>
        </row>
        <row r="5">
          <cell r="B5" t="str">
            <v>Exhaust Flange</v>
          </cell>
        </row>
        <row r="6">
          <cell r="B6" t="str">
            <v>EN 02002</v>
          </cell>
        </row>
        <row r="12">
          <cell r="N12">
            <v>0.35325000000000001</v>
          </cell>
        </row>
        <row r="17">
          <cell r="I17">
            <v>1.3975</v>
          </cell>
        </row>
      </sheetData>
      <sheetData sheetId="39"/>
      <sheetData sheetId="40">
        <row r="3">
          <cell r="N3">
            <v>1</v>
          </cell>
        </row>
        <row r="5">
          <cell r="B5" t="str">
            <v>Exhaust headers</v>
          </cell>
        </row>
        <row r="6">
          <cell r="B6" t="str">
            <v>EN 02003</v>
          </cell>
        </row>
        <row r="12">
          <cell r="N12">
            <v>1.6472724466284603</v>
          </cell>
        </row>
        <row r="19">
          <cell r="I19">
            <v>100.12</v>
          </cell>
        </row>
        <row r="24">
          <cell r="I24">
            <v>7.666666666666667</v>
          </cell>
        </row>
      </sheetData>
      <sheetData sheetId="41">
        <row r="3">
          <cell r="N3">
            <v>2</v>
          </cell>
        </row>
        <row r="5">
          <cell r="B5" t="str">
            <v>Primary collector</v>
          </cell>
        </row>
        <row r="6">
          <cell r="B6" t="str">
            <v>EN 02004</v>
          </cell>
        </row>
        <row r="13">
          <cell r="N13">
            <v>0.28964518324531668</v>
          </cell>
        </row>
        <row r="19">
          <cell r="I19">
            <v>18.438732606542757</v>
          </cell>
        </row>
        <row r="23">
          <cell r="I23">
            <v>1.5</v>
          </cell>
        </row>
      </sheetData>
      <sheetData sheetId="42">
        <row r="3">
          <cell r="N3">
            <v>2</v>
          </cell>
        </row>
        <row r="5">
          <cell r="B5" t="str">
            <v>Primary collector tubing</v>
          </cell>
        </row>
        <row r="6">
          <cell r="B6" t="str">
            <v>EN 02005</v>
          </cell>
        </row>
        <row r="12">
          <cell r="N12">
            <v>0.59025833845061948</v>
          </cell>
        </row>
        <row r="16">
          <cell r="I16">
            <v>0.63149999999999995</v>
          </cell>
        </row>
      </sheetData>
      <sheetData sheetId="43">
        <row r="3">
          <cell r="N3">
            <v>1</v>
          </cell>
        </row>
        <row r="5">
          <cell r="B5" t="str">
            <v>Secondary collector</v>
          </cell>
        </row>
        <row r="6">
          <cell r="B6" t="str">
            <v>EN 02006</v>
          </cell>
        </row>
        <row r="13">
          <cell r="N13">
            <v>0.38627070650896178</v>
          </cell>
        </row>
        <row r="19">
          <cell r="I19">
            <v>20.580225572397893</v>
          </cell>
        </row>
        <row r="23">
          <cell r="I23">
            <v>1.5</v>
          </cell>
        </row>
      </sheetData>
      <sheetData sheetId="44">
        <row r="3">
          <cell r="N3">
            <v>1</v>
          </cell>
        </row>
        <row r="5">
          <cell r="B5" t="str">
            <v>Secondary collector tubing</v>
          </cell>
        </row>
        <row r="6">
          <cell r="B6" t="str">
            <v>EN 02007</v>
          </cell>
        </row>
        <row r="12">
          <cell r="N12">
            <v>0.51345839728531351</v>
          </cell>
        </row>
        <row r="19">
          <cell r="I19">
            <v>11.721</v>
          </cell>
        </row>
        <row r="23">
          <cell r="I23">
            <v>0.66666666666666663</v>
          </cell>
        </row>
      </sheetData>
      <sheetData sheetId="45">
        <row r="3">
          <cell r="N3">
            <v>1</v>
          </cell>
        </row>
        <row r="5">
          <cell r="B5" t="str">
            <v>Muffler</v>
          </cell>
        </row>
        <row r="6">
          <cell r="B6" t="str">
            <v>EN 02008</v>
          </cell>
        </row>
        <row r="14">
          <cell r="N14">
            <v>24.125</v>
          </cell>
        </row>
        <row r="22">
          <cell r="I22">
            <v>16.02</v>
          </cell>
        </row>
      </sheetData>
      <sheetData sheetId="46">
        <row r="3">
          <cell r="N3">
            <v>1</v>
          </cell>
        </row>
        <row r="5">
          <cell r="B5" t="str">
            <v>Muffler Collar</v>
          </cell>
        </row>
        <row r="6">
          <cell r="B6" t="str">
            <v>EN 02009</v>
          </cell>
        </row>
        <row r="12">
          <cell r="N12">
            <v>5.5552800000000007</v>
          </cell>
        </row>
        <row r="17">
          <cell r="I17">
            <v>0.61599999999999999</v>
          </cell>
        </row>
        <row r="21">
          <cell r="I21">
            <v>3.7333333333333336E-2</v>
          </cell>
        </row>
      </sheetData>
      <sheetData sheetId="47">
        <row r="3">
          <cell r="N3">
            <v>1</v>
          </cell>
        </row>
        <row r="5">
          <cell r="B5" t="str">
            <v>Spacer</v>
          </cell>
        </row>
        <row r="6">
          <cell r="B6" t="str">
            <v>EN 02010</v>
          </cell>
        </row>
        <row r="12">
          <cell r="N12">
            <v>0.14915276609595188</v>
          </cell>
        </row>
        <row r="17">
          <cell r="I17">
            <v>2.0758477217305353</v>
          </cell>
        </row>
      </sheetData>
      <sheetData sheetId="48">
        <row r="3">
          <cell r="B3" t="str">
            <v>Engine and Drivetrain</v>
          </cell>
          <cell r="N3">
            <v>1</v>
          </cell>
        </row>
        <row r="4">
          <cell r="B4" t="str">
            <v>Air Intake System</v>
          </cell>
        </row>
        <row r="18">
          <cell r="E18">
            <v>46.126237749999994</v>
          </cell>
        </row>
        <row r="26">
          <cell r="N26">
            <v>26.45</v>
          </cell>
        </row>
        <row r="63">
          <cell r="I63">
            <v>62.641749999999995</v>
          </cell>
        </row>
        <row r="73">
          <cell r="J73">
            <v>5.437182180107337</v>
          </cell>
        </row>
        <row r="77">
          <cell r="I77">
            <v>0.66666666666666663</v>
          </cell>
        </row>
      </sheetData>
      <sheetData sheetId="49">
        <row r="3">
          <cell r="N3">
            <v>1</v>
          </cell>
        </row>
        <row r="5">
          <cell r="B5" t="str">
            <v>Upper plenum</v>
          </cell>
        </row>
        <row r="12">
          <cell r="N12">
            <v>1.1549999999999998</v>
          </cell>
        </row>
        <row r="17">
          <cell r="I17">
            <v>11.43375</v>
          </cell>
        </row>
      </sheetData>
      <sheetData sheetId="50">
        <row r="3">
          <cell r="N3">
            <v>1</v>
          </cell>
        </row>
        <row r="5">
          <cell r="B5" t="str">
            <v>Plenum plate</v>
          </cell>
        </row>
        <row r="12">
          <cell r="N12">
            <v>0.58800000000000008</v>
          </cell>
        </row>
        <row r="17">
          <cell r="I17">
            <v>3.0919999999999996</v>
          </cell>
        </row>
      </sheetData>
      <sheetData sheetId="51"/>
      <sheetData sheetId="52">
        <row r="3">
          <cell r="N3">
            <v>1</v>
          </cell>
        </row>
        <row r="5">
          <cell r="B5" t="str">
            <v>Intake manifold</v>
          </cell>
        </row>
        <row r="12">
          <cell r="N12">
            <v>1.65</v>
          </cell>
        </row>
        <row r="17">
          <cell r="I17">
            <v>16.485749999999999</v>
          </cell>
        </row>
      </sheetData>
      <sheetData sheetId="53">
        <row r="3">
          <cell r="N3">
            <v>1</v>
          </cell>
        </row>
        <row r="5">
          <cell r="B5" t="str">
            <v>Left frame bracket</v>
          </cell>
        </row>
        <row r="12">
          <cell r="N12">
            <v>4.2000000000000003E-2</v>
          </cell>
        </row>
        <row r="17">
          <cell r="I17">
            <v>1.647</v>
          </cell>
        </row>
      </sheetData>
      <sheetData sheetId="54"/>
      <sheetData sheetId="55">
        <row r="3">
          <cell r="N3">
            <v>1</v>
          </cell>
        </row>
        <row r="5">
          <cell r="B5" t="str">
            <v>Right frame bracket</v>
          </cell>
        </row>
        <row r="12">
          <cell r="N12">
            <v>5.04E-2</v>
          </cell>
        </row>
        <row r="17">
          <cell r="I17">
            <v>1.7110000000000001</v>
          </cell>
        </row>
      </sheetData>
      <sheetData sheetId="56"/>
      <sheetData sheetId="57">
        <row r="3">
          <cell r="N3">
            <v>2</v>
          </cell>
        </row>
        <row r="5">
          <cell r="B5" t="str">
            <v>PAIR plate</v>
          </cell>
        </row>
        <row r="12">
          <cell r="N12">
            <v>7.5600000000000001E-2</v>
          </cell>
        </row>
        <row r="17">
          <cell r="I17">
            <v>1.24</v>
          </cell>
        </row>
      </sheetData>
      <sheetData sheetId="58"/>
      <sheetData sheetId="59">
        <row r="3">
          <cell r="N3">
            <v>1</v>
          </cell>
        </row>
        <row r="5">
          <cell r="B5" t="str">
            <v>Motor bracket</v>
          </cell>
        </row>
        <row r="12">
          <cell r="N12">
            <v>0.28560000000000002</v>
          </cell>
        </row>
        <row r="18">
          <cell r="I18">
            <v>3.8899999999999997</v>
          </cell>
        </row>
      </sheetData>
      <sheetData sheetId="60"/>
      <sheetData sheetId="61">
        <row r="3">
          <cell r="N3">
            <v>2</v>
          </cell>
        </row>
        <row r="5">
          <cell r="B5" t="str">
            <v>Intake bracket</v>
          </cell>
        </row>
        <row r="12">
          <cell r="N12">
            <v>4.7688749999999997E-3</v>
          </cell>
        </row>
        <row r="17">
          <cell r="I17">
            <v>0.72750000000000004</v>
          </cell>
        </row>
      </sheetData>
      <sheetData sheetId="62"/>
      <sheetData sheetId="63">
        <row r="3">
          <cell r="B3" t="str">
            <v>Engine and Drivetrain</v>
          </cell>
          <cell r="N3">
            <v>1</v>
          </cell>
        </row>
        <row r="4">
          <cell r="B4" t="str">
            <v>Throttle Body</v>
          </cell>
        </row>
        <row r="19">
          <cell r="E19">
            <v>40.227685600000001</v>
          </cell>
        </row>
        <row r="30">
          <cell r="N30">
            <v>119.8</v>
          </cell>
        </row>
        <row r="54">
          <cell r="I54">
            <v>9.1900000000000013</v>
          </cell>
        </row>
        <row r="64">
          <cell r="J64">
            <v>1.02</v>
          </cell>
        </row>
      </sheetData>
      <sheetData sheetId="64">
        <row r="3">
          <cell r="N3">
            <v>1</v>
          </cell>
        </row>
        <row r="5">
          <cell r="B5" t="str">
            <v>Throttle Frange</v>
          </cell>
        </row>
        <row r="12">
          <cell r="N12">
            <v>0.72898560000000012</v>
          </cell>
        </row>
        <row r="18">
          <cell r="I18">
            <v>4.45</v>
          </cell>
        </row>
      </sheetData>
      <sheetData sheetId="65">
        <row r="3">
          <cell r="N3">
            <v>1</v>
          </cell>
        </row>
        <row r="5">
          <cell r="B5" t="str">
            <v>Restrictor</v>
          </cell>
        </row>
        <row r="12">
          <cell r="N12">
            <v>1.5792000000000002</v>
          </cell>
        </row>
        <row r="19">
          <cell r="I19">
            <v>4.1500000000000004</v>
          </cell>
        </row>
      </sheetData>
      <sheetData sheetId="66">
        <row r="3">
          <cell r="N3">
            <v>1</v>
          </cell>
        </row>
        <row r="5">
          <cell r="B5" t="str">
            <v>Throttle Housing</v>
          </cell>
        </row>
        <row r="12">
          <cell r="N12">
            <v>0.84420000000000006</v>
          </cell>
        </row>
        <row r="19">
          <cell r="I19">
            <v>3.4299999999999997</v>
          </cell>
        </row>
      </sheetData>
      <sheetData sheetId="67">
        <row r="3">
          <cell r="N3">
            <v>1</v>
          </cell>
        </row>
        <row r="5">
          <cell r="B5" t="str">
            <v>Throttle Axle</v>
          </cell>
        </row>
        <row r="12">
          <cell r="N12">
            <v>5.6250000000000001E-2</v>
          </cell>
        </row>
        <row r="19">
          <cell r="I19">
            <v>2.67</v>
          </cell>
        </row>
      </sheetData>
      <sheetData sheetId="68">
        <row r="3">
          <cell r="N3">
            <v>1</v>
          </cell>
        </row>
        <row r="5">
          <cell r="B5" t="str">
            <v>TPS Axle</v>
          </cell>
        </row>
        <row r="12">
          <cell r="N12">
            <v>4.0499999999999994E-2</v>
          </cell>
        </row>
        <row r="19">
          <cell r="I19">
            <v>2.67</v>
          </cell>
        </row>
      </sheetData>
      <sheetData sheetId="69">
        <row r="3">
          <cell r="N3">
            <v>1</v>
          </cell>
        </row>
        <row r="5">
          <cell r="B5" t="str">
            <v>Cable Housing</v>
          </cell>
        </row>
        <row r="12">
          <cell r="N12">
            <v>0.16874999999999998</v>
          </cell>
        </row>
        <row r="19">
          <cell r="I19">
            <v>3.4</v>
          </cell>
        </row>
      </sheetData>
      <sheetData sheetId="70">
        <row r="3">
          <cell r="N3">
            <v>1</v>
          </cell>
        </row>
        <row r="5">
          <cell r="B5" t="str">
            <v>Axle Stop</v>
          </cell>
        </row>
        <row r="12">
          <cell r="N12">
            <v>0.26100000000000001</v>
          </cell>
        </row>
        <row r="17">
          <cell r="I17">
            <v>1.78</v>
          </cell>
        </row>
      </sheetData>
      <sheetData sheetId="71">
        <row r="3">
          <cell r="N3">
            <v>1</v>
          </cell>
        </row>
        <row r="5">
          <cell r="B5" t="str">
            <v>Ram Pipe</v>
          </cell>
        </row>
        <row r="12">
          <cell r="N12">
            <v>4.0068000000000001</v>
          </cell>
        </row>
        <row r="17">
          <cell r="I17">
            <v>8.5</v>
          </cell>
        </row>
      </sheetData>
      <sheetData sheetId="72">
        <row r="3">
          <cell r="N3">
            <v>1</v>
          </cell>
        </row>
        <row r="5">
          <cell r="B5" t="str">
            <v>Throttle Plate</v>
          </cell>
        </row>
        <row r="12">
          <cell r="N12">
            <v>7.2000000000000008E-2</v>
          </cell>
        </row>
        <row r="17">
          <cell r="I17">
            <v>1.42</v>
          </cell>
        </row>
      </sheetData>
      <sheetData sheetId="73">
        <row r="2">
          <cell r="N2">
            <v>1</v>
          </cell>
        </row>
        <row r="3">
          <cell r="B3" t="str">
            <v>Fuel Tank Assembly</v>
          </cell>
        </row>
        <row r="4">
          <cell r="B4" t="str">
            <v>EN A0500</v>
          </cell>
        </row>
        <row r="21">
          <cell r="N21">
            <v>24.858435000000004</v>
          </cell>
        </row>
        <row r="36">
          <cell r="I36">
            <v>10.460378374999999</v>
          </cell>
        </row>
        <row r="46">
          <cell r="J46">
            <v>1.8800000000000001</v>
          </cell>
        </row>
        <row r="50">
          <cell r="I50">
            <v>1.3333333333333333</v>
          </cell>
        </row>
      </sheetData>
      <sheetData sheetId="74">
        <row r="2">
          <cell r="N2">
            <v>1</v>
          </cell>
        </row>
        <row r="4">
          <cell r="B4" t="str">
            <v>Fuel Tank (with filler neck)</v>
          </cell>
        </row>
        <row r="5">
          <cell r="B5" t="str">
            <v>EN 05001</v>
          </cell>
        </row>
        <row r="13">
          <cell r="N13">
            <v>19.849591323415851</v>
          </cell>
        </row>
        <row r="26">
          <cell r="I26">
            <v>82.154999999999987</v>
          </cell>
        </row>
        <row r="30">
          <cell r="I30">
            <v>1.6666666666666667</v>
          </cell>
        </row>
      </sheetData>
      <sheetData sheetId="75"/>
      <sheetData sheetId="76">
        <row r="2">
          <cell r="N2">
            <v>1</v>
          </cell>
        </row>
        <row r="4">
          <cell r="B4" t="str">
            <v>Filler Cap</v>
          </cell>
        </row>
        <row r="5">
          <cell r="B5" t="str">
            <v>EN 05002</v>
          </cell>
        </row>
        <row r="14">
          <cell r="N14">
            <v>24.424274971513587</v>
          </cell>
        </row>
        <row r="22">
          <cell r="I22">
            <v>7.26</v>
          </cell>
        </row>
      </sheetData>
      <sheetData sheetId="77">
        <row r="2">
          <cell r="N2">
            <v>1</v>
          </cell>
        </row>
        <row r="4">
          <cell r="B4" t="str">
            <v>Filler Tube</v>
          </cell>
        </row>
        <row r="5">
          <cell r="B5" t="str">
            <v>EN 05003</v>
          </cell>
        </row>
        <row r="15">
          <cell r="N15">
            <v>4.0578145638400001</v>
          </cell>
        </row>
        <row r="30">
          <cell r="I30">
            <v>10.78</v>
          </cell>
        </row>
        <row r="36">
          <cell r="J36">
            <v>2.52</v>
          </cell>
        </row>
        <row r="40">
          <cell r="I40">
            <v>1</v>
          </cell>
        </row>
      </sheetData>
      <sheetData sheetId="78">
        <row r="2">
          <cell r="N2">
            <v>2</v>
          </cell>
        </row>
        <row r="4">
          <cell r="B4" t="str">
            <v>Lateral tab</v>
          </cell>
        </row>
        <row r="5">
          <cell r="B5" t="str">
            <v>EN 05004</v>
          </cell>
        </row>
        <row r="11">
          <cell r="N11">
            <v>3.3382125000000006E-2</v>
          </cell>
        </row>
        <row r="16">
          <cell r="I16">
            <v>1.7050000000000001</v>
          </cell>
        </row>
      </sheetData>
      <sheetData sheetId="79"/>
      <sheetData sheetId="80">
        <row r="2">
          <cell r="N2">
            <v>2</v>
          </cell>
        </row>
        <row r="4">
          <cell r="B4" t="str">
            <v>Rear tab</v>
          </cell>
        </row>
        <row r="5">
          <cell r="B5" t="str">
            <v>EN 05005</v>
          </cell>
        </row>
        <row r="11">
          <cell r="N11">
            <v>5.0868000000000003E-2</v>
          </cell>
        </row>
        <row r="16">
          <cell r="I16">
            <v>1.8340000000000001</v>
          </cell>
        </row>
      </sheetData>
      <sheetData sheetId="81"/>
      <sheetData sheetId="82">
        <row r="2">
          <cell r="N2">
            <v>1</v>
          </cell>
        </row>
        <row r="3">
          <cell r="B3" t="str">
            <v>Fuel System</v>
          </cell>
        </row>
        <row r="4">
          <cell r="B4" t="str">
            <v>EN A0600</v>
          </cell>
        </row>
        <row r="33">
          <cell r="N33">
            <v>283.82959200000005</v>
          </cell>
        </row>
        <row r="56">
          <cell r="I56">
            <v>43.141549999999995</v>
          </cell>
        </row>
        <row r="68">
          <cell r="J68">
            <v>0.69</v>
          </cell>
        </row>
        <row r="72">
          <cell r="I72">
            <v>0.66666666666666663</v>
          </cell>
        </row>
      </sheetData>
      <sheetData sheetId="83">
        <row r="2">
          <cell r="N2">
            <v>1</v>
          </cell>
        </row>
        <row r="4">
          <cell r="B4" t="str">
            <v>Fuel Rail</v>
          </cell>
        </row>
        <row r="5">
          <cell r="B5" t="str">
            <v>EN 06001</v>
          </cell>
        </row>
        <row r="12">
          <cell r="N12">
            <v>0.4680366810922939</v>
          </cell>
        </row>
        <row r="20">
          <cell r="I20">
            <v>4.84</v>
          </cell>
        </row>
        <row r="24">
          <cell r="I24">
            <v>2.3333333333333335</v>
          </cell>
        </row>
      </sheetData>
      <sheetData sheetId="84">
        <row r="2">
          <cell r="N2">
            <v>1</v>
          </cell>
        </row>
        <row r="4">
          <cell r="B4" t="str">
            <v>Fuel Pump Collar</v>
          </cell>
        </row>
        <row r="5">
          <cell r="B5" t="str">
            <v>EN 06002</v>
          </cell>
        </row>
        <row r="11">
          <cell r="N11">
            <v>5.2395840000000006E-2</v>
          </cell>
        </row>
        <row r="17">
          <cell r="I17">
            <v>3.3</v>
          </cell>
        </row>
      </sheetData>
      <sheetData sheetId="85">
        <row r="2">
          <cell r="N2">
            <v>1</v>
          </cell>
        </row>
        <row r="4">
          <cell r="B4" t="str">
            <v>Pressure Regulator Tab</v>
          </cell>
        </row>
        <row r="5">
          <cell r="B5" t="str">
            <v>EN 06003</v>
          </cell>
        </row>
        <row r="11">
          <cell r="N11">
            <v>4.4509500000000007E-2</v>
          </cell>
        </row>
        <row r="16">
          <cell r="I16">
            <v>1.786</v>
          </cell>
        </row>
      </sheetData>
      <sheetData sheetId="86"/>
      <sheetData sheetId="87">
        <row r="2">
          <cell r="N2">
            <v>1</v>
          </cell>
        </row>
        <row r="4">
          <cell r="B4" t="str">
            <v>Fuel Pump Tab</v>
          </cell>
        </row>
        <row r="5">
          <cell r="B5" t="str">
            <v>EN 06004</v>
          </cell>
        </row>
        <row r="11">
          <cell r="N11">
            <v>9.1845E-3</v>
          </cell>
        </row>
        <row r="16">
          <cell r="I16">
            <v>1.5448</v>
          </cell>
        </row>
      </sheetData>
      <sheetData sheetId="88"/>
      <sheetData sheetId="89">
        <row r="2">
          <cell r="N2">
            <v>1</v>
          </cell>
        </row>
        <row r="3">
          <cell r="B3" t="str">
            <v>Overflow Bottles</v>
          </cell>
        </row>
        <row r="4">
          <cell r="B4" t="str">
            <v>EN A0700</v>
          </cell>
        </row>
        <row r="14">
          <cell r="N14">
            <v>11.515199999999998</v>
          </cell>
        </row>
        <row r="30">
          <cell r="I30">
            <v>9.11</v>
          </cell>
        </row>
        <row r="39">
          <cell r="J39">
            <v>1.9757979106491377</v>
          </cell>
        </row>
      </sheetData>
      <sheetData sheetId="90">
        <row r="2">
          <cell r="N2">
            <v>1</v>
          </cell>
        </row>
        <row r="3">
          <cell r="B3" t="str">
            <v>Cooling System</v>
          </cell>
        </row>
        <row r="4">
          <cell r="B4" t="str">
            <v>EN A0800</v>
          </cell>
        </row>
        <row r="19">
          <cell r="E19">
            <v>222.17723255339621</v>
          </cell>
        </row>
        <row r="26">
          <cell r="N26">
            <v>20.044000000000004</v>
          </cell>
        </row>
        <row r="51">
          <cell r="I51">
            <v>19.440357249999991</v>
          </cell>
        </row>
        <row r="62">
          <cell r="J62">
            <v>8.5536000000000012</v>
          </cell>
        </row>
        <row r="66">
          <cell r="I66">
            <v>1</v>
          </cell>
        </row>
      </sheetData>
      <sheetData sheetId="91">
        <row r="2">
          <cell r="N2">
            <v>1</v>
          </cell>
        </row>
        <row r="4">
          <cell r="B4" t="str">
            <v>Radiator</v>
          </cell>
        </row>
        <row r="5">
          <cell r="B5" t="str">
            <v>EN 08001</v>
          </cell>
        </row>
        <row r="12">
          <cell r="N12">
            <v>17.942504929733513</v>
          </cell>
        </row>
        <row r="17">
          <cell r="I17">
            <v>84.919999999999987</v>
          </cell>
        </row>
      </sheetData>
      <sheetData sheetId="92"/>
      <sheetData sheetId="93">
        <row r="2">
          <cell r="N2">
            <v>1</v>
          </cell>
        </row>
        <row r="4">
          <cell r="B4" t="str">
            <v>Radiator lateral upper tab</v>
          </cell>
        </row>
        <row r="5">
          <cell r="B5" t="str">
            <v>EN 08002</v>
          </cell>
        </row>
        <row r="11">
          <cell r="N11">
            <v>4.6628999999999997E-2</v>
          </cell>
        </row>
        <row r="16">
          <cell r="I16">
            <v>1.7440000000000002</v>
          </cell>
        </row>
      </sheetData>
      <sheetData sheetId="94"/>
      <sheetData sheetId="95">
        <row r="2">
          <cell r="N2">
            <v>1</v>
          </cell>
        </row>
        <row r="4">
          <cell r="B4" t="str">
            <v>Radiator lateral lower tab</v>
          </cell>
        </row>
        <row r="5">
          <cell r="B5" t="str">
            <v>EN 08003</v>
          </cell>
        </row>
        <row r="11">
          <cell r="N11">
            <v>0.26493749999999999</v>
          </cell>
        </row>
        <row r="17">
          <cell r="I17">
            <v>2.2622345024703865</v>
          </cell>
        </row>
      </sheetData>
      <sheetData sheetId="96"/>
      <sheetData sheetId="97">
        <row r="2">
          <cell r="N2">
            <v>1</v>
          </cell>
        </row>
        <row r="4">
          <cell r="B4" t="str">
            <v>Radiator Back tab</v>
          </cell>
        </row>
        <row r="5">
          <cell r="B5" t="str">
            <v>EN 08004</v>
          </cell>
        </row>
        <row r="11">
          <cell r="N11">
            <v>1.1127375000000002E-2</v>
          </cell>
        </row>
        <row r="16">
          <cell r="I16">
            <v>1.603</v>
          </cell>
        </row>
      </sheetData>
      <sheetData sheetId="98"/>
      <sheetData sheetId="99">
        <row r="2">
          <cell r="N2">
            <v>1</v>
          </cell>
        </row>
        <row r="4">
          <cell r="B4" t="str">
            <v xml:space="preserve">Main Coolant Line </v>
          </cell>
        </row>
        <row r="5">
          <cell r="B5" t="str">
            <v>EN 08005</v>
          </cell>
        </row>
        <row r="12">
          <cell r="N12">
            <v>12.259934125000001</v>
          </cell>
        </row>
        <row r="19">
          <cell r="I19">
            <v>21.096281798666926</v>
          </cell>
        </row>
        <row r="23">
          <cell r="J23">
            <v>4.8</v>
          </cell>
        </row>
      </sheetData>
      <sheetData sheetId="100">
        <row r="2">
          <cell r="N2">
            <v>1</v>
          </cell>
        </row>
        <row r="4">
          <cell r="B4" t="str">
            <v>Fan</v>
          </cell>
        </row>
        <row r="5">
          <cell r="B5" t="str">
            <v>EN 08006</v>
          </cell>
        </row>
        <row r="11">
          <cell r="N11">
            <v>30</v>
          </cell>
        </row>
        <row r="16">
          <cell r="I16">
            <v>0.37</v>
          </cell>
        </row>
        <row r="20">
          <cell r="J20">
            <v>0.4</v>
          </cell>
        </row>
      </sheetData>
      <sheetData sheetId="101">
        <row r="2">
          <cell r="N2">
            <v>1</v>
          </cell>
        </row>
        <row r="4">
          <cell r="B4" t="str">
            <v>Expansion Tank</v>
          </cell>
        </row>
        <row r="5">
          <cell r="B5" t="str">
            <v>EN 08007</v>
          </cell>
        </row>
        <row r="16">
          <cell r="N16">
            <v>3.0189026337015608</v>
          </cell>
        </row>
        <row r="33">
          <cell r="I33">
            <v>17.710988</v>
          </cell>
        </row>
        <row r="37">
          <cell r="I37">
            <v>2</v>
          </cell>
        </row>
      </sheetData>
      <sheetData sheetId="102">
        <row r="2">
          <cell r="N2">
            <v>1</v>
          </cell>
        </row>
        <row r="4">
          <cell r="B4" t="str">
            <v>Expansion Tank tab</v>
          </cell>
        </row>
        <row r="5">
          <cell r="B5" t="str">
            <v>EN 08008</v>
          </cell>
        </row>
        <row r="11">
          <cell r="N11">
            <v>1.6691062500000003E-2</v>
          </cell>
        </row>
        <row r="16">
          <cell r="I16">
            <v>1.528</v>
          </cell>
        </row>
      </sheetData>
      <sheetData sheetId="103"/>
      <sheetData sheetId="104">
        <row r="2">
          <cell r="N2">
            <v>1</v>
          </cell>
        </row>
        <row r="4">
          <cell r="B4" t="str">
            <v>Lateral Tube</v>
          </cell>
        </row>
        <row r="5">
          <cell r="B5" t="str">
            <v>EN 08009</v>
          </cell>
        </row>
        <row r="11">
          <cell r="N11">
            <v>1.8035134468570386</v>
          </cell>
        </row>
        <row r="17">
          <cell r="I17">
            <v>1.35</v>
          </cell>
        </row>
      </sheetData>
      <sheetData sheetId="105"/>
      <sheetData sheetId="106">
        <row r="2">
          <cell r="N2">
            <v>1</v>
          </cell>
        </row>
        <row r="4">
          <cell r="B4" t="str">
            <v>Secondary Coolant Line</v>
          </cell>
        </row>
        <row r="5">
          <cell r="B5" t="str">
            <v>EN 08010</v>
          </cell>
        </row>
        <row r="12">
          <cell r="N12">
            <v>1.3285971169668374</v>
          </cell>
        </row>
        <row r="19">
          <cell r="I19">
            <v>9.3552</v>
          </cell>
        </row>
        <row r="23">
          <cell r="J23">
            <v>4.8</v>
          </cell>
        </row>
      </sheetData>
      <sheetData sheetId="107">
        <row r="3">
          <cell r="B3" t="str">
            <v>Engine &amp; Drivetrain</v>
          </cell>
          <cell r="N3">
            <v>1</v>
          </cell>
        </row>
        <row r="4">
          <cell r="B4" t="str">
            <v>Differential Assembly</v>
          </cell>
        </row>
        <row r="5">
          <cell r="B5" t="str">
            <v>EN A0900</v>
          </cell>
        </row>
        <row r="19">
          <cell r="E19">
            <v>198.81305319100173</v>
          </cell>
        </row>
        <row r="27">
          <cell r="N27">
            <v>180.46876618407356</v>
          </cell>
        </row>
        <row r="44">
          <cell r="I44">
            <v>18.487000000000002</v>
          </cell>
        </row>
        <row r="56">
          <cell r="J56">
            <v>2.2673941819330707</v>
          </cell>
        </row>
        <row r="60">
          <cell r="I60">
            <v>2.6666666666666665</v>
          </cell>
        </row>
      </sheetData>
      <sheetData sheetId="108">
        <row r="3">
          <cell r="B3" t="str">
            <v>Engine &amp; Drivetrain</v>
          </cell>
          <cell r="N3">
            <v>1</v>
          </cell>
        </row>
        <row r="5">
          <cell r="B5" t="str">
            <v>Housing</v>
          </cell>
        </row>
        <row r="6">
          <cell r="B6" t="str">
            <v>EN 09001</v>
          </cell>
        </row>
        <row r="15">
          <cell r="N15">
            <v>21.413986326151015</v>
          </cell>
        </row>
        <row r="32">
          <cell r="I32">
            <v>101.49</v>
          </cell>
        </row>
        <row r="39">
          <cell r="J39">
            <v>3.0349363890180614</v>
          </cell>
        </row>
      </sheetData>
      <sheetData sheetId="109">
        <row r="3">
          <cell r="N3">
            <v>1</v>
          </cell>
        </row>
        <row r="5">
          <cell r="B5" t="str">
            <v>Left Eccentric</v>
          </cell>
        </row>
        <row r="6">
          <cell r="B6" t="str">
            <v>EN 09002</v>
          </cell>
        </row>
        <row r="13">
          <cell r="N13">
            <v>2.5923646996736607</v>
          </cell>
        </row>
        <row r="18">
          <cell r="I18">
            <v>8.3122000000000007</v>
          </cell>
        </row>
      </sheetData>
      <sheetData sheetId="110"/>
      <sheetData sheetId="111">
        <row r="3">
          <cell r="N3">
            <v>1</v>
          </cell>
        </row>
        <row r="5">
          <cell r="B5" t="str">
            <v>Right Eccentric</v>
          </cell>
        </row>
        <row r="6">
          <cell r="B6" t="str">
            <v>EN 09003</v>
          </cell>
        </row>
        <row r="13">
          <cell r="N13">
            <v>2.0039646196590013</v>
          </cell>
        </row>
        <row r="18">
          <cell r="I18">
            <v>6.5350000000000001</v>
          </cell>
        </row>
      </sheetData>
      <sheetData sheetId="112"/>
      <sheetData sheetId="113">
        <row r="3">
          <cell r="N3">
            <v>1</v>
          </cell>
        </row>
        <row r="5">
          <cell r="B5" t="str">
            <v>Left Eccentric carrier</v>
          </cell>
        </row>
        <row r="6">
          <cell r="B6" t="str">
            <v>EN 09004</v>
          </cell>
        </row>
        <row r="13">
          <cell r="N13">
            <v>7.7532174719999993</v>
          </cell>
        </row>
        <row r="18">
          <cell r="I18">
            <v>16.203199999999999</v>
          </cell>
        </row>
      </sheetData>
      <sheetData sheetId="114"/>
      <sheetData sheetId="115">
        <row r="3">
          <cell r="N3">
            <v>1</v>
          </cell>
        </row>
        <row r="5">
          <cell r="B5" t="str">
            <v>Right Eccentric carrier</v>
          </cell>
        </row>
        <row r="6">
          <cell r="B6" t="str">
            <v>EN 09005</v>
          </cell>
        </row>
        <row r="13">
          <cell r="N13">
            <v>5.6232126720000002</v>
          </cell>
        </row>
        <row r="18">
          <cell r="I18">
            <v>11.575200000000001</v>
          </cell>
        </row>
      </sheetData>
      <sheetData sheetId="116"/>
      <sheetData sheetId="117">
        <row r="3">
          <cell r="N3">
            <v>4</v>
          </cell>
        </row>
        <row r="5">
          <cell r="B5" t="str">
            <v>Upper Eccentric Carrier bracket</v>
          </cell>
        </row>
        <row r="6">
          <cell r="B6" t="str">
            <v>EN 09006</v>
          </cell>
        </row>
        <row r="12">
          <cell r="N12">
            <v>8.287245E-2</v>
          </cell>
        </row>
        <row r="17">
          <cell r="I17">
            <v>0.91300000000000003</v>
          </cell>
        </row>
      </sheetData>
      <sheetData sheetId="118"/>
      <sheetData sheetId="119">
        <row r="3">
          <cell r="N3">
            <v>4</v>
          </cell>
        </row>
        <row r="5">
          <cell r="B5" t="str">
            <v>Lower Eccentric Carrier bracket</v>
          </cell>
        </row>
        <row r="6">
          <cell r="B6" t="str">
            <v>EN 09007</v>
          </cell>
        </row>
        <row r="12">
          <cell r="N12">
            <v>7.0685324999999993E-2</v>
          </cell>
        </row>
        <row r="17">
          <cell r="I17">
            <v>0.89860000000000007</v>
          </cell>
        </row>
      </sheetData>
      <sheetData sheetId="120"/>
      <sheetData sheetId="121">
        <row r="3">
          <cell r="N3">
            <v>1</v>
          </cell>
        </row>
        <row r="5">
          <cell r="B5" t="str">
            <v>Left Jacking Bar bracket</v>
          </cell>
        </row>
        <row r="6">
          <cell r="B6" t="str">
            <v>EN 09008</v>
          </cell>
        </row>
        <row r="13">
          <cell r="N13">
            <v>0.14942475</v>
          </cell>
        </row>
        <row r="18">
          <cell r="I18">
            <v>2.0527000000000002</v>
          </cell>
        </row>
      </sheetData>
      <sheetData sheetId="122"/>
      <sheetData sheetId="123">
        <row r="3">
          <cell r="N3">
            <v>1</v>
          </cell>
        </row>
        <row r="5">
          <cell r="B5" t="str">
            <v>Right Jacking Bar bracket</v>
          </cell>
        </row>
        <row r="6">
          <cell r="B6" t="str">
            <v>EN 09009</v>
          </cell>
        </row>
        <row r="13">
          <cell r="N13">
            <v>0.15191516250000001</v>
          </cell>
        </row>
        <row r="18">
          <cell r="I18">
            <v>2.0611000000000002</v>
          </cell>
        </row>
      </sheetData>
      <sheetData sheetId="124"/>
      <sheetData sheetId="125">
        <row r="3">
          <cell r="B3" t="str">
            <v>Engine &amp; Drivetrain</v>
          </cell>
          <cell r="N3">
            <v>1</v>
          </cell>
        </row>
        <row r="4">
          <cell r="B4" t="str">
            <v>Driveshaft</v>
          </cell>
        </row>
        <row r="5">
          <cell r="B5" t="str">
            <v>EN A1000</v>
          </cell>
        </row>
        <row r="14">
          <cell r="E14">
            <v>311.42024688373152</v>
          </cell>
        </row>
        <row r="19">
          <cell r="N19">
            <v>200</v>
          </cell>
        </row>
        <row r="34">
          <cell r="I34">
            <v>15.54</v>
          </cell>
        </row>
        <row r="42">
          <cell r="J42">
            <v>7.492160661777044</v>
          </cell>
        </row>
      </sheetData>
      <sheetData sheetId="126">
        <row r="3">
          <cell r="B3" t="str">
            <v>Engine &amp; Drivetrain</v>
          </cell>
          <cell r="N3">
            <v>2</v>
          </cell>
        </row>
        <row r="5">
          <cell r="B5" t="str">
            <v>Inboard tripod housing</v>
          </cell>
        </row>
        <row r="6">
          <cell r="B6" t="str">
            <v>EN 10001</v>
          </cell>
        </row>
        <row r="13">
          <cell r="N13">
            <v>9.224787154500504</v>
          </cell>
        </row>
        <row r="22">
          <cell r="I22">
            <v>57.324999999999996</v>
          </cell>
        </row>
      </sheetData>
      <sheetData sheetId="127">
        <row r="3">
          <cell r="N3">
            <v>2</v>
          </cell>
        </row>
        <row r="5">
          <cell r="B5" t="str">
            <v>Outboard tripod housing</v>
          </cell>
        </row>
        <row r="6">
          <cell r="B6" t="str">
            <v>EN 10002</v>
          </cell>
        </row>
        <row r="12">
          <cell r="N12">
            <v>9.6278805957742595</v>
          </cell>
        </row>
        <row r="23">
          <cell r="I23">
            <v>62.647319999999993</v>
          </cell>
        </row>
      </sheetData>
      <sheetData sheetId="128">
        <row r="3">
          <cell r="N3">
            <v>1</v>
          </cell>
        </row>
        <row r="5">
          <cell r="B5" t="str">
            <v>Left Axle</v>
          </cell>
        </row>
        <row r="6">
          <cell r="B6" t="str">
            <v>EN 10003</v>
          </cell>
        </row>
        <row r="12">
          <cell r="N12">
            <v>2.58137785047247</v>
          </cell>
        </row>
        <row r="21">
          <cell r="I21">
            <v>13.851760449987401</v>
          </cell>
        </row>
      </sheetData>
      <sheetData sheetId="129"/>
      <sheetData sheetId="130">
        <row r="3">
          <cell r="N3">
            <v>1</v>
          </cell>
        </row>
        <row r="5">
          <cell r="B5" t="str">
            <v>Right Axle</v>
          </cell>
        </row>
        <row r="6">
          <cell r="B6" t="str">
            <v>EN 10004</v>
          </cell>
        </row>
        <row r="12">
          <cell r="N12">
            <v>2.9255615638687997</v>
          </cell>
        </row>
        <row r="21">
          <cell r="I21">
            <v>14.411571518853314</v>
          </cell>
        </row>
      </sheetData>
      <sheetData sheetId="131"/>
      <sheetData sheetId="132">
        <row r="3">
          <cell r="B3" t="str">
            <v>Engine &amp; Drivetrain</v>
          </cell>
          <cell r="N3">
            <v>1</v>
          </cell>
        </row>
        <row r="4">
          <cell r="B4" t="str">
            <v>Chain Set</v>
          </cell>
        </row>
        <row r="5">
          <cell r="B5" t="str">
            <v>EN A1100</v>
          </cell>
        </row>
        <row r="16">
          <cell r="E16">
            <v>108.24362279664142</v>
          </cell>
        </row>
        <row r="21">
          <cell r="N21">
            <v>2.1800000000000002</v>
          </cell>
        </row>
        <row r="42">
          <cell r="I42">
            <v>17.709499999999998</v>
          </cell>
        </row>
        <row r="58">
          <cell r="J58">
            <v>2.5815625728670586</v>
          </cell>
        </row>
        <row r="62">
          <cell r="I62">
            <v>2.6666666666666665</v>
          </cell>
        </row>
      </sheetData>
      <sheetData sheetId="133">
        <row r="3">
          <cell r="N3">
            <v>1</v>
          </cell>
        </row>
        <row r="5">
          <cell r="B5" t="str">
            <v>Front sprocket</v>
          </cell>
        </row>
        <row r="6">
          <cell r="B6" t="str">
            <v>EN 11001</v>
          </cell>
        </row>
        <row r="12">
          <cell r="N12">
            <v>1.519947422111005</v>
          </cell>
        </row>
        <row r="21">
          <cell r="I21">
            <v>23.23431082183119</v>
          </cell>
        </row>
      </sheetData>
      <sheetData sheetId="134">
        <row r="3">
          <cell r="N3">
            <v>1</v>
          </cell>
        </row>
        <row r="5">
          <cell r="B5" t="str">
            <v>Rear sprocket</v>
          </cell>
        </row>
        <row r="6">
          <cell r="B6" t="str">
            <v>EN 11002</v>
          </cell>
        </row>
        <row r="12">
          <cell r="N12">
            <v>3.0587969609521379</v>
          </cell>
        </row>
        <row r="19">
          <cell r="I19">
            <v>38.743472999999994</v>
          </cell>
        </row>
      </sheetData>
      <sheetData sheetId="135">
        <row r="3">
          <cell r="N3">
            <v>1</v>
          </cell>
        </row>
        <row r="5">
          <cell r="B5" t="str">
            <v>Rear sprocket adaptor</v>
          </cell>
        </row>
        <row r="6">
          <cell r="B6" t="str">
            <v>EN 11003</v>
          </cell>
        </row>
        <row r="12">
          <cell r="N12">
            <v>8.7196654595811296</v>
          </cell>
        </row>
        <row r="18">
          <cell r="I18">
            <v>20.441200000000002</v>
          </cell>
        </row>
      </sheetData>
      <sheetData sheetId="136"/>
      <sheetData sheetId="137">
        <row r="3">
          <cell r="N3">
            <v>1</v>
          </cell>
        </row>
        <row r="5">
          <cell r="B5" t="str">
            <v>Chain shield</v>
          </cell>
        </row>
        <row r="6">
          <cell r="B6" t="str">
            <v>EN 11004</v>
          </cell>
        </row>
        <row r="12">
          <cell r="N12">
            <v>3.3131600921659494</v>
          </cell>
        </row>
        <row r="18">
          <cell r="I18">
            <v>5.7847220000000004</v>
          </cell>
        </row>
      </sheetData>
      <sheetData sheetId="138"/>
      <sheetData sheetId="139">
        <row r="3">
          <cell r="N3">
            <v>1</v>
          </cell>
        </row>
        <row r="5">
          <cell r="B5" t="str">
            <v>Upper chainshield bracket</v>
          </cell>
        </row>
        <row r="6">
          <cell r="B6" t="str">
            <v>EN 11005</v>
          </cell>
        </row>
        <row r="12">
          <cell r="N12">
            <v>4.0535437499999993E-2</v>
          </cell>
        </row>
        <row r="17">
          <cell r="I17">
            <v>1.6738660000000001</v>
          </cell>
        </row>
      </sheetData>
      <sheetData sheetId="140"/>
      <sheetData sheetId="141">
        <row r="3">
          <cell r="N3">
            <v>1</v>
          </cell>
        </row>
        <row r="5">
          <cell r="B5" t="str">
            <v>Lower chainshield bracket</v>
          </cell>
        </row>
        <row r="6">
          <cell r="B6" t="str">
            <v>EN 11006</v>
          </cell>
        </row>
        <row r="12">
          <cell r="N12">
            <v>3.7292602500000001E-2</v>
          </cell>
        </row>
        <row r="17">
          <cell r="I17">
            <v>1.6766529999999999</v>
          </cell>
        </row>
      </sheetData>
      <sheetData sheetId="142"/>
      <sheetData sheetId="143"/>
      <sheetData sheetId="144">
        <row r="3">
          <cell r="B3" t="str">
            <v>Frame and Body</v>
          </cell>
          <cell r="N3">
            <v>1</v>
          </cell>
        </row>
        <row r="4">
          <cell r="B4" t="str">
            <v>Frame</v>
          </cell>
        </row>
        <row r="5">
          <cell r="B5" t="str">
            <v>FR A0100</v>
          </cell>
        </row>
        <row r="14">
          <cell r="E14">
            <v>304.56293087876605</v>
          </cell>
        </row>
        <row r="18">
          <cell r="N18">
            <v>30.7</v>
          </cell>
        </row>
        <row r="26">
          <cell r="I26">
            <v>538.61749999999995</v>
          </cell>
        </row>
        <row r="31">
          <cell r="J31">
            <v>3.2</v>
          </cell>
        </row>
        <row r="36">
          <cell r="I36">
            <v>67.333333333333343</v>
          </cell>
        </row>
      </sheetData>
      <sheetData sheetId="145">
        <row r="3">
          <cell r="N3">
            <v>1</v>
          </cell>
        </row>
        <row r="5">
          <cell r="B5" t="str">
            <v>Bend Round steel tubing</v>
          </cell>
        </row>
        <row r="6">
          <cell r="B6" t="str">
            <v>FR 01001</v>
          </cell>
        </row>
        <row r="13">
          <cell r="N13">
            <v>12.802279089902541</v>
          </cell>
        </row>
        <row r="20">
          <cell r="I20">
            <v>10.95</v>
          </cell>
        </row>
      </sheetData>
      <sheetData sheetId="146">
        <row r="3">
          <cell r="N3">
            <v>1</v>
          </cell>
        </row>
        <row r="5">
          <cell r="B5" t="str">
            <v>Straight round steel tubing</v>
          </cell>
        </row>
        <row r="6">
          <cell r="B6" t="str">
            <v>FR 01002</v>
          </cell>
        </row>
        <row r="17">
          <cell r="N17">
            <v>70.758699254616374</v>
          </cell>
        </row>
        <row r="24">
          <cell r="I24">
            <v>185.2484</v>
          </cell>
        </row>
      </sheetData>
      <sheetData sheetId="147">
        <row r="3">
          <cell r="N3">
            <v>1</v>
          </cell>
        </row>
        <row r="5">
          <cell r="B5" t="str">
            <v>Ant-intrusion plate</v>
          </cell>
        </row>
        <row r="6">
          <cell r="B6" t="str">
            <v>FR 01003</v>
          </cell>
        </row>
        <row r="12">
          <cell r="N12">
            <v>4.02705</v>
          </cell>
        </row>
        <row r="18">
          <cell r="I18">
            <v>5.0999999999999996</v>
          </cell>
        </row>
      </sheetData>
      <sheetData sheetId="148">
        <row r="3">
          <cell r="N3">
            <v>4</v>
          </cell>
        </row>
        <row r="5">
          <cell r="B5" t="str">
            <v>Sleeved joint</v>
          </cell>
        </row>
        <row r="6">
          <cell r="B6" t="str">
            <v>FR 01004</v>
          </cell>
        </row>
        <row r="12">
          <cell r="N12">
            <v>0.35512563356179044</v>
          </cell>
        </row>
        <row r="18">
          <cell r="I18">
            <v>3.5640000000000001</v>
          </cell>
        </row>
      </sheetData>
      <sheetData sheetId="149"/>
      <sheetData sheetId="150">
        <row r="3">
          <cell r="B3" t="str">
            <v>Frame and Body</v>
          </cell>
          <cell r="N3">
            <v>1</v>
          </cell>
        </row>
        <row r="4">
          <cell r="B4" t="str">
            <v>Impact Attenuator</v>
          </cell>
        </row>
        <row r="5">
          <cell r="B5" t="str">
            <v>FR A0200</v>
          </cell>
        </row>
        <row r="17">
          <cell r="I17">
            <v>8.0625</v>
          </cell>
        </row>
        <row r="25">
          <cell r="J25">
            <v>3.4540607885303536</v>
          </cell>
        </row>
      </sheetData>
      <sheetData sheetId="151">
        <row r="3">
          <cell r="B3" t="str">
            <v>Frame and Body</v>
          </cell>
          <cell r="N3">
            <v>1</v>
          </cell>
        </row>
        <row r="5">
          <cell r="B5" t="str">
            <v>Impact Attenuator</v>
          </cell>
        </row>
        <row r="6">
          <cell r="B6" t="str">
            <v>FR 02001</v>
          </cell>
        </row>
        <row r="15">
          <cell r="N15">
            <v>7.0072204125000006</v>
          </cell>
        </row>
        <row r="26">
          <cell r="I26">
            <v>28.186</v>
          </cell>
        </row>
      </sheetData>
      <sheetData sheetId="152">
        <row r="3">
          <cell r="B3" t="str">
            <v>Frame and Body</v>
          </cell>
          <cell r="N3">
            <v>1</v>
          </cell>
        </row>
        <row r="4">
          <cell r="B4" t="str">
            <v>Pedal box</v>
          </cell>
        </row>
        <row r="5">
          <cell r="B5" t="str">
            <v>FR A0300</v>
          </cell>
        </row>
        <row r="22">
          <cell r="E22">
            <v>49.852144700499991</v>
          </cell>
        </row>
        <row r="27">
          <cell r="N27">
            <v>18.920000000000002</v>
          </cell>
        </row>
        <row r="71">
          <cell r="I71">
            <v>25.469999999999992</v>
          </cell>
        </row>
        <row r="104">
          <cell r="J104">
            <v>5.0791537729964675</v>
          </cell>
        </row>
        <row r="108">
          <cell r="I108">
            <v>3</v>
          </cell>
        </row>
      </sheetData>
      <sheetData sheetId="153">
        <row r="3">
          <cell r="B3" t="str">
            <v>Frame and Body</v>
          </cell>
          <cell r="N3">
            <v>2</v>
          </cell>
        </row>
        <row r="5">
          <cell r="B5" t="str">
            <v>Rail</v>
          </cell>
        </row>
        <row r="6">
          <cell r="B6" t="str">
            <v>FR 03001</v>
          </cell>
        </row>
        <row r="12">
          <cell r="N12">
            <v>0.8383334400000001</v>
          </cell>
        </row>
        <row r="19">
          <cell r="I19">
            <v>2.2696000000000001</v>
          </cell>
        </row>
      </sheetData>
      <sheetData sheetId="154"/>
      <sheetData sheetId="155">
        <row r="3">
          <cell r="N3">
            <v>1</v>
          </cell>
        </row>
        <row r="5">
          <cell r="B5" t="str">
            <v>Brake pedal</v>
          </cell>
        </row>
        <row r="6">
          <cell r="B6" t="str">
            <v>FR 03002</v>
          </cell>
        </row>
        <row r="12">
          <cell r="N12">
            <v>1.1390400000000001</v>
          </cell>
        </row>
        <row r="21">
          <cell r="I21">
            <v>4.548</v>
          </cell>
        </row>
      </sheetData>
      <sheetData sheetId="156"/>
      <sheetData sheetId="157">
        <row r="3">
          <cell r="N3">
            <v>1</v>
          </cell>
        </row>
        <row r="5">
          <cell r="B5" t="str">
            <v>Accelerator Pedal</v>
          </cell>
        </row>
        <row r="6">
          <cell r="B6" t="str">
            <v>FR 03003</v>
          </cell>
        </row>
        <row r="12">
          <cell r="N12">
            <v>1.1390400000000001</v>
          </cell>
        </row>
        <row r="19">
          <cell r="I19">
            <v>3.702</v>
          </cell>
        </row>
      </sheetData>
      <sheetData sheetId="158"/>
      <sheetData sheetId="159">
        <row r="3">
          <cell r="N3">
            <v>2</v>
          </cell>
        </row>
        <row r="5">
          <cell r="B5" t="str">
            <v>Foot Top Support</v>
          </cell>
        </row>
        <row r="6">
          <cell r="B6" t="str">
            <v>FR 03004</v>
          </cell>
        </row>
        <row r="12">
          <cell r="N12">
            <v>0.31095792</v>
          </cell>
        </row>
        <row r="19">
          <cell r="I19">
            <v>1.7913999999999999</v>
          </cell>
        </row>
      </sheetData>
      <sheetData sheetId="160"/>
      <sheetData sheetId="161">
        <row r="3">
          <cell r="N3">
            <v>2</v>
          </cell>
        </row>
        <row r="5">
          <cell r="B5" t="str">
            <v>Heel Support</v>
          </cell>
        </row>
        <row r="6">
          <cell r="B6" t="str">
            <v>FR 03005</v>
          </cell>
        </row>
        <row r="12">
          <cell r="N12">
            <v>0.27291398400000005</v>
          </cell>
        </row>
        <row r="19">
          <cell r="I19">
            <v>1.7444</v>
          </cell>
        </row>
      </sheetData>
      <sheetData sheetId="162"/>
      <sheetData sheetId="163">
        <row r="3">
          <cell r="N3">
            <v>2</v>
          </cell>
        </row>
        <row r="5">
          <cell r="B5" t="str">
            <v>Brake Pedal Support</v>
          </cell>
        </row>
        <row r="6">
          <cell r="B6" t="str">
            <v>FR 03006</v>
          </cell>
        </row>
        <row r="12">
          <cell r="N12">
            <v>0.46364062500000008</v>
          </cell>
        </row>
        <row r="17">
          <cell r="I17">
            <v>2.6479999999999997</v>
          </cell>
        </row>
      </sheetData>
      <sheetData sheetId="164"/>
      <sheetData sheetId="165">
        <row r="3">
          <cell r="N3">
            <v>1</v>
          </cell>
        </row>
        <row r="5">
          <cell r="B5" t="str">
            <v>Brake over-travel switch support</v>
          </cell>
        </row>
        <row r="6">
          <cell r="B6" t="str">
            <v>FR 03007</v>
          </cell>
        </row>
        <row r="12">
          <cell r="N12">
            <v>7.0650000000000018E-2</v>
          </cell>
        </row>
        <row r="18">
          <cell r="I18">
            <v>1.901</v>
          </cell>
        </row>
      </sheetData>
      <sheetData sheetId="166"/>
      <sheetData sheetId="167">
        <row r="3">
          <cell r="N3">
            <v>2</v>
          </cell>
        </row>
        <row r="5">
          <cell r="B5" t="str">
            <v>Accelerator pedal support</v>
          </cell>
        </row>
        <row r="6">
          <cell r="B6" t="str">
            <v>FR 03008</v>
          </cell>
        </row>
        <row r="12">
          <cell r="N12">
            <v>0.24798149999999999</v>
          </cell>
        </row>
        <row r="17">
          <cell r="I17">
            <v>1.7480000000000002</v>
          </cell>
        </row>
      </sheetData>
      <sheetData sheetId="168"/>
      <sheetData sheetId="169">
        <row r="3">
          <cell r="N3">
            <v>1</v>
          </cell>
        </row>
        <row r="5">
          <cell r="B5" t="str">
            <v>Cable Support</v>
          </cell>
        </row>
        <row r="6">
          <cell r="B6" t="str">
            <v>FR 03009</v>
          </cell>
        </row>
        <row r="12">
          <cell r="N12">
            <v>0.11549508750000001</v>
          </cell>
        </row>
        <row r="21">
          <cell r="I21">
            <v>4.09</v>
          </cell>
        </row>
      </sheetData>
      <sheetData sheetId="170"/>
      <sheetData sheetId="171">
        <row r="3">
          <cell r="N3">
            <v>4</v>
          </cell>
        </row>
        <row r="5">
          <cell r="B5" t="str">
            <v>Rear Rail Mount</v>
          </cell>
        </row>
        <row r="6">
          <cell r="B6" t="str">
            <v>FR 03010</v>
          </cell>
        </row>
        <row r="12">
          <cell r="N12">
            <v>5.4047250000000005E-2</v>
          </cell>
        </row>
        <row r="17">
          <cell r="I17">
            <v>0.80590000000000006</v>
          </cell>
        </row>
      </sheetData>
      <sheetData sheetId="172"/>
      <sheetData sheetId="173">
        <row r="3">
          <cell r="N3">
            <v>4</v>
          </cell>
        </row>
        <row r="5">
          <cell r="B5" t="str">
            <v>Front Rail Mount</v>
          </cell>
        </row>
        <row r="6">
          <cell r="B6" t="str">
            <v>FR 03011</v>
          </cell>
        </row>
        <row r="12">
          <cell r="N12">
            <v>7.0102462500000004E-2</v>
          </cell>
        </row>
        <row r="17">
          <cell r="I17">
            <v>0.72520000000000007</v>
          </cell>
        </row>
      </sheetData>
      <sheetData sheetId="174"/>
      <sheetData sheetId="175">
        <row r="3">
          <cell r="N3">
            <v>1</v>
          </cell>
        </row>
        <row r="5">
          <cell r="B5" t="str">
            <v>Sheath for cable mount</v>
          </cell>
        </row>
        <row r="6">
          <cell r="B6" t="str">
            <v>FR 03012</v>
          </cell>
        </row>
        <row r="12">
          <cell r="N12">
            <v>6.8565825000000011E-2</v>
          </cell>
        </row>
        <row r="17">
          <cell r="I17">
            <v>1.7869000000000002</v>
          </cell>
        </row>
      </sheetData>
      <sheetData sheetId="176"/>
      <sheetData sheetId="177">
        <row r="3">
          <cell r="B3" t="str">
            <v>Frame and Body</v>
          </cell>
          <cell r="N3">
            <v>1</v>
          </cell>
        </row>
        <row r="4">
          <cell r="B4" t="str">
            <v>Floor Pan</v>
          </cell>
        </row>
        <row r="5">
          <cell r="B5" t="str">
            <v>FR A0400</v>
          </cell>
        </row>
        <row r="13">
          <cell r="E13">
            <v>33.306214947100003</v>
          </cell>
        </row>
        <row r="17">
          <cell r="N17">
            <v>0.1249</v>
          </cell>
        </row>
        <row r="28">
          <cell r="I28">
            <v>15.115572499999999</v>
          </cell>
        </row>
        <row r="34">
          <cell r="J34">
            <v>0.61664239066799353</v>
          </cell>
        </row>
        <row r="38">
          <cell r="I38">
            <v>3.3333333333333335</v>
          </cell>
        </row>
      </sheetData>
      <sheetData sheetId="178">
        <row r="3">
          <cell r="B3" t="str">
            <v>Frame and Body</v>
          </cell>
          <cell r="N3">
            <v>1</v>
          </cell>
        </row>
        <row r="5">
          <cell r="B5" t="str">
            <v>Front Floor Pan Plate</v>
          </cell>
        </row>
        <row r="6">
          <cell r="B6" t="str">
            <v>FR 04001</v>
          </cell>
        </row>
        <row r="12">
          <cell r="N12">
            <v>4.6542199536000002</v>
          </cell>
        </row>
        <row r="17">
          <cell r="I17">
            <v>3.5259999999999998</v>
          </cell>
        </row>
      </sheetData>
      <sheetData sheetId="179"/>
      <sheetData sheetId="180">
        <row r="3">
          <cell r="N3">
            <v>1</v>
          </cell>
        </row>
        <row r="5">
          <cell r="B5" t="str">
            <v>Back Floor Pan Plate</v>
          </cell>
        </row>
        <row r="6">
          <cell r="B6" t="str">
            <v>FR 04002</v>
          </cell>
        </row>
        <row r="12">
          <cell r="N12">
            <v>14.845421556000002</v>
          </cell>
        </row>
        <row r="17">
          <cell r="I17">
            <v>5.2220000000000004</v>
          </cell>
        </row>
      </sheetData>
      <sheetData sheetId="181"/>
      <sheetData sheetId="182">
        <row r="3">
          <cell r="N3">
            <v>10</v>
          </cell>
        </row>
        <row r="5">
          <cell r="B5" t="str">
            <v>Floor Pan Bracket</v>
          </cell>
        </row>
        <row r="6">
          <cell r="B6" t="str">
            <v>FR 04003</v>
          </cell>
        </row>
        <row r="12">
          <cell r="N12">
            <v>2.1857343750000001E-2</v>
          </cell>
        </row>
        <row r="17">
          <cell r="I17">
            <v>0.48400000000000004</v>
          </cell>
        </row>
      </sheetData>
      <sheetData sheetId="183"/>
      <sheetData sheetId="184">
        <row r="3">
          <cell r="B3" t="str">
            <v>Frame and Body</v>
          </cell>
          <cell r="N3">
            <v>1</v>
          </cell>
        </row>
        <row r="4">
          <cell r="B4" t="str">
            <v>Clutch actuation system</v>
          </cell>
        </row>
        <row r="5">
          <cell r="B5" t="str">
            <v>FR A0500</v>
          </cell>
        </row>
        <row r="15">
          <cell r="E15">
            <v>36.059028537036895</v>
          </cell>
        </row>
        <row r="21">
          <cell r="N21">
            <v>19</v>
          </cell>
        </row>
        <row r="33">
          <cell r="I33">
            <v>2.5999999999999996</v>
          </cell>
        </row>
        <row r="39">
          <cell r="J39">
            <v>0.12000000000000001</v>
          </cell>
        </row>
        <row r="43">
          <cell r="I43">
            <v>0.33333333333333331</v>
          </cell>
        </row>
      </sheetData>
      <sheetData sheetId="185">
        <row r="3">
          <cell r="B3" t="str">
            <v>Frame and Body</v>
          </cell>
          <cell r="N3">
            <v>1</v>
          </cell>
        </row>
        <row r="5">
          <cell r="B5" t="str">
            <v>Lever Handle</v>
          </cell>
        </row>
        <row r="6">
          <cell r="B6" t="str">
            <v>FR 05001</v>
          </cell>
        </row>
        <row r="12">
          <cell r="N12">
            <v>0.93304461599999999</v>
          </cell>
        </row>
        <row r="22">
          <cell r="I22">
            <v>3.4380000000000002</v>
          </cell>
        </row>
      </sheetData>
      <sheetData sheetId="186"/>
      <sheetData sheetId="187">
        <row r="3">
          <cell r="N3">
            <v>1</v>
          </cell>
        </row>
        <row r="5">
          <cell r="B5" t="str">
            <v>Handle padding</v>
          </cell>
        </row>
        <row r="6">
          <cell r="B6" t="str">
            <v>FR 05002</v>
          </cell>
        </row>
        <row r="12">
          <cell r="N12">
            <v>0.33</v>
          </cell>
        </row>
        <row r="16">
          <cell r="I16">
            <v>0.4</v>
          </cell>
        </row>
        <row r="21">
          <cell r="I21">
            <v>6.666666666666667</v>
          </cell>
        </row>
      </sheetData>
      <sheetData sheetId="188">
        <row r="3">
          <cell r="N3">
            <v>1</v>
          </cell>
        </row>
        <row r="5">
          <cell r="B5" t="str">
            <v>Clutch mount</v>
          </cell>
        </row>
        <row r="6">
          <cell r="B6" t="str">
            <v>FR 05003</v>
          </cell>
        </row>
        <row r="12">
          <cell r="N12">
            <v>9.5883921036900008E-2</v>
          </cell>
        </row>
        <row r="19">
          <cell r="I19">
            <v>2.2755999999999998</v>
          </cell>
        </row>
      </sheetData>
      <sheetData sheetId="189">
        <row r="3">
          <cell r="N3">
            <v>1</v>
          </cell>
        </row>
        <row r="5">
          <cell r="B5" t="str">
            <v>Lever joint</v>
          </cell>
        </row>
        <row r="6">
          <cell r="B6" t="str">
            <v>FR 05004</v>
          </cell>
        </row>
        <row r="12">
          <cell r="N12">
            <v>0.5625</v>
          </cell>
        </row>
        <row r="22">
          <cell r="I22">
            <v>4.5419999999999989</v>
          </cell>
        </row>
        <row r="26">
          <cell r="I26">
            <v>6.666666666666667</v>
          </cell>
        </row>
      </sheetData>
      <sheetData sheetId="190">
        <row r="3">
          <cell r="N3">
            <v>1</v>
          </cell>
        </row>
        <row r="5">
          <cell r="B5" t="str">
            <v>Actuation lever</v>
          </cell>
        </row>
        <row r="6">
          <cell r="B6" t="str">
            <v>FR 05005</v>
          </cell>
        </row>
        <row r="12">
          <cell r="N12">
            <v>0.63</v>
          </cell>
        </row>
        <row r="19">
          <cell r="I19">
            <v>2.8520000000000003</v>
          </cell>
        </row>
        <row r="22">
          <cell r="I22">
            <v>6.666666666666667</v>
          </cell>
        </row>
      </sheetData>
      <sheetData sheetId="191">
        <row r="3">
          <cell r="B3" t="str">
            <v>Frame and Body</v>
          </cell>
          <cell r="N3">
            <v>1</v>
          </cell>
        </row>
        <row r="4">
          <cell r="B4" t="str">
            <v>Shifter</v>
          </cell>
        </row>
        <row r="5">
          <cell r="B5" t="str">
            <v>FR A0600</v>
          </cell>
        </row>
        <row r="16">
          <cell r="E16">
            <v>43.041700000000006</v>
          </cell>
        </row>
        <row r="22">
          <cell r="N22">
            <v>42.48</v>
          </cell>
        </row>
        <row r="79">
          <cell r="I79">
            <v>26.216249999999999</v>
          </cell>
        </row>
        <row r="88">
          <cell r="J88">
            <v>0.41000000000000003</v>
          </cell>
        </row>
        <row r="92">
          <cell r="I92">
            <v>0.33333333333333331</v>
          </cell>
        </row>
      </sheetData>
      <sheetData sheetId="192">
        <row r="3">
          <cell r="N3">
            <v>1</v>
          </cell>
        </row>
        <row r="6">
          <cell r="B6" t="str">
            <v>FR 06001</v>
          </cell>
        </row>
        <row r="12">
          <cell r="N12">
            <v>0.54225000000000001</v>
          </cell>
        </row>
        <row r="21">
          <cell r="I21">
            <v>12.15</v>
          </cell>
        </row>
      </sheetData>
      <sheetData sheetId="193">
        <row r="3">
          <cell r="N3">
            <v>1</v>
          </cell>
        </row>
        <row r="12">
          <cell r="N12">
            <v>0.67049999999999998</v>
          </cell>
        </row>
        <row r="20">
          <cell r="I20">
            <v>15.21</v>
          </cell>
        </row>
      </sheetData>
      <sheetData sheetId="194">
        <row r="3">
          <cell r="N3">
            <v>1</v>
          </cell>
        </row>
        <row r="12">
          <cell r="N12">
            <v>2.2499999999999999E-2</v>
          </cell>
        </row>
        <row r="17">
          <cell r="I17">
            <v>1.5820000000000001</v>
          </cell>
        </row>
      </sheetData>
      <sheetData sheetId="195">
        <row r="3">
          <cell r="N3">
            <v>1</v>
          </cell>
        </row>
        <row r="12">
          <cell r="N12">
            <v>2.9400000000000003E-2</v>
          </cell>
        </row>
        <row r="18">
          <cell r="I18">
            <v>2.79</v>
          </cell>
        </row>
      </sheetData>
      <sheetData sheetId="196"/>
      <sheetData sheetId="197">
        <row r="3">
          <cell r="N3">
            <v>1</v>
          </cell>
        </row>
        <row r="12">
          <cell r="N12">
            <v>1.6800000000000002E-2</v>
          </cell>
        </row>
        <row r="18">
          <cell r="I18">
            <v>2.54</v>
          </cell>
        </row>
      </sheetData>
      <sheetData sheetId="198"/>
      <sheetData sheetId="199">
        <row r="3">
          <cell r="N3">
            <v>1</v>
          </cell>
        </row>
        <row r="12">
          <cell r="N12">
            <v>0.39824999999999999</v>
          </cell>
        </row>
        <row r="25">
          <cell r="I25">
            <v>7.05</v>
          </cell>
        </row>
        <row r="28">
          <cell r="J28">
            <v>0.04</v>
          </cell>
        </row>
      </sheetData>
      <sheetData sheetId="200">
        <row r="3">
          <cell r="B3" t="str">
            <v>Frame and Body</v>
          </cell>
          <cell r="N3">
            <v>1</v>
          </cell>
        </row>
        <row r="4">
          <cell r="B4" t="str">
            <v>Bodywork</v>
          </cell>
        </row>
        <row r="5">
          <cell r="B5" t="str">
            <v>FR A0700</v>
          </cell>
        </row>
        <row r="18">
          <cell r="E18">
            <v>964.18711177517059</v>
          </cell>
        </row>
        <row r="23">
          <cell r="N23">
            <v>11.660500169999999</v>
          </cell>
        </row>
        <row r="45">
          <cell r="I45">
            <v>25.416762589250006</v>
          </cell>
        </row>
        <row r="54">
          <cell r="J54">
            <v>71.947783746806593</v>
          </cell>
        </row>
        <row r="58">
          <cell r="I58">
            <v>2.6666666666666665</v>
          </cell>
        </row>
      </sheetData>
      <sheetData sheetId="201">
        <row r="3">
          <cell r="B3" t="str">
            <v>Frame and Body</v>
          </cell>
          <cell r="N3">
            <v>1</v>
          </cell>
        </row>
        <row r="5">
          <cell r="B5" t="str">
            <v>Nose</v>
          </cell>
        </row>
        <row r="6">
          <cell r="B6" t="str">
            <v>FR 07001</v>
          </cell>
        </row>
        <row r="12">
          <cell r="N12">
            <v>82.8</v>
          </cell>
        </row>
        <row r="21">
          <cell r="I21">
            <v>160.92000000000002</v>
          </cell>
        </row>
        <row r="26">
          <cell r="I26">
            <v>17.866666666666667</v>
          </cell>
        </row>
      </sheetData>
      <sheetData sheetId="202"/>
      <sheetData sheetId="203">
        <row r="3">
          <cell r="N3">
            <v>1</v>
          </cell>
        </row>
        <row r="5">
          <cell r="B5" t="str">
            <v>Left Inlet</v>
          </cell>
        </row>
        <row r="6">
          <cell r="B6" t="str">
            <v>FR 07002</v>
          </cell>
        </row>
        <row r="12">
          <cell r="N12">
            <v>28.200000000000003</v>
          </cell>
        </row>
        <row r="21">
          <cell r="I21">
            <v>76.13</v>
          </cell>
        </row>
        <row r="25">
          <cell r="I25">
            <v>6</v>
          </cell>
        </row>
      </sheetData>
      <sheetData sheetId="204"/>
      <sheetData sheetId="205">
        <row r="3">
          <cell r="N3">
            <v>1</v>
          </cell>
        </row>
        <row r="5">
          <cell r="B5" t="str">
            <v>Right Inlet</v>
          </cell>
        </row>
        <row r="6">
          <cell r="B6" t="str">
            <v>FR 07003</v>
          </cell>
        </row>
        <row r="12">
          <cell r="N12">
            <v>28.200000000000003</v>
          </cell>
        </row>
        <row r="21">
          <cell r="I21">
            <v>76.13</v>
          </cell>
        </row>
        <row r="25">
          <cell r="I25">
            <v>6</v>
          </cell>
        </row>
      </sheetData>
      <sheetData sheetId="206"/>
      <sheetData sheetId="207">
        <row r="3">
          <cell r="N3">
            <v>2</v>
          </cell>
        </row>
        <row r="5">
          <cell r="B5" t="str">
            <v>Front Side plate</v>
          </cell>
        </row>
        <row r="6">
          <cell r="B6" t="str">
            <v>FR 07004</v>
          </cell>
        </row>
        <row r="13">
          <cell r="N13">
            <v>12.960000000000004</v>
          </cell>
        </row>
        <row r="21">
          <cell r="I21">
            <v>69.400000000000006</v>
          </cell>
        </row>
        <row r="25">
          <cell r="I25">
            <v>4.2666666666666666</v>
          </cell>
        </row>
      </sheetData>
      <sheetData sheetId="208"/>
      <sheetData sheetId="209">
        <row r="3">
          <cell r="N3">
            <v>2</v>
          </cell>
        </row>
        <row r="5">
          <cell r="B5" t="str">
            <v>Back Side Plate</v>
          </cell>
        </row>
        <row r="6">
          <cell r="B6" t="str">
            <v>FR 07005</v>
          </cell>
        </row>
        <row r="13">
          <cell r="N13">
            <v>27.000000000000004</v>
          </cell>
        </row>
        <row r="21">
          <cell r="I21">
            <v>114.38</v>
          </cell>
        </row>
        <row r="25">
          <cell r="I25">
            <v>9.3333333333333339</v>
          </cell>
        </row>
      </sheetData>
      <sheetData sheetId="210"/>
      <sheetData sheetId="211">
        <row r="3">
          <cell r="N3">
            <v>2</v>
          </cell>
        </row>
        <row r="5">
          <cell r="B5" t="str">
            <v>Back Inlet Bracket</v>
          </cell>
        </row>
        <row r="6">
          <cell r="B6" t="str">
            <v>FR 07006</v>
          </cell>
        </row>
        <row r="12">
          <cell r="N12">
            <v>1.6141961883294399E-2</v>
          </cell>
        </row>
        <row r="17">
          <cell r="I17">
            <v>1.0598000000000001</v>
          </cell>
        </row>
      </sheetData>
      <sheetData sheetId="212"/>
      <sheetData sheetId="213">
        <row r="3">
          <cell r="N3">
            <v>2</v>
          </cell>
        </row>
        <row r="5">
          <cell r="B5" t="str">
            <v>Front Inlet Bracket</v>
          </cell>
        </row>
        <row r="6">
          <cell r="B6" t="str">
            <v>FR 07007</v>
          </cell>
        </row>
        <row r="12">
          <cell r="N12">
            <v>2.2616266064544401E-2</v>
          </cell>
        </row>
        <row r="17">
          <cell r="I17">
            <v>1.0562</v>
          </cell>
        </row>
      </sheetData>
      <sheetData sheetId="214"/>
      <sheetData sheetId="215">
        <row r="3">
          <cell r="N3">
            <v>4</v>
          </cell>
        </row>
        <row r="5">
          <cell r="B5" t="str">
            <v>Nose Bracket</v>
          </cell>
        </row>
        <row r="6">
          <cell r="B6" t="str">
            <v>FR 07008</v>
          </cell>
        </row>
        <row r="12">
          <cell r="N12">
            <v>1.6732163152044403E-2</v>
          </cell>
        </row>
        <row r="17">
          <cell r="I17">
            <v>0.72100000000000009</v>
          </cell>
        </row>
      </sheetData>
      <sheetData sheetId="216"/>
      <sheetData sheetId="217">
        <row r="3">
          <cell r="B3" t="str">
            <v>Frame and Body</v>
          </cell>
          <cell r="N3">
            <v>1</v>
          </cell>
        </row>
        <row r="4">
          <cell r="B4" t="str">
            <v xml:space="preserve">Gearshifting paddles </v>
          </cell>
        </row>
        <row r="5">
          <cell r="B5" t="str">
            <v>FR A0800</v>
          </cell>
        </row>
        <row r="18">
          <cell r="N18">
            <v>4</v>
          </cell>
        </row>
        <row r="28">
          <cell r="I28">
            <v>4.6779999999999999</v>
          </cell>
        </row>
        <row r="34">
          <cell r="J34">
            <v>0.16</v>
          </cell>
        </row>
      </sheetData>
      <sheetData sheetId="218">
        <row r="3">
          <cell r="B3" t="str">
            <v>Frame and Body</v>
          </cell>
          <cell r="N3">
            <v>1</v>
          </cell>
        </row>
        <row r="5">
          <cell r="B5" t="str">
            <v>Paddles mount main part</v>
          </cell>
        </row>
        <row r="12">
          <cell r="N12">
            <v>0.69300000000000006</v>
          </cell>
        </row>
        <row r="19">
          <cell r="I19">
            <v>5.81</v>
          </cell>
        </row>
      </sheetData>
      <sheetData sheetId="219">
        <row r="3">
          <cell r="N3">
            <v>2</v>
          </cell>
        </row>
        <row r="5">
          <cell r="B5" t="str">
            <v>Paddles rockers</v>
          </cell>
        </row>
        <row r="12">
          <cell r="N12">
            <v>0.11087999999999999</v>
          </cell>
        </row>
        <row r="20">
          <cell r="I20">
            <v>4.5149999999999997</v>
          </cell>
        </row>
      </sheetData>
      <sheetData sheetId="220">
        <row r="3">
          <cell r="N3">
            <v>2</v>
          </cell>
        </row>
        <row r="5">
          <cell r="B5" t="str">
            <v>Paddles</v>
          </cell>
        </row>
        <row r="12">
          <cell r="N12">
            <v>0.83531250000000001</v>
          </cell>
        </row>
        <row r="17">
          <cell r="I17">
            <v>3.198</v>
          </cell>
        </row>
      </sheetData>
      <sheetData sheetId="221"/>
      <sheetData sheetId="222">
        <row r="3">
          <cell r="B3" t="str">
            <v>Electrical</v>
          </cell>
          <cell r="N3">
            <v>1</v>
          </cell>
        </row>
        <row r="4">
          <cell r="B4" t="str">
            <v>Rear firewall instruments and wires</v>
          </cell>
        </row>
        <row r="5">
          <cell r="B5" t="str">
            <v>EL A0100</v>
          </cell>
        </row>
        <row r="16">
          <cell r="E16">
            <v>84.183542179166665</v>
          </cell>
        </row>
        <row r="66">
          <cell r="N66">
            <v>1130.8499999999999</v>
          </cell>
        </row>
        <row r="86">
          <cell r="I86">
            <v>97.454410799999991</v>
          </cell>
        </row>
        <row r="110">
          <cell r="J110">
            <v>1.85</v>
          </cell>
        </row>
        <row r="114">
          <cell r="I114">
            <v>2</v>
          </cell>
        </row>
      </sheetData>
      <sheetData sheetId="223">
        <row r="3">
          <cell r="N3">
            <v>2</v>
          </cell>
        </row>
        <row r="5">
          <cell r="B5" t="str">
            <v>Fuse box bracket</v>
          </cell>
        </row>
        <row r="6">
          <cell r="B6" t="str">
            <v>EL 01001</v>
          </cell>
        </row>
        <row r="12">
          <cell r="N12">
            <v>1.6532099999999997E-2</v>
          </cell>
        </row>
        <row r="17">
          <cell r="I17">
            <v>0.8669</v>
          </cell>
        </row>
      </sheetData>
      <sheetData sheetId="224"/>
      <sheetData sheetId="225">
        <row r="3">
          <cell r="N3">
            <v>2</v>
          </cell>
        </row>
        <row r="5">
          <cell r="B5" t="str">
            <v>Ground bracket</v>
          </cell>
        </row>
        <row r="6">
          <cell r="B6" t="str">
            <v>EL 01002</v>
          </cell>
        </row>
        <row r="12">
          <cell r="N12">
            <v>5.1662812500000007E-3</v>
          </cell>
        </row>
        <row r="17">
          <cell r="I17">
            <v>0.54133333333333333</v>
          </cell>
        </row>
      </sheetData>
      <sheetData sheetId="226"/>
      <sheetData sheetId="227">
        <row r="3">
          <cell r="N3">
            <v>2</v>
          </cell>
        </row>
        <row r="5">
          <cell r="B5" t="str">
            <v>Break light bracket</v>
          </cell>
        </row>
        <row r="6">
          <cell r="B6" t="str">
            <v>EL 01003</v>
          </cell>
        </row>
        <row r="12">
          <cell r="N12">
            <v>5.6961562499999998E-3</v>
          </cell>
        </row>
        <row r="17">
          <cell r="I17">
            <v>0.81500000000000006</v>
          </cell>
        </row>
      </sheetData>
      <sheetData sheetId="228"/>
      <sheetData sheetId="229">
        <row r="3">
          <cell r="N3">
            <v>1</v>
          </cell>
        </row>
        <row r="5">
          <cell r="B5" t="str">
            <v>Master switch panel</v>
          </cell>
        </row>
        <row r="6">
          <cell r="B6" t="str">
            <v>EL 01004</v>
          </cell>
        </row>
        <row r="12">
          <cell r="N12">
            <v>73.599999999999994</v>
          </cell>
        </row>
        <row r="17">
          <cell r="I17">
            <v>2.3440000000000003</v>
          </cell>
        </row>
      </sheetData>
      <sheetData sheetId="230">
        <row r="3">
          <cell r="N3">
            <v>2</v>
          </cell>
        </row>
        <row r="5">
          <cell r="B5" t="str">
            <v>Master switch panel bracket</v>
          </cell>
        </row>
        <row r="6">
          <cell r="B6" t="str">
            <v>EL 01005</v>
          </cell>
        </row>
        <row r="12">
          <cell r="N12">
            <v>5.7226500000000001E-3</v>
          </cell>
        </row>
        <row r="17">
          <cell r="I17">
            <v>0.81980000000000008</v>
          </cell>
        </row>
      </sheetData>
      <sheetData sheetId="231"/>
      <sheetData sheetId="232">
        <row r="3">
          <cell r="N3">
            <v>1</v>
          </cell>
        </row>
        <row r="5">
          <cell r="B5" t="str">
            <v>Crash sensor bracket</v>
          </cell>
        </row>
        <row r="6">
          <cell r="B6" t="str">
            <v>EL 01006</v>
          </cell>
        </row>
        <row r="12">
          <cell r="N12">
            <v>6.7241137500000006E-2</v>
          </cell>
        </row>
        <row r="17">
          <cell r="I17">
            <v>2.02</v>
          </cell>
        </row>
      </sheetData>
      <sheetData sheetId="233"/>
      <sheetData sheetId="234">
        <row r="3">
          <cell r="N3">
            <v>1</v>
          </cell>
        </row>
        <row r="4">
          <cell r="B4" t="str">
            <v>Front vehicule electronics</v>
          </cell>
        </row>
        <row r="5">
          <cell r="B5" t="str">
            <v>EL A0200</v>
          </cell>
        </row>
        <row r="14">
          <cell r="E14">
            <v>351.71499922916666</v>
          </cell>
        </row>
        <row r="43">
          <cell r="N43">
            <v>112.35000000000001</v>
          </cell>
        </row>
        <row r="56">
          <cell r="I56">
            <v>47.480000000000004</v>
          </cell>
        </row>
        <row r="61">
          <cell r="J61">
            <v>0.3</v>
          </cell>
        </row>
        <row r="65">
          <cell r="I65">
            <v>0.66666666666666663</v>
          </cell>
        </row>
      </sheetData>
      <sheetData sheetId="235">
        <row r="3">
          <cell r="N3">
            <v>1</v>
          </cell>
        </row>
        <row r="5">
          <cell r="B5" t="str">
            <v>Dashboard</v>
          </cell>
        </row>
        <row r="6">
          <cell r="B6" t="str">
            <v>EL 02001</v>
          </cell>
        </row>
        <row r="12">
          <cell r="N12">
            <v>65.727999999999994</v>
          </cell>
        </row>
        <row r="23">
          <cell r="I23">
            <v>46.34</v>
          </cell>
        </row>
        <row r="27">
          <cell r="I27">
            <v>2</v>
          </cell>
        </row>
      </sheetData>
      <sheetData sheetId="236">
        <row r="3">
          <cell r="N3">
            <v>1</v>
          </cell>
        </row>
        <row r="5">
          <cell r="B5" t="str">
            <v>Dashboard control electronics</v>
          </cell>
        </row>
        <row r="6">
          <cell r="B6" t="str">
            <v>EL 02002</v>
          </cell>
        </row>
        <row r="20">
          <cell r="N20">
            <v>135</v>
          </cell>
        </row>
        <row r="31">
          <cell r="I31">
            <v>99.300000000000011</v>
          </cell>
        </row>
        <row r="35">
          <cell r="J35">
            <v>0.4</v>
          </cell>
        </row>
      </sheetData>
      <sheetData sheetId="237">
        <row r="3">
          <cell r="N3">
            <v>1</v>
          </cell>
        </row>
        <row r="5">
          <cell r="B5" t="str">
            <v>Dashboard Tap</v>
          </cell>
        </row>
        <row r="6">
          <cell r="B6" t="str">
            <v>EL 02003</v>
          </cell>
        </row>
        <row r="12">
          <cell r="N12">
            <v>9.0000000000000011E-3</v>
          </cell>
        </row>
        <row r="18">
          <cell r="I18">
            <v>1.845</v>
          </cell>
        </row>
      </sheetData>
      <sheetData sheetId="238"/>
      <sheetData sheetId="239">
        <row r="3">
          <cell r="N3">
            <v>2</v>
          </cell>
        </row>
        <row r="5">
          <cell r="B5" t="str">
            <v>Ground bracket</v>
          </cell>
        </row>
        <row r="6">
          <cell r="B6" t="str">
            <v>EL 02004</v>
          </cell>
        </row>
        <row r="12">
          <cell r="N12">
            <v>5.1662812500000007E-3</v>
          </cell>
        </row>
        <row r="17">
          <cell r="I17">
            <v>0.54133333333333333</v>
          </cell>
        </row>
      </sheetData>
      <sheetData sheetId="240"/>
      <sheetData sheetId="241">
        <row r="3">
          <cell r="N3">
            <v>1</v>
          </cell>
        </row>
        <row r="4">
          <cell r="B4" t="str">
            <v>Battery assembly</v>
          </cell>
        </row>
        <row r="5">
          <cell r="B5" t="str">
            <v>EL A0300</v>
          </cell>
        </row>
        <row r="13">
          <cell r="E13">
            <v>13.896555579999999</v>
          </cell>
        </row>
        <row r="18">
          <cell r="N18">
            <v>84.515000000000001</v>
          </cell>
        </row>
        <row r="29">
          <cell r="I29">
            <v>4.1899999999999995</v>
          </cell>
        </row>
        <row r="35">
          <cell r="J35">
            <v>0.18000000000000002</v>
          </cell>
        </row>
        <row r="39">
          <cell r="I39">
            <v>0.66666666666666663</v>
          </cell>
        </row>
      </sheetData>
      <sheetData sheetId="242">
        <row r="3">
          <cell r="N3">
            <v>1</v>
          </cell>
        </row>
        <row r="5">
          <cell r="B5" t="str">
            <v>Main battery mount</v>
          </cell>
        </row>
        <row r="6">
          <cell r="B6" t="str">
            <v>EL 03001</v>
          </cell>
        </row>
        <row r="12">
          <cell r="N12">
            <v>0.97274016000000019</v>
          </cell>
        </row>
        <row r="18">
          <cell r="I18">
            <v>3.8567999999999998</v>
          </cell>
        </row>
      </sheetData>
      <sheetData sheetId="243"/>
      <sheetData sheetId="244">
        <row r="3">
          <cell r="N3">
            <v>2</v>
          </cell>
        </row>
        <row r="5">
          <cell r="B5" t="str">
            <v>Side battery mount</v>
          </cell>
        </row>
        <row r="6">
          <cell r="B6" t="str">
            <v>EL 03002</v>
          </cell>
        </row>
        <row r="12">
          <cell r="N12">
            <v>0.25514495999999998</v>
          </cell>
        </row>
        <row r="18">
          <cell r="I18">
            <v>3.4001999999999999</v>
          </cell>
        </row>
      </sheetData>
      <sheetData sheetId="245"/>
      <sheetData sheetId="246">
        <row r="3">
          <cell r="N3">
            <v>3</v>
          </cell>
        </row>
        <row r="5">
          <cell r="B5" t="str">
            <v>Battery bracket</v>
          </cell>
        </row>
        <row r="6">
          <cell r="B6" t="str">
            <v>EL 03003</v>
          </cell>
        </row>
        <row r="12">
          <cell r="N12">
            <v>6.3584999999999987E-3</v>
          </cell>
        </row>
        <row r="17">
          <cell r="I17">
            <v>0.57908333333333339</v>
          </cell>
        </row>
      </sheetData>
      <sheetData sheetId="247"/>
      <sheetData sheetId="248"/>
      <sheetData sheetId="249">
        <row r="3">
          <cell r="B3" t="str">
            <v>Miscellaneous, Finish &amp; Assembly</v>
          </cell>
          <cell r="N3">
            <v>1</v>
          </cell>
        </row>
        <row r="4">
          <cell r="B4" t="str">
            <v>Firewall</v>
          </cell>
        </row>
        <row r="5">
          <cell r="B5" t="str">
            <v>MS A0100</v>
          </cell>
        </row>
        <row r="18">
          <cell r="E18">
            <v>58.304287203110107</v>
          </cell>
        </row>
        <row r="24">
          <cell r="N24">
            <v>0.28615999999999997</v>
          </cell>
        </row>
        <row r="59">
          <cell r="I59">
            <v>42.620233999999996</v>
          </cell>
        </row>
        <row r="67">
          <cell r="J67">
            <v>3.2263071246256692</v>
          </cell>
        </row>
        <row r="71">
          <cell r="I71">
            <v>9.3333333333333339</v>
          </cell>
        </row>
      </sheetData>
      <sheetData sheetId="250">
        <row r="3">
          <cell r="B3" t="str">
            <v>Miscellaneous, Finish &amp; Assembly</v>
          </cell>
          <cell r="N3">
            <v>1</v>
          </cell>
        </row>
        <row r="6">
          <cell r="B6" t="str">
            <v>MS 01001</v>
          </cell>
        </row>
        <row r="12">
          <cell r="N12">
            <v>4.9527965088000006</v>
          </cell>
        </row>
        <row r="18">
          <cell r="I18">
            <v>4.3123982236861549</v>
          </cell>
        </row>
      </sheetData>
      <sheetData sheetId="251"/>
      <sheetData sheetId="252">
        <row r="3">
          <cell r="N3">
            <v>1</v>
          </cell>
        </row>
        <row r="6">
          <cell r="B6" t="str">
            <v>MS 01002</v>
          </cell>
        </row>
        <row r="12">
          <cell r="N12">
            <v>4.2952970592000002</v>
          </cell>
        </row>
        <row r="17">
          <cell r="I17">
            <v>3.2473982236861549</v>
          </cell>
        </row>
      </sheetData>
      <sheetData sheetId="253"/>
      <sheetData sheetId="254">
        <row r="3">
          <cell r="N3">
            <v>1</v>
          </cell>
        </row>
        <row r="6">
          <cell r="B6" t="str">
            <v>MS 01003</v>
          </cell>
        </row>
        <row r="12">
          <cell r="N12">
            <v>6.828157526400001</v>
          </cell>
        </row>
        <row r="18">
          <cell r="I18">
            <v>4.3133982236861552</v>
          </cell>
        </row>
      </sheetData>
      <sheetData sheetId="255"/>
      <sheetData sheetId="256">
        <row r="3">
          <cell r="N3">
            <v>2</v>
          </cell>
        </row>
        <row r="6">
          <cell r="B6" t="str">
            <v>MS 01004</v>
          </cell>
        </row>
        <row r="12">
          <cell r="N12">
            <v>1.2442841066879999</v>
          </cell>
        </row>
        <row r="17">
          <cell r="I17">
            <v>1.9257</v>
          </cell>
        </row>
      </sheetData>
      <sheetData sheetId="257"/>
      <sheetData sheetId="258">
        <row r="3">
          <cell r="N3">
            <v>2</v>
          </cell>
        </row>
        <row r="6">
          <cell r="B6" t="str">
            <v>MS 01005</v>
          </cell>
        </row>
        <row r="12">
          <cell r="N12">
            <v>0.51116354089920002</v>
          </cell>
        </row>
        <row r="17">
          <cell r="I17">
            <v>1.6379000000000001</v>
          </cell>
        </row>
      </sheetData>
      <sheetData sheetId="259"/>
      <sheetData sheetId="260">
        <row r="3">
          <cell r="N3">
            <v>2</v>
          </cell>
        </row>
        <row r="6">
          <cell r="B6" t="str">
            <v>MS 01006</v>
          </cell>
        </row>
        <row r="12">
          <cell r="N12">
            <v>1.9862738985599999</v>
          </cell>
        </row>
        <row r="17">
          <cell r="I17">
            <v>2.0893600000000001</v>
          </cell>
        </row>
      </sheetData>
      <sheetData sheetId="261"/>
      <sheetData sheetId="262">
        <row r="3">
          <cell r="N3">
            <v>4</v>
          </cell>
        </row>
        <row r="6">
          <cell r="B6" t="str">
            <v>MS 01007</v>
          </cell>
        </row>
        <row r="12">
          <cell r="N12">
            <v>9.8442650395444021E-3</v>
          </cell>
        </row>
        <row r="17">
          <cell r="I17">
            <v>0.60760000000000003</v>
          </cell>
        </row>
      </sheetData>
      <sheetData sheetId="263"/>
      <sheetData sheetId="264">
        <row r="3">
          <cell r="N3">
            <v>24</v>
          </cell>
        </row>
        <row r="6">
          <cell r="B6" t="str">
            <v>MS 01008</v>
          </cell>
        </row>
        <row r="12">
          <cell r="N12">
            <v>1.22208868832944E-2</v>
          </cell>
        </row>
        <row r="17">
          <cell r="I17">
            <v>0.36676666666666669</v>
          </cell>
        </row>
      </sheetData>
      <sheetData sheetId="265"/>
      <sheetData sheetId="266">
        <row r="3">
          <cell r="B3" t="str">
            <v>Miscellaneous, Finish &amp; Assembly</v>
          </cell>
          <cell r="N3">
            <v>1</v>
          </cell>
        </row>
        <row r="4">
          <cell r="B4" t="str">
            <v>Driver's Safety</v>
          </cell>
        </row>
        <row r="5">
          <cell r="B5" t="str">
            <v>MS A0200</v>
          </cell>
        </row>
        <row r="12">
          <cell r="E12">
            <v>7.84</v>
          </cell>
        </row>
        <row r="18">
          <cell r="I18">
            <v>0.62</v>
          </cell>
        </row>
        <row r="23">
          <cell r="J23">
            <v>0.16</v>
          </cell>
        </row>
      </sheetData>
      <sheetData sheetId="267">
        <row r="3">
          <cell r="N3">
            <v>2</v>
          </cell>
        </row>
        <row r="5">
          <cell r="B5" t="str">
            <v>Rollbar padding</v>
          </cell>
        </row>
        <row r="13">
          <cell r="N13">
            <v>1.1000000000000001</v>
          </cell>
        </row>
        <row r="18">
          <cell r="I18">
            <v>2.82</v>
          </cell>
        </row>
      </sheetData>
      <sheetData sheetId="268">
        <row r="3">
          <cell r="B3" t="str">
            <v>Miscellaneous, Finish &amp; Assembly</v>
          </cell>
          <cell r="N3">
            <v>1</v>
          </cell>
        </row>
        <row r="4">
          <cell r="B4" t="str">
            <v>Head Restraint</v>
          </cell>
        </row>
        <row r="5">
          <cell r="B5" t="str">
            <v>MS A0300</v>
          </cell>
        </row>
        <row r="14">
          <cell r="N14">
            <v>11.218500000000001</v>
          </cell>
        </row>
        <row r="23">
          <cell r="I23">
            <v>20.323</v>
          </cell>
        </row>
      </sheetData>
      <sheetData sheetId="269">
        <row r="3">
          <cell r="B3" t="str">
            <v>Miscellaneous, Finish &amp; Assembly</v>
          </cell>
          <cell r="N3">
            <v>1</v>
          </cell>
        </row>
        <row r="4">
          <cell r="B4" t="str">
            <v>Driver's seat</v>
          </cell>
        </row>
        <row r="5">
          <cell r="B5" t="str">
            <v>MS A0400</v>
          </cell>
        </row>
        <row r="13">
          <cell r="E13">
            <v>79.622740000000007</v>
          </cell>
        </row>
        <row r="17">
          <cell r="N17">
            <v>0.04</v>
          </cell>
        </row>
        <row r="25">
          <cell r="I25">
            <v>2.8045</v>
          </cell>
        </row>
        <row r="31">
          <cell r="J31">
            <v>0.56000000000000005</v>
          </cell>
        </row>
        <row r="35">
          <cell r="I35">
            <v>1.3333333333333333</v>
          </cell>
        </row>
      </sheetData>
      <sheetData sheetId="270">
        <row r="3">
          <cell r="N3">
            <v>1</v>
          </cell>
        </row>
        <row r="5">
          <cell r="B5" t="str">
            <v>Seat</v>
          </cell>
        </row>
        <row r="6">
          <cell r="B6" t="str">
            <v>MS 04001</v>
          </cell>
        </row>
        <row r="13">
          <cell r="N13">
            <v>18.8</v>
          </cell>
        </row>
        <row r="24">
          <cell r="I24">
            <v>54.6</v>
          </cell>
        </row>
        <row r="29">
          <cell r="I29">
            <v>1.2</v>
          </cell>
        </row>
      </sheetData>
      <sheetData sheetId="271">
        <row r="3">
          <cell r="N3">
            <v>2</v>
          </cell>
        </row>
        <row r="5">
          <cell r="B5" t="str">
            <v>Rear seat bracket</v>
          </cell>
        </row>
        <row r="6">
          <cell r="B6" t="str">
            <v>MS 04002</v>
          </cell>
        </row>
        <row r="12">
          <cell r="N12">
            <v>1.3725000000000001E-2</v>
          </cell>
        </row>
        <row r="18">
          <cell r="I18">
            <v>1.3111999999999999</v>
          </cell>
        </row>
      </sheetData>
      <sheetData sheetId="272"/>
      <sheetData sheetId="273">
        <row r="3">
          <cell r="N3">
            <v>2</v>
          </cell>
        </row>
        <row r="5">
          <cell r="B5" t="str">
            <v>Front seat bracket</v>
          </cell>
        </row>
        <row r="6">
          <cell r="B6" t="str">
            <v>MS 04003</v>
          </cell>
        </row>
        <row r="12">
          <cell r="N12">
            <v>1.9125000000000003E-2</v>
          </cell>
        </row>
        <row r="18">
          <cell r="I18">
            <v>1.1673200000000001</v>
          </cell>
        </row>
      </sheetData>
      <sheetData sheetId="274"/>
      <sheetData sheetId="275">
        <row r="3">
          <cell r="B3" t="str">
            <v>Miscellaneous, Finish &amp; Assembly</v>
          </cell>
          <cell r="N3">
            <v>1</v>
          </cell>
        </row>
        <row r="4">
          <cell r="B4" t="str">
            <v>Harness</v>
          </cell>
        </row>
        <row r="5">
          <cell r="B5" t="str">
            <v>MS A0500</v>
          </cell>
        </row>
        <row r="11">
          <cell r="E11">
            <v>2.4984999999999999</v>
          </cell>
        </row>
        <row r="16">
          <cell r="N16">
            <v>45.06</v>
          </cell>
        </row>
        <row r="25">
          <cell r="I25">
            <v>4.9240000000000004</v>
          </cell>
        </row>
        <row r="30">
          <cell r="J30">
            <v>3</v>
          </cell>
        </row>
        <row r="34">
          <cell r="I34">
            <v>0.66666666666666663</v>
          </cell>
        </row>
      </sheetData>
      <sheetData sheetId="276">
        <row r="3">
          <cell r="B3" t="str">
            <v>Miscellaneous, Finish &amp; Assembly</v>
          </cell>
          <cell r="N3">
            <v>2</v>
          </cell>
        </row>
        <row r="5">
          <cell r="B5" t="str">
            <v>Harness bracket</v>
          </cell>
        </row>
        <row r="6">
          <cell r="B6" t="str">
            <v>MS 05001</v>
          </cell>
        </row>
        <row r="12">
          <cell r="N12">
            <v>9.2249999999999999E-2</v>
          </cell>
        </row>
        <row r="17">
          <cell r="I17">
            <v>1.157</v>
          </cell>
        </row>
      </sheetData>
      <sheetData sheetId="277"/>
      <sheetData sheetId="278"/>
      <sheetData sheetId="279">
        <row r="2">
          <cell r="N2">
            <v>1</v>
          </cell>
        </row>
        <row r="3">
          <cell r="B3" t="str">
            <v xml:space="preserve">Steering Rack </v>
          </cell>
        </row>
        <row r="4">
          <cell r="B4" t="str">
            <v>ST A0100</v>
          </cell>
        </row>
        <row r="26">
          <cell r="N26">
            <v>19.602</v>
          </cell>
        </row>
        <row r="49">
          <cell r="I49">
            <v>17.356999999999999</v>
          </cell>
        </row>
        <row r="61">
          <cell r="J61">
            <v>0.79622608690000551</v>
          </cell>
        </row>
        <row r="66">
          <cell r="I66">
            <v>0.66666666666666663</v>
          </cell>
        </row>
      </sheetData>
      <sheetData sheetId="280">
        <row r="3">
          <cell r="N3">
            <v>1</v>
          </cell>
        </row>
        <row r="5">
          <cell r="B5" t="str">
            <v>Rack pinion</v>
          </cell>
        </row>
        <row r="6">
          <cell r="B6" t="str">
            <v>ST 01001</v>
          </cell>
        </row>
        <row r="12">
          <cell r="N12">
            <v>1.039297354875</v>
          </cell>
        </row>
        <row r="22">
          <cell r="I22">
            <v>6.9301627039999998</v>
          </cell>
        </row>
      </sheetData>
      <sheetData sheetId="281">
        <row r="3">
          <cell r="N3">
            <v>1</v>
          </cell>
        </row>
        <row r="5">
          <cell r="B5" t="str">
            <v>Rack</v>
          </cell>
        </row>
        <row r="6">
          <cell r="B6" t="str">
            <v>ST 01002</v>
          </cell>
        </row>
        <row r="12">
          <cell r="N12">
            <v>1.2228985125</v>
          </cell>
        </row>
        <row r="23">
          <cell r="I23">
            <v>4.8170433920000004</v>
          </cell>
        </row>
      </sheetData>
      <sheetData sheetId="282">
        <row r="3">
          <cell r="N3">
            <v>1</v>
          </cell>
        </row>
        <row r="5">
          <cell r="B5" t="str">
            <v>Upper Pinion housing</v>
          </cell>
        </row>
        <row r="6">
          <cell r="B6" t="str">
            <v>ST 01003</v>
          </cell>
        </row>
        <row r="13">
          <cell r="N13">
            <v>0.25865559999999999</v>
          </cell>
        </row>
        <row r="21">
          <cell r="I21">
            <v>2.31</v>
          </cell>
        </row>
      </sheetData>
      <sheetData sheetId="283">
        <row r="3">
          <cell r="N3">
            <v>1</v>
          </cell>
        </row>
        <row r="5">
          <cell r="B5" t="str">
            <v>Lower Pinion housing</v>
          </cell>
        </row>
        <row r="6">
          <cell r="B6" t="str">
            <v>ST 01004</v>
          </cell>
        </row>
        <row r="13">
          <cell r="N13">
            <v>1.0518440000000002</v>
          </cell>
        </row>
        <row r="24">
          <cell r="I24">
            <v>5.2034340440000006</v>
          </cell>
        </row>
      </sheetData>
      <sheetData sheetId="284">
        <row r="3">
          <cell r="N3">
            <v>2</v>
          </cell>
        </row>
        <row r="5">
          <cell r="B5" t="str">
            <v>Rack housing support</v>
          </cell>
        </row>
        <row r="6">
          <cell r="B6" t="str">
            <v>ST 01005</v>
          </cell>
        </row>
        <row r="13">
          <cell r="N13">
            <v>0.41960420626112005</v>
          </cell>
        </row>
        <row r="21">
          <cell r="I21">
            <v>1.9311581040000001</v>
          </cell>
        </row>
      </sheetData>
      <sheetData sheetId="285">
        <row r="3">
          <cell r="N3">
            <v>2</v>
          </cell>
        </row>
        <row r="5">
          <cell r="B5" t="str">
            <v>Tie rod Braces</v>
          </cell>
        </row>
        <row r="6">
          <cell r="B6" t="str">
            <v>ST 01006</v>
          </cell>
        </row>
        <row r="13">
          <cell r="N13">
            <v>0.29664291401087994</v>
          </cell>
        </row>
        <row r="26">
          <cell r="I26">
            <v>2.0917172032</v>
          </cell>
        </row>
      </sheetData>
      <sheetData sheetId="286">
        <row r="3">
          <cell r="N3">
            <v>1</v>
          </cell>
        </row>
        <row r="5">
          <cell r="B5" t="str">
            <v>Rack housing</v>
          </cell>
        </row>
        <row r="6">
          <cell r="B6" t="str">
            <v>ST 01007</v>
          </cell>
        </row>
        <row r="12">
          <cell r="N12">
            <v>55.073426119972893</v>
          </cell>
        </row>
        <row r="23">
          <cell r="I23">
            <v>10.514178264996609</v>
          </cell>
        </row>
      </sheetData>
      <sheetData sheetId="287">
        <row r="3">
          <cell r="N3">
            <v>4</v>
          </cell>
        </row>
        <row r="5">
          <cell r="B5" t="str">
            <v>Steering Brackets tie</v>
          </cell>
        </row>
        <row r="6">
          <cell r="B6" t="str">
            <v>ST 01008</v>
          </cell>
        </row>
        <row r="12">
          <cell r="N12">
            <v>0.13121740800000004</v>
          </cell>
        </row>
        <row r="19">
          <cell r="I19">
            <v>1.4534050239999998</v>
          </cell>
        </row>
      </sheetData>
      <sheetData sheetId="288"/>
      <sheetData sheetId="289">
        <row r="3">
          <cell r="N3">
            <v>2</v>
          </cell>
        </row>
        <row r="5">
          <cell r="B5" t="str">
            <v>Steering Brackets</v>
          </cell>
        </row>
        <row r="6">
          <cell r="B6" t="str">
            <v>ST 01009</v>
          </cell>
        </row>
        <row r="13">
          <cell r="N13">
            <v>0.17246875</v>
          </cell>
        </row>
        <row r="20">
          <cell r="I20">
            <v>1.4249999999999998</v>
          </cell>
        </row>
      </sheetData>
      <sheetData sheetId="290"/>
      <sheetData sheetId="291">
        <row r="3">
          <cell r="N3">
            <v>1</v>
          </cell>
        </row>
        <row r="5">
          <cell r="B5" t="str">
            <v>Rack protection</v>
          </cell>
        </row>
        <row r="6">
          <cell r="B6" t="str">
            <v>ST 01010</v>
          </cell>
        </row>
        <row r="12">
          <cell r="N12">
            <v>3.0822422399999994</v>
          </cell>
        </row>
        <row r="18">
          <cell r="I18">
            <v>4.54</v>
          </cell>
        </row>
      </sheetData>
      <sheetData sheetId="292">
        <row r="3">
          <cell r="N3">
            <v>4</v>
          </cell>
        </row>
        <row r="5">
          <cell r="B5" t="str">
            <v>Rack protection Brackets</v>
          </cell>
        </row>
        <row r="6">
          <cell r="B6" t="str">
            <v>ST 01011</v>
          </cell>
        </row>
        <row r="13">
          <cell r="N13">
            <v>8.3688749999999996E-3</v>
          </cell>
        </row>
        <row r="19">
          <cell r="I19">
            <v>0.37135599999999996</v>
          </cell>
        </row>
      </sheetData>
      <sheetData sheetId="293"/>
      <sheetData sheetId="294">
        <row r="3">
          <cell r="N3">
            <v>1</v>
          </cell>
        </row>
        <row r="4">
          <cell r="B4" t="str">
            <v>Steering Column assy</v>
          </cell>
        </row>
        <row r="5">
          <cell r="B5" t="str">
            <v>ST A0200</v>
          </cell>
        </row>
        <row r="20">
          <cell r="N20">
            <v>42.224311012942565</v>
          </cell>
        </row>
        <row r="35">
          <cell r="I35">
            <v>9.1260855999999997</v>
          </cell>
        </row>
        <row r="39">
          <cell r="J39">
            <v>0.17500000000000002</v>
          </cell>
        </row>
        <row r="48">
          <cell r="I48">
            <v>2.6666666666666665</v>
          </cell>
        </row>
      </sheetData>
      <sheetData sheetId="295">
        <row r="3">
          <cell r="N3">
            <v>1</v>
          </cell>
        </row>
        <row r="5">
          <cell r="B5" t="str">
            <v>Spline coupler</v>
          </cell>
        </row>
        <row r="6">
          <cell r="B6" t="str">
            <v>ST 02001</v>
          </cell>
        </row>
        <row r="12">
          <cell r="N12">
            <v>0.26010239062500001</v>
          </cell>
        </row>
        <row r="19">
          <cell r="I19">
            <v>3.3716712959999997</v>
          </cell>
        </row>
      </sheetData>
      <sheetData sheetId="296">
        <row r="3">
          <cell r="N3">
            <v>1</v>
          </cell>
        </row>
        <row r="5">
          <cell r="B5" t="str">
            <v>Steering Column tube</v>
          </cell>
        </row>
        <row r="6">
          <cell r="B6" t="str">
            <v>ST 02002</v>
          </cell>
        </row>
        <row r="12">
          <cell r="N12">
            <v>0.50624999999999998</v>
          </cell>
        </row>
        <row r="17">
          <cell r="I17">
            <v>1.6</v>
          </cell>
        </row>
      </sheetData>
      <sheetData sheetId="297">
        <row r="3">
          <cell r="N3">
            <v>1</v>
          </cell>
        </row>
        <row r="5">
          <cell r="B5" t="str">
            <v>Steering Upper Shaft Pivot</v>
          </cell>
        </row>
        <row r="6">
          <cell r="B6" t="str">
            <v>ST 02003</v>
          </cell>
        </row>
        <row r="12">
          <cell r="N12">
            <v>0.80968833791999995</v>
          </cell>
        </row>
        <row r="19">
          <cell r="I19">
            <v>5.4760061760000012</v>
          </cell>
        </row>
      </sheetData>
      <sheetData sheetId="298"/>
      <sheetData sheetId="299">
        <row r="3">
          <cell r="N3">
            <v>1</v>
          </cell>
        </row>
        <row r="5">
          <cell r="B5" t="str">
            <v>Steering Bore</v>
          </cell>
        </row>
        <row r="6">
          <cell r="B6" t="str">
            <v>ST 02004</v>
          </cell>
        </row>
        <row r="13">
          <cell r="N13">
            <v>1.2715325068800001</v>
          </cell>
        </row>
        <row r="21">
          <cell r="I21">
            <v>7.9884234960000011</v>
          </cell>
        </row>
      </sheetData>
      <sheetData sheetId="300"/>
      <sheetData sheetId="301">
        <row r="3">
          <cell r="N3">
            <v>2</v>
          </cell>
        </row>
        <row r="5">
          <cell r="B5" t="str">
            <v>Steering Bore Support</v>
          </cell>
        </row>
        <row r="6">
          <cell r="B6" t="str">
            <v>ST 02005</v>
          </cell>
        </row>
        <row r="13">
          <cell r="N13">
            <v>0.34619045066999998</v>
          </cell>
        </row>
        <row r="21">
          <cell r="I21">
            <v>1.11825</v>
          </cell>
        </row>
      </sheetData>
      <sheetData sheetId="302">
        <row r="3">
          <cell r="N3">
            <v>1</v>
          </cell>
        </row>
        <row r="4">
          <cell r="B4" t="str">
            <v xml:space="preserve">Quick Release </v>
          </cell>
        </row>
        <row r="5">
          <cell r="B5" t="str">
            <v>ST A0300</v>
          </cell>
        </row>
        <row r="18">
          <cell r="N18">
            <v>1.24</v>
          </cell>
        </row>
        <row r="23">
          <cell r="I23">
            <v>0.32</v>
          </cell>
        </row>
        <row r="27">
          <cell r="J27">
            <v>0.17500000000000002</v>
          </cell>
        </row>
      </sheetData>
      <sheetData sheetId="303">
        <row r="3">
          <cell r="N3">
            <v>1</v>
          </cell>
        </row>
        <row r="5">
          <cell r="B5" t="str">
            <v>Quick Release Steel Sleeve</v>
          </cell>
        </row>
        <row r="6">
          <cell r="B6" t="str">
            <v>ST 03001</v>
          </cell>
        </row>
        <row r="12">
          <cell r="N12">
            <v>1.0837574266412056</v>
          </cell>
        </row>
        <row r="25">
          <cell r="I25">
            <v>11.801200000000003</v>
          </cell>
        </row>
      </sheetData>
      <sheetData sheetId="304">
        <row r="3">
          <cell r="N3">
            <v>1</v>
          </cell>
        </row>
        <row r="5">
          <cell r="B5" t="str">
            <v>Quick Release Fixed Part</v>
          </cell>
        </row>
        <row r="6">
          <cell r="B6" t="str">
            <v>ST 03002</v>
          </cell>
        </row>
        <row r="12">
          <cell r="N12">
            <v>2.4790656013199994</v>
          </cell>
        </row>
        <row r="22">
          <cell r="I22">
            <v>12.990000000000002</v>
          </cell>
        </row>
      </sheetData>
      <sheetData sheetId="305">
        <row r="3">
          <cell r="N3">
            <v>1</v>
          </cell>
        </row>
        <row r="5">
          <cell r="B5" t="str">
            <v>Quick Release Sliding Part</v>
          </cell>
        </row>
        <row r="6">
          <cell r="B6" t="str">
            <v>ST 03003</v>
          </cell>
        </row>
        <row r="12">
          <cell r="N12">
            <v>1.7704098720000001</v>
          </cell>
        </row>
        <row r="19">
          <cell r="I19">
            <v>11.17</v>
          </cell>
        </row>
      </sheetData>
      <sheetData sheetId="306">
        <row r="3">
          <cell r="N3">
            <v>1</v>
          </cell>
        </row>
        <row r="4">
          <cell r="B4" t="str">
            <v>Steering Wheel Assy</v>
          </cell>
        </row>
        <row r="5">
          <cell r="B5" t="str">
            <v>ST A0400</v>
          </cell>
        </row>
        <row r="17">
          <cell r="I17">
            <v>2.25</v>
          </cell>
        </row>
        <row r="22">
          <cell r="J22">
            <v>0.44116242345816659</v>
          </cell>
        </row>
      </sheetData>
      <sheetData sheetId="307">
        <row r="3">
          <cell r="N3">
            <v>1</v>
          </cell>
        </row>
        <row r="5">
          <cell r="B5" t="str">
            <v>Steering Wheel</v>
          </cell>
        </row>
        <row r="6">
          <cell r="B6" t="str">
            <v>ST 04001</v>
          </cell>
        </row>
        <row r="15">
          <cell r="N15">
            <v>3.7811875000000001</v>
          </cell>
        </row>
        <row r="24">
          <cell r="I24">
            <v>12.555000000000001</v>
          </cell>
        </row>
      </sheetData>
      <sheetData sheetId="308">
        <row r="5">
          <cell r="B5" t="str">
            <v>Aluminium spacer</v>
          </cell>
        </row>
        <row r="6">
          <cell r="B6" t="str">
            <v>ST 04002</v>
          </cell>
        </row>
        <row r="12">
          <cell r="N12">
            <v>0.62020728000000003</v>
          </cell>
        </row>
        <row r="17">
          <cell r="I17">
            <v>2.452</v>
          </cell>
        </row>
      </sheetData>
      <sheetData sheetId="309"/>
      <sheetData sheetId="310">
        <row r="3">
          <cell r="N3">
            <v>2</v>
          </cell>
        </row>
        <row r="4">
          <cell r="B4" t="str">
            <v>Steering rod</v>
          </cell>
        </row>
        <row r="5">
          <cell r="B5" t="str">
            <v>ST A0500</v>
          </cell>
        </row>
        <row r="18">
          <cell r="N18">
            <v>3.88</v>
          </cell>
        </row>
        <row r="37">
          <cell r="I37">
            <v>4.3660000000000005</v>
          </cell>
        </row>
        <row r="45">
          <cell r="J45">
            <v>0.30579732214097893</v>
          </cell>
        </row>
      </sheetData>
      <sheetData sheetId="311">
        <row r="3">
          <cell r="N3">
            <v>1</v>
          </cell>
        </row>
        <row r="5">
          <cell r="B5" t="str">
            <v>Steering rod tube</v>
          </cell>
        </row>
        <row r="6">
          <cell r="B6" t="str">
            <v>ST 05001</v>
          </cell>
        </row>
        <row r="12">
          <cell r="N12">
            <v>8.7004020930752581</v>
          </cell>
        </row>
        <row r="16">
          <cell r="I16">
            <v>1.0875502616344073</v>
          </cell>
        </row>
      </sheetData>
      <sheetData sheetId="312">
        <row r="3">
          <cell r="N3">
            <v>1</v>
          </cell>
        </row>
        <row r="5">
          <cell r="B5" t="str">
            <v>Steering rod insert</v>
          </cell>
        </row>
        <row r="6">
          <cell r="B6" t="str">
            <v>ST 05002</v>
          </cell>
        </row>
        <row r="12">
          <cell r="N12">
            <v>0.29364450825140531</v>
          </cell>
        </row>
        <row r="20">
          <cell r="I20">
            <v>2.0209999999999999</v>
          </cell>
        </row>
      </sheetData>
      <sheetData sheetId="313"/>
      <sheetData sheetId="314">
        <row r="3">
          <cell r="N3">
            <v>4</v>
          </cell>
        </row>
        <row r="5">
          <cell r="B5" t="str">
            <v>Spacer</v>
          </cell>
        </row>
        <row r="6">
          <cell r="B6" t="str">
            <v>ST 05003</v>
          </cell>
        </row>
        <row r="12">
          <cell r="N12">
            <v>3.0170376000000002E-2</v>
          </cell>
        </row>
        <row r="17">
          <cell r="I17">
            <v>0.30649999999999999</v>
          </cell>
        </row>
      </sheetData>
      <sheetData sheetId="315"/>
      <sheetData sheetId="316"/>
      <sheetData sheetId="317">
        <row r="3">
          <cell r="N3">
            <v>2</v>
          </cell>
        </row>
        <row r="4">
          <cell r="B4" t="str">
            <v>Upper Front A-arm</v>
          </cell>
        </row>
        <row r="5">
          <cell r="B5" t="str">
            <v>SU A0100</v>
          </cell>
        </row>
        <row r="21">
          <cell r="E21">
            <v>43.577210055670584</v>
          </cell>
        </row>
        <row r="27">
          <cell r="N27">
            <v>20.759999999999998</v>
          </cell>
        </row>
        <row r="52">
          <cell r="I52">
            <v>16.033700000000003</v>
          </cell>
        </row>
        <row r="58">
          <cell r="J58">
            <v>0.45250761375459631</v>
          </cell>
        </row>
        <row r="62">
          <cell r="I62">
            <v>1.3333333333333333</v>
          </cell>
        </row>
      </sheetData>
      <sheetData sheetId="318">
        <row r="3">
          <cell r="N3">
            <v>1</v>
          </cell>
        </row>
        <row r="5">
          <cell r="B5" t="str">
            <v>Upper Front Bearing Support</v>
          </cell>
        </row>
        <row r="6">
          <cell r="B6" t="str">
            <v>SU_01001</v>
          </cell>
        </row>
        <row r="12">
          <cell r="N12">
            <v>2.6965519055999998</v>
          </cell>
        </row>
        <row r="26">
          <cell r="I26">
            <v>12.394000000000002</v>
          </cell>
        </row>
      </sheetData>
      <sheetData sheetId="319"/>
      <sheetData sheetId="320">
        <row r="3">
          <cell r="N3">
            <v>2</v>
          </cell>
        </row>
        <row r="5">
          <cell r="B5" t="str">
            <v>Inner Bearing Support</v>
          </cell>
        </row>
        <row r="6">
          <cell r="B6" t="str">
            <v>SU_01002</v>
          </cell>
        </row>
        <row r="12">
          <cell r="N12">
            <v>0.85838054400000008</v>
          </cell>
        </row>
        <row r="21">
          <cell r="I21">
            <v>1.0145000000000002</v>
          </cell>
        </row>
      </sheetData>
      <sheetData sheetId="321"/>
      <sheetData sheetId="322">
        <row r="3">
          <cell r="N3">
            <v>1</v>
          </cell>
        </row>
        <row r="5">
          <cell r="B5" t="str">
            <v>Upper Front A-arm tube (Front)  Carbon Fiber Tube</v>
          </cell>
        </row>
        <row r="6">
          <cell r="B6" t="str">
            <v>SU_01003</v>
          </cell>
        </row>
        <row r="12">
          <cell r="N12">
            <v>7.8902924799999985</v>
          </cell>
        </row>
        <row r="16">
          <cell r="I16">
            <v>0.98628655999999981</v>
          </cell>
        </row>
      </sheetData>
      <sheetData sheetId="323">
        <row r="3">
          <cell r="N3">
            <v>1</v>
          </cell>
        </row>
        <row r="5">
          <cell r="B5" t="str">
            <v>Upper Front A-arm tube (Back)  Carbon Fiber Tube</v>
          </cell>
        </row>
        <row r="6">
          <cell r="B6" t="str">
            <v>SU_01004</v>
          </cell>
        </row>
        <row r="12">
          <cell r="N12">
            <v>6.3900255999999986</v>
          </cell>
        </row>
        <row r="16">
          <cell r="I16">
            <v>0.79875319999999983</v>
          </cell>
        </row>
      </sheetData>
      <sheetData sheetId="324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SU_01005</v>
          </cell>
        </row>
        <row r="12">
          <cell r="N12">
            <v>3.9044016000000001E-2</v>
          </cell>
        </row>
        <row r="17">
          <cell r="I17">
            <v>0.95000000000000007</v>
          </cell>
        </row>
      </sheetData>
      <sheetData sheetId="325"/>
      <sheetData sheetId="326">
        <row r="3">
          <cell r="N3">
            <v>4</v>
          </cell>
        </row>
        <row r="5">
          <cell r="B5" t="str">
            <v>Spacer 2</v>
          </cell>
        </row>
        <row r="6">
          <cell r="B6" t="str">
            <v>SU_01006</v>
          </cell>
        </row>
        <row r="12">
          <cell r="N12">
            <v>0.14197824000000003</v>
          </cell>
        </row>
        <row r="17">
          <cell r="I17">
            <v>0.18223529411764708</v>
          </cell>
        </row>
      </sheetData>
      <sheetData sheetId="327"/>
      <sheetData sheetId="328">
        <row r="3">
          <cell r="N3">
            <v>2</v>
          </cell>
        </row>
        <row r="5">
          <cell r="B5" t="str">
            <v>Outboard A-arm Insert</v>
          </cell>
        </row>
        <row r="6">
          <cell r="B6" t="str">
            <v>SU_01007</v>
          </cell>
        </row>
        <row r="12">
          <cell r="N12">
            <v>7.7197276800000006E-2</v>
          </cell>
        </row>
        <row r="16">
          <cell r="I16">
            <v>0.4</v>
          </cell>
        </row>
      </sheetData>
      <sheetData sheetId="329"/>
      <sheetData sheetId="330">
        <row r="3">
          <cell r="N3">
            <v>1</v>
          </cell>
        </row>
        <row r="5">
          <cell r="B5" t="str">
            <v>Front up bracket</v>
          </cell>
        </row>
        <row r="6">
          <cell r="B6" t="str">
            <v>SU_01008</v>
          </cell>
        </row>
        <row r="13">
          <cell r="N13">
            <v>0.14773825000000002</v>
          </cell>
        </row>
        <row r="21">
          <cell r="I21">
            <v>1.2453219999999998</v>
          </cell>
        </row>
      </sheetData>
      <sheetData sheetId="331"/>
      <sheetData sheetId="332">
        <row r="3">
          <cell r="N3">
            <v>1</v>
          </cell>
        </row>
        <row r="5">
          <cell r="B5" t="str">
            <v>Front down bracket</v>
          </cell>
        </row>
        <row r="6">
          <cell r="B6" t="str">
            <v>SU_01009</v>
          </cell>
        </row>
        <row r="13">
          <cell r="N13">
            <v>0.1450304375</v>
          </cell>
        </row>
        <row r="21">
          <cell r="I21">
            <v>1.2140594999999998</v>
          </cell>
        </row>
      </sheetData>
      <sheetData sheetId="333"/>
      <sheetData sheetId="334">
        <row r="3">
          <cell r="N3">
            <v>1</v>
          </cell>
        </row>
        <row r="5">
          <cell r="B5" t="str">
            <v>Rear up bracket</v>
          </cell>
        </row>
        <row r="6">
          <cell r="B6" t="str">
            <v>SU_01010</v>
          </cell>
        </row>
        <row r="13">
          <cell r="N13">
            <v>0.1233679375</v>
          </cell>
        </row>
        <row r="21">
          <cell r="I21">
            <v>1.1909594999999999</v>
          </cell>
        </row>
      </sheetData>
      <sheetData sheetId="335"/>
      <sheetData sheetId="336">
        <row r="3">
          <cell r="N3">
            <v>1</v>
          </cell>
        </row>
        <row r="5">
          <cell r="B5" t="str">
            <v>Rear down bracket</v>
          </cell>
        </row>
        <row r="6">
          <cell r="B6" t="str">
            <v>SU_01011</v>
          </cell>
        </row>
        <row r="13">
          <cell r="N13">
            <v>0.13755687500000002</v>
          </cell>
        </row>
        <row r="21">
          <cell r="I21">
            <v>1.1903350000000001</v>
          </cell>
        </row>
      </sheetData>
      <sheetData sheetId="337"/>
      <sheetData sheetId="338">
        <row r="3">
          <cell r="N3">
            <v>2</v>
          </cell>
        </row>
        <row r="4">
          <cell r="B4" t="str">
            <v>Lower Front A-arm</v>
          </cell>
        </row>
        <row r="5">
          <cell r="B5" t="str">
            <v>SU A0200</v>
          </cell>
        </row>
        <row r="21">
          <cell r="E21">
            <v>38.14987577007058</v>
          </cell>
        </row>
        <row r="27">
          <cell r="N27">
            <v>20.759999999999998</v>
          </cell>
        </row>
        <row r="52">
          <cell r="I52">
            <v>16.033700000000003</v>
          </cell>
        </row>
        <row r="58">
          <cell r="J58">
            <v>0.45250761375459631</v>
          </cell>
        </row>
        <row r="62">
          <cell r="I62">
            <v>1.3333333333333333</v>
          </cell>
        </row>
      </sheetData>
      <sheetData sheetId="339">
        <row r="3">
          <cell r="N3">
            <v>1</v>
          </cell>
        </row>
        <row r="5">
          <cell r="B5" t="str">
            <v>Lower Front Bearing Support</v>
          </cell>
        </row>
        <row r="6">
          <cell r="B6" t="str">
            <v>SU 02001</v>
          </cell>
        </row>
        <row r="12">
          <cell r="N12">
            <v>4.2</v>
          </cell>
        </row>
        <row r="23">
          <cell r="I23">
            <v>4.9140000000000006</v>
          </cell>
        </row>
      </sheetData>
      <sheetData sheetId="340"/>
      <sheetData sheetId="341">
        <row r="3">
          <cell r="N3">
            <v>2</v>
          </cell>
        </row>
        <row r="5">
          <cell r="B5" t="str">
            <v>Inner Bearing Support</v>
          </cell>
        </row>
        <row r="6">
          <cell r="B6" t="str">
            <v>SU 02002</v>
          </cell>
        </row>
        <row r="12">
          <cell r="N12">
            <v>0.85838054400000008</v>
          </cell>
        </row>
        <row r="21">
          <cell r="I21">
            <v>1.0145000000000002</v>
          </cell>
        </row>
      </sheetData>
      <sheetData sheetId="342"/>
      <sheetData sheetId="343">
        <row r="3">
          <cell r="N3">
            <v>1</v>
          </cell>
        </row>
        <row r="5">
          <cell r="B5" t="str">
            <v>Lower Front A-arm tube (Front)  Carbon Fiber Tube</v>
          </cell>
        </row>
        <row r="6">
          <cell r="B6" t="str">
            <v>SU_02003</v>
          </cell>
        </row>
        <row r="12">
          <cell r="N12">
            <v>9.9739964799999985</v>
          </cell>
        </row>
        <row r="16">
          <cell r="I16">
            <v>1.2467495599999998</v>
          </cell>
        </row>
      </sheetData>
      <sheetData sheetId="344">
        <row r="3">
          <cell r="N3">
            <v>1</v>
          </cell>
        </row>
        <row r="5">
          <cell r="B5" t="str">
            <v>Lower Front A-arm tube (Back)  Carbon Fiber Tube</v>
          </cell>
        </row>
        <row r="6">
          <cell r="B6" t="str">
            <v>SU_02004</v>
          </cell>
        </row>
        <row r="12">
          <cell r="N12">
            <v>8.8904703999999981</v>
          </cell>
        </row>
        <row r="16">
          <cell r="I16">
            <v>1.1113087999999998</v>
          </cell>
        </row>
      </sheetData>
      <sheetData sheetId="345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SU_02005</v>
          </cell>
        </row>
        <row r="12">
          <cell r="N12">
            <v>3.0170376000000002E-2</v>
          </cell>
        </row>
        <row r="17">
          <cell r="I17">
            <v>0.878</v>
          </cell>
        </row>
      </sheetData>
      <sheetData sheetId="346"/>
      <sheetData sheetId="347">
        <row r="3">
          <cell r="N3">
            <v>4</v>
          </cell>
        </row>
        <row r="5">
          <cell r="B5" t="str">
            <v>Spacer 2</v>
          </cell>
        </row>
        <row r="6">
          <cell r="B6" t="str">
            <v>SU_02006</v>
          </cell>
        </row>
        <row r="12">
          <cell r="N12">
            <v>0.14197824000000003</v>
          </cell>
        </row>
        <row r="17">
          <cell r="I17">
            <v>0.18223529411764708</v>
          </cell>
        </row>
      </sheetData>
      <sheetData sheetId="348"/>
      <sheetData sheetId="349">
        <row r="3">
          <cell r="N3">
            <v>2</v>
          </cell>
        </row>
        <row r="5">
          <cell r="B5" t="str">
            <v>Outboard A-arm Insert</v>
          </cell>
        </row>
        <row r="6">
          <cell r="B6" t="str">
            <v>SU_02007</v>
          </cell>
        </row>
        <row r="12">
          <cell r="N12">
            <v>7.7197276800000006E-2</v>
          </cell>
        </row>
        <row r="16">
          <cell r="I16">
            <v>0.4</v>
          </cell>
        </row>
      </sheetData>
      <sheetData sheetId="350"/>
      <sheetData sheetId="351">
        <row r="3">
          <cell r="N3">
            <v>1</v>
          </cell>
        </row>
        <row r="5">
          <cell r="B5" t="str">
            <v>Front up bracket</v>
          </cell>
        </row>
        <row r="6">
          <cell r="B6" t="str">
            <v>SU_02008</v>
          </cell>
        </row>
        <row r="13">
          <cell r="N13">
            <v>0.12477600000000001</v>
          </cell>
        </row>
        <row r="21">
          <cell r="I21">
            <v>1.2620960000000001</v>
          </cell>
        </row>
      </sheetData>
      <sheetData sheetId="352"/>
      <sheetData sheetId="353">
        <row r="3">
          <cell r="N3">
            <v>1</v>
          </cell>
        </row>
        <row r="5">
          <cell r="B5" t="str">
            <v>Front down bracket</v>
          </cell>
        </row>
        <row r="6">
          <cell r="B6" t="str">
            <v>SU_02009</v>
          </cell>
        </row>
        <row r="13">
          <cell r="N13">
            <v>0.1620355</v>
          </cell>
        </row>
        <row r="21">
          <cell r="I21">
            <v>1.2737080000000001</v>
          </cell>
        </row>
      </sheetData>
      <sheetData sheetId="354"/>
      <sheetData sheetId="355">
        <row r="3">
          <cell r="N3">
            <v>1</v>
          </cell>
        </row>
        <row r="5">
          <cell r="B5" t="str">
            <v>Rear Up bracket</v>
          </cell>
        </row>
        <row r="6">
          <cell r="B6" t="str">
            <v>SU_02010</v>
          </cell>
        </row>
        <row r="13">
          <cell r="N13">
            <v>9.5315000000000011E-2</v>
          </cell>
        </row>
        <row r="21">
          <cell r="I21">
            <v>1.2362399999999998</v>
          </cell>
        </row>
      </sheetData>
      <sheetData sheetId="356"/>
      <sheetData sheetId="357">
        <row r="3">
          <cell r="N3">
            <v>1</v>
          </cell>
        </row>
        <row r="5">
          <cell r="B5" t="str">
            <v>Rear down bracket</v>
          </cell>
        </row>
        <row r="6">
          <cell r="B6" t="str">
            <v>SU_02011</v>
          </cell>
        </row>
        <row r="13">
          <cell r="N13">
            <v>0.14773825000000002</v>
          </cell>
        </row>
        <row r="21">
          <cell r="I21">
            <v>1.2673220000000001</v>
          </cell>
        </row>
      </sheetData>
      <sheetData sheetId="358"/>
      <sheetData sheetId="359">
        <row r="3">
          <cell r="N3">
            <v>2</v>
          </cell>
        </row>
        <row r="4">
          <cell r="B4" t="str">
            <v>Upper Back A-arm</v>
          </cell>
        </row>
        <row r="5">
          <cell r="B5" t="str">
            <v>SU A0300</v>
          </cell>
        </row>
        <row r="21">
          <cell r="E21">
            <v>39.143452592470581</v>
          </cell>
        </row>
        <row r="27">
          <cell r="N27">
            <v>20.759999999999998</v>
          </cell>
        </row>
        <row r="52">
          <cell r="I52">
            <v>16.033700000000003</v>
          </cell>
        </row>
        <row r="58">
          <cell r="J58">
            <v>0.45250761375459631</v>
          </cell>
        </row>
        <row r="62">
          <cell r="I62">
            <v>1.3333333333333333</v>
          </cell>
        </row>
      </sheetData>
      <sheetData sheetId="360">
        <row r="3">
          <cell r="N3">
            <v>1</v>
          </cell>
        </row>
        <row r="5">
          <cell r="B5" t="str">
            <v>Upper Back Bearing Support</v>
          </cell>
        </row>
        <row r="6">
          <cell r="B6" t="str">
            <v>SU 03001</v>
          </cell>
        </row>
        <row r="12">
          <cell r="N12">
            <v>2.4914905344</v>
          </cell>
        </row>
        <row r="26">
          <cell r="I26">
            <v>13.994000000000002</v>
          </cell>
        </row>
      </sheetData>
      <sheetData sheetId="361"/>
      <sheetData sheetId="362">
        <row r="3">
          <cell r="N3">
            <v>2</v>
          </cell>
        </row>
        <row r="5">
          <cell r="B5" t="str">
            <v>Inner Bearing Support</v>
          </cell>
        </row>
        <row r="6">
          <cell r="B6" t="str">
            <v>SU 03002</v>
          </cell>
        </row>
        <row r="12">
          <cell r="N12">
            <v>0.85838054400000008</v>
          </cell>
        </row>
        <row r="21">
          <cell r="I21">
            <v>1.0145000000000002</v>
          </cell>
        </row>
      </sheetData>
      <sheetData sheetId="363"/>
      <sheetData sheetId="364">
        <row r="3">
          <cell r="N3">
            <v>1</v>
          </cell>
        </row>
        <row r="5">
          <cell r="B5" t="str">
            <v>Upper Back A-arm tube (Front)  Carbon Fiber Tube</v>
          </cell>
        </row>
        <row r="6">
          <cell r="B6" t="str">
            <v>SU 03003</v>
          </cell>
        </row>
        <row r="12">
          <cell r="N12">
            <v>9.6683865599999983</v>
          </cell>
        </row>
        <row r="16">
          <cell r="I16">
            <v>1.2085483199999998</v>
          </cell>
        </row>
      </sheetData>
      <sheetData sheetId="365">
        <row r="3">
          <cell r="N3">
            <v>1</v>
          </cell>
        </row>
        <row r="5">
          <cell r="B5" t="str">
            <v>Upper Back A-arm tube (Back)  Carbon Fiber Tube</v>
          </cell>
        </row>
        <row r="6">
          <cell r="B6" t="str">
            <v>SU 03004</v>
          </cell>
        </row>
        <row r="12">
          <cell r="N12">
            <v>3.8617980799999994</v>
          </cell>
        </row>
        <row r="16">
          <cell r="I16">
            <v>0.48272475999999992</v>
          </cell>
        </row>
      </sheetData>
      <sheetData sheetId="366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 03005</v>
          </cell>
        </row>
        <row r="12">
          <cell r="N12">
            <v>1.7747280000000004E-2</v>
          </cell>
        </row>
        <row r="17">
          <cell r="I17">
            <v>0.70200000000000007</v>
          </cell>
        </row>
      </sheetData>
      <sheetData sheetId="367"/>
      <sheetData sheetId="368">
        <row r="3">
          <cell r="N3">
            <v>4</v>
          </cell>
        </row>
        <row r="5">
          <cell r="B5" t="str">
            <v>Spacer 2</v>
          </cell>
        </row>
        <row r="6">
          <cell r="B6" t="str">
            <v>SU 03006</v>
          </cell>
        </row>
        <row r="12">
          <cell r="N12">
            <v>0.14197824000000003</v>
          </cell>
        </row>
        <row r="17">
          <cell r="I17">
            <v>0.18223529411764708</v>
          </cell>
        </row>
      </sheetData>
      <sheetData sheetId="369"/>
      <sheetData sheetId="370">
        <row r="3">
          <cell r="N3">
            <v>2</v>
          </cell>
        </row>
        <row r="5">
          <cell r="B5" t="str">
            <v>Outboard A-arm Insert</v>
          </cell>
        </row>
        <row r="6">
          <cell r="B6" t="str">
            <v>SU 03007</v>
          </cell>
        </row>
        <row r="12">
          <cell r="N12">
            <v>7.7197276800000006E-2</v>
          </cell>
        </row>
        <row r="16">
          <cell r="I16">
            <v>0.4</v>
          </cell>
        </row>
      </sheetData>
      <sheetData sheetId="371"/>
      <sheetData sheetId="372">
        <row r="3">
          <cell r="N3">
            <v>1</v>
          </cell>
        </row>
        <row r="5">
          <cell r="B5" t="str">
            <v>Front up bracket</v>
          </cell>
        </row>
        <row r="6">
          <cell r="B6" t="str">
            <v>SU 03008</v>
          </cell>
        </row>
        <row r="13">
          <cell r="N13">
            <v>0.19777862500000001</v>
          </cell>
        </row>
        <row r="21">
          <cell r="I21">
            <v>1.2991729999999999</v>
          </cell>
        </row>
      </sheetData>
      <sheetData sheetId="373"/>
      <sheetData sheetId="374">
        <row r="3">
          <cell r="N3">
            <v>1</v>
          </cell>
        </row>
        <row r="5">
          <cell r="B5" t="str">
            <v>Front down bracket</v>
          </cell>
        </row>
        <row r="6">
          <cell r="B6" t="str">
            <v>SU 03009</v>
          </cell>
        </row>
        <row r="13">
          <cell r="N13">
            <v>0.19063000000000002</v>
          </cell>
        </row>
        <row r="21">
          <cell r="I21">
            <v>1.30148</v>
          </cell>
        </row>
      </sheetData>
      <sheetData sheetId="375"/>
      <sheetData sheetId="376">
        <row r="3">
          <cell r="N3">
            <v>1</v>
          </cell>
        </row>
        <row r="5">
          <cell r="B5" t="str">
            <v>Rear up bracket</v>
          </cell>
        </row>
        <row r="6">
          <cell r="B6" t="str">
            <v>SU 03010</v>
          </cell>
        </row>
        <row r="13">
          <cell r="N13">
            <v>7.3869125000000008E-2</v>
          </cell>
        </row>
        <row r="21">
          <cell r="I21">
            <v>1.1941609999999998</v>
          </cell>
        </row>
      </sheetData>
      <sheetData sheetId="377"/>
      <sheetData sheetId="378">
        <row r="3">
          <cell r="N3">
            <v>1</v>
          </cell>
        </row>
        <row r="5">
          <cell r="B5" t="str">
            <v>Rear down bracket</v>
          </cell>
        </row>
        <row r="6">
          <cell r="B6" t="str">
            <v>SU 03011</v>
          </cell>
        </row>
        <row r="13">
          <cell r="N13">
            <v>0.13105812499999997</v>
          </cell>
        </row>
        <row r="21">
          <cell r="I21">
            <v>1.2477049999999998</v>
          </cell>
        </row>
      </sheetData>
      <sheetData sheetId="379"/>
      <sheetData sheetId="380">
        <row r="3">
          <cell r="N3">
            <v>2</v>
          </cell>
        </row>
        <row r="4">
          <cell r="B4" t="str">
            <v>Lower Back A-arm</v>
          </cell>
        </row>
        <row r="5">
          <cell r="B5" t="str">
            <v>SU A0400</v>
          </cell>
        </row>
        <row r="21">
          <cell r="E21">
            <v>46.057777935199994</v>
          </cell>
        </row>
        <row r="27">
          <cell r="N27">
            <v>20.759999999999998</v>
          </cell>
        </row>
        <row r="52">
          <cell r="I52">
            <v>16.033700000000003</v>
          </cell>
        </row>
        <row r="58">
          <cell r="J58">
            <v>0.45250761375459631</v>
          </cell>
        </row>
        <row r="62">
          <cell r="I62">
            <v>1.3333333333333333</v>
          </cell>
        </row>
      </sheetData>
      <sheetData sheetId="381">
        <row r="3">
          <cell r="N3">
            <v>1</v>
          </cell>
        </row>
        <row r="5">
          <cell r="B5" t="str">
            <v>Lower Back Bearing Support</v>
          </cell>
        </row>
        <row r="6">
          <cell r="B6" t="str">
            <v>SU 04001</v>
          </cell>
        </row>
        <row r="12">
          <cell r="N12">
            <v>4.2</v>
          </cell>
        </row>
        <row r="23">
          <cell r="I23">
            <v>4.7540000000000004</v>
          </cell>
        </row>
      </sheetData>
      <sheetData sheetId="382"/>
      <sheetData sheetId="383">
        <row r="3">
          <cell r="N3">
            <v>2</v>
          </cell>
        </row>
        <row r="5">
          <cell r="B5" t="str">
            <v>Inner Bearing Support</v>
          </cell>
        </row>
        <row r="6">
          <cell r="B6" t="str">
            <v>SU_04002</v>
          </cell>
        </row>
        <row r="12">
          <cell r="N12">
            <v>0.85838054400000008</v>
          </cell>
        </row>
        <row r="21">
          <cell r="I21">
            <v>1.0145000000000002</v>
          </cell>
        </row>
      </sheetData>
      <sheetData sheetId="384"/>
      <sheetData sheetId="385">
        <row r="3">
          <cell r="N3">
            <v>1</v>
          </cell>
        </row>
        <row r="5">
          <cell r="B5" t="str">
            <v>Lower Back A-arm tube (Front)  Carbon Fiber Tube</v>
          </cell>
        </row>
        <row r="6">
          <cell r="B6" t="str">
            <v>SU_04003</v>
          </cell>
        </row>
        <row r="12">
          <cell r="N12">
            <v>10.696347199999998</v>
          </cell>
        </row>
        <row r="16">
          <cell r="I16">
            <v>1.3370433999999998</v>
          </cell>
        </row>
      </sheetData>
      <sheetData sheetId="386">
        <row r="3">
          <cell r="N3">
            <v>1</v>
          </cell>
        </row>
        <row r="5">
          <cell r="B5" t="str">
            <v>Lower Back A-arm tube (Back)  Carbon Fiber Tube</v>
          </cell>
        </row>
        <row r="6">
          <cell r="B6" t="str">
            <v>SU_04004</v>
          </cell>
        </row>
        <row r="12">
          <cell r="N12">
            <v>6.5845046399999987</v>
          </cell>
        </row>
        <row r="16">
          <cell r="I16">
            <v>0.82306307999999995</v>
          </cell>
        </row>
      </sheetData>
      <sheetData sheetId="387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SU_04005</v>
          </cell>
        </row>
        <row r="12">
          <cell r="N12">
            <v>2.7685756800000003E-2</v>
          </cell>
        </row>
        <row r="17">
          <cell r="I17">
            <v>1.6</v>
          </cell>
        </row>
      </sheetData>
      <sheetData sheetId="388"/>
      <sheetData sheetId="389">
        <row r="3">
          <cell r="N3">
            <v>4</v>
          </cell>
        </row>
        <row r="5">
          <cell r="B5" t="str">
            <v>Spacer 2</v>
          </cell>
        </row>
        <row r="6">
          <cell r="B6" t="str">
            <v>SU_04006</v>
          </cell>
        </row>
        <row r="12">
          <cell r="N12">
            <v>0.14197824000000003</v>
          </cell>
        </row>
        <row r="17">
          <cell r="I17">
            <v>0.66320000000000001</v>
          </cell>
        </row>
      </sheetData>
      <sheetData sheetId="390"/>
      <sheetData sheetId="391">
        <row r="3">
          <cell r="N3">
            <v>2</v>
          </cell>
        </row>
        <row r="5">
          <cell r="B5" t="str">
            <v>Outboard A-arm Insert</v>
          </cell>
        </row>
        <row r="6">
          <cell r="B6" t="str">
            <v>SU_04007</v>
          </cell>
        </row>
        <row r="12">
          <cell r="N12">
            <v>7.7197276800000006E-2</v>
          </cell>
        </row>
        <row r="16">
          <cell r="I16">
            <v>0.4</v>
          </cell>
        </row>
      </sheetData>
      <sheetData sheetId="392"/>
      <sheetData sheetId="393">
        <row r="3">
          <cell r="N3">
            <v>1</v>
          </cell>
        </row>
        <row r="5">
          <cell r="B5" t="str">
            <v>Front up bracket</v>
          </cell>
        </row>
        <row r="6">
          <cell r="B6" t="str">
            <v>SU 04008</v>
          </cell>
        </row>
        <row r="13">
          <cell r="N13">
            <v>0.12997500000000001</v>
          </cell>
        </row>
        <row r="21">
          <cell r="I21">
            <v>1.2606000000000002</v>
          </cell>
        </row>
      </sheetData>
      <sheetData sheetId="394"/>
      <sheetData sheetId="395">
        <row r="3">
          <cell r="N3">
            <v>1</v>
          </cell>
        </row>
        <row r="5">
          <cell r="B5" t="str">
            <v>Front down bracket</v>
          </cell>
        </row>
        <row r="6">
          <cell r="B6" t="str">
            <v>SU 04009</v>
          </cell>
        </row>
        <row r="13">
          <cell r="N13">
            <v>0.13257449999999998</v>
          </cell>
        </row>
        <row r="21">
          <cell r="I21">
            <v>1.2488520000000003</v>
          </cell>
        </row>
      </sheetData>
      <sheetData sheetId="396"/>
      <sheetData sheetId="397">
        <row r="3">
          <cell r="N3">
            <v>1</v>
          </cell>
        </row>
        <row r="5">
          <cell r="B5" t="str">
            <v>Rear up bracket</v>
          </cell>
        </row>
        <row r="6">
          <cell r="B6" t="str">
            <v>SU 04010</v>
          </cell>
        </row>
        <row r="13">
          <cell r="N13">
            <v>0.29634299999999991</v>
          </cell>
        </row>
        <row r="21">
          <cell r="I21">
            <v>1.5167280000000001</v>
          </cell>
        </row>
      </sheetData>
      <sheetData sheetId="398"/>
      <sheetData sheetId="399">
        <row r="3">
          <cell r="N3">
            <v>1</v>
          </cell>
        </row>
        <row r="5">
          <cell r="B5" t="str">
            <v>Rear down bracket</v>
          </cell>
        </row>
        <row r="6">
          <cell r="B6" t="str">
            <v>SU 04011</v>
          </cell>
        </row>
        <row r="13">
          <cell r="N13">
            <v>0.35873100000000002</v>
          </cell>
        </row>
        <row r="21">
          <cell r="I21">
            <v>1.5427759999999999</v>
          </cell>
        </row>
      </sheetData>
      <sheetData sheetId="400"/>
      <sheetData sheetId="401">
        <row r="3">
          <cell r="N3">
            <v>2</v>
          </cell>
        </row>
        <row r="4">
          <cell r="B4" t="str">
            <v>Front suspension</v>
          </cell>
        </row>
        <row r="11">
          <cell r="E11">
            <v>5.9234014172552163</v>
          </cell>
        </row>
        <row r="18">
          <cell r="N18">
            <v>330.04</v>
          </cell>
        </row>
        <row r="31">
          <cell r="I31">
            <v>2.12</v>
          </cell>
        </row>
        <row r="37">
          <cell r="J37">
            <v>0.20389541514008255</v>
          </cell>
        </row>
        <row r="41">
          <cell r="I41">
            <v>0.33333333333333331</v>
          </cell>
        </row>
      </sheetData>
      <sheetData sheetId="402">
        <row r="3">
          <cell r="N3">
            <v>1</v>
          </cell>
        </row>
        <row r="5">
          <cell r="B5" t="str">
            <v>Shock Front Bracket</v>
          </cell>
        </row>
        <row r="6">
          <cell r="B6" t="str">
            <v>SU 05001</v>
          </cell>
        </row>
        <row r="12">
          <cell r="N12">
            <v>0.38660141725521602</v>
          </cell>
        </row>
        <row r="22">
          <cell r="I22">
            <v>5.5368000000000004</v>
          </cell>
        </row>
      </sheetData>
      <sheetData sheetId="403"/>
      <sheetData sheetId="404">
        <row r="3">
          <cell r="B3" t="str">
            <v>Suspension &amp; Shocks</v>
          </cell>
          <cell r="N3">
            <v>2</v>
          </cell>
        </row>
        <row r="4">
          <cell r="B4" t="str">
            <v>Front Bell Crank</v>
          </cell>
        </row>
        <row r="5">
          <cell r="B5" t="str">
            <v>SU A0600</v>
          </cell>
        </row>
        <row r="14">
          <cell r="E14">
            <v>10.588200913991752</v>
          </cell>
        </row>
        <row r="19">
          <cell r="N19">
            <v>0.09</v>
          </cell>
        </row>
        <row r="32">
          <cell r="I32">
            <v>1.5945</v>
          </cell>
        </row>
        <row r="38">
          <cell r="J38">
            <v>0.25005711026498539</v>
          </cell>
        </row>
        <row r="42">
          <cell r="I42">
            <v>0.33333333333333331</v>
          </cell>
        </row>
      </sheetData>
      <sheetData sheetId="405">
        <row r="3">
          <cell r="N3">
            <v>2</v>
          </cell>
        </row>
        <row r="6">
          <cell r="B6" t="str">
            <v>SU 06001</v>
          </cell>
        </row>
        <row r="12">
          <cell r="N12">
            <v>4.6098650676301943E-2</v>
          </cell>
        </row>
        <row r="17">
          <cell r="I17">
            <v>1.325</v>
          </cell>
        </row>
      </sheetData>
      <sheetData sheetId="406">
        <row r="3">
          <cell r="N3">
            <v>1</v>
          </cell>
        </row>
        <row r="6">
          <cell r="B6" t="str">
            <v>SU 06002</v>
          </cell>
        </row>
        <row r="12">
          <cell r="N12">
            <v>5.4378612639149136E-2</v>
          </cell>
        </row>
        <row r="17">
          <cell r="I17">
            <v>1.4883999999999999</v>
          </cell>
        </row>
      </sheetData>
      <sheetData sheetId="407">
        <row r="3">
          <cell r="N3">
            <v>2</v>
          </cell>
        </row>
        <row r="6">
          <cell r="B6" t="str">
            <v>SU 06003</v>
          </cell>
        </row>
        <row r="12">
          <cell r="N12">
            <v>0.39740625000000002</v>
          </cell>
        </row>
        <row r="17">
          <cell r="I17">
            <v>0.48399999999999999</v>
          </cell>
        </row>
      </sheetData>
      <sheetData sheetId="408"/>
      <sheetData sheetId="409">
        <row r="3">
          <cell r="N3">
            <v>2</v>
          </cell>
        </row>
        <row r="6">
          <cell r="B6" t="str">
            <v>SU 06004</v>
          </cell>
        </row>
        <row r="12">
          <cell r="N12">
            <v>0.11480624999999998</v>
          </cell>
        </row>
        <row r="19">
          <cell r="I19">
            <v>2.1554000000000002</v>
          </cell>
        </row>
      </sheetData>
      <sheetData sheetId="410">
        <row r="3">
          <cell r="N3">
            <v>2</v>
          </cell>
        </row>
        <row r="4">
          <cell r="B4" t="str">
            <v>Rear suspension</v>
          </cell>
        </row>
        <row r="5">
          <cell r="B5" t="str">
            <v>SU A0700</v>
          </cell>
        </row>
        <row r="11">
          <cell r="E11">
            <v>5.9234014172552163</v>
          </cell>
        </row>
        <row r="18">
          <cell r="N18">
            <v>330.04</v>
          </cell>
        </row>
        <row r="31">
          <cell r="I31">
            <v>4.24</v>
          </cell>
        </row>
        <row r="37">
          <cell r="J37">
            <v>0.40779083028016511</v>
          </cell>
        </row>
        <row r="41">
          <cell r="I41">
            <v>0.33333333333333331</v>
          </cell>
        </row>
      </sheetData>
      <sheetData sheetId="411">
        <row r="3">
          <cell r="N3">
            <v>1</v>
          </cell>
        </row>
        <row r="5">
          <cell r="B5" t="str">
            <v>Shock rear Bracket</v>
          </cell>
        </row>
        <row r="6">
          <cell r="B6" t="str">
            <v>SU 07001</v>
          </cell>
        </row>
        <row r="12">
          <cell r="N12">
            <v>0.38660141725521602</v>
          </cell>
        </row>
        <row r="22">
          <cell r="I22">
            <v>5.5368000000000004</v>
          </cell>
        </row>
      </sheetData>
      <sheetData sheetId="412"/>
      <sheetData sheetId="413">
        <row r="3">
          <cell r="B3" t="str">
            <v>Suspension &amp; Shocks</v>
          </cell>
          <cell r="N3">
            <v>2</v>
          </cell>
        </row>
        <row r="5">
          <cell r="B5" t="str">
            <v>SU A0800</v>
          </cell>
        </row>
        <row r="13">
          <cell r="E13">
            <v>10.248974801352603</v>
          </cell>
        </row>
        <row r="18">
          <cell r="N18">
            <v>0.2</v>
          </cell>
        </row>
        <row r="31">
          <cell r="I31">
            <v>3.5024999999999999</v>
          </cell>
        </row>
        <row r="37">
          <cell r="J37">
            <v>0.11522525445091675</v>
          </cell>
        </row>
        <row r="41">
          <cell r="I41">
            <v>1</v>
          </cell>
        </row>
      </sheetData>
      <sheetData sheetId="414">
        <row r="3">
          <cell r="N3">
            <v>2</v>
          </cell>
        </row>
        <row r="6">
          <cell r="B6" t="str">
            <v>SU 08001</v>
          </cell>
        </row>
        <row r="12">
          <cell r="N12">
            <v>4.6098650676301943E-2</v>
          </cell>
        </row>
        <row r="17">
          <cell r="I17">
            <v>1.325</v>
          </cell>
        </row>
      </sheetData>
      <sheetData sheetId="415">
        <row r="3">
          <cell r="N3">
            <v>2</v>
          </cell>
        </row>
        <row r="6">
          <cell r="B6" t="str">
            <v>SU 08002</v>
          </cell>
        </row>
        <row r="12">
          <cell r="N12">
            <v>0.34441874999999994</v>
          </cell>
        </row>
        <row r="17">
          <cell r="I17">
            <v>1.72</v>
          </cell>
        </row>
      </sheetData>
      <sheetData sheetId="416"/>
      <sheetData sheetId="417">
        <row r="3">
          <cell r="N3">
            <v>1</v>
          </cell>
        </row>
        <row r="6">
          <cell r="B6" t="str">
            <v>SU 08003</v>
          </cell>
        </row>
        <row r="12">
          <cell r="N12">
            <v>0.81953999999999994</v>
          </cell>
        </row>
        <row r="19">
          <cell r="I19">
            <v>2.5583999999999998</v>
          </cell>
        </row>
      </sheetData>
      <sheetData sheetId="418">
        <row r="3">
          <cell r="N3">
            <v>2</v>
          </cell>
        </row>
        <row r="4">
          <cell r="B4" t="str">
            <v xml:space="preserve">Rear Tie rod  </v>
          </cell>
        </row>
        <row r="5">
          <cell r="B5" t="str">
            <v>SU A0900</v>
          </cell>
        </row>
        <row r="19">
          <cell r="N19">
            <v>5</v>
          </cell>
        </row>
        <row r="38">
          <cell r="I38">
            <v>8.0960000000000001</v>
          </cell>
        </row>
        <row r="46">
          <cell r="J46">
            <v>0.55987632513922869</v>
          </cell>
        </row>
      </sheetData>
      <sheetData sheetId="419">
        <row r="3">
          <cell r="N3">
            <v>1</v>
          </cell>
        </row>
        <row r="5">
          <cell r="B5" t="str">
            <v>Tie rod tube</v>
          </cell>
        </row>
        <row r="6">
          <cell r="B6" t="str">
            <v>SU 09001</v>
          </cell>
        </row>
        <row r="12">
          <cell r="N12">
            <v>8.0610754216991207</v>
          </cell>
        </row>
        <row r="16">
          <cell r="I16">
            <v>1.0076344277123901</v>
          </cell>
        </row>
      </sheetData>
      <sheetData sheetId="420">
        <row r="3">
          <cell r="N3">
            <v>2</v>
          </cell>
        </row>
        <row r="5">
          <cell r="B5" t="str">
            <v>Tie rod insert</v>
          </cell>
        </row>
        <row r="6">
          <cell r="B6" t="str">
            <v>SU 09002</v>
          </cell>
        </row>
        <row r="12">
          <cell r="N12">
            <v>0.29364450825140537</v>
          </cell>
        </row>
        <row r="19">
          <cell r="I19">
            <v>1.2897500000000002</v>
          </cell>
        </row>
      </sheetData>
      <sheetData sheetId="421"/>
      <sheetData sheetId="422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 09003</v>
          </cell>
        </row>
        <row r="12">
          <cell r="N12">
            <v>5.6820101369886439E-2</v>
          </cell>
        </row>
        <row r="17">
          <cell r="I17">
            <v>0.18223529411764708</v>
          </cell>
        </row>
      </sheetData>
      <sheetData sheetId="423"/>
      <sheetData sheetId="424">
        <row r="3">
          <cell r="N3">
            <v>2</v>
          </cell>
        </row>
        <row r="5">
          <cell r="B5" t="str">
            <v>Spacer 2</v>
          </cell>
        </row>
        <row r="6">
          <cell r="B6" t="str">
            <v>SU 09004</v>
          </cell>
        </row>
        <row r="12">
          <cell r="N12">
            <v>0.11364020273977288</v>
          </cell>
        </row>
        <row r="17">
          <cell r="I17">
            <v>0.95000000000000007</v>
          </cell>
        </row>
      </sheetData>
      <sheetData sheetId="425"/>
      <sheetData sheetId="426">
        <row r="3">
          <cell r="L3">
            <v>2</v>
          </cell>
        </row>
        <row r="4">
          <cell r="B4" t="str">
            <v>Front Uprights</v>
          </cell>
        </row>
        <row r="5">
          <cell r="B5" t="str">
            <v>SU A1000</v>
          </cell>
        </row>
        <row r="15">
          <cell r="E15">
            <v>134.60843280999998</v>
          </cell>
        </row>
        <row r="30">
          <cell r="I30">
            <v>15.46</v>
          </cell>
        </row>
        <row r="39">
          <cell r="J39">
            <v>1.0218871428582772</v>
          </cell>
        </row>
      </sheetData>
      <sheetData sheetId="427">
        <row r="3">
          <cell r="N3">
            <v>1</v>
          </cell>
        </row>
        <row r="5">
          <cell r="B5" t="str">
            <v>Front Upright</v>
          </cell>
        </row>
        <row r="6">
          <cell r="B6" t="str">
            <v>SU 10001</v>
          </cell>
        </row>
        <row r="12">
          <cell r="N12">
            <v>28.703808000000002</v>
          </cell>
        </row>
        <row r="29">
          <cell r="I29">
            <v>77.482000000000014</v>
          </cell>
        </row>
      </sheetData>
      <sheetData sheetId="428"/>
      <sheetData sheetId="429">
        <row r="3">
          <cell r="N3">
            <v>1</v>
          </cell>
        </row>
        <row r="5">
          <cell r="B5" t="str">
            <v>Upper Arm Wedge</v>
          </cell>
        </row>
        <row r="6">
          <cell r="B6" t="str">
            <v>SU 10002</v>
          </cell>
        </row>
        <row r="12">
          <cell r="N12">
            <v>0.21527856000000004</v>
          </cell>
        </row>
        <row r="19">
          <cell r="I19">
            <v>2.29</v>
          </cell>
        </row>
      </sheetData>
      <sheetData sheetId="430"/>
      <sheetData sheetId="431">
        <row r="3">
          <cell r="N3">
            <v>1</v>
          </cell>
        </row>
        <row r="5">
          <cell r="B5" t="str">
            <v>Upper Arm Bracket</v>
          </cell>
        </row>
        <row r="6">
          <cell r="B6" t="str">
            <v>SU 10003</v>
          </cell>
        </row>
        <row r="12">
          <cell r="N12">
            <v>2.7818437500000002</v>
          </cell>
        </row>
        <row r="23">
          <cell r="I23">
            <v>15.896000000000001</v>
          </cell>
        </row>
      </sheetData>
      <sheetData sheetId="432"/>
      <sheetData sheetId="433">
        <row r="3">
          <cell r="N3">
            <v>1</v>
          </cell>
        </row>
        <row r="5">
          <cell r="B5" t="str">
            <v>Speed Sensor Bracket</v>
          </cell>
        </row>
        <row r="6">
          <cell r="B6" t="str">
            <v>SU 10004</v>
          </cell>
        </row>
        <row r="12">
          <cell r="N12">
            <v>2.4727499999999999E-2</v>
          </cell>
        </row>
        <row r="18">
          <cell r="I18">
            <v>0.81100000000000005</v>
          </cell>
        </row>
      </sheetData>
      <sheetData sheetId="434"/>
      <sheetData sheetId="435">
        <row r="3">
          <cell r="N3">
            <v>15</v>
          </cell>
        </row>
        <row r="5">
          <cell r="B5" t="str">
            <v>Camber adjustment shim</v>
          </cell>
        </row>
        <row r="6">
          <cell r="B6" t="str">
            <v>SU 10005</v>
          </cell>
        </row>
        <row r="12">
          <cell r="N12">
            <v>6.3585000000000003E-2</v>
          </cell>
        </row>
        <row r="17">
          <cell r="I17">
            <v>0.36333333333333334</v>
          </cell>
        </row>
      </sheetData>
      <sheetData sheetId="436"/>
      <sheetData sheetId="437">
        <row r="3">
          <cell r="N3">
            <v>2</v>
          </cell>
        </row>
        <row r="4">
          <cell r="B4" t="str">
            <v>Rear Uprights</v>
          </cell>
        </row>
        <row r="5">
          <cell r="B5" t="str">
            <v>SU A1100</v>
          </cell>
        </row>
        <row r="30">
          <cell r="I30">
            <v>16.329999999999998</v>
          </cell>
        </row>
        <row r="42">
          <cell r="J42">
            <v>1.0804543356455256</v>
          </cell>
        </row>
      </sheetData>
      <sheetData sheetId="438">
        <row r="3">
          <cell r="N3">
            <v>1</v>
          </cell>
        </row>
        <row r="5">
          <cell r="B5" t="str">
            <v>Rear Upright</v>
          </cell>
        </row>
        <row r="6">
          <cell r="B6" t="str">
            <v>SU 11001</v>
          </cell>
        </row>
        <row r="12">
          <cell r="N12">
            <v>25.84197</v>
          </cell>
        </row>
        <row r="28">
          <cell r="I28">
            <v>80.678000000000011</v>
          </cell>
        </row>
      </sheetData>
      <sheetData sheetId="439"/>
      <sheetData sheetId="440">
        <row r="3">
          <cell r="N3">
            <v>1</v>
          </cell>
        </row>
        <row r="5">
          <cell r="B5" t="str">
            <v>Upper Arm Bracket</v>
          </cell>
        </row>
        <row r="6">
          <cell r="B6" t="str">
            <v>SU 11002</v>
          </cell>
        </row>
        <row r="12">
          <cell r="N12">
            <v>3.3064199999999997</v>
          </cell>
        </row>
        <row r="23">
          <cell r="I23">
            <v>17.888000000000002</v>
          </cell>
        </row>
      </sheetData>
      <sheetData sheetId="441"/>
      <sheetData sheetId="442">
        <row r="3">
          <cell r="N3">
            <v>1</v>
          </cell>
        </row>
        <row r="5">
          <cell r="B5" t="str">
            <v>Speed Sensor Bracket</v>
          </cell>
        </row>
        <row r="6">
          <cell r="B6" t="str">
            <v>SU 11003</v>
          </cell>
        </row>
        <row r="12">
          <cell r="N12">
            <v>2.17602E-2</v>
          </cell>
        </row>
        <row r="18">
          <cell r="I18">
            <v>0.80400000000000005</v>
          </cell>
        </row>
      </sheetData>
      <sheetData sheetId="443"/>
      <sheetData sheetId="444">
        <row r="3">
          <cell r="N3">
            <v>15</v>
          </cell>
        </row>
        <row r="5">
          <cell r="B5" t="str">
            <v>Camber adjustment shim</v>
          </cell>
        </row>
        <row r="6">
          <cell r="B6" t="str">
            <v>SU 11004</v>
          </cell>
        </row>
        <row r="12">
          <cell r="N12">
            <v>7.1215199999999992E-2</v>
          </cell>
        </row>
        <row r="17">
          <cell r="I17">
            <v>0.35333333333333333</v>
          </cell>
        </row>
      </sheetData>
      <sheetData sheetId="445"/>
      <sheetData sheetId="446">
        <row r="3">
          <cell r="N3">
            <v>2</v>
          </cell>
        </row>
        <row r="4">
          <cell r="B4" t="str">
            <v>Front Pullrod</v>
          </cell>
        </row>
        <row r="5">
          <cell r="B5" t="str">
            <v>SU A1200</v>
          </cell>
        </row>
        <row r="14">
          <cell r="E14">
            <v>13.628523992626681</v>
          </cell>
        </row>
        <row r="19">
          <cell r="N19">
            <v>5</v>
          </cell>
        </row>
        <row r="38">
          <cell r="I38">
            <v>4.3660000000000005</v>
          </cell>
        </row>
        <row r="46">
          <cell r="J46">
            <v>0.48541798101504374</v>
          </cell>
        </row>
      </sheetData>
      <sheetData sheetId="447">
        <row r="3">
          <cell r="N3">
            <v>1</v>
          </cell>
        </row>
        <row r="5">
          <cell r="B5" t="str">
            <v>Pullrod tube</v>
          </cell>
        </row>
        <row r="6">
          <cell r="B6" t="str">
            <v>SU 12001</v>
          </cell>
        </row>
        <row r="12">
          <cell r="N12">
            <v>8.0610754216991207</v>
          </cell>
        </row>
        <row r="16">
          <cell r="I16">
            <v>1.0076344277123901</v>
          </cell>
        </row>
      </sheetData>
      <sheetData sheetId="448">
        <row r="3">
          <cell r="N3">
            <v>2</v>
          </cell>
        </row>
        <row r="5">
          <cell r="B5" t="str">
            <v>Pullrod insert</v>
          </cell>
        </row>
        <row r="6">
          <cell r="B6" t="str">
            <v>SU 12002</v>
          </cell>
        </row>
        <row r="12">
          <cell r="N12">
            <v>0.29364450825140531</v>
          </cell>
        </row>
        <row r="19">
          <cell r="I19">
            <v>1.2897500000000002</v>
          </cell>
        </row>
      </sheetData>
      <sheetData sheetId="449"/>
      <sheetData sheetId="450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 12003</v>
          </cell>
        </row>
        <row r="12">
          <cell r="N12">
            <v>1.7756281678089514E-2</v>
          </cell>
        </row>
        <row r="17">
          <cell r="I17">
            <v>0.33050000000000002</v>
          </cell>
        </row>
      </sheetData>
      <sheetData sheetId="451"/>
      <sheetData sheetId="452">
        <row r="3">
          <cell r="N3">
            <v>2</v>
          </cell>
        </row>
        <row r="5">
          <cell r="B5" t="str">
            <v>Spacer 2</v>
          </cell>
        </row>
        <row r="6">
          <cell r="B6" t="str">
            <v>SU 12004</v>
          </cell>
        </row>
        <row r="12">
          <cell r="N12">
            <v>2.1307538013707415E-2</v>
          </cell>
        </row>
        <row r="17">
          <cell r="I17">
            <v>0.34250000000000003</v>
          </cell>
        </row>
      </sheetData>
      <sheetData sheetId="453"/>
      <sheetData sheetId="454">
        <row r="3">
          <cell r="N3">
            <v>2</v>
          </cell>
        </row>
        <row r="4">
          <cell r="B4" t="str">
            <v>Rear Pushrod</v>
          </cell>
        </row>
        <row r="5">
          <cell r="B5" t="str">
            <v>SU A1300</v>
          </cell>
        </row>
        <row r="12">
          <cell r="E12">
            <v>2.9066201462109191</v>
          </cell>
        </row>
        <row r="17">
          <cell r="N17">
            <v>5</v>
          </cell>
        </row>
        <row r="33">
          <cell r="I33">
            <v>3.9700000000000006</v>
          </cell>
        </row>
        <row r="41">
          <cell r="J41">
            <v>0.48541798101504374</v>
          </cell>
        </row>
      </sheetData>
      <sheetData sheetId="455">
        <row r="3">
          <cell r="N3">
            <v>1</v>
          </cell>
        </row>
        <row r="5">
          <cell r="B5" t="str">
            <v>Steel cylinder for pushrod</v>
          </cell>
        </row>
        <row r="6">
          <cell r="B6" t="str">
            <v>SU 13001</v>
          </cell>
        </row>
        <row r="12">
          <cell r="N12">
            <v>0.10138999415608932</v>
          </cell>
        </row>
        <row r="20">
          <cell r="I20">
            <v>1.35</v>
          </cell>
        </row>
      </sheetData>
      <sheetData sheetId="456"/>
      <sheetData sheetId="457">
        <row r="3">
          <cell r="N3">
            <v>4</v>
          </cell>
        </row>
        <row r="5">
          <cell r="B5" t="str">
            <v>Spacer</v>
          </cell>
        </row>
        <row r="6">
          <cell r="B6" t="str">
            <v>SU 13002</v>
          </cell>
        </row>
        <row r="12">
          <cell r="N12">
            <v>2.1307538013707415E-2</v>
          </cell>
        </row>
        <row r="17">
          <cell r="I17">
            <v>0.34250000000000003</v>
          </cell>
        </row>
      </sheetData>
      <sheetData sheetId="458"/>
      <sheetData sheetId="459"/>
      <sheetData sheetId="460">
        <row r="3">
          <cell r="N3">
            <v>4</v>
          </cell>
        </row>
        <row r="4">
          <cell r="B4" t="str">
            <v>Wheel Assembly</v>
          </cell>
        </row>
        <row r="5">
          <cell r="B5" t="str">
            <v>WT A0100</v>
          </cell>
        </row>
        <row r="15">
          <cell r="N15">
            <v>170</v>
          </cell>
        </row>
        <row r="20">
          <cell r="I20">
            <v>3.63</v>
          </cell>
        </row>
        <row r="24">
          <cell r="J24">
            <v>1.6</v>
          </cell>
        </row>
      </sheetData>
      <sheetData sheetId="461">
        <row r="3">
          <cell r="N3">
            <v>2</v>
          </cell>
        </row>
        <row r="4">
          <cell r="B4" t="str">
            <v>Front Hubs</v>
          </cell>
        </row>
        <row r="15">
          <cell r="E15">
            <v>92.376897761400002</v>
          </cell>
        </row>
        <row r="21">
          <cell r="N21">
            <v>243.47088403557726</v>
          </cell>
        </row>
        <row r="33">
          <cell r="I33">
            <v>1.6314000000000002</v>
          </cell>
        </row>
        <row r="37">
          <cell r="J37">
            <v>4.2620857182511926</v>
          </cell>
        </row>
      </sheetData>
      <sheetData sheetId="462">
        <row r="3">
          <cell r="N3">
            <v>1</v>
          </cell>
        </row>
        <row r="5">
          <cell r="B5" t="str">
            <v>Front Hub</v>
          </cell>
        </row>
        <row r="6">
          <cell r="B6" t="str">
            <v>WT 02001</v>
          </cell>
        </row>
        <row r="12">
          <cell r="N12">
            <v>13.751077485600002</v>
          </cell>
        </row>
        <row r="25">
          <cell r="I25">
            <v>50.407440000000001</v>
          </cell>
        </row>
      </sheetData>
      <sheetData sheetId="463"/>
      <sheetData sheetId="464">
        <row r="3">
          <cell r="N3">
            <v>1</v>
          </cell>
        </row>
        <row r="5">
          <cell r="B5" t="str">
            <v>Wheel bearing spacer</v>
          </cell>
        </row>
        <row r="12">
          <cell r="N12">
            <v>0.24343135739999999</v>
          </cell>
        </row>
        <row r="19">
          <cell r="I19">
            <v>2.3780000000000001</v>
          </cell>
        </row>
      </sheetData>
      <sheetData sheetId="465"/>
      <sheetData sheetId="466">
        <row r="3">
          <cell r="N3">
            <v>1</v>
          </cell>
        </row>
        <row r="5">
          <cell r="B5" t="str">
            <v>Front Wheel Spacer</v>
          </cell>
        </row>
        <row r="12">
          <cell r="N12">
            <v>3.626657798400001</v>
          </cell>
        </row>
        <row r="21">
          <cell r="I21">
            <v>17.05</v>
          </cell>
        </row>
      </sheetData>
      <sheetData sheetId="467"/>
      <sheetData sheetId="468">
        <row r="3">
          <cell r="N3">
            <v>1</v>
          </cell>
        </row>
        <row r="5">
          <cell r="B5" t="str">
            <v>Speed sensor spacer</v>
          </cell>
        </row>
        <row r="12">
          <cell r="N12">
            <v>4.6131120000000005E-2</v>
          </cell>
        </row>
        <row r="17">
          <cell r="I17">
            <v>0.90400000000000003</v>
          </cell>
        </row>
      </sheetData>
      <sheetData sheetId="469"/>
      <sheetData sheetId="470">
        <row r="3">
          <cell r="N3">
            <v>1</v>
          </cell>
        </row>
        <row r="5">
          <cell r="B5" t="str">
            <v>Speed Sensor Disc</v>
          </cell>
        </row>
        <row r="12">
          <cell r="N12">
            <v>0.45216000000000006</v>
          </cell>
        </row>
        <row r="17">
          <cell r="I17">
            <v>3.5180000000000002</v>
          </cell>
        </row>
      </sheetData>
      <sheetData sheetId="471"/>
      <sheetData sheetId="472">
        <row r="3">
          <cell r="N3">
            <v>2</v>
          </cell>
        </row>
        <row r="4">
          <cell r="B4" t="str">
            <v>Rear Hubs</v>
          </cell>
        </row>
        <row r="20">
          <cell r="N20">
            <v>199.53225303193469</v>
          </cell>
        </row>
        <row r="30">
          <cell r="I30">
            <v>1.4414000000000002</v>
          </cell>
        </row>
        <row r="34">
          <cell r="J34">
            <v>4.2620857182511926</v>
          </cell>
        </row>
      </sheetData>
      <sheetData sheetId="473">
        <row r="3">
          <cell r="N3">
            <v>1</v>
          </cell>
        </row>
        <row r="5">
          <cell r="B5" t="str">
            <v>Rear Hub</v>
          </cell>
        </row>
        <row r="6">
          <cell r="B6" t="str">
            <v>WT 03001</v>
          </cell>
        </row>
        <row r="12">
          <cell r="N12">
            <v>12.058637179680003</v>
          </cell>
        </row>
        <row r="24">
          <cell r="I24">
            <v>40.671999999999997</v>
          </cell>
        </row>
      </sheetData>
      <sheetData sheetId="474"/>
      <sheetData sheetId="475">
        <row r="3">
          <cell r="N3">
            <v>1</v>
          </cell>
        </row>
        <row r="5">
          <cell r="B5" t="str">
            <v>Wheel bearing spacer</v>
          </cell>
        </row>
        <row r="6">
          <cell r="B6" t="str">
            <v>WT 03002</v>
          </cell>
        </row>
        <row r="12">
          <cell r="N12">
            <v>0.66708686318400001</v>
          </cell>
        </row>
        <row r="19">
          <cell r="I19">
            <v>3.3020000000000005</v>
          </cell>
        </row>
      </sheetData>
      <sheetData sheetId="476"/>
      <sheetData sheetId="477">
        <row r="3">
          <cell r="N3">
            <v>1</v>
          </cell>
        </row>
        <row r="5">
          <cell r="B5" t="str">
            <v>Rear Wheel Spacer</v>
          </cell>
        </row>
        <row r="6">
          <cell r="B6" t="str">
            <v>WT 03003</v>
          </cell>
        </row>
        <row r="12">
          <cell r="N12">
            <v>3.626657798400001</v>
          </cell>
        </row>
        <row r="21">
          <cell r="I21">
            <v>18.690000000000001</v>
          </cell>
        </row>
      </sheetData>
      <sheetData sheetId="478"/>
      <sheetData sheetId="479">
        <row r="3">
          <cell r="N3">
            <v>1</v>
          </cell>
        </row>
        <row r="5">
          <cell r="B5" t="str">
            <v>Tripod housing spacer</v>
          </cell>
        </row>
        <row r="6">
          <cell r="B6" t="str">
            <v>WT 03004</v>
          </cell>
        </row>
        <row r="12">
          <cell r="N12">
            <v>0.66173986771200011</v>
          </cell>
        </row>
        <row r="19">
          <cell r="I19">
            <v>3.2420000000000004</v>
          </cell>
        </row>
      </sheetData>
      <sheetData sheetId="480"/>
      <sheetData sheetId="481">
        <row r="3">
          <cell r="N3">
            <v>1</v>
          </cell>
        </row>
        <row r="5">
          <cell r="B5" t="str">
            <v>Speed Sensor Disc</v>
          </cell>
        </row>
        <row r="6">
          <cell r="B6" t="str">
            <v>WT 03005</v>
          </cell>
        </row>
        <row r="12">
          <cell r="N12">
            <v>0.34618500000000008</v>
          </cell>
        </row>
        <row r="17">
          <cell r="I17">
            <v>2.88</v>
          </cell>
        </row>
      </sheetData>
      <sheetData sheetId="4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ummary"/>
      <sheetName val="BOM"/>
    </sheetNames>
    <sheetDataSet>
      <sheetData sheetId="0">
        <row r="6">
          <cell r="B6" t="str">
            <v>Area Totals</v>
          </cell>
        </row>
      </sheetData>
      <sheetData sheetId="1">
        <row r="1">
          <cell r="B1" t="str">
            <v>Ecole Centrale de Lyon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MS_A0100"/>
      <sheetName val="MS_0100_001"/>
      <sheetName val="dMS_0100_001"/>
      <sheetName val="MS_0100_002"/>
      <sheetName val="dMS_0100_002"/>
      <sheetName val="MS_0100_003"/>
      <sheetName val="dMS_0100_003"/>
      <sheetName val="MS_0100_004"/>
      <sheetName val="dMS_0100_004"/>
      <sheetName val="MS_0100_005"/>
      <sheetName val="dMS_0100_005"/>
      <sheetName val="MS_0100_006"/>
      <sheetName val="dMS_0100_006"/>
      <sheetName val="MS_0100_007"/>
      <sheetName val="dMS_0100_007"/>
      <sheetName val="MS_0100_008"/>
      <sheetName val="dMS_0100_008"/>
    </sheetNames>
    <sheetDataSet>
      <sheetData sheetId="0" refreshError="1"/>
      <sheetData sheetId="1" refreshError="1"/>
      <sheetData sheetId="2" refreshError="1"/>
      <sheetData sheetId="3" refreshError="1">
        <row r="3">
          <cell r="N3">
            <v>1</v>
          </cell>
        </row>
        <row r="5">
          <cell r="B5" t="str">
            <v>Firewall Up</v>
          </cell>
        </row>
      </sheetData>
      <sheetData sheetId="4" refreshError="1"/>
      <sheetData sheetId="5" refreshError="1">
        <row r="3">
          <cell r="N3">
            <v>1</v>
          </cell>
        </row>
        <row r="5">
          <cell r="B5" t="str">
            <v>Firewall Middle</v>
          </cell>
        </row>
      </sheetData>
      <sheetData sheetId="6" refreshError="1"/>
      <sheetData sheetId="7" refreshError="1">
        <row r="3">
          <cell r="N3">
            <v>1</v>
          </cell>
        </row>
        <row r="5">
          <cell r="B5" t="str">
            <v>Firewall Bottom</v>
          </cell>
        </row>
      </sheetData>
      <sheetData sheetId="8" refreshError="1"/>
      <sheetData sheetId="9" refreshError="1">
        <row r="3">
          <cell r="N3">
            <v>2</v>
          </cell>
        </row>
        <row r="5">
          <cell r="B5" t="str">
            <v>Firewall Upper Side</v>
          </cell>
        </row>
      </sheetData>
      <sheetData sheetId="10" refreshError="1"/>
      <sheetData sheetId="11" refreshError="1">
        <row r="3">
          <cell r="N3">
            <v>2</v>
          </cell>
        </row>
        <row r="5">
          <cell r="B5" t="str">
            <v>Firewall Middle Side</v>
          </cell>
        </row>
      </sheetData>
      <sheetData sheetId="12" refreshError="1"/>
      <sheetData sheetId="13" refreshError="1">
        <row r="3">
          <cell r="N3">
            <v>2</v>
          </cell>
        </row>
        <row r="5">
          <cell r="B5" t="str">
            <v>Firewall Lower Side</v>
          </cell>
        </row>
      </sheetData>
      <sheetData sheetId="14" refreshError="1"/>
      <sheetData sheetId="15" refreshError="1">
        <row r="3">
          <cell r="N3">
            <v>4</v>
          </cell>
        </row>
        <row r="5">
          <cell r="B5" t="str">
            <v>Firewall Up Bracket</v>
          </cell>
        </row>
      </sheetData>
      <sheetData sheetId="16" refreshError="1"/>
      <sheetData sheetId="17" refreshError="1">
        <row r="3">
          <cell r="N3">
            <v>24</v>
          </cell>
        </row>
        <row r="5">
          <cell r="B5" t="str">
            <v>Firewall Middle, Bottom and Sides Bracket</v>
          </cell>
        </row>
      </sheetData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ST Assembly"/>
      <sheetName val="ST Part 1"/>
      <sheetName val="ST Drawing Part 1"/>
    </sheetNames>
    <sheetDataSet>
      <sheetData sheetId="0"/>
      <sheetData sheetId="1"/>
      <sheetData sheetId="2">
        <row r="3">
          <cell r="B3" t="str">
            <v>Steering System</v>
          </cell>
        </row>
        <row r="48">
          <cell r="I48">
            <v>5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SU A1300"/>
      <sheetName val="SU 13001"/>
      <sheetName val="dSU 13001"/>
      <sheetName val="SU 13002"/>
      <sheetName val="dSU 13002"/>
    </sheetNames>
    <sheetDataSet>
      <sheetData sheetId="0"/>
      <sheetData sheetId="1">
        <row r="3">
          <cell r="B3" t="str">
            <v>Suspension &amp; Shocks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_A0200"/>
      <sheetName val="SU_02001"/>
      <sheetName val="SU_02002"/>
      <sheetName val="SU_02003"/>
      <sheetName val="SU_02004"/>
      <sheetName val="SU_02005"/>
      <sheetName val="SU_02006"/>
      <sheetName val="SU Drawing Part 1"/>
      <sheetName val="SU Drawing Part 2"/>
      <sheetName val="SU Drawing Part 5"/>
      <sheetName val="SU Drawing Part 6"/>
    </sheetNames>
    <sheetDataSet>
      <sheetData sheetId="0" refreshError="1">
        <row r="3">
          <cell r="B3" t="str">
            <v>Suspension &amp; Shocks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/>
      <sheetData sheetId="1"/>
      <sheetData sheetId="2">
        <row r="3">
          <cell r="B3" t="str">
            <v>Engine and Drivetrain</v>
          </cell>
        </row>
        <row r="5">
          <cell r="B5" t="str">
            <v>EN A0001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"/>
  <sheetViews>
    <sheetView tabSelected="1" zoomScale="67" zoomScaleNormal="50" zoomScalePageLayoutView="50" workbookViewId="0">
      <selection activeCell="E49" sqref="E49"/>
    </sheetView>
  </sheetViews>
  <sheetFormatPr baseColWidth="10" defaultColWidth="12" defaultRowHeight="14.4" x14ac:dyDescent="0.3"/>
  <cols>
    <col min="1" max="16384" width="12" style="1"/>
  </cols>
  <sheetData/>
  <printOptions horizontalCentered="1" verticalCentered="1"/>
  <pageMargins left="0" right="0" top="0" bottom="0" header="0" footer="0"/>
  <pageSetup paperSize="9" scale="97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1"/>
  <sheetViews>
    <sheetView topLeftCell="A7" zoomScale="135" workbookViewId="0">
      <selection activeCell="E49" sqref="E49"/>
    </sheetView>
  </sheetViews>
  <sheetFormatPr baseColWidth="10" defaultColWidth="12" defaultRowHeight="14.4" x14ac:dyDescent="0.3"/>
  <cols>
    <col min="1" max="2" width="12" style="1"/>
    <col min="3" max="3" width="31.109375" style="1" bestFit="1" customWidth="1"/>
    <col min="4" max="4" width="12" style="1"/>
    <col min="5" max="5" width="18.109375" style="1" customWidth="1"/>
    <col min="6" max="6" width="20.5546875" style="1" customWidth="1"/>
    <col min="7" max="16384" width="12" style="1"/>
  </cols>
  <sheetData>
    <row r="1" spans="1:16384" ht="24" thickBot="1" x14ac:dyDescent="0.5">
      <c r="C1" s="2"/>
    </row>
    <row r="2" spans="1:16384" x14ac:dyDescent="0.3">
      <c r="B2" s="3"/>
      <c r="C2" s="4"/>
      <c r="D2" s="4"/>
      <c r="E2" s="4"/>
      <c r="F2" s="4"/>
      <c r="G2" s="4"/>
      <c r="H2" s="5"/>
    </row>
    <row r="3" spans="1:16384" ht="28.2" customHeight="1" x14ac:dyDescent="0.3">
      <c r="B3" s="6"/>
      <c r="C3" s="7" t="s">
        <v>0</v>
      </c>
      <c r="D3" s="7"/>
      <c r="E3" s="7"/>
      <c r="F3" s="7"/>
      <c r="G3" s="7"/>
      <c r="H3" s="8"/>
      <c r="I3" s="9"/>
    </row>
    <row r="4" spans="1:16384" ht="20.399999999999999" x14ac:dyDescent="0.3">
      <c r="B4" s="6"/>
      <c r="C4" s="10"/>
      <c r="D4" s="10"/>
      <c r="E4" s="10"/>
      <c r="F4" s="10"/>
      <c r="G4" s="10"/>
      <c r="H4" s="11"/>
      <c r="I4" s="12"/>
    </row>
    <row r="5" spans="1:16384" ht="28.5" customHeight="1" x14ac:dyDescent="0.3">
      <c r="B5" s="6"/>
      <c r="C5" s="13" t="s">
        <v>1</v>
      </c>
      <c r="D5" s="14" t="s">
        <v>2</v>
      </c>
      <c r="E5" s="14"/>
      <c r="F5" s="10"/>
      <c r="G5" s="10"/>
      <c r="H5" s="11"/>
      <c r="I5" s="12"/>
    </row>
    <row r="6" spans="1:16384" ht="20.399999999999999" x14ac:dyDescent="0.3">
      <c r="B6" s="6"/>
      <c r="C6" s="15"/>
      <c r="D6" s="14" t="s">
        <v>3</v>
      </c>
      <c r="E6" s="14"/>
      <c r="F6" s="10"/>
      <c r="G6" s="10"/>
      <c r="H6" s="11"/>
      <c r="I6" s="12"/>
    </row>
    <row r="7" spans="1:16384" ht="20.399999999999999" x14ac:dyDescent="0.3">
      <c r="B7" s="6"/>
      <c r="C7" s="10"/>
      <c r="D7" s="10"/>
      <c r="E7" s="10"/>
      <c r="F7" s="10"/>
      <c r="G7" s="10"/>
      <c r="H7" s="11"/>
      <c r="I7" s="12"/>
    </row>
    <row r="8" spans="1:16384" ht="37.950000000000003" customHeight="1" x14ac:dyDescent="0.3">
      <c r="A8" s="16"/>
      <c r="B8" s="17"/>
      <c r="C8" s="18" t="s">
        <v>4</v>
      </c>
      <c r="D8" s="19"/>
      <c r="E8" s="20"/>
      <c r="F8" s="21">
        <v>3</v>
      </c>
      <c r="G8" s="22"/>
      <c r="H8" s="23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  <c r="BEL8" s="16"/>
      <c r="BEM8" s="16"/>
      <c r="BEN8" s="16"/>
      <c r="BEO8" s="16"/>
      <c r="BEP8" s="16"/>
      <c r="BEQ8" s="16"/>
      <c r="BER8" s="16"/>
      <c r="BES8" s="16"/>
      <c r="BET8" s="16"/>
      <c r="BEU8" s="16"/>
      <c r="BEV8" s="16"/>
      <c r="BEW8" s="16"/>
      <c r="BEX8" s="16"/>
      <c r="BEY8" s="16"/>
      <c r="BEZ8" s="16"/>
      <c r="BFA8" s="16"/>
      <c r="BFB8" s="16"/>
      <c r="BFC8" s="16"/>
      <c r="BFD8" s="16"/>
      <c r="BFE8" s="16"/>
      <c r="BFF8" s="16"/>
      <c r="BFG8" s="16"/>
      <c r="BFH8" s="16"/>
      <c r="BFI8" s="16"/>
      <c r="BFJ8" s="16"/>
      <c r="BFK8" s="16"/>
      <c r="BFL8" s="16"/>
      <c r="BFM8" s="16"/>
      <c r="BFN8" s="16"/>
      <c r="BFO8" s="16"/>
      <c r="BFP8" s="16"/>
      <c r="BFQ8" s="16"/>
      <c r="BFR8" s="16"/>
      <c r="BFS8" s="16"/>
      <c r="BFT8" s="16"/>
      <c r="BFU8" s="16"/>
      <c r="BFV8" s="16"/>
      <c r="BFW8" s="16"/>
      <c r="BFX8" s="16"/>
      <c r="BFY8" s="16"/>
      <c r="BFZ8" s="16"/>
      <c r="BGA8" s="16"/>
      <c r="BGB8" s="16"/>
      <c r="BGC8" s="16"/>
      <c r="BGD8" s="16"/>
      <c r="BGE8" s="16"/>
      <c r="BGF8" s="16"/>
      <c r="BGG8" s="16"/>
      <c r="BGH8" s="16"/>
      <c r="BGI8" s="16"/>
      <c r="BGJ8" s="16"/>
      <c r="BGK8" s="16"/>
      <c r="BGL8" s="16"/>
      <c r="BGM8" s="16"/>
      <c r="BGN8" s="16"/>
      <c r="BGO8" s="16"/>
      <c r="BGP8" s="16"/>
      <c r="BGQ8" s="16"/>
      <c r="BGR8" s="16"/>
      <c r="BGS8" s="16"/>
      <c r="BGT8" s="16"/>
      <c r="BGU8" s="16"/>
      <c r="BGV8" s="16"/>
      <c r="BGW8" s="16"/>
      <c r="BGX8" s="16"/>
      <c r="BGY8" s="16"/>
      <c r="BGZ8" s="16"/>
      <c r="BHA8" s="16"/>
      <c r="BHB8" s="16"/>
      <c r="BHC8" s="16"/>
      <c r="BHD8" s="16"/>
      <c r="BHE8" s="16"/>
      <c r="BHF8" s="16"/>
      <c r="BHG8" s="16"/>
      <c r="BHH8" s="16"/>
      <c r="BHI8" s="16"/>
      <c r="BHJ8" s="16"/>
      <c r="BHK8" s="16"/>
      <c r="BHL8" s="16"/>
      <c r="BHM8" s="16"/>
      <c r="BHN8" s="16"/>
      <c r="BHO8" s="16"/>
      <c r="BHP8" s="16"/>
      <c r="BHQ8" s="16"/>
      <c r="BHR8" s="16"/>
      <c r="BHS8" s="16"/>
      <c r="BHT8" s="16"/>
      <c r="BHU8" s="16"/>
      <c r="BHV8" s="16"/>
      <c r="BHW8" s="16"/>
      <c r="BHX8" s="16"/>
      <c r="BHY8" s="16"/>
      <c r="BHZ8" s="16"/>
      <c r="BIA8" s="16"/>
      <c r="BIB8" s="16"/>
      <c r="BIC8" s="16"/>
      <c r="BID8" s="16"/>
      <c r="BIE8" s="16"/>
      <c r="BIF8" s="16"/>
      <c r="BIG8" s="16"/>
      <c r="BIH8" s="16"/>
      <c r="BII8" s="16"/>
      <c r="BIJ8" s="16"/>
      <c r="BIK8" s="16"/>
      <c r="BIL8" s="16"/>
      <c r="BIM8" s="16"/>
      <c r="BIN8" s="16"/>
      <c r="BIO8" s="16"/>
      <c r="BIP8" s="16"/>
      <c r="BIQ8" s="16"/>
      <c r="BIR8" s="16"/>
      <c r="BIS8" s="16"/>
      <c r="BIT8" s="16"/>
      <c r="BIU8" s="16"/>
      <c r="BIV8" s="16"/>
      <c r="BIW8" s="16"/>
      <c r="BIX8" s="16"/>
      <c r="BIY8" s="16"/>
      <c r="BIZ8" s="16"/>
      <c r="BJA8" s="16"/>
      <c r="BJB8" s="16"/>
      <c r="BJC8" s="16"/>
      <c r="BJD8" s="16"/>
      <c r="BJE8" s="16"/>
      <c r="BJF8" s="16"/>
      <c r="BJG8" s="16"/>
      <c r="BJH8" s="16"/>
      <c r="BJI8" s="16"/>
      <c r="BJJ8" s="16"/>
      <c r="BJK8" s="16"/>
      <c r="BJL8" s="16"/>
      <c r="BJM8" s="16"/>
      <c r="BJN8" s="16"/>
      <c r="BJO8" s="16"/>
      <c r="BJP8" s="16"/>
      <c r="BJQ8" s="16"/>
      <c r="BJR8" s="16"/>
      <c r="BJS8" s="16"/>
      <c r="BJT8" s="16"/>
      <c r="BJU8" s="16"/>
      <c r="BJV8" s="16"/>
      <c r="BJW8" s="16"/>
      <c r="BJX8" s="16"/>
      <c r="BJY8" s="16"/>
      <c r="BJZ8" s="16"/>
      <c r="BKA8" s="16"/>
      <c r="BKB8" s="16"/>
      <c r="BKC8" s="16"/>
      <c r="BKD8" s="16"/>
      <c r="BKE8" s="16"/>
      <c r="BKF8" s="16"/>
      <c r="BKG8" s="16"/>
      <c r="BKH8" s="16"/>
      <c r="BKI8" s="16"/>
      <c r="BKJ8" s="16"/>
      <c r="BKK8" s="16"/>
      <c r="BKL8" s="16"/>
      <c r="BKM8" s="16"/>
      <c r="BKN8" s="16"/>
      <c r="BKO8" s="16"/>
      <c r="BKP8" s="16"/>
      <c r="BKQ8" s="16"/>
      <c r="BKR8" s="16"/>
      <c r="BKS8" s="16"/>
      <c r="BKT8" s="16"/>
      <c r="BKU8" s="16"/>
      <c r="BKV8" s="16"/>
      <c r="BKW8" s="16"/>
      <c r="BKX8" s="16"/>
      <c r="BKY8" s="16"/>
      <c r="BKZ8" s="16"/>
      <c r="BLA8" s="16"/>
      <c r="BLB8" s="16"/>
      <c r="BLC8" s="16"/>
      <c r="BLD8" s="16"/>
      <c r="BLE8" s="16"/>
      <c r="BLF8" s="16"/>
      <c r="BLG8" s="16"/>
      <c r="BLH8" s="16"/>
      <c r="BLI8" s="16"/>
      <c r="BLJ8" s="16"/>
      <c r="BLK8" s="16"/>
      <c r="BLL8" s="16"/>
      <c r="BLM8" s="16"/>
      <c r="BLN8" s="16"/>
      <c r="BLO8" s="16"/>
      <c r="BLP8" s="16"/>
      <c r="BLQ8" s="16"/>
      <c r="BLR8" s="16"/>
      <c r="BLS8" s="16"/>
      <c r="BLT8" s="16"/>
      <c r="BLU8" s="16"/>
      <c r="BLV8" s="16"/>
      <c r="BLW8" s="16"/>
      <c r="BLX8" s="16"/>
      <c r="BLY8" s="16"/>
      <c r="BLZ8" s="16"/>
      <c r="BMA8" s="16"/>
      <c r="BMB8" s="16"/>
      <c r="BMC8" s="16"/>
      <c r="BMD8" s="16"/>
      <c r="BME8" s="16"/>
      <c r="BMF8" s="16"/>
      <c r="BMG8" s="16"/>
      <c r="BMH8" s="16"/>
      <c r="BMI8" s="16"/>
      <c r="BMJ8" s="16"/>
      <c r="BMK8" s="16"/>
      <c r="BML8" s="16"/>
      <c r="BMM8" s="16"/>
      <c r="BMN8" s="16"/>
      <c r="BMO8" s="16"/>
      <c r="BMP8" s="16"/>
      <c r="BMQ8" s="16"/>
      <c r="BMR8" s="16"/>
      <c r="BMS8" s="16"/>
      <c r="BMT8" s="16"/>
      <c r="BMU8" s="16"/>
      <c r="BMV8" s="16"/>
      <c r="BMW8" s="16"/>
      <c r="BMX8" s="16"/>
      <c r="BMY8" s="16"/>
      <c r="BMZ8" s="16"/>
      <c r="BNA8" s="16"/>
      <c r="BNB8" s="16"/>
      <c r="BNC8" s="16"/>
      <c r="BND8" s="16"/>
      <c r="BNE8" s="16"/>
      <c r="BNF8" s="16"/>
      <c r="BNG8" s="16"/>
      <c r="BNH8" s="16"/>
      <c r="BNI8" s="16"/>
      <c r="BNJ8" s="16"/>
      <c r="BNK8" s="16"/>
      <c r="BNL8" s="16"/>
      <c r="BNM8" s="16"/>
      <c r="BNN8" s="16"/>
      <c r="BNO8" s="16"/>
      <c r="BNP8" s="16"/>
      <c r="BNQ8" s="16"/>
      <c r="BNR8" s="16"/>
      <c r="BNS8" s="16"/>
      <c r="BNT8" s="16"/>
      <c r="BNU8" s="16"/>
      <c r="BNV8" s="16"/>
      <c r="BNW8" s="16"/>
      <c r="BNX8" s="16"/>
      <c r="BNY8" s="16"/>
      <c r="BNZ8" s="16"/>
      <c r="BOA8" s="16"/>
      <c r="BOB8" s="16"/>
      <c r="BOC8" s="16"/>
      <c r="BOD8" s="16"/>
      <c r="BOE8" s="16"/>
      <c r="BOF8" s="16"/>
      <c r="BOG8" s="16"/>
      <c r="BOH8" s="16"/>
      <c r="BOI8" s="16"/>
      <c r="BOJ8" s="16"/>
      <c r="BOK8" s="16"/>
      <c r="BOL8" s="16"/>
      <c r="BOM8" s="16"/>
      <c r="BON8" s="16"/>
      <c r="BOO8" s="16"/>
      <c r="BOP8" s="16"/>
      <c r="BOQ8" s="16"/>
      <c r="BOR8" s="16"/>
      <c r="BOS8" s="16"/>
      <c r="BOT8" s="16"/>
      <c r="BOU8" s="16"/>
      <c r="BOV8" s="16"/>
      <c r="BOW8" s="16"/>
      <c r="BOX8" s="16"/>
      <c r="BOY8" s="16"/>
      <c r="BOZ8" s="16"/>
      <c r="BPA8" s="16"/>
      <c r="BPB8" s="16"/>
      <c r="BPC8" s="16"/>
      <c r="BPD8" s="16"/>
      <c r="BPE8" s="16"/>
      <c r="BPF8" s="16"/>
      <c r="BPG8" s="16"/>
      <c r="BPH8" s="16"/>
      <c r="BPI8" s="16"/>
      <c r="BPJ8" s="16"/>
      <c r="BPK8" s="16"/>
      <c r="BPL8" s="16"/>
      <c r="BPM8" s="16"/>
      <c r="BPN8" s="16"/>
      <c r="BPO8" s="16"/>
      <c r="BPP8" s="16"/>
      <c r="BPQ8" s="16"/>
      <c r="BPR8" s="16"/>
      <c r="BPS8" s="16"/>
      <c r="BPT8" s="16"/>
      <c r="BPU8" s="16"/>
      <c r="BPV8" s="16"/>
      <c r="BPW8" s="16"/>
      <c r="BPX8" s="16"/>
      <c r="BPY8" s="16"/>
      <c r="BPZ8" s="16"/>
      <c r="BQA8" s="16"/>
      <c r="BQB8" s="16"/>
      <c r="BQC8" s="16"/>
      <c r="BQD8" s="16"/>
      <c r="BQE8" s="16"/>
      <c r="BQF8" s="16"/>
      <c r="BQG8" s="16"/>
      <c r="BQH8" s="16"/>
      <c r="BQI8" s="16"/>
      <c r="BQJ8" s="16"/>
      <c r="BQK8" s="16"/>
      <c r="BQL8" s="16"/>
      <c r="BQM8" s="16"/>
      <c r="BQN8" s="16"/>
      <c r="BQO8" s="16"/>
      <c r="BQP8" s="16"/>
      <c r="BQQ8" s="16"/>
      <c r="BQR8" s="16"/>
      <c r="BQS8" s="16"/>
      <c r="BQT8" s="16"/>
      <c r="BQU8" s="16"/>
      <c r="BQV8" s="16"/>
      <c r="BQW8" s="16"/>
      <c r="BQX8" s="16"/>
      <c r="BQY8" s="16"/>
      <c r="BQZ8" s="16"/>
      <c r="BRA8" s="16"/>
      <c r="BRB8" s="16"/>
      <c r="BRC8" s="16"/>
      <c r="BRD8" s="16"/>
      <c r="BRE8" s="16"/>
      <c r="BRF8" s="16"/>
      <c r="BRG8" s="16"/>
      <c r="BRH8" s="16"/>
      <c r="BRI8" s="16"/>
      <c r="BRJ8" s="16"/>
      <c r="BRK8" s="16"/>
      <c r="BRL8" s="16"/>
      <c r="BRM8" s="16"/>
      <c r="BRN8" s="16"/>
      <c r="BRO8" s="16"/>
      <c r="BRP8" s="16"/>
      <c r="BRQ8" s="16"/>
      <c r="BRR8" s="16"/>
      <c r="BRS8" s="16"/>
      <c r="BRT8" s="16"/>
      <c r="BRU8" s="16"/>
      <c r="BRV8" s="16"/>
      <c r="BRW8" s="16"/>
      <c r="BRX8" s="16"/>
      <c r="BRY8" s="16"/>
      <c r="BRZ8" s="16"/>
      <c r="BSA8" s="16"/>
      <c r="BSB8" s="16"/>
      <c r="BSC8" s="16"/>
      <c r="BSD8" s="16"/>
      <c r="BSE8" s="16"/>
      <c r="BSF8" s="16"/>
      <c r="BSG8" s="16"/>
      <c r="BSH8" s="16"/>
      <c r="BSI8" s="16"/>
      <c r="BSJ8" s="16"/>
      <c r="BSK8" s="16"/>
      <c r="BSL8" s="16"/>
      <c r="BSM8" s="16"/>
      <c r="BSN8" s="16"/>
      <c r="BSO8" s="16"/>
      <c r="BSP8" s="16"/>
      <c r="BSQ8" s="16"/>
      <c r="BSR8" s="16"/>
      <c r="BSS8" s="16"/>
      <c r="BST8" s="16"/>
      <c r="BSU8" s="16"/>
      <c r="BSV8" s="16"/>
      <c r="BSW8" s="16"/>
      <c r="BSX8" s="16"/>
      <c r="BSY8" s="16"/>
      <c r="BSZ8" s="16"/>
      <c r="BTA8" s="16"/>
      <c r="BTB8" s="16"/>
      <c r="BTC8" s="16"/>
      <c r="BTD8" s="16"/>
      <c r="BTE8" s="16"/>
      <c r="BTF8" s="16"/>
      <c r="BTG8" s="16"/>
      <c r="BTH8" s="16"/>
      <c r="BTI8" s="16"/>
      <c r="BTJ8" s="16"/>
      <c r="BTK8" s="16"/>
      <c r="BTL8" s="16"/>
      <c r="BTM8" s="16"/>
      <c r="BTN8" s="16"/>
      <c r="BTO8" s="16"/>
      <c r="BTP8" s="16"/>
      <c r="BTQ8" s="16"/>
      <c r="BTR8" s="16"/>
      <c r="BTS8" s="16"/>
      <c r="BTT8" s="16"/>
      <c r="BTU8" s="16"/>
      <c r="BTV8" s="16"/>
      <c r="BTW8" s="16"/>
      <c r="BTX8" s="16"/>
      <c r="BTY8" s="16"/>
      <c r="BTZ8" s="16"/>
      <c r="BUA8" s="16"/>
      <c r="BUB8" s="16"/>
      <c r="BUC8" s="16"/>
      <c r="BUD8" s="16"/>
      <c r="BUE8" s="16"/>
      <c r="BUF8" s="16"/>
      <c r="BUG8" s="16"/>
      <c r="BUH8" s="16"/>
      <c r="BUI8" s="16"/>
      <c r="BUJ8" s="16"/>
      <c r="BUK8" s="16"/>
      <c r="BUL8" s="16"/>
      <c r="BUM8" s="16"/>
      <c r="BUN8" s="16"/>
      <c r="BUO8" s="16"/>
      <c r="BUP8" s="16"/>
      <c r="BUQ8" s="16"/>
      <c r="BUR8" s="16"/>
      <c r="BUS8" s="16"/>
      <c r="BUT8" s="16"/>
      <c r="BUU8" s="16"/>
      <c r="BUV8" s="16"/>
      <c r="BUW8" s="16"/>
      <c r="BUX8" s="16"/>
      <c r="BUY8" s="16"/>
      <c r="BUZ8" s="16"/>
      <c r="BVA8" s="16"/>
      <c r="BVB8" s="16"/>
      <c r="BVC8" s="16"/>
      <c r="BVD8" s="16"/>
      <c r="BVE8" s="16"/>
      <c r="BVF8" s="16"/>
      <c r="BVG8" s="16"/>
      <c r="BVH8" s="16"/>
      <c r="BVI8" s="16"/>
      <c r="BVJ8" s="16"/>
      <c r="BVK8" s="16"/>
      <c r="BVL8" s="16"/>
      <c r="BVM8" s="16"/>
      <c r="BVN8" s="16"/>
      <c r="BVO8" s="16"/>
      <c r="BVP8" s="16"/>
      <c r="BVQ8" s="16"/>
      <c r="BVR8" s="16"/>
      <c r="BVS8" s="16"/>
      <c r="BVT8" s="16"/>
      <c r="BVU8" s="16"/>
      <c r="BVV8" s="16"/>
      <c r="BVW8" s="16"/>
      <c r="BVX8" s="16"/>
      <c r="BVY8" s="16"/>
      <c r="BVZ8" s="16"/>
      <c r="BWA8" s="16"/>
      <c r="BWB8" s="16"/>
      <c r="BWC8" s="16"/>
      <c r="BWD8" s="16"/>
      <c r="BWE8" s="16"/>
      <c r="BWF8" s="16"/>
      <c r="BWG8" s="16"/>
      <c r="BWH8" s="16"/>
      <c r="BWI8" s="16"/>
      <c r="BWJ8" s="16"/>
      <c r="BWK8" s="16"/>
      <c r="BWL8" s="16"/>
      <c r="BWM8" s="16"/>
      <c r="BWN8" s="16"/>
      <c r="BWO8" s="16"/>
      <c r="BWP8" s="16"/>
      <c r="BWQ8" s="16"/>
      <c r="BWR8" s="16"/>
      <c r="BWS8" s="16"/>
      <c r="BWT8" s="16"/>
      <c r="BWU8" s="16"/>
      <c r="BWV8" s="16"/>
      <c r="BWW8" s="16"/>
      <c r="BWX8" s="16"/>
      <c r="BWY8" s="16"/>
      <c r="BWZ8" s="16"/>
      <c r="BXA8" s="16"/>
      <c r="BXB8" s="16"/>
      <c r="BXC8" s="16"/>
      <c r="BXD8" s="16"/>
      <c r="BXE8" s="16"/>
      <c r="BXF8" s="16"/>
      <c r="BXG8" s="16"/>
      <c r="BXH8" s="16"/>
      <c r="BXI8" s="16"/>
      <c r="BXJ8" s="16"/>
      <c r="BXK8" s="16"/>
      <c r="BXL8" s="16"/>
      <c r="BXM8" s="16"/>
      <c r="BXN8" s="16"/>
      <c r="BXO8" s="16"/>
      <c r="BXP8" s="16"/>
      <c r="BXQ8" s="16"/>
      <c r="BXR8" s="16"/>
      <c r="BXS8" s="16"/>
      <c r="BXT8" s="16"/>
      <c r="BXU8" s="16"/>
      <c r="BXV8" s="16"/>
      <c r="BXW8" s="16"/>
      <c r="BXX8" s="16"/>
      <c r="BXY8" s="16"/>
      <c r="BXZ8" s="16"/>
      <c r="BYA8" s="16"/>
      <c r="BYB8" s="16"/>
      <c r="BYC8" s="16"/>
      <c r="BYD8" s="16"/>
      <c r="BYE8" s="16"/>
      <c r="BYF8" s="16"/>
      <c r="BYG8" s="16"/>
      <c r="BYH8" s="16"/>
      <c r="BYI8" s="16"/>
      <c r="BYJ8" s="16"/>
      <c r="BYK8" s="16"/>
      <c r="BYL8" s="16"/>
      <c r="BYM8" s="16"/>
      <c r="BYN8" s="16"/>
      <c r="BYO8" s="16"/>
      <c r="BYP8" s="16"/>
      <c r="BYQ8" s="16"/>
      <c r="BYR8" s="16"/>
      <c r="BYS8" s="16"/>
      <c r="BYT8" s="16"/>
      <c r="BYU8" s="16"/>
      <c r="BYV8" s="16"/>
      <c r="BYW8" s="16"/>
      <c r="BYX8" s="16"/>
      <c r="BYY8" s="16"/>
      <c r="BYZ8" s="16"/>
      <c r="BZA8" s="16"/>
      <c r="BZB8" s="16"/>
      <c r="BZC8" s="16"/>
      <c r="BZD8" s="16"/>
      <c r="BZE8" s="16"/>
      <c r="BZF8" s="16"/>
      <c r="BZG8" s="16"/>
      <c r="BZH8" s="16"/>
      <c r="BZI8" s="16"/>
      <c r="BZJ8" s="16"/>
      <c r="BZK8" s="16"/>
      <c r="BZL8" s="16"/>
      <c r="BZM8" s="16"/>
      <c r="BZN8" s="16"/>
      <c r="BZO8" s="16"/>
      <c r="BZP8" s="16"/>
      <c r="BZQ8" s="16"/>
      <c r="BZR8" s="16"/>
      <c r="BZS8" s="16"/>
      <c r="BZT8" s="16"/>
      <c r="BZU8" s="16"/>
      <c r="BZV8" s="16"/>
      <c r="BZW8" s="16"/>
      <c r="BZX8" s="16"/>
      <c r="BZY8" s="16"/>
      <c r="BZZ8" s="16"/>
      <c r="CAA8" s="16"/>
      <c r="CAB8" s="16"/>
      <c r="CAC8" s="16"/>
      <c r="CAD8" s="16"/>
      <c r="CAE8" s="16"/>
      <c r="CAF8" s="16"/>
      <c r="CAG8" s="16"/>
      <c r="CAH8" s="16"/>
      <c r="CAI8" s="16"/>
      <c r="CAJ8" s="16"/>
      <c r="CAK8" s="16"/>
      <c r="CAL8" s="16"/>
      <c r="CAM8" s="16"/>
      <c r="CAN8" s="16"/>
      <c r="CAO8" s="16"/>
      <c r="CAP8" s="16"/>
      <c r="CAQ8" s="16"/>
      <c r="CAR8" s="16"/>
      <c r="CAS8" s="16"/>
      <c r="CAT8" s="16"/>
      <c r="CAU8" s="16"/>
      <c r="CAV8" s="16"/>
      <c r="CAW8" s="16"/>
      <c r="CAX8" s="16"/>
      <c r="CAY8" s="16"/>
      <c r="CAZ8" s="16"/>
      <c r="CBA8" s="16"/>
      <c r="CBB8" s="16"/>
      <c r="CBC8" s="16"/>
      <c r="CBD8" s="16"/>
      <c r="CBE8" s="16"/>
      <c r="CBF8" s="16"/>
      <c r="CBG8" s="16"/>
      <c r="CBH8" s="16"/>
      <c r="CBI8" s="16"/>
      <c r="CBJ8" s="16"/>
      <c r="CBK8" s="16"/>
      <c r="CBL8" s="16"/>
      <c r="CBM8" s="16"/>
      <c r="CBN8" s="16"/>
      <c r="CBO8" s="16"/>
      <c r="CBP8" s="16"/>
      <c r="CBQ8" s="16"/>
      <c r="CBR8" s="16"/>
      <c r="CBS8" s="16"/>
      <c r="CBT8" s="16"/>
      <c r="CBU8" s="16"/>
      <c r="CBV8" s="16"/>
      <c r="CBW8" s="16"/>
      <c r="CBX8" s="16"/>
      <c r="CBY8" s="16"/>
      <c r="CBZ8" s="16"/>
      <c r="CCA8" s="16"/>
      <c r="CCB8" s="16"/>
      <c r="CCC8" s="16"/>
      <c r="CCD8" s="16"/>
      <c r="CCE8" s="16"/>
      <c r="CCF8" s="16"/>
      <c r="CCG8" s="16"/>
      <c r="CCH8" s="16"/>
      <c r="CCI8" s="16"/>
      <c r="CCJ8" s="16"/>
      <c r="CCK8" s="16"/>
      <c r="CCL8" s="16"/>
      <c r="CCM8" s="16"/>
      <c r="CCN8" s="16"/>
      <c r="CCO8" s="16"/>
      <c r="CCP8" s="16"/>
      <c r="CCQ8" s="16"/>
      <c r="CCR8" s="16"/>
      <c r="CCS8" s="16"/>
      <c r="CCT8" s="16"/>
      <c r="CCU8" s="16"/>
      <c r="CCV8" s="16"/>
      <c r="CCW8" s="16"/>
      <c r="CCX8" s="16"/>
      <c r="CCY8" s="16"/>
      <c r="CCZ8" s="16"/>
      <c r="CDA8" s="16"/>
      <c r="CDB8" s="16"/>
      <c r="CDC8" s="16"/>
      <c r="CDD8" s="16"/>
      <c r="CDE8" s="16"/>
      <c r="CDF8" s="16"/>
      <c r="CDG8" s="16"/>
      <c r="CDH8" s="16"/>
      <c r="CDI8" s="16"/>
      <c r="CDJ8" s="16"/>
      <c r="CDK8" s="16"/>
      <c r="CDL8" s="16"/>
      <c r="CDM8" s="16"/>
      <c r="CDN8" s="16"/>
      <c r="CDO8" s="16"/>
      <c r="CDP8" s="16"/>
      <c r="CDQ8" s="16"/>
      <c r="CDR8" s="16"/>
      <c r="CDS8" s="16"/>
      <c r="CDT8" s="16"/>
      <c r="CDU8" s="16"/>
      <c r="CDV8" s="16"/>
      <c r="CDW8" s="16"/>
      <c r="CDX8" s="16"/>
      <c r="CDY8" s="16"/>
      <c r="CDZ8" s="16"/>
      <c r="CEA8" s="16"/>
      <c r="CEB8" s="16"/>
      <c r="CEC8" s="16"/>
      <c r="CED8" s="16"/>
      <c r="CEE8" s="16"/>
      <c r="CEF8" s="16"/>
      <c r="CEG8" s="16"/>
      <c r="CEH8" s="16"/>
      <c r="CEI8" s="16"/>
      <c r="CEJ8" s="16"/>
      <c r="CEK8" s="16"/>
      <c r="CEL8" s="16"/>
      <c r="CEM8" s="16"/>
      <c r="CEN8" s="16"/>
      <c r="CEO8" s="16"/>
      <c r="CEP8" s="16"/>
      <c r="CEQ8" s="16"/>
      <c r="CER8" s="16"/>
      <c r="CES8" s="16"/>
      <c r="CET8" s="16"/>
      <c r="CEU8" s="16"/>
      <c r="CEV8" s="16"/>
      <c r="CEW8" s="16"/>
      <c r="CEX8" s="16"/>
      <c r="CEY8" s="16"/>
      <c r="CEZ8" s="16"/>
      <c r="CFA8" s="16"/>
      <c r="CFB8" s="16"/>
      <c r="CFC8" s="16"/>
      <c r="CFD8" s="16"/>
      <c r="CFE8" s="16"/>
      <c r="CFF8" s="16"/>
      <c r="CFG8" s="16"/>
      <c r="CFH8" s="16"/>
      <c r="CFI8" s="16"/>
      <c r="CFJ8" s="16"/>
      <c r="CFK8" s="16"/>
      <c r="CFL8" s="16"/>
      <c r="CFM8" s="16"/>
      <c r="CFN8" s="16"/>
      <c r="CFO8" s="16"/>
      <c r="CFP8" s="16"/>
      <c r="CFQ8" s="16"/>
      <c r="CFR8" s="16"/>
      <c r="CFS8" s="16"/>
      <c r="CFT8" s="16"/>
      <c r="CFU8" s="16"/>
      <c r="CFV8" s="16"/>
      <c r="CFW8" s="16"/>
      <c r="CFX8" s="16"/>
      <c r="CFY8" s="16"/>
      <c r="CFZ8" s="16"/>
      <c r="CGA8" s="16"/>
      <c r="CGB8" s="16"/>
      <c r="CGC8" s="16"/>
      <c r="CGD8" s="16"/>
      <c r="CGE8" s="16"/>
      <c r="CGF8" s="16"/>
      <c r="CGG8" s="16"/>
      <c r="CGH8" s="16"/>
      <c r="CGI8" s="16"/>
      <c r="CGJ8" s="16"/>
      <c r="CGK8" s="16"/>
      <c r="CGL8" s="16"/>
      <c r="CGM8" s="16"/>
      <c r="CGN8" s="16"/>
      <c r="CGO8" s="16"/>
      <c r="CGP8" s="16"/>
      <c r="CGQ8" s="16"/>
      <c r="CGR8" s="16"/>
      <c r="CGS8" s="16"/>
      <c r="CGT8" s="16"/>
      <c r="CGU8" s="16"/>
      <c r="CGV8" s="16"/>
      <c r="CGW8" s="16"/>
      <c r="CGX8" s="16"/>
      <c r="CGY8" s="16"/>
      <c r="CGZ8" s="16"/>
      <c r="CHA8" s="16"/>
      <c r="CHB8" s="16"/>
      <c r="CHC8" s="16"/>
      <c r="CHD8" s="16"/>
      <c r="CHE8" s="16"/>
      <c r="CHF8" s="16"/>
      <c r="CHG8" s="16"/>
      <c r="CHH8" s="16"/>
      <c r="CHI8" s="16"/>
      <c r="CHJ8" s="16"/>
      <c r="CHK8" s="16"/>
      <c r="CHL8" s="16"/>
      <c r="CHM8" s="16"/>
      <c r="CHN8" s="16"/>
      <c r="CHO8" s="16"/>
      <c r="CHP8" s="16"/>
      <c r="CHQ8" s="16"/>
      <c r="CHR8" s="16"/>
      <c r="CHS8" s="16"/>
      <c r="CHT8" s="16"/>
      <c r="CHU8" s="16"/>
      <c r="CHV8" s="16"/>
      <c r="CHW8" s="16"/>
      <c r="CHX8" s="16"/>
      <c r="CHY8" s="16"/>
      <c r="CHZ8" s="16"/>
      <c r="CIA8" s="16"/>
      <c r="CIB8" s="16"/>
      <c r="CIC8" s="16"/>
      <c r="CID8" s="16"/>
      <c r="CIE8" s="16"/>
      <c r="CIF8" s="16"/>
      <c r="CIG8" s="16"/>
      <c r="CIH8" s="16"/>
      <c r="CII8" s="16"/>
      <c r="CIJ8" s="16"/>
      <c r="CIK8" s="16"/>
      <c r="CIL8" s="16"/>
      <c r="CIM8" s="16"/>
      <c r="CIN8" s="16"/>
      <c r="CIO8" s="16"/>
      <c r="CIP8" s="16"/>
      <c r="CIQ8" s="16"/>
      <c r="CIR8" s="16"/>
      <c r="CIS8" s="16"/>
      <c r="CIT8" s="16"/>
      <c r="CIU8" s="16"/>
      <c r="CIV8" s="16"/>
      <c r="CIW8" s="16"/>
      <c r="CIX8" s="16"/>
      <c r="CIY8" s="16"/>
      <c r="CIZ8" s="16"/>
      <c r="CJA8" s="16"/>
      <c r="CJB8" s="16"/>
      <c r="CJC8" s="16"/>
      <c r="CJD8" s="16"/>
      <c r="CJE8" s="16"/>
      <c r="CJF8" s="16"/>
      <c r="CJG8" s="16"/>
      <c r="CJH8" s="16"/>
      <c r="CJI8" s="16"/>
      <c r="CJJ8" s="16"/>
      <c r="CJK8" s="16"/>
      <c r="CJL8" s="16"/>
      <c r="CJM8" s="16"/>
      <c r="CJN8" s="16"/>
      <c r="CJO8" s="16"/>
      <c r="CJP8" s="16"/>
      <c r="CJQ8" s="16"/>
      <c r="CJR8" s="16"/>
      <c r="CJS8" s="16"/>
      <c r="CJT8" s="16"/>
      <c r="CJU8" s="16"/>
      <c r="CJV8" s="16"/>
      <c r="CJW8" s="16"/>
      <c r="CJX8" s="16"/>
      <c r="CJY8" s="16"/>
      <c r="CJZ8" s="16"/>
      <c r="CKA8" s="16"/>
      <c r="CKB8" s="16"/>
      <c r="CKC8" s="16"/>
      <c r="CKD8" s="16"/>
      <c r="CKE8" s="16"/>
      <c r="CKF8" s="16"/>
      <c r="CKG8" s="16"/>
      <c r="CKH8" s="16"/>
      <c r="CKI8" s="16"/>
      <c r="CKJ8" s="16"/>
      <c r="CKK8" s="16"/>
      <c r="CKL8" s="16"/>
      <c r="CKM8" s="16"/>
      <c r="CKN8" s="16"/>
      <c r="CKO8" s="16"/>
      <c r="CKP8" s="16"/>
      <c r="CKQ8" s="16"/>
      <c r="CKR8" s="16"/>
      <c r="CKS8" s="16"/>
      <c r="CKT8" s="16"/>
      <c r="CKU8" s="16"/>
      <c r="CKV8" s="16"/>
      <c r="CKW8" s="16"/>
      <c r="CKX8" s="16"/>
      <c r="CKY8" s="16"/>
      <c r="CKZ8" s="16"/>
      <c r="CLA8" s="16"/>
      <c r="CLB8" s="16"/>
      <c r="CLC8" s="16"/>
      <c r="CLD8" s="16"/>
      <c r="CLE8" s="16"/>
      <c r="CLF8" s="16"/>
      <c r="CLG8" s="16"/>
      <c r="CLH8" s="16"/>
      <c r="CLI8" s="16"/>
      <c r="CLJ8" s="16"/>
      <c r="CLK8" s="16"/>
      <c r="CLL8" s="16"/>
      <c r="CLM8" s="16"/>
      <c r="CLN8" s="16"/>
      <c r="CLO8" s="16"/>
      <c r="CLP8" s="16"/>
      <c r="CLQ8" s="16"/>
      <c r="CLR8" s="16"/>
      <c r="CLS8" s="16"/>
      <c r="CLT8" s="16"/>
      <c r="CLU8" s="16"/>
      <c r="CLV8" s="16"/>
      <c r="CLW8" s="16"/>
      <c r="CLX8" s="16"/>
      <c r="CLY8" s="16"/>
      <c r="CLZ8" s="16"/>
      <c r="CMA8" s="16"/>
      <c r="CMB8" s="16"/>
      <c r="CMC8" s="16"/>
      <c r="CMD8" s="16"/>
      <c r="CME8" s="16"/>
      <c r="CMF8" s="16"/>
      <c r="CMG8" s="16"/>
      <c r="CMH8" s="16"/>
      <c r="CMI8" s="16"/>
      <c r="CMJ8" s="16"/>
      <c r="CMK8" s="16"/>
      <c r="CML8" s="16"/>
      <c r="CMM8" s="16"/>
      <c r="CMN8" s="16"/>
      <c r="CMO8" s="16"/>
      <c r="CMP8" s="16"/>
      <c r="CMQ8" s="16"/>
      <c r="CMR8" s="16"/>
      <c r="CMS8" s="16"/>
      <c r="CMT8" s="16"/>
      <c r="CMU8" s="16"/>
      <c r="CMV8" s="16"/>
      <c r="CMW8" s="16"/>
      <c r="CMX8" s="16"/>
      <c r="CMY8" s="16"/>
      <c r="CMZ8" s="16"/>
      <c r="CNA8" s="16"/>
      <c r="CNB8" s="16"/>
      <c r="CNC8" s="16"/>
      <c r="CND8" s="16"/>
      <c r="CNE8" s="16"/>
      <c r="CNF8" s="16"/>
      <c r="CNG8" s="16"/>
      <c r="CNH8" s="16"/>
      <c r="CNI8" s="16"/>
      <c r="CNJ8" s="16"/>
      <c r="CNK8" s="16"/>
      <c r="CNL8" s="16"/>
      <c r="CNM8" s="16"/>
      <c r="CNN8" s="16"/>
      <c r="CNO8" s="16"/>
      <c r="CNP8" s="16"/>
      <c r="CNQ8" s="16"/>
      <c r="CNR8" s="16"/>
      <c r="CNS8" s="16"/>
      <c r="CNT8" s="16"/>
      <c r="CNU8" s="16"/>
      <c r="CNV8" s="16"/>
      <c r="CNW8" s="16"/>
      <c r="CNX8" s="16"/>
      <c r="CNY8" s="16"/>
      <c r="CNZ8" s="16"/>
      <c r="COA8" s="16"/>
      <c r="COB8" s="16"/>
      <c r="COC8" s="16"/>
      <c r="COD8" s="16"/>
      <c r="COE8" s="16"/>
      <c r="COF8" s="16"/>
      <c r="COG8" s="16"/>
      <c r="COH8" s="16"/>
      <c r="COI8" s="16"/>
      <c r="COJ8" s="16"/>
      <c r="COK8" s="16"/>
      <c r="COL8" s="16"/>
      <c r="COM8" s="16"/>
      <c r="CON8" s="16"/>
      <c r="COO8" s="16"/>
      <c r="COP8" s="16"/>
      <c r="COQ8" s="16"/>
      <c r="COR8" s="16"/>
      <c r="COS8" s="16"/>
      <c r="COT8" s="16"/>
      <c r="COU8" s="16"/>
      <c r="COV8" s="16"/>
      <c r="COW8" s="16"/>
      <c r="COX8" s="16"/>
      <c r="COY8" s="16"/>
      <c r="COZ8" s="16"/>
      <c r="CPA8" s="16"/>
      <c r="CPB8" s="16"/>
      <c r="CPC8" s="16"/>
      <c r="CPD8" s="16"/>
      <c r="CPE8" s="16"/>
      <c r="CPF8" s="16"/>
      <c r="CPG8" s="16"/>
      <c r="CPH8" s="16"/>
      <c r="CPI8" s="16"/>
      <c r="CPJ8" s="16"/>
      <c r="CPK8" s="16"/>
      <c r="CPL8" s="16"/>
      <c r="CPM8" s="16"/>
      <c r="CPN8" s="16"/>
      <c r="CPO8" s="16"/>
      <c r="CPP8" s="16"/>
      <c r="CPQ8" s="16"/>
      <c r="CPR8" s="16"/>
      <c r="CPS8" s="16"/>
      <c r="CPT8" s="16"/>
      <c r="CPU8" s="16"/>
      <c r="CPV8" s="16"/>
      <c r="CPW8" s="16"/>
      <c r="CPX8" s="16"/>
      <c r="CPY8" s="16"/>
      <c r="CPZ8" s="16"/>
      <c r="CQA8" s="16"/>
      <c r="CQB8" s="16"/>
      <c r="CQC8" s="16"/>
      <c r="CQD8" s="16"/>
      <c r="CQE8" s="16"/>
      <c r="CQF8" s="16"/>
      <c r="CQG8" s="16"/>
      <c r="CQH8" s="16"/>
      <c r="CQI8" s="16"/>
      <c r="CQJ8" s="16"/>
      <c r="CQK8" s="16"/>
      <c r="CQL8" s="16"/>
      <c r="CQM8" s="16"/>
      <c r="CQN8" s="16"/>
      <c r="CQO8" s="16"/>
      <c r="CQP8" s="16"/>
      <c r="CQQ8" s="16"/>
      <c r="CQR8" s="16"/>
      <c r="CQS8" s="16"/>
      <c r="CQT8" s="16"/>
      <c r="CQU8" s="16"/>
      <c r="CQV8" s="16"/>
      <c r="CQW8" s="16"/>
      <c r="CQX8" s="16"/>
      <c r="CQY8" s="16"/>
      <c r="CQZ8" s="16"/>
      <c r="CRA8" s="16"/>
      <c r="CRB8" s="16"/>
      <c r="CRC8" s="16"/>
      <c r="CRD8" s="16"/>
      <c r="CRE8" s="16"/>
      <c r="CRF8" s="16"/>
      <c r="CRG8" s="16"/>
      <c r="CRH8" s="16"/>
      <c r="CRI8" s="16"/>
      <c r="CRJ8" s="16"/>
      <c r="CRK8" s="16"/>
      <c r="CRL8" s="16"/>
      <c r="CRM8" s="16"/>
      <c r="CRN8" s="16"/>
      <c r="CRO8" s="16"/>
      <c r="CRP8" s="16"/>
      <c r="CRQ8" s="16"/>
      <c r="CRR8" s="16"/>
      <c r="CRS8" s="16"/>
      <c r="CRT8" s="16"/>
      <c r="CRU8" s="16"/>
      <c r="CRV8" s="16"/>
      <c r="CRW8" s="16"/>
      <c r="CRX8" s="16"/>
      <c r="CRY8" s="16"/>
      <c r="CRZ8" s="16"/>
      <c r="CSA8" s="16"/>
      <c r="CSB8" s="16"/>
      <c r="CSC8" s="16"/>
      <c r="CSD8" s="16"/>
      <c r="CSE8" s="16"/>
      <c r="CSF8" s="16"/>
      <c r="CSG8" s="16"/>
      <c r="CSH8" s="16"/>
      <c r="CSI8" s="16"/>
      <c r="CSJ8" s="16"/>
      <c r="CSK8" s="16"/>
      <c r="CSL8" s="16"/>
      <c r="CSM8" s="16"/>
      <c r="CSN8" s="16"/>
      <c r="CSO8" s="16"/>
      <c r="CSP8" s="16"/>
      <c r="CSQ8" s="16"/>
      <c r="CSR8" s="16"/>
      <c r="CSS8" s="16"/>
      <c r="CST8" s="16"/>
      <c r="CSU8" s="16"/>
      <c r="CSV8" s="16"/>
      <c r="CSW8" s="16"/>
      <c r="CSX8" s="16"/>
      <c r="CSY8" s="16"/>
      <c r="CSZ8" s="16"/>
      <c r="CTA8" s="16"/>
      <c r="CTB8" s="16"/>
      <c r="CTC8" s="16"/>
      <c r="CTD8" s="16"/>
      <c r="CTE8" s="16"/>
      <c r="CTF8" s="16"/>
      <c r="CTG8" s="16"/>
      <c r="CTH8" s="16"/>
      <c r="CTI8" s="16"/>
      <c r="CTJ8" s="16"/>
      <c r="CTK8" s="16"/>
      <c r="CTL8" s="16"/>
      <c r="CTM8" s="16"/>
      <c r="CTN8" s="16"/>
      <c r="CTO8" s="16"/>
      <c r="CTP8" s="16"/>
      <c r="CTQ8" s="16"/>
      <c r="CTR8" s="16"/>
      <c r="CTS8" s="16"/>
      <c r="CTT8" s="16"/>
      <c r="CTU8" s="16"/>
      <c r="CTV8" s="16"/>
      <c r="CTW8" s="16"/>
      <c r="CTX8" s="16"/>
      <c r="CTY8" s="16"/>
      <c r="CTZ8" s="16"/>
      <c r="CUA8" s="16"/>
      <c r="CUB8" s="16"/>
      <c r="CUC8" s="16"/>
      <c r="CUD8" s="16"/>
      <c r="CUE8" s="16"/>
      <c r="CUF8" s="16"/>
      <c r="CUG8" s="16"/>
      <c r="CUH8" s="16"/>
      <c r="CUI8" s="16"/>
      <c r="CUJ8" s="16"/>
      <c r="CUK8" s="16"/>
      <c r="CUL8" s="16"/>
      <c r="CUM8" s="16"/>
      <c r="CUN8" s="16"/>
      <c r="CUO8" s="16"/>
      <c r="CUP8" s="16"/>
      <c r="CUQ8" s="16"/>
      <c r="CUR8" s="16"/>
      <c r="CUS8" s="16"/>
      <c r="CUT8" s="16"/>
      <c r="CUU8" s="16"/>
      <c r="CUV8" s="16"/>
      <c r="CUW8" s="16"/>
      <c r="CUX8" s="16"/>
      <c r="CUY8" s="16"/>
      <c r="CUZ8" s="16"/>
      <c r="CVA8" s="16"/>
      <c r="CVB8" s="16"/>
      <c r="CVC8" s="16"/>
      <c r="CVD8" s="16"/>
      <c r="CVE8" s="16"/>
      <c r="CVF8" s="16"/>
      <c r="CVG8" s="16"/>
      <c r="CVH8" s="16"/>
      <c r="CVI8" s="16"/>
      <c r="CVJ8" s="16"/>
      <c r="CVK8" s="16"/>
      <c r="CVL8" s="16"/>
      <c r="CVM8" s="16"/>
      <c r="CVN8" s="16"/>
      <c r="CVO8" s="16"/>
      <c r="CVP8" s="16"/>
      <c r="CVQ8" s="16"/>
      <c r="CVR8" s="16"/>
      <c r="CVS8" s="16"/>
      <c r="CVT8" s="16"/>
      <c r="CVU8" s="16"/>
      <c r="CVV8" s="16"/>
      <c r="CVW8" s="16"/>
      <c r="CVX8" s="16"/>
      <c r="CVY8" s="16"/>
      <c r="CVZ8" s="16"/>
      <c r="CWA8" s="16"/>
      <c r="CWB8" s="16"/>
      <c r="CWC8" s="16"/>
      <c r="CWD8" s="16"/>
      <c r="CWE8" s="16"/>
      <c r="CWF8" s="16"/>
      <c r="CWG8" s="16"/>
      <c r="CWH8" s="16"/>
      <c r="CWI8" s="16"/>
      <c r="CWJ8" s="16"/>
      <c r="CWK8" s="16"/>
      <c r="CWL8" s="16"/>
      <c r="CWM8" s="16"/>
      <c r="CWN8" s="16"/>
      <c r="CWO8" s="16"/>
      <c r="CWP8" s="16"/>
      <c r="CWQ8" s="16"/>
      <c r="CWR8" s="16"/>
      <c r="CWS8" s="16"/>
      <c r="CWT8" s="16"/>
      <c r="CWU8" s="16"/>
      <c r="CWV8" s="16"/>
      <c r="CWW8" s="16"/>
      <c r="CWX8" s="16"/>
      <c r="CWY8" s="16"/>
      <c r="CWZ8" s="16"/>
      <c r="CXA8" s="16"/>
      <c r="CXB8" s="16"/>
      <c r="CXC8" s="16"/>
      <c r="CXD8" s="16"/>
      <c r="CXE8" s="16"/>
      <c r="CXF8" s="16"/>
      <c r="CXG8" s="16"/>
      <c r="CXH8" s="16"/>
      <c r="CXI8" s="16"/>
      <c r="CXJ8" s="16"/>
      <c r="CXK8" s="16"/>
      <c r="CXL8" s="16"/>
      <c r="CXM8" s="16"/>
      <c r="CXN8" s="16"/>
      <c r="CXO8" s="16"/>
      <c r="CXP8" s="16"/>
      <c r="CXQ8" s="16"/>
      <c r="CXR8" s="16"/>
      <c r="CXS8" s="16"/>
      <c r="CXT8" s="16"/>
      <c r="CXU8" s="16"/>
      <c r="CXV8" s="16"/>
      <c r="CXW8" s="16"/>
      <c r="CXX8" s="16"/>
      <c r="CXY8" s="16"/>
      <c r="CXZ8" s="16"/>
      <c r="CYA8" s="16"/>
      <c r="CYB8" s="16"/>
      <c r="CYC8" s="16"/>
      <c r="CYD8" s="16"/>
      <c r="CYE8" s="16"/>
      <c r="CYF8" s="16"/>
      <c r="CYG8" s="16"/>
      <c r="CYH8" s="16"/>
      <c r="CYI8" s="16"/>
      <c r="CYJ8" s="16"/>
      <c r="CYK8" s="16"/>
      <c r="CYL8" s="16"/>
      <c r="CYM8" s="16"/>
      <c r="CYN8" s="16"/>
      <c r="CYO8" s="16"/>
      <c r="CYP8" s="16"/>
      <c r="CYQ8" s="16"/>
      <c r="CYR8" s="16"/>
      <c r="CYS8" s="16"/>
      <c r="CYT8" s="16"/>
      <c r="CYU8" s="16"/>
      <c r="CYV8" s="16"/>
      <c r="CYW8" s="16"/>
      <c r="CYX8" s="16"/>
      <c r="CYY8" s="16"/>
      <c r="CYZ8" s="16"/>
      <c r="CZA8" s="16"/>
      <c r="CZB8" s="16"/>
      <c r="CZC8" s="16"/>
      <c r="CZD8" s="16"/>
      <c r="CZE8" s="16"/>
      <c r="CZF8" s="16"/>
      <c r="CZG8" s="16"/>
      <c r="CZH8" s="16"/>
      <c r="CZI8" s="16"/>
      <c r="CZJ8" s="16"/>
      <c r="CZK8" s="16"/>
      <c r="CZL8" s="16"/>
      <c r="CZM8" s="16"/>
      <c r="CZN8" s="16"/>
      <c r="CZO8" s="16"/>
      <c r="CZP8" s="16"/>
      <c r="CZQ8" s="16"/>
      <c r="CZR8" s="16"/>
      <c r="CZS8" s="16"/>
      <c r="CZT8" s="16"/>
      <c r="CZU8" s="16"/>
      <c r="CZV8" s="16"/>
      <c r="CZW8" s="16"/>
      <c r="CZX8" s="16"/>
      <c r="CZY8" s="16"/>
      <c r="CZZ8" s="16"/>
      <c r="DAA8" s="16"/>
      <c r="DAB8" s="16"/>
      <c r="DAC8" s="16"/>
      <c r="DAD8" s="16"/>
      <c r="DAE8" s="16"/>
      <c r="DAF8" s="16"/>
      <c r="DAG8" s="16"/>
      <c r="DAH8" s="16"/>
      <c r="DAI8" s="16"/>
      <c r="DAJ8" s="16"/>
      <c r="DAK8" s="16"/>
      <c r="DAL8" s="16"/>
      <c r="DAM8" s="16"/>
      <c r="DAN8" s="16"/>
      <c r="DAO8" s="16"/>
      <c r="DAP8" s="16"/>
      <c r="DAQ8" s="16"/>
      <c r="DAR8" s="16"/>
      <c r="DAS8" s="16"/>
      <c r="DAT8" s="16"/>
      <c r="DAU8" s="16"/>
      <c r="DAV8" s="16"/>
      <c r="DAW8" s="16"/>
      <c r="DAX8" s="16"/>
      <c r="DAY8" s="16"/>
      <c r="DAZ8" s="16"/>
      <c r="DBA8" s="16"/>
      <c r="DBB8" s="16"/>
      <c r="DBC8" s="16"/>
      <c r="DBD8" s="16"/>
      <c r="DBE8" s="16"/>
      <c r="DBF8" s="16"/>
      <c r="DBG8" s="16"/>
      <c r="DBH8" s="16"/>
      <c r="DBI8" s="16"/>
      <c r="DBJ8" s="16"/>
      <c r="DBK8" s="16"/>
      <c r="DBL8" s="16"/>
      <c r="DBM8" s="16"/>
      <c r="DBN8" s="16"/>
      <c r="DBO8" s="16"/>
      <c r="DBP8" s="16"/>
      <c r="DBQ8" s="16"/>
      <c r="DBR8" s="16"/>
      <c r="DBS8" s="16"/>
      <c r="DBT8" s="16"/>
      <c r="DBU8" s="16"/>
      <c r="DBV8" s="16"/>
      <c r="DBW8" s="16"/>
      <c r="DBX8" s="16"/>
      <c r="DBY8" s="16"/>
      <c r="DBZ8" s="16"/>
      <c r="DCA8" s="16"/>
      <c r="DCB8" s="16"/>
      <c r="DCC8" s="16"/>
      <c r="DCD8" s="16"/>
      <c r="DCE8" s="16"/>
      <c r="DCF8" s="16"/>
      <c r="DCG8" s="16"/>
      <c r="DCH8" s="16"/>
      <c r="DCI8" s="16"/>
      <c r="DCJ8" s="16"/>
      <c r="DCK8" s="16"/>
      <c r="DCL8" s="16"/>
      <c r="DCM8" s="16"/>
      <c r="DCN8" s="16"/>
      <c r="DCO8" s="16"/>
      <c r="DCP8" s="16"/>
      <c r="DCQ8" s="16"/>
      <c r="DCR8" s="16"/>
      <c r="DCS8" s="16"/>
      <c r="DCT8" s="16"/>
      <c r="DCU8" s="16"/>
      <c r="DCV8" s="16"/>
      <c r="DCW8" s="16"/>
      <c r="DCX8" s="16"/>
      <c r="DCY8" s="16"/>
      <c r="DCZ8" s="16"/>
      <c r="DDA8" s="16"/>
      <c r="DDB8" s="16"/>
      <c r="DDC8" s="16"/>
      <c r="DDD8" s="16"/>
      <c r="DDE8" s="16"/>
      <c r="DDF8" s="16"/>
      <c r="DDG8" s="16"/>
      <c r="DDH8" s="16"/>
      <c r="DDI8" s="16"/>
      <c r="DDJ8" s="16"/>
      <c r="DDK8" s="16"/>
      <c r="DDL8" s="16"/>
      <c r="DDM8" s="16"/>
      <c r="DDN8" s="16"/>
      <c r="DDO8" s="16"/>
      <c r="DDP8" s="16"/>
      <c r="DDQ8" s="16"/>
      <c r="DDR8" s="16"/>
      <c r="DDS8" s="16"/>
      <c r="DDT8" s="16"/>
      <c r="DDU8" s="16"/>
      <c r="DDV8" s="16"/>
      <c r="DDW8" s="16"/>
      <c r="DDX8" s="16"/>
      <c r="DDY8" s="16"/>
      <c r="DDZ8" s="16"/>
      <c r="DEA8" s="16"/>
      <c r="DEB8" s="16"/>
      <c r="DEC8" s="16"/>
      <c r="DED8" s="16"/>
      <c r="DEE8" s="16"/>
      <c r="DEF8" s="16"/>
      <c r="DEG8" s="16"/>
      <c r="DEH8" s="16"/>
      <c r="DEI8" s="16"/>
      <c r="DEJ8" s="16"/>
      <c r="DEK8" s="16"/>
      <c r="DEL8" s="16"/>
      <c r="DEM8" s="16"/>
      <c r="DEN8" s="16"/>
      <c r="DEO8" s="16"/>
      <c r="DEP8" s="16"/>
      <c r="DEQ8" s="16"/>
      <c r="DER8" s="16"/>
      <c r="DES8" s="16"/>
      <c r="DET8" s="16"/>
      <c r="DEU8" s="16"/>
      <c r="DEV8" s="16"/>
      <c r="DEW8" s="16"/>
      <c r="DEX8" s="16"/>
      <c r="DEY8" s="16"/>
      <c r="DEZ8" s="16"/>
      <c r="DFA8" s="16"/>
      <c r="DFB8" s="16"/>
      <c r="DFC8" s="16"/>
      <c r="DFD8" s="16"/>
      <c r="DFE8" s="16"/>
      <c r="DFF8" s="16"/>
      <c r="DFG8" s="16"/>
      <c r="DFH8" s="16"/>
      <c r="DFI8" s="16"/>
      <c r="DFJ8" s="16"/>
      <c r="DFK8" s="16"/>
      <c r="DFL8" s="16"/>
      <c r="DFM8" s="16"/>
      <c r="DFN8" s="16"/>
      <c r="DFO8" s="16"/>
      <c r="DFP8" s="16"/>
      <c r="DFQ8" s="16"/>
      <c r="DFR8" s="16"/>
      <c r="DFS8" s="16"/>
      <c r="DFT8" s="16"/>
      <c r="DFU8" s="16"/>
      <c r="DFV8" s="16"/>
      <c r="DFW8" s="16"/>
      <c r="DFX8" s="16"/>
      <c r="DFY8" s="16"/>
      <c r="DFZ8" s="16"/>
      <c r="DGA8" s="16"/>
      <c r="DGB8" s="16"/>
      <c r="DGC8" s="16"/>
      <c r="DGD8" s="16"/>
      <c r="DGE8" s="16"/>
      <c r="DGF8" s="16"/>
      <c r="DGG8" s="16"/>
      <c r="DGH8" s="16"/>
      <c r="DGI8" s="16"/>
      <c r="DGJ8" s="16"/>
      <c r="DGK8" s="16"/>
      <c r="DGL8" s="16"/>
      <c r="DGM8" s="16"/>
      <c r="DGN8" s="16"/>
      <c r="DGO8" s="16"/>
      <c r="DGP8" s="16"/>
      <c r="DGQ8" s="16"/>
      <c r="DGR8" s="16"/>
      <c r="DGS8" s="16"/>
      <c r="DGT8" s="16"/>
      <c r="DGU8" s="16"/>
      <c r="DGV8" s="16"/>
      <c r="DGW8" s="16"/>
      <c r="DGX8" s="16"/>
      <c r="DGY8" s="16"/>
      <c r="DGZ8" s="16"/>
      <c r="DHA8" s="16"/>
      <c r="DHB8" s="16"/>
      <c r="DHC8" s="16"/>
      <c r="DHD8" s="16"/>
      <c r="DHE8" s="16"/>
      <c r="DHF8" s="16"/>
      <c r="DHG8" s="16"/>
      <c r="DHH8" s="16"/>
      <c r="DHI8" s="16"/>
      <c r="DHJ8" s="16"/>
      <c r="DHK8" s="16"/>
      <c r="DHL8" s="16"/>
      <c r="DHM8" s="16"/>
      <c r="DHN8" s="16"/>
      <c r="DHO8" s="16"/>
      <c r="DHP8" s="16"/>
      <c r="DHQ8" s="16"/>
      <c r="DHR8" s="16"/>
      <c r="DHS8" s="16"/>
      <c r="DHT8" s="16"/>
      <c r="DHU8" s="16"/>
      <c r="DHV8" s="16"/>
      <c r="DHW8" s="16"/>
      <c r="DHX8" s="16"/>
      <c r="DHY8" s="16"/>
      <c r="DHZ8" s="16"/>
      <c r="DIA8" s="16"/>
      <c r="DIB8" s="16"/>
      <c r="DIC8" s="16"/>
      <c r="DID8" s="16"/>
      <c r="DIE8" s="16"/>
      <c r="DIF8" s="16"/>
      <c r="DIG8" s="16"/>
      <c r="DIH8" s="16"/>
      <c r="DII8" s="16"/>
      <c r="DIJ8" s="16"/>
      <c r="DIK8" s="16"/>
      <c r="DIL8" s="16"/>
      <c r="DIM8" s="16"/>
      <c r="DIN8" s="16"/>
      <c r="DIO8" s="16"/>
      <c r="DIP8" s="16"/>
      <c r="DIQ8" s="16"/>
      <c r="DIR8" s="16"/>
      <c r="DIS8" s="16"/>
      <c r="DIT8" s="16"/>
      <c r="DIU8" s="16"/>
      <c r="DIV8" s="16"/>
      <c r="DIW8" s="16"/>
      <c r="DIX8" s="16"/>
      <c r="DIY8" s="16"/>
      <c r="DIZ8" s="16"/>
      <c r="DJA8" s="16"/>
      <c r="DJB8" s="16"/>
      <c r="DJC8" s="16"/>
      <c r="DJD8" s="16"/>
      <c r="DJE8" s="16"/>
      <c r="DJF8" s="16"/>
      <c r="DJG8" s="16"/>
      <c r="DJH8" s="16"/>
      <c r="DJI8" s="16"/>
      <c r="DJJ8" s="16"/>
      <c r="DJK8" s="16"/>
      <c r="DJL8" s="16"/>
      <c r="DJM8" s="16"/>
      <c r="DJN8" s="16"/>
      <c r="DJO8" s="16"/>
      <c r="DJP8" s="16"/>
      <c r="DJQ8" s="16"/>
      <c r="DJR8" s="16"/>
      <c r="DJS8" s="16"/>
      <c r="DJT8" s="16"/>
      <c r="DJU8" s="16"/>
      <c r="DJV8" s="16"/>
      <c r="DJW8" s="16"/>
      <c r="DJX8" s="16"/>
      <c r="DJY8" s="16"/>
      <c r="DJZ8" s="16"/>
      <c r="DKA8" s="16"/>
      <c r="DKB8" s="16"/>
      <c r="DKC8" s="16"/>
      <c r="DKD8" s="16"/>
      <c r="DKE8" s="16"/>
      <c r="DKF8" s="16"/>
      <c r="DKG8" s="16"/>
      <c r="DKH8" s="16"/>
      <c r="DKI8" s="16"/>
      <c r="DKJ8" s="16"/>
      <c r="DKK8" s="16"/>
      <c r="DKL8" s="16"/>
      <c r="DKM8" s="16"/>
      <c r="DKN8" s="16"/>
      <c r="DKO8" s="16"/>
      <c r="DKP8" s="16"/>
      <c r="DKQ8" s="16"/>
      <c r="DKR8" s="16"/>
      <c r="DKS8" s="16"/>
      <c r="DKT8" s="16"/>
      <c r="DKU8" s="16"/>
      <c r="DKV8" s="16"/>
      <c r="DKW8" s="16"/>
      <c r="DKX8" s="16"/>
      <c r="DKY8" s="16"/>
      <c r="DKZ8" s="16"/>
      <c r="DLA8" s="16"/>
      <c r="DLB8" s="16"/>
      <c r="DLC8" s="16"/>
      <c r="DLD8" s="16"/>
      <c r="DLE8" s="16"/>
      <c r="DLF8" s="16"/>
      <c r="DLG8" s="16"/>
      <c r="DLH8" s="16"/>
      <c r="DLI8" s="16"/>
      <c r="DLJ8" s="16"/>
      <c r="DLK8" s="16"/>
      <c r="DLL8" s="16"/>
      <c r="DLM8" s="16"/>
      <c r="DLN8" s="16"/>
      <c r="DLO8" s="16"/>
      <c r="DLP8" s="16"/>
      <c r="DLQ8" s="16"/>
      <c r="DLR8" s="16"/>
      <c r="DLS8" s="16"/>
      <c r="DLT8" s="16"/>
      <c r="DLU8" s="16"/>
      <c r="DLV8" s="16"/>
      <c r="DLW8" s="16"/>
      <c r="DLX8" s="16"/>
      <c r="DLY8" s="16"/>
      <c r="DLZ8" s="16"/>
      <c r="DMA8" s="16"/>
      <c r="DMB8" s="16"/>
      <c r="DMC8" s="16"/>
      <c r="DMD8" s="16"/>
      <c r="DME8" s="16"/>
      <c r="DMF8" s="16"/>
      <c r="DMG8" s="16"/>
      <c r="DMH8" s="16"/>
      <c r="DMI8" s="16"/>
      <c r="DMJ8" s="16"/>
      <c r="DMK8" s="16"/>
      <c r="DML8" s="16"/>
      <c r="DMM8" s="16"/>
      <c r="DMN8" s="16"/>
      <c r="DMO8" s="16"/>
      <c r="DMP8" s="16"/>
      <c r="DMQ8" s="16"/>
      <c r="DMR8" s="16"/>
      <c r="DMS8" s="16"/>
      <c r="DMT8" s="16"/>
      <c r="DMU8" s="16"/>
      <c r="DMV8" s="16"/>
      <c r="DMW8" s="16"/>
      <c r="DMX8" s="16"/>
      <c r="DMY8" s="16"/>
      <c r="DMZ8" s="16"/>
      <c r="DNA8" s="16"/>
      <c r="DNB8" s="16"/>
      <c r="DNC8" s="16"/>
      <c r="DND8" s="16"/>
      <c r="DNE8" s="16"/>
      <c r="DNF8" s="16"/>
      <c r="DNG8" s="16"/>
      <c r="DNH8" s="16"/>
      <c r="DNI8" s="16"/>
      <c r="DNJ8" s="16"/>
      <c r="DNK8" s="16"/>
      <c r="DNL8" s="16"/>
      <c r="DNM8" s="16"/>
      <c r="DNN8" s="16"/>
      <c r="DNO8" s="16"/>
      <c r="DNP8" s="16"/>
      <c r="DNQ8" s="16"/>
      <c r="DNR8" s="16"/>
      <c r="DNS8" s="16"/>
      <c r="DNT8" s="16"/>
      <c r="DNU8" s="16"/>
      <c r="DNV8" s="16"/>
      <c r="DNW8" s="16"/>
      <c r="DNX8" s="16"/>
      <c r="DNY8" s="16"/>
      <c r="DNZ8" s="16"/>
      <c r="DOA8" s="16"/>
      <c r="DOB8" s="16"/>
      <c r="DOC8" s="16"/>
      <c r="DOD8" s="16"/>
      <c r="DOE8" s="16"/>
      <c r="DOF8" s="16"/>
      <c r="DOG8" s="16"/>
      <c r="DOH8" s="16"/>
      <c r="DOI8" s="16"/>
      <c r="DOJ8" s="16"/>
      <c r="DOK8" s="16"/>
      <c r="DOL8" s="16"/>
      <c r="DOM8" s="16"/>
      <c r="DON8" s="16"/>
      <c r="DOO8" s="16"/>
      <c r="DOP8" s="16"/>
      <c r="DOQ8" s="16"/>
      <c r="DOR8" s="16"/>
      <c r="DOS8" s="16"/>
      <c r="DOT8" s="16"/>
      <c r="DOU8" s="16"/>
      <c r="DOV8" s="16"/>
      <c r="DOW8" s="16"/>
      <c r="DOX8" s="16"/>
      <c r="DOY8" s="16"/>
      <c r="DOZ8" s="16"/>
      <c r="DPA8" s="16"/>
      <c r="DPB8" s="16"/>
      <c r="DPC8" s="16"/>
      <c r="DPD8" s="16"/>
      <c r="DPE8" s="16"/>
      <c r="DPF8" s="16"/>
      <c r="DPG8" s="16"/>
      <c r="DPH8" s="16"/>
      <c r="DPI8" s="16"/>
      <c r="DPJ8" s="16"/>
      <c r="DPK8" s="16"/>
      <c r="DPL8" s="16"/>
      <c r="DPM8" s="16"/>
      <c r="DPN8" s="16"/>
      <c r="DPO8" s="16"/>
      <c r="DPP8" s="16"/>
      <c r="DPQ8" s="16"/>
      <c r="DPR8" s="16"/>
      <c r="DPS8" s="16"/>
      <c r="DPT8" s="16"/>
      <c r="DPU8" s="16"/>
      <c r="DPV8" s="16"/>
      <c r="DPW8" s="16"/>
      <c r="DPX8" s="16"/>
      <c r="DPY8" s="16"/>
      <c r="DPZ8" s="16"/>
      <c r="DQA8" s="16"/>
      <c r="DQB8" s="16"/>
      <c r="DQC8" s="16"/>
      <c r="DQD8" s="16"/>
      <c r="DQE8" s="16"/>
      <c r="DQF8" s="16"/>
      <c r="DQG8" s="16"/>
      <c r="DQH8" s="16"/>
      <c r="DQI8" s="16"/>
      <c r="DQJ8" s="16"/>
      <c r="DQK8" s="16"/>
      <c r="DQL8" s="16"/>
      <c r="DQM8" s="16"/>
      <c r="DQN8" s="16"/>
      <c r="DQO8" s="16"/>
      <c r="DQP8" s="16"/>
      <c r="DQQ8" s="16"/>
      <c r="DQR8" s="16"/>
      <c r="DQS8" s="16"/>
      <c r="DQT8" s="16"/>
      <c r="DQU8" s="16"/>
      <c r="DQV8" s="16"/>
      <c r="DQW8" s="16"/>
      <c r="DQX8" s="16"/>
      <c r="DQY8" s="16"/>
      <c r="DQZ8" s="16"/>
      <c r="DRA8" s="16"/>
      <c r="DRB8" s="16"/>
      <c r="DRC8" s="16"/>
      <c r="DRD8" s="16"/>
      <c r="DRE8" s="16"/>
      <c r="DRF8" s="16"/>
      <c r="DRG8" s="16"/>
      <c r="DRH8" s="16"/>
      <c r="DRI8" s="16"/>
      <c r="DRJ8" s="16"/>
      <c r="DRK8" s="16"/>
      <c r="DRL8" s="16"/>
      <c r="DRM8" s="16"/>
      <c r="DRN8" s="16"/>
      <c r="DRO8" s="16"/>
      <c r="DRP8" s="16"/>
      <c r="DRQ8" s="16"/>
      <c r="DRR8" s="16"/>
      <c r="DRS8" s="16"/>
      <c r="DRT8" s="16"/>
      <c r="DRU8" s="16"/>
      <c r="DRV8" s="16"/>
      <c r="DRW8" s="16"/>
      <c r="DRX8" s="16"/>
      <c r="DRY8" s="16"/>
      <c r="DRZ8" s="16"/>
      <c r="DSA8" s="16"/>
      <c r="DSB8" s="16"/>
      <c r="DSC8" s="16"/>
      <c r="DSD8" s="16"/>
      <c r="DSE8" s="16"/>
      <c r="DSF8" s="16"/>
      <c r="DSG8" s="16"/>
      <c r="DSH8" s="16"/>
      <c r="DSI8" s="16"/>
      <c r="DSJ8" s="16"/>
      <c r="DSK8" s="16"/>
      <c r="DSL8" s="16"/>
      <c r="DSM8" s="16"/>
      <c r="DSN8" s="16"/>
      <c r="DSO8" s="16"/>
      <c r="DSP8" s="16"/>
      <c r="DSQ8" s="16"/>
      <c r="DSR8" s="16"/>
      <c r="DSS8" s="16"/>
      <c r="DST8" s="16"/>
      <c r="DSU8" s="16"/>
      <c r="DSV8" s="16"/>
      <c r="DSW8" s="16"/>
      <c r="DSX8" s="16"/>
      <c r="DSY8" s="16"/>
      <c r="DSZ8" s="16"/>
      <c r="DTA8" s="16"/>
      <c r="DTB8" s="16"/>
      <c r="DTC8" s="16"/>
      <c r="DTD8" s="16"/>
      <c r="DTE8" s="16"/>
      <c r="DTF8" s="16"/>
      <c r="DTG8" s="16"/>
      <c r="DTH8" s="16"/>
      <c r="DTI8" s="16"/>
      <c r="DTJ8" s="16"/>
      <c r="DTK8" s="16"/>
      <c r="DTL8" s="16"/>
      <c r="DTM8" s="16"/>
      <c r="DTN8" s="16"/>
      <c r="DTO8" s="16"/>
      <c r="DTP8" s="16"/>
      <c r="DTQ8" s="16"/>
      <c r="DTR8" s="16"/>
      <c r="DTS8" s="16"/>
      <c r="DTT8" s="16"/>
      <c r="DTU8" s="16"/>
      <c r="DTV8" s="16"/>
      <c r="DTW8" s="16"/>
      <c r="DTX8" s="16"/>
      <c r="DTY8" s="16"/>
      <c r="DTZ8" s="16"/>
      <c r="DUA8" s="16"/>
      <c r="DUB8" s="16"/>
      <c r="DUC8" s="16"/>
      <c r="DUD8" s="16"/>
      <c r="DUE8" s="16"/>
      <c r="DUF8" s="16"/>
      <c r="DUG8" s="16"/>
      <c r="DUH8" s="16"/>
      <c r="DUI8" s="16"/>
      <c r="DUJ8" s="16"/>
      <c r="DUK8" s="16"/>
      <c r="DUL8" s="16"/>
      <c r="DUM8" s="16"/>
      <c r="DUN8" s="16"/>
      <c r="DUO8" s="16"/>
      <c r="DUP8" s="16"/>
      <c r="DUQ8" s="16"/>
      <c r="DUR8" s="16"/>
      <c r="DUS8" s="16"/>
      <c r="DUT8" s="16"/>
      <c r="DUU8" s="16"/>
      <c r="DUV8" s="16"/>
      <c r="DUW8" s="16"/>
      <c r="DUX8" s="16"/>
      <c r="DUY8" s="16"/>
      <c r="DUZ8" s="16"/>
      <c r="DVA8" s="16"/>
      <c r="DVB8" s="16"/>
      <c r="DVC8" s="16"/>
      <c r="DVD8" s="16"/>
      <c r="DVE8" s="16"/>
      <c r="DVF8" s="16"/>
      <c r="DVG8" s="16"/>
      <c r="DVH8" s="16"/>
      <c r="DVI8" s="16"/>
      <c r="DVJ8" s="16"/>
      <c r="DVK8" s="16"/>
      <c r="DVL8" s="16"/>
      <c r="DVM8" s="16"/>
      <c r="DVN8" s="16"/>
      <c r="DVO8" s="16"/>
      <c r="DVP8" s="16"/>
      <c r="DVQ8" s="16"/>
      <c r="DVR8" s="16"/>
      <c r="DVS8" s="16"/>
      <c r="DVT8" s="16"/>
      <c r="DVU8" s="16"/>
      <c r="DVV8" s="16"/>
      <c r="DVW8" s="16"/>
      <c r="DVX8" s="16"/>
      <c r="DVY8" s="16"/>
      <c r="DVZ8" s="16"/>
      <c r="DWA8" s="16"/>
      <c r="DWB8" s="16"/>
      <c r="DWC8" s="16"/>
      <c r="DWD8" s="16"/>
      <c r="DWE8" s="16"/>
      <c r="DWF8" s="16"/>
      <c r="DWG8" s="16"/>
      <c r="DWH8" s="16"/>
      <c r="DWI8" s="16"/>
      <c r="DWJ8" s="16"/>
      <c r="DWK8" s="16"/>
      <c r="DWL8" s="16"/>
      <c r="DWM8" s="16"/>
      <c r="DWN8" s="16"/>
      <c r="DWO8" s="16"/>
      <c r="DWP8" s="16"/>
      <c r="DWQ8" s="16"/>
      <c r="DWR8" s="16"/>
      <c r="DWS8" s="16"/>
      <c r="DWT8" s="16"/>
      <c r="DWU8" s="16"/>
      <c r="DWV8" s="16"/>
      <c r="DWW8" s="16"/>
      <c r="DWX8" s="16"/>
      <c r="DWY8" s="16"/>
      <c r="DWZ8" s="16"/>
      <c r="DXA8" s="16"/>
      <c r="DXB8" s="16"/>
      <c r="DXC8" s="16"/>
      <c r="DXD8" s="16"/>
      <c r="DXE8" s="16"/>
      <c r="DXF8" s="16"/>
      <c r="DXG8" s="16"/>
      <c r="DXH8" s="16"/>
      <c r="DXI8" s="16"/>
      <c r="DXJ8" s="16"/>
      <c r="DXK8" s="16"/>
      <c r="DXL8" s="16"/>
      <c r="DXM8" s="16"/>
      <c r="DXN8" s="16"/>
      <c r="DXO8" s="16"/>
      <c r="DXP8" s="16"/>
      <c r="DXQ8" s="16"/>
      <c r="DXR8" s="16"/>
      <c r="DXS8" s="16"/>
      <c r="DXT8" s="16"/>
      <c r="DXU8" s="16"/>
      <c r="DXV8" s="16"/>
      <c r="DXW8" s="16"/>
      <c r="DXX8" s="16"/>
      <c r="DXY8" s="16"/>
      <c r="DXZ8" s="16"/>
      <c r="DYA8" s="16"/>
      <c r="DYB8" s="16"/>
      <c r="DYC8" s="16"/>
      <c r="DYD8" s="16"/>
      <c r="DYE8" s="16"/>
      <c r="DYF8" s="16"/>
      <c r="DYG8" s="16"/>
      <c r="DYH8" s="16"/>
      <c r="DYI8" s="16"/>
      <c r="DYJ8" s="16"/>
      <c r="DYK8" s="16"/>
      <c r="DYL8" s="16"/>
      <c r="DYM8" s="16"/>
      <c r="DYN8" s="16"/>
      <c r="DYO8" s="16"/>
      <c r="DYP8" s="16"/>
      <c r="DYQ8" s="16"/>
      <c r="DYR8" s="16"/>
      <c r="DYS8" s="16"/>
      <c r="DYT8" s="16"/>
      <c r="DYU8" s="16"/>
      <c r="DYV8" s="16"/>
      <c r="DYW8" s="16"/>
      <c r="DYX8" s="16"/>
      <c r="DYY8" s="16"/>
      <c r="DYZ8" s="16"/>
      <c r="DZA8" s="16"/>
      <c r="DZB8" s="16"/>
      <c r="DZC8" s="16"/>
      <c r="DZD8" s="16"/>
      <c r="DZE8" s="16"/>
      <c r="DZF8" s="16"/>
      <c r="DZG8" s="16"/>
      <c r="DZH8" s="16"/>
      <c r="DZI8" s="16"/>
      <c r="DZJ8" s="16"/>
      <c r="DZK8" s="16"/>
      <c r="DZL8" s="16"/>
      <c r="DZM8" s="16"/>
      <c r="DZN8" s="16"/>
      <c r="DZO8" s="16"/>
      <c r="DZP8" s="16"/>
      <c r="DZQ8" s="16"/>
      <c r="DZR8" s="16"/>
      <c r="DZS8" s="16"/>
      <c r="DZT8" s="16"/>
      <c r="DZU8" s="16"/>
      <c r="DZV8" s="16"/>
      <c r="DZW8" s="16"/>
      <c r="DZX8" s="16"/>
      <c r="DZY8" s="16"/>
      <c r="DZZ8" s="16"/>
      <c r="EAA8" s="16"/>
      <c r="EAB8" s="16"/>
      <c r="EAC8" s="16"/>
      <c r="EAD8" s="16"/>
      <c r="EAE8" s="16"/>
      <c r="EAF8" s="16"/>
      <c r="EAG8" s="16"/>
      <c r="EAH8" s="16"/>
      <c r="EAI8" s="16"/>
      <c r="EAJ8" s="16"/>
      <c r="EAK8" s="16"/>
      <c r="EAL8" s="16"/>
      <c r="EAM8" s="16"/>
      <c r="EAN8" s="16"/>
      <c r="EAO8" s="16"/>
      <c r="EAP8" s="16"/>
      <c r="EAQ8" s="16"/>
      <c r="EAR8" s="16"/>
      <c r="EAS8" s="16"/>
      <c r="EAT8" s="16"/>
      <c r="EAU8" s="16"/>
      <c r="EAV8" s="16"/>
      <c r="EAW8" s="16"/>
      <c r="EAX8" s="16"/>
      <c r="EAY8" s="16"/>
      <c r="EAZ8" s="16"/>
      <c r="EBA8" s="16"/>
      <c r="EBB8" s="16"/>
      <c r="EBC8" s="16"/>
      <c r="EBD8" s="16"/>
      <c r="EBE8" s="16"/>
      <c r="EBF8" s="16"/>
      <c r="EBG8" s="16"/>
      <c r="EBH8" s="16"/>
      <c r="EBI8" s="16"/>
      <c r="EBJ8" s="16"/>
      <c r="EBK8" s="16"/>
      <c r="EBL8" s="16"/>
      <c r="EBM8" s="16"/>
      <c r="EBN8" s="16"/>
      <c r="EBO8" s="16"/>
      <c r="EBP8" s="16"/>
      <c r="EBQ8" s="16"/>
      <c r="EBR8" s="16"/>
      <c r="EBS8" s="16"/>
      <c r="EBT8" s="16"/>
      <c r="EBU8" s="16"/>
      <c r="EBV8" s="16"/>
      <c r="EBW8" s="16"/>
      <c r="EBX8" s="16"/>
      <c r="EBY8" s="16"/>
      <c r="EBZ8" s="16"/>
      <c r="ECA8" s="16"/>
      <c r="ECB8" s="16"/>
      <c r="ECC8" s="16"/>
      <c r="ECD8" s="16"/>
      <c r="ECE8" s="16"/>
      <c r="ECF8" s="16"/>
      <c r="ECG8" s="16"/>
      <c r="ECH8" s="16"/>
      <c r="ECI8" s="16"/>
      <c r="ECJ8" s="16"/>
      <c r="ECK8" s="16"/>
      <c r="ECL8" s="16"/>
      <c r="ECM8" s="16"/>
      <c r="ECN8" s="16"/>
      <c r="ECO8" s="16"/>
      <c r="ECP8" s="16"/>
      <c r="ECQ8" s="16"/>
      <c r="ECR8" s="16"/>
      <c r="ECS8" s="16"/>
      <c r="ECT8" s="16"/>
      <c r="ECU8" s="16"/>
      <c r="ECV8" s="16"/>
      <c r="ECW8" s="16"/>
      <c r="ECX8" s="16"/>
      <c r="ECY8" s="16"/>
      <c r="ECZ8" s="16"/>
      <c r="EDA8" s="16"/>
      <c r="EDB8" s="16"/>
      <c r="EDC8" s="16"/>
      <c r="EDD8" s="16"/>
      <c r="EDE8" s="16"/>
      <c r="EDF8" s="16"/>
      <c r="EDG8" s="16"/>
      <c r="EDH8" s="16"/>
      <c r="EDI8" s="16"/>
      <c r="EDJ8" s="16"/>
      <c r="EDK8" s="16"/>
      <c r="EDL8" s="16"/>
      <c r="EDM8" s="16"/>
      <c r="EDN8" s="16"/>
      <c r="EDO8" s="16"/>
      <c r="EDP8" s="16"/>
      <c r="EDQ8" s="16"/>
      <c r="EDR8" s="16"/>
      <c r="EDS8" s="16"/>
      <c r="EDT8" s="16"/>
      <c r="EDU8" s="16"/>
      <c r="EDV8" s="16"/>
      <c r="EDW8" s="16"/>
      <c r="EDX8" s="16"/>
      <c r="EDY8" s="16"/>
      <c r="EDZ8" s="16"/>
      <c r="EEA8" s="16"/>
      <c r="EEB8" s="16"/>
      <c r="EEC8" s="16"/>
      <c r="EED8" s="16"/>
      <c r="EEE8" s="16"/>
      <c r="EEF8" s="16"/>
      <c r="EEG8" s="16"/>
      <c r="EEH8" s="16"/>
      <c r="EEI8" s="16"/>
      <c r="EEJ8" s="16"/>
      <c r="EEK8" s="16"/>
      <c r="EEL8" s="16"/>
      <c r="EEM8" s="16"/>
      <c r="EEN8" s="16"/>
      <c r="EEO8" s="16"/>
      <c r="EEP8" s="16"/>
      <c r="EEQ8" s="16"/>
      <c r="EER8" s="16"/>
      <c r="EES8" s="16"/>
      <c r="EET8" s="16"/>
      <c r="EEU8" s="16"/>
      <c r="EEV8" s="16"/>
      <c r="EEW8" s="16"/>
      <c r="EEX8" s="16"/>
      <c r="EEY8" s="16"/>
      <c r="EEZ8" s="16"/>
      <c r="EFA8" s="16"/>
      <c r="EFB8" s="16"/>
      <c r="EFC8" s="16"/>
      <c r="EFD8" s="16"/>
      <c r="EFE8" s="16"/>
      <c r="EFF8" s="16"/>
      <c r="EFG8" s="16"/>
      <c r="EFH8" s="16"/>
      <c r="EFI8" s="16"/>
      <c r="EFJ8" s="16"/>
      <c r="EFK8" s="16"/>
      <c r="EFL8" s="16"/>
      <c r="EFM8" s="16"/>
      <c r="EFN8" s="16"/>
      <c r="EFO8" s="16"/>
      <c r="EFP8" s="16"/>
      <c r="EFQ8" s="16"/>
      <c r="EFR8" s="16"/>
      <c r="EFS8" s="16"/>
      <c r="EFT8" s="16"/>
      <c r="EFU8" s="16"/>
      <c r="EFV8" s="16"/>
      <c r="EFW8" s="16"/>
      <c r="EFX8" s="16"/>
      <c r="EFY8" s="16"/>
      <c r="EFZ8" s="16"/>
      <c r="EGA8" s="16"/>
      <c r="EGB8" s="16"/>
      <c r="EGC8" s="16"/>
      <c r="EGD8" s="16"/>
      <c r="EGE8" s="16"/>
      <c r="EGF8" s="16"/>
      <c r="EGG8" s="16"/>
      <c r="EGH8" s="16"/>
      <c r="EGI8" s="16"/>
      <c r="EGJ8" s="16"/>
      <c r="EGK8" s="16"/>
      <c r="EGL8" s="16"/>
      <c r="EGM8" s="16"/>
      <c r="EGN8" s="16"/>
      <c r="EGO8" s="16"/>
      <c r="EGP8" s="16"/>
      <c r="EGQ8" s="16"/>
      <c r="EGR8" s="16"/>
      <c r="EGS8" s="16"/>
      <c r="EGT8" s="16"/>
      <c r="EGU8" s="16"/>
      <c r="EGV8" s="16"/>
      <c r="EGW8" s="16"/>
      <c r="EGX8" s="16"/>
      <c r="EGY8" s="16"/>
      <c r="EGZ8" s="16"/>
      <c r="EHA8" s="16"/>
      <c r="EHB8" s="16"/>
      <c r="EHC8" s="16"/>
      <c r="EHD8" s="16"/>
      <c r="EHE8" s="16"/>
      <c r="EHF8" s="16"/>
      <c r="EHG8" s="16"/>
      <c r="EHH8" s="16"/>
      <c r="EHI8" s="16"/>
      <c r="EHJ8" s="16"/>
      <c r="EHK8" s="16"/>
      <c r="EHL8" s="16"/>
      <c r="EHM8" s="16"/>
      <c r="EHN8" s="16"/>
      <c r="EHO8" s="16"/>
      <c r="EHP8" s="16"/>
      <c r="EHQ8" s="16"/>
      <c r="EHR8" s="16"/>
      <c r="EHS8" s="16"/>
      <c r="EHT8" s="16"/>
      <c r="EHU8" s="16"/>
      <c r="EHV8" s="16"/>
      <c r="EHW8" s="16"/>
      <c r="EHX8" s="16"/>
      <c r="EHY8" s="16"/>
      <c r="EHZ8" s="16"/>
      <c r="EIA8" s="16"/>
      <c r="EIB8" s="16"/>
      <c r="EIC8" s="16"/>
      <c r="EID8" s="16"/>
      <c r="EIE8" s="16"/>
      <c r="EIF8" s="16"/>
      <c r="EIG8" s="16"/>
      <c r="EIH8" s="16"/>
      <c r="EII8" s="16"/>
      <c r="EIJ8" s="16"/>
      <c r="EIK8" s="16"/>
      <c r="EIL8" s="16"/>
      <c r="EIM8" s="16"/>
      <c r="EIN8" s="16"/>
      <c r="EIO8" s="16"/>
      <c r="EIP8" s="16"/>
      <c r="EIQ8" s="16"/>
      <c r="EIR8" s="16"/>
      <c r="EIS8" s="16"/>
      <c r="EIT8" s="16"/>
      <c r="EIU8" s="16"/>
      <c r="EIV8" s="16"/>
      <c r="EIW8" s="16"/>
      <c r="EIX8" s="16"/>
      <c r="EIY8" s="16"/>
      <c r="EIZ8" s="16"/>
      <c r="EJA8" s="16"/>
      <c r="EJB8" s="16"/>
      <c r="EJC8" s="16"/>
      <c r="EJD8" s="16"/>
      <c r="EJE8" s="16"/>
      <c r="EJF8" s="16"/>
      <c r="EJG8" s="16"/>
      <c r="EJH8" s="16"/>
      <c r="EJI8" s="16"/>
      <c r="EJJ8" s="16"/>
      <c r="EJK8" s="16"/>
      <c r="EJL8" s="16"/>
      <c r="EJM8" s="16"/>
      <c r="EJN8" s="16"/>
      <c r="EJO8" s="16"/>
      <c r="EJP8" s="16"/>
      <c r="EJQ8" s="16"/>
      <c r="EJR8" s="16"/>
      <c r="EJS8" s="16"/>
      <c r="EJT8" s="16"/>
      <c r="EJU8" s="16"/>
      <c r="EJV8" s="16"/>
      <c r="EJW8" s="16"/>
      <c r="EJX8" s="16"/>
      <c r="EJY8" s="16"/>
      <c r="EJZ8" s="16"/>
      <c r="EKA8" s="16"/>
      <c r="EKB8" s="16"/>
      <c r="EKC8" s="16"/>
      <c r="EKD8" s="16"/>
      <c r="EKE8" s="16"/>
      <c r="EKF8" s="16"/>
      <c r="EKG8" s="16"/>
      <c r="EKH8" s="16"/>
      <c r="EKI8" s="16"/>
      <c r="EKJ8" s="16"/>
      <c r="EKK8" s="16"/>
      <c r="EKL8" s="16"/>
      <c r="EKM8" s="16"/>
      <c r="EKN8" s="16"/>
      <c r="EKO8" s="16"/>
      <c r="EKP8" s="16"/>
      <c r="EKQ8" s="16"/>
      <c r="EKR8" s="16"/>
      <c r="EKS8" s="16"/>
      <c r="EKT8" s="16"/>
      <c r="EKU8" s="16"/>
      <c r="EKV8" s="16"/>
      <c r="EKW8" s="16"/>
      <c r="EKX8" s="16"/>
      <c r="EKY8" s="16"/>
      <c r="EKZ8" s="16"/>
      <c r="ELA8" s="16"/>
      <c r="ELB8" s="16"/>
      <c r="ELC8" s="16"/>
      <c r="ELD8" s="16"/>
      <c r="ELE8" s="16"/>
      <c r="ELF8" s="16"/>
      <c r="ELG8" s="16"/>
      <c r="ELH8" s="16"/>
      <c r="ELI8" s="16"/>
      <c r="ELJ8" s="16"/>
      <c r="ELK8" s="16"/>
      <c r="ELL8" s="16"/>
      <c r="ELM8" s="16"/>
      <c r="ELN8" s="16"/>
      <c r="ELO8" s="16"/>
      <c r="ELP8" s="16"/>
      <c r="ELQ8" s="16"/>
      <c r="ELR8" s="16"/>
      <c r="ELS8" s="16"/>
      <c r="ELT8" s="16"/>
      <c r="ELU8" s="16"/>
      <c r="ELV8" s="16"/>
      <c r="ELW8" s="16"/>
      <c r="ELX8" s="16"/>
      <c r="ELY8" s="16"/>
      <c r="ELZ8" s="16"/>
      <c r="EMA8" s="16"/>
      <c r="EMB8" s="16"/>
      <c r="EMC8" s="16"/>
      <c r="EMD8" s="16"/>
      <c r="EME8" s="16"/>
      <c r="EMF8" s="16"/>
      <c r="EMG8" s="16"/>
      <c r="EMH8" s="16"/>
      <c r="EMI8" s="16"/>
      <c r="EMJ8" s="16"/>
      <c r="EMK8" s="16"/>
      <c r="EML8" s="16"/>
      <c r="EMM8" s="16"/>
      <c r="EMN8" s="16"/>
      <c r="EMO8" s="16"/>
      <c r="EMP8" s="16"/>
      <c r="EMQ8" s="16"/>
      <c r="EMR8" s="16"/>
      <c r="EMS8" s="16"/>
      <c r="EMT8" s="16"/>
      <c r="EMU8" s="16"/>
      <c r="EMV8" s="16"/>
      <c r="EMW8" s="16"/>
      <c r="EMX8" s="16"/>
      <c r="EMY8" s="16"/>
      <c r="EMZ8" s="16"/>
      <c r="ENA8" s="16"/>
      <c r="ENB8" s="16"/>
      <c r="ENC8" s="16"/>
      <c r="END8" s="16"/>
      <c r="ENE8" s="16"/>
      <c r="ENF8" s="16"/>
      <c r="ENG8" s="16"/>
      <c r="ENH8" s="16"/>
      <c r="ENI8" s="16"/>
      <c r="ENJ8" s="16"/>
      <c r="ENK8" s="16"/>
      <c r="ENL8" s="16"/>
      <c r="ENM8" s="16"/>
      <c r="ENN8" s="16"/>
      <c r="ENO8" s="16"/>
      <c r="ENP8" s="16"/>
      <c r="ENQ8" s="16"/>
      <c r="ENR8" s="16"/>
      <c r="ENS8" s="16"/>
      <c r="ENT8" s="16"/>
      <c r="ENU8" s="16"/>
      <c r="ENV8" s="16"/>
      <c r="ENW8" s="16"/>
      <c r="ENX8" s="16"/>
      <c r="ENY8" s="16"/>
      <c r="ENZ8" s="16"/>
      <c r="EOA8" s="16"/>
      <c r="EOB8" s="16"/>
      <c r="EOC8" s="16"/>
      <c r="EOD8" s="16"/>
      <c r="EOE8" s="16"/>
      <c r="EOF8" s="16"/>
      <c r="EOG8" s="16"/>
      <c r="EOH8" s="16"/>
      <c r="EOI8" s="16"/>
      <c r="EOJ8" s="16"/>
      <c r="EOK8" s="16"/>
      <c r="EOL8" s="16"/>
      <c r="EOM8" s="16"/>
      <c r="EON8" s="16"/>
      <c r="EOO8" s="16"/>
      <c r="EOP8" s="16"/>
      <c r="EOQ8" s="16"/>
      <c r="EOR8" s="16"/>
      <c r="EOS8" s="16"/>
      <c r="EOT8" s="16"/>
      <c r="EOU8" s="16"/>
      <c r="EOV8" s="16"/>
      <c r="EOW8" s="16"/>
      <c r="EOX8" s="16"/>
      <c r="EOY8" s="16"/>
      <c r="EOZ8" s="16"/>
      <c r="EPA8" s="16"/>
      <c r="EPB8" s="16"/>
      <c r="EPC8" s="16"/>
      <c r="EPD8" s="16"/>
      <c r="EPE8" s="16"/>
      <c r="EPF8" s="16"/>
      <c r="EPG8" s="16"/>
      <c r="EPH8" s="16"/>
      <c r="EPI8" s="16"/>
      <c r="EPJ8" s="16"/>
      <c r="EPK8" s="16"/>
      <c r="EPL8" s="16"/>
      <c r="EPM8" s="16"/>
      <c r="EPN8" s="16"/>
      <c r="EPO8" s="16"/>
      <c r="EPP8" s="16"/>
      <c r="EPQ8" s="16"/>
      <c r="EPR8" s="16"/>
      <c r="EPS8" s="16"/>
      <c r="EPT8" s="16"/>
      <c r="EPU8" s="16"/>
      <c r="EPV8" s="16"/>
      <c r="EPW8" s="16"/>
      <c r="EPX8" s="16"/>
      <c r="EPY8" s="16"/>
      <c r="EPZ8" s="16"/>
      <c r="EQA8" s="16"/>
      <c r="EQB8" s="16"/>
      <c r="EQC8" s="16"/>
      <c r="EQD8" s="16"/>
      <c r="EQE8" s="16"/>
      <c r="EQF8" s="16"/>
      <c r="EQG8" s="16"/>
      <c r="EQH8" s="16"/>
      <c r="EQI8" s="16"/>
      <c r="EQJ8" s="16"/>
      <c r="EQK8" s="16"/>
      <c r="EQL8" s="16"/>
      <c r="EQM8" s="16"/>
      <c r="EQN8" s="16"/>
      <c r="EQO8" s="16"/>
      <c r="EQP8" s="16"/>
      <c r="EQQ8" s="16"/>
      <c r="EQR8" s="16"/>
      <c r="EQS8" s="16"/>
      <c r="EQT8" s="16"/>
      <c r="EQU8" s="16"/>
      <c r="EQV8" s="16"/>
      <c r="EQW8" s="16"/>
      <c r="EQX8" s="16"/>
      <c r="EQY8" s="16"/>
      <c r="EQZ8" s="16"/>
      <c r="ERA8" s="16"/>
      <c r="ERB8" s="16"/>
      <c r="ERC8" s="16"/>
      <c r="ERD8" s="16"/>
      <c r="ERE8" s="16"/>
      <c r="ERF8" s="16"/>
      <c r="ERG8" s="16"/>
      <c r="ERH8" s="16"/>
      <c r="ERI8" s="16"/>
      <c r="ERJ8" s="16"/>
      <c r="ERK8" s="16"/>
      <c r="ERL8" s="16"/>
      <c r="ERM8" s="16"/>
      <c r="ERN8" s="16"/>
      <c r="ERO8" s="16"/>
      <c r="ERP8" s="16"/>
      <c r="ERQ8" s="16"/>
      <c r="ERR8" s="16"/>
      <c r="ERS8" s="16"/>
      <c r="ERT8" s="16"/>
      <c r="ERU8" s="16"/>
      <c r="ERV8" s="16"/>
      <c r="ERW8" s="16"/>
      <c r="ERX8" s="16"/>
      <c r="ERY8" s="16"/>
      <c r="ERZ8" s="16"/>
      <c r="ESA8" s="16"/>
      <c r="ESB8" s="16"/>
      <c r="ESC8" s="16"/>
      <c r="ESD8" s="16"/>
      <c r="ESE8" s="16"/>
      <c r="ESF8" s="16"/>
      <c r="ESG8" s="16"/>
      <c r="ESH8" s="16"/>
      <c r="ESI8" s="16"/>
      <c r="ESJ8" s="16"/>
      <c r="ESK8" s="16"/>
      <c r="ESL8" s="16"/>
      <c r="ESM8" s="16"/>
      <c r="ESN8" s="16"/>
      <c r="ESO8" s="16"/>
      <c r="ESP8" s="16"/>
      <c r="ESQ8" s="16"/>
      <c r="ESR8" s="16"/>
      <c r="ESS8" s="16"/>
      <c r="EST8" s="16"/>
      <c r="ESU8" s="16"/>
      <c r="ESV8" s="16"/>
      <c r="ESW8" s="16"/>
      <c r="ESX8" s="16"/>
      <c r="ESY8" s="16"/>
      <c r="ESZ8" s="16"/>
      <c r="ETA8" s="16"/>
      <c r="ETB8" s="16"/>
      <c r="ETC8" s="16"/>
      <c r="ETD8" s="16"/>
      <c r="ETE8" s="16"/>
      <c r="ETF8" s="16"/>
      <c r="ETG8" s="16"/>
      <c r="ETH8" s="16"/>
      <c r="ETI8" s="16"/>
      <c r="ETJ8" s="16"/>
      <c r="ETK8" s="16"/>
      <c r="ETL8" s="16"/>
      <c r="ETM8" s="16"/>
      <c r="ETN8" s="16"/>
      <c r="ETO8" s="16"/>
      <c r="ETP8" s="16"/>
      <c r="ETQ8" s="16"/>
      <c r="ETR8" s="16"/>
      <c r="ETS8" s="16"/>
      <c r="ETT8" s="16"/>
      <c r="ETU8" s="16"/>
      <c r="ETV8" s="16"/>
      <c r="ETW8" s="16"/>
      <c r="ETX8" s="16"/>
      <c r="ETY8" s="16"/>
      <c r="ETZ8" s="16"/>
      <c r="EUA8" s="16"/>
      <c r="EUB8" s="16"/>
      <c r="EUC8" s="16"/>
      <c r="EUD8" s="16"/>
      <c r="EUE8" s="16"/>
      <c r="EUF8" s="16"/>
      <c r="EUG8" s="16"/>
      <c r="EUH8" s="16"/>
      <c r="EUI8" s="16"/>
      <c r="EUJ8" s="16"/>
      <c r="EUK8" s="16"/>
      <c r="EUL8" s="16"/>
      <c r="EUM8" s="16"/>
      <c r="EUN8" s="16"/>
      <c r="EUO8" s="16"/>
      <c r="EUP8" s="16"/>
      <c r="EUQ8" s="16"/>
      <c r="EUR8" s="16"/>
      <c r="EUS8" s="16"/>
      <c r="EUT8" s="16"/>
      <c r="EUU8" s="16"/>
      <c r="EUV8" s="16"/>
      <c r="EUW8" s="16"/>
      <c r="EUX8" s="16"/>
      <c r="EUY8" s="16"/>
      <c r="EUZ8" s="16"/>
      <c r="EVA8" s="16"/>
      <c r="EVB8" s="16"/>
      <c r="EVC8" s="16"/>
      <c r="EVD8" s="16"/>
      <c r="EVE8" s="16"/>
      <c r="EVF8" s="16"/>
      <c r="EVG8" s="16"/>
      <c r="EVH8" s="16"/>
      <c r="EVI8" s="16"/>
      <c r="EVJ8" s="16"/>
      <c r="EVK8" s="16"/>
      <c r="EVL8" s="16"/>
      <c r="EVM8" s="16"/>
      <c r="EVN8" s="16"/>
      <c r="EVO8" s="16"/>
      <c r="EVP8" s="16"/>
      <c r="EVQ8" s="16"/>
      <c r="EVR8" s="16"/>
      <c r="EVS8" s="16"/>
      <c r="EVT8" s="16"/>
      <c r="EVU8" s="16"/>
      <c r="EVV8" s="16"/>
      <c r="EVW8" s="16"/>
      <c r="EVX8" s="16"/>
      <c r="EVY8" s="16"/>
      <c r="EVZ8" s="16"/>
      <c r="EWA8" s="16"/>
      <c r="EWB8" s="16"/>
      <c r="EWC8" s="16"/>
      <c r="EWD8" s="16"/>
      <c r="EWE8" s="16"/>
      <c r="EWF8" s="16"/>
      <c r="EWG8" s="16"/>
      <c r="EWH8" s="16"/>
      <c r="EWI8" s="16"/>
      <c r="EWJ8" s="16"/>
      <c r="EWK8" s="16"/>
      <c r="EWL8" s="16"/>
      <c r="EWM8" s="16"/>
      <c r="EWN8" s="16"/>
      <c r="EWO8" s="16"/>
      <c r="EWP8" s="16"/>
      <c r="EWQ8" s="16"/>
      <c r="EWR8" s="16"/>
      <c r="EWS8" s="16"/>
      <c r="EWT8" s="16"/>
      <c r="EWU8" s="16"/>
      <c r="EWV8" s="16"/>
      <c r="EWW8" s="16"/>
      <c r="EWX8" s="16"/>
      <c r="EWY8" s="16"/>
      <c r="EWZ8" s="16"/>
      <c r="EXA8" s="16"/>
      <c r="EXB8" s="16"/>
      <c r="EXC8" s="16"/>
      <c r="EXD8" s="16"/>
      <c r="EXE8" s="16"/>
      <c r="EXF8" s="16"/>
      <c r="EXG8" s="16"/>
      <c r="EXH8" s="16"/>
      <c r="EXI8" s="16"/>
      <c r="EXJ8" s="16"/>
      <c r="EXK8" s="16"/>
      <c r="EXL8" s="16"/>
      <c r="EXM8" s="16"/>
      <c r="EXN8" s="16"/>
      <c r="EXO8" s="16"/>
      <c r="EXP8" s="16"/>
      <c r="EXQ8" s="16"/>
      <c r="EXR8" s="16"/>
      <c r="EXS8" s="16"/>
      <c r="EXT8" s="16"/>
      <c r="EXU8" s="16"/>
      <c r="EXV8" s="16"/>
      <c r="EXW8" s="16"/>
      <c r="EXX8" s="16"/>
      <c r="EXY8" s="16"/>
      <c r="EXZ8" s="16"/>
      <c r="EYA8" s="16"/>
      <c r="EYB8" s="16"/>
      <c r="EYC8" s="16"/>
      <c r="EYD8" s="16"/>
      <c r="EYE8" s="16"/>
      <c r="EYF8" s="16"/>
      <c r="EYG8" s="16"/>
      <c r="EYH8" s="16"/>
      <c r="EYI8" s="16"/>
      <c r="EYJ8" s="16"/>
      <c r="EYK8" s="16"/>
      <c r="EYL8" s="16"/>
      <c r="EYM8" s="16"/>
      <c r="EYN8" s="16"/>
      <c r="EYO8" s="16"/>
      <c r="EYP8" s="16"/>
      <c r="EYQ8" s="16"/>
      <c r="EYR8" s="16"/>
      <c r="EYS8" s="16"/>
      <c r="EYT8" s="16"/>
      <c r="EYU8" s="16"/>
      <c r="EYV8" s="16"/>
      <c r="EYW8" s="16"/>
      <c r="EYX8" s="16"/>
      <c r="EYY8" s="16"/>
      <c r="EYZ8" s="16"/>
      <c r="EZA8" s="16"/>
      <c r="EZB8" s="16"/>
      <c r="EZC8" s="16"/>
      <c r="EZD8" s="16"/>
      <c r="EZE8" s="16"/>
      <c r="EZF8" s="16"/>
      <c r="EZG8" s="16"/>
      <c r="EZH8" s="16"/>
      <c r="EZI8" s="16"/>
      <c r="EZJ8" s="16"/>
      <c r="EZK8" s="16"/>
      <c r="EZL8" s="16"/>
      <c r="EZM8" s="16"/>
      <c r="EZN8" s="16"/>
      <c r="EZO8" s="16"/>
      <c r="EZP8" s="16"/>
      <c r="EZQ8" s="16"/>
      <c r="EZR8" s="16"/>
      <c r="EZS8" s="16"/>
      <c r="EZT8" s="16"/>
      <c r="EZU8" s="16"/>
      <c r="EZV8" s="16"/>
      <c r="EZW8" s="16"/>
      <c r="EZX8" s="16"/>
      <c r="EZY8" s="16"/>
      <c r="EZZ8" s="16"/>
      <c r="FAA8" s="16"/>
      <c r="FAB8" s="16"/>
      <c r="FAC8" s="16"/>
      <c r="FAD8" s="16"/>
      <c r="FAE8" s="16"/>
      <c r="FAF8" s="16"/>
      <c r="FAG8" s="16"/>
      <c r="FAH8" s="16"/>
      <c r="FAI8" s="16"/>
      <c r="FAJ8" s="16"/>
      <c r="FAK8" s="16"/>
      <c r="FAL8" s="16"/>
      <c r="FAM8" s="16"/>
      <c r="FAN8" s="16"/>
      <c r="FAO8" s="16"/>
      <c r="FAP8" s="16"/>
      <c r="FAQ8" s="16"/>
      <c r="FAR8" s="16"/>
      <c r="FAS8" s="16"/>
      <c r="FAT8" s="16"/>
      <c r="FAU8" s="16"/>
      <c r="FAV8" s="16"/>
      <c r="FAW8" s="16"/>
      <c r="FAX8" s="16"/>
      <c r="FAY8" s="16"/>
      <c r="FAZ8" s="16"/>
      <c r="FBA8" s="16"/>
      <c r="FBB8" s="16"/>
      <c r="FBC8" s="16"/>
      <c r="FBD8" s="16"/>
      <c r="FBE8" s="16"/>
      <c r="FBF8" s="16"/>
      <c r="FBG8" s="16"/>
      <c r="FBH8" s="16"/>
      <c r="FBI8" s="16"/>
      <c r="FBJ8" s="16"/>
      <c r="FBK8" s="16"/>
      <c r="FBL8" s="16"/>
      <c r="FBM8" s="16"/>
      <c r="FBN8" s="16"/>
      <c r="FBO8" s="16"/>
      <c r="FBP8" s="16"/>
      <c r="FBQ8" s="16"/>
      <c r="FBR8" s="16"/>
      <c r="FBS8" s="16"/>
      <c r="FBT8" s="16"/>
      <c r="FBU8" s="16"/>
      <c r="FBV8" s="16"/>
      <c r="FBW8" s="16"/>
      <c r="FBX8" s="16"/>
      <c r="FBY8" s="16"/>
      <c r="FBZ8" s="16"/>
      <c r="FCA8" s="16"/>
      <c r="FCB8" s="16"/>
      <c r="FCC8" s="16"/>
      <c r="FCD8" s="16"/>
      <c r="FCE8" s="16"/>
      <c r="FCF8" s="16"/>
      <c r="FCG8" s="16"/>
      <c r="FCH8" s="16"/>
      <c r="FCI8" s="16"/>
      <c r="FCJ8" s="16"/>
      <c r="FCK8" s="16"/>
      <c r="FCL8" s="16"/>
      <c r="FCM8" s="16"/>
      <c r="FCN8" s="16"/>
      <c r="FCO8" s="16"/>
      <c r="FCP8" s="16"/>
      <c r="FCQ8" s="16"/>
      <c r="FCR8" s="16"/>
      <c r="FCS8" s="16"/>
      <c r="FCT8" s="16"/>
      <c r="FCU8" s="16"/>
      <c r="FCV8" s="16"/>
      <c r="FCW8" s="16"/>
      <c r="FCX8" s="16"/>
      <c r="FCY8" s="16"/>
      <c r="FCZ8" s="16"/>
      <c r="FDA8" s="16"/>
      <c r="FDB8" s="16"/>
      <c r="FDC8" s="16"/>
      <c r="FDD8" s="16"/>
      <c r="FDE8" s="16"/>
      <c r="FDF8" s="16"/>
      <c r="FDG8" s="16"/>
      <c r="FDH8" s="16"/>
      <c r="FDI8" s="16"/>
      <c r="FDJ8" s="16"/>
      <c r="FDK8" s="16"/>
      <c r="FDL8" s="16"/>
      <c r="FDM8" s="16"/>
      <c r="FDN8" s="16"/>
      <c r="FDO8" s="16"/>
      <c r="FDP8" s="16"/>
      <c r="FDQ8" s="16"/>
      <c r="FDR8" s="16"/>
      <c r="FDS8" s="16"/>
      <c r="FDT8" s="16"/>
      <c r="FDU8" s="16"/>
      <c r="FDV8" s="16"/>
      <c r="FDW8" s="16"/>
      <c r="FDX8" s="16"/>
      <c r="FDY8" s="16"/>
      <c r="FDZ8" s="16"/>
      <c r="FEA8" s="16"/>
      <c r="FEB8" s="16"/>
      <c r="FEC8" s="16"/>
      <c r="FED8" s="16"/>
      <c r="FEE8" s="16"/>
      <c r="FEF8" s="16"/>
      <c r="FEG8" s="16"/>
      <c r="FEH8" s="16"/>
      <c r="FEI8" s="16"/>
      <c r="FEJ8" s="16"/>
      <c r="FEK8" s="16"/>
      <c r="FEL8" s="16"/>
      <c r="FEM8" s="16"/>
      <c r="FEN8" s="16"/>
      <c r="FEO8" s="16"/>
      <c r="FEP8" s="16"/>
      <c r="FEQ8" s="16"/>
      <c r="FER8" s="16"/>
      <c r="FES8" s="16"/>
      <c r="FET8" s="16"/>
      <c r="FEU8" s="16"/>
      <c r="FEV8" s="16"/>
      <c r="FEW8" s="16"/>
      <c r="FEX8" s="16"/>
      <c r="FEY8" s="16"/>
      <c r="FEZ8" s="16"/>
      <c r="FFA8" s="16"/>
      <c r="FFB8" s="16"/>
      <c r="FFC8" s="16"/>
      <c r="FFD8" s="16"/>
      <c r="FFE8" s="16"/>
      <c r="FFF8" s="16"/>
      <c r="FFG8" s="16"/>
      <c r="FFH8" s="16"/>
      <c r="FFI8" s="16"/>
      <c r="FFJ8" s="16"/>
      <c r="FFK8" s="16"/>
      <c r="FFL8" s="16"/>
      <c r="FFM8" s="16"/>
      <c r="FFN8" s="16"/>
      <c r="FFO8" s="16"/>
      <c r="FFP8" s="16"/>
      <c r="FFQ8" s="16"/>
      <c r="FFR8" s="16"/>
      <c r="FFS8" s="16"/>
      <c r="FFT8" s="16"/>
      <c r="FFU8" s="16"/>
      <c r="FFV8" s="16"/>
      <c r="FFW8" s="16"/>
      <c r="FFX8" s="16"/>
      <c r="FFY8" s="16"/>
      <c r="FFZ8" s="16"/>
      <c r="FGA8" s="16"/>
      <c r="FGB8" s="16"/>
      <c r="FGC8" s="16"/>
      <c r="FGD8" s="16"/>
      <c r="FGE8" s="16"/>
      <c r="FGF8" s="16"/>
      <c r="FGG8" s="16"/>
      <c r="FGH8" s="16"/>
      <c r="FGI8" s="16"/>
      <c r="FGJ8" s="16"/>
      <c r="FGK8" s="16"/>
      <c r="FGL8" s="16"/>
      <c r="FGM8" s="16"/>
      <c r="FGN8" s="16"/>
      <c r="FGO8" s="16"/>
      <c r="FGP8" s="16"/>
      <c r="FGQ8" s="16"/>
      <c r="FGR8" s="16"/>
      <c r="FGS8" s="16"/>
      <c r="FGT8" s="16"/>
      <c r="FGU8" s="16"/>
      <c r="FGV8" s="16"/>
      <c r="FGW8" s="16"/>
      <c r="FGX8" s="16"/>
      <c r="FGY8" s="16"/>
      <c r="FGZ8" s="16"/>
      <c r="FHA8" s="16"/>
      <c r="FHB8" s="16"/>
      <c r="FHC8" s="16"/>
      <c r="FHD8" s="16"/>
      <c r="FHE8" s="16"/>
      <c r="FHF8" s="16"/>
      <c r="FHG8" s="16"/>
      <c r="FHH8" s="16"/>
      <c r="FHI8" s="16"/>
      <c r="FHJ8" s="16"/>
      <c r="FHK8" s="16"/>
      <c r="FHL8" s="16"/>
      <c r="FHM8" s="16"/>
      <c r="FHN8" s="16"/>
      <c r="FHO8" s="16"/>
      <c r="FHP8" s="16"/>
      <c r="FHQ8" s="16"/>
      <c r="FHR8" s="16"/>
      <c r="FHS8" s="16"/>
      <c r="FHT8" s="16"/>
      <c r="FHU8" s="16"/>
      <c r="FHV8" s="16"/>
      <c r="FHW8" s="16"/>
      <c r="FHX8" s="16"/>
      <c r="FHY8" s="16"/>
      <c r="FHZ8" s="16"/>
      <c r="FIA8" s="16"/>
      <c r="FIB8" s="16"/>
      <c r="FIC8" s="16"/>
      <c r="FID8" s="16"/>
      <c r="FIE8" s="16"/>
      <c r="FIF8" s="16"/>
      <c r="FIG8" s="16"/>
      <c r="FIH8" s="16"/>
      <c r="FII8" s="16"/>
      <c r="FIJ8" s="16"/>
      <c r="FIK8" s="16"/>
      <c r="FIL8" s="16"/>
      <c r="FIM8" s="16"/>
      <c r="FIN8" s="16"/>
      <c r="FIO8" s="16"/>
      <c r="FIP8" s="16"/>
      <c r="FIQ8" s="16"/>
      <c r="FIR8" s="16"/>
      <c r="FIS8" s="16"/>
      <c r="FIT8" s="16"/>
      <c r="FIU8" s="16"/>
      <c r="FIV8" s="16"/>
      <c r="FIW8" s="16"/>
      <c r="FIX8" s="16"/>
      <c r="FIY8" s="16"/>
      <c r="FIZ8" s="16"/>
      <c r="FJA8" s="16"/>
      <c r="FJB8" s="16"/>
      <c r="FJC8" s="16"/>
      <c r="FJD8" s="16"/>
      <c r="FJE8" s="16"/>
      <c r="FJF8" s="16"/>
      <c r="FJG8" s="16"/>
      <c r="FJH8" s="16"/>
      <c r="FJI8" s="16"/>
      <c r="FJJ8" s="16"/>
      <c r="FJK8" s="16"/>
      <c r="FJL8" s="16"/>
      <c r="FJM8" s="16"/>
      <c r="FJN8" s="16"/>
      <c r="FJO8" s="16"/>
      <c r="FJP8" s="16"/>
      <c r="FJQ8" s="16"/>
      <c r="FJR8" s="16"/>
      <c r="FJS8" s="16"/>
      <c r="FJT8" s="16"/>
      <c r="FJU8" s="16"/>
      <c r="FJV8" s="16"/>
      <c r="FJW8" s="16"/>
      <c r="FJX8" s="16"/>
      <c r="FJY8" s="16"/>
      <c r="FJZ8" s="16"/>
      <c r="FKA8" s="16"/>
      <c r="FKB8" s="16"/>
      <c r="FKC8" s="16"/>
      <c r="FKD8" s="16"/>
      <c r="FKE8" s="16"/>
      <c r="FKF8" s="16"/>
      <c r="FKG8" s="16"/>
      <c r="FKH8" s="16"/>
      <c r="FKI8" s="16"/>
      <c r="FKJ8" s="16"/>
      <c r="FKK8" s="16"/>
      <c r="FKL8" s="16"/>
      <c r="FKM8" s="16"/>
      <c r="FKN8" s="16"/>
      <c r="FKO8" s="16"/>
      <c r="FKP8" s="16"/>
      <c r="FKQ8" s="16"/>
      <c r="FKR8" s="16"/>
      <c r="FKS8" s="16"/>
      <c r="FKT8" s="16"/>
      <c r="FKU8" s="16"/>
      <c r="FKV8" s="16"/>
      <c r="FKW8" s="16"/>
      <c r="FKX8" s="16"/>
      <c r="FKY8" s="16"/>
      <c r="FKZ8" s="16"/>
      <c r="FLA8" s="16"/>
      <c r="FLB8" s="16"/>
      <c r="FLC8" s="16"/>
      <c r="FLD8" s="16"/>
      <c r="FLE8" s="16"/>
      <c r="FLF8" s="16"/>
      <c r="FLG8" s="16"/>
      <c r="FLH8" s="16"/>
      <c r="FLI8" s="16"/>
      <c r="FLJ8" s="16"/>
      <c r="FLK8" s="16"/>
      <c r="FLL8" s="16"/>
      <c r="FLM8" s="16"/>
      <c r="FLN8" s="16"/>
      <c r="FLO8" s="16"/>
      <c r="FLP8" s="16"/>
      <c r="FLQ8" s="16"/>
      <c r="FLR8" s="16"/>
      <c r="FLS8" s="16"/>
      <c r="FLT8" s="16"/>
      <c r="FLU8" s="16"/>
      <c r="FLV8" s="16"/>
      <c r="FLW8" s="16"/>
      <c r="FLX8" s="16"/>
      <c r="FLY8" s="16"/>
      <c r="FLZ8" s="16"/>
      <c r="FMA8" s="16"/>
      <c r="FMB8" s="16"/>
      <c r="FMC8" s="16"/>
      <c r="FMD8" s="16"/>
      <c r="FME8" s="16"/>
      <c r="FMF8" s="16"/>
      <c r="FMG8" s="16"/>
      <c r="FMH8" s="16"/>
      <c r="FMI8" s="16"/>
      <c r="FMJ8" s="16"/>
      <c r="FMK8" s="16"/>
      <c r="FML8" s="16"/>
      <c r="FMM8" s="16"/>
      <c r="FMN8" s="16"/>
      <c r="FMO8" s="16"/>
      <c r="FMP8" s="16"/>
      <c r="FMQ8" s="16"/>
      <c r="FMR8" s="16"/>
      <c r="FMS8" s="16"/>
      <c r="FMT8" s="16"/>
      <c r="FMU8" s="16"/>
      <c r="FMV8" s="16"/>
      <c r="FMW8" s="16"/>
      <c r="FMX8" s="16"/>
      <c r="FMY8" s="16"/>
      <c r="FMZ8" s="16"/>
      <c r="FNA8" s="16"/>
      <c r="FNB8" s="16"/>
      <c r="FNC8" s="16"/>
      <c r="FND8" s="16"/>
      <c r="FNE8" s="16"/>
      <c r="FNF8" s="16"/>
      <c r="FNG8" s="16"/>
      <c r="FNH8" s="16"/>
      <c r="FNI8" s="16"/>
      <c r="FNJ8" s="16"/>
      <c r="FNK8" s="16"/>
      <c r="FNL8" s="16"/>
      <c r="FNM8" s="16"/>
      <c r="FNN8" s="16"/>
      <c r="FNO8" s="16"/>
      <c r="FNP8" s="16"/>
      <c r="FNQ8" s="16"/>
      <c r="FNR8" s="16"/>
      <c r="FNS8" s="16"/>
      <c r="FNT8" s="16"/>
      <c r="FNU8" s="16"/>
      <c r="FNV8" s="16"/>
      <c r="FNW8" s="16"/>
      <c r="FNX8" s="16"/>
      <c r="FNY8" s="16"/>
      <c r="FNZ8" s="16"/>
      <c r="FOA8" s="16"/>
      <c r="FOB8" s="16"/>
      <c r="FOC8" s="16"/>
      <c r="FOD8" s="16"/>
      <c r="FOE8" s="16"/>
      <c r="FOF8" s="16"/>
      <c r="FOG8" s="16"/>
      <c r="FOH8" s="16"/>
      <c r="FOI8" s="16"/>
      <c r="FOJ8" s="16"/>
      <c r="FOK8" s="16"/>
      <c r="FOL8" s="16"/>
      <c r="FOM8" s="16"/>
      <c r="FON8" s="16"/>
      <c r="FOO8" s="16"/>
      <c r="FOP8" s="16"/>
      <c r="FOQ8" s="16"/>
      <c r="FOR8" s="16"/>
      <c r="FOS8" s="16"/>
      <c r="FOT8" s="16"/>
      <c r="FOU8" s="16"/>
      <c r="FOV8" s="16"/>
      <c r="FOW8" s="16"/>
      <c r="FOX8" s="16"/>
      <c r="FOY8" s="16"/>
      <c r="FOZ8" s="16"/>
      <c r="FPA8" s="16"/>
      <c r="FPB8" s="16"/>
      <c r="FPC8" s="16"/>
      <c r="FPD8" s="16"/>
      <c r="FPE8" s="16"/>
      <c r="FPF8" s="16"/>
      <c r="FPG8" s="16"/>
      <c r="FPH8" s="16"/>
      <c r="FPI8" s="16"/>
      <c r="FPJ8" s="16"/>
      <c r="FPK8" s="16"/>
      <c r="FPL8" s="16"/>
      <c r="FPM8" s="16"/>
      <c r="FPN8" s="16"/>
      <c r="FPO8" s="16"/>
      <c r="FPP8" s="16"/>
      <c r="FPQ8" s="16"/>
      <c r="FPR8" s="16"/>
      <c r="FPS8" s="16"/>
      <c r="FPT8" s="16"/>
      <c r="FPU8" s="16"/>
      <c r="FPV8" s="16"/>
      <c r="FPW8" s="16"/>
      <c r="FPX8" s="16"/>
      <c r="FPY8" s="16"/>
      <c r="FPZ8" s="16"/>
      <c r="FQA8" s="16"/>
      <c r="FQB8" s="16"/>
      <c r="FQC8" s="16"/>
      <c r="FQD8" s="16"/>
      <c r="FQE8" s="16"/>
      <c r="FQF8" s="16"/>
      <c r="FQG8" s="16"/>
      <c r="FQH8" s="16"/>
      <c r="FQI8" s="16"/>
      <c r="FQJ8" s="16"/>
      <c r="FQK8" s="16"/>
      <c r="FQL8" s="16"/>
      <c r="FQM8" s="16"/>
      <c r="FQN8" s="16"/>
      <c r="FQO8" s="16"/>
      <c r="FQP8" s="16"/>
      <c r="FQQ8" s="16"/>
      <c r="FQR8" s="16"/>
      <c r="FQS8" s="16"/>
      <c r="FQT8" s="16"/>
      <c r="FQU8" s="16"/>
      <c r="FQV8" s="16"/>
      <c r="FQW8" s="16"/>
      <c r="FQX8" s="16"/>
      <c r="FQY8" s="16"/>
      <c r="FQZ8" s="16"/>
      <c r="FRA8" s="16"/>
      <c r="FRB8" s="16"/>
      <c r="FRC8" s="16"/>
      <c r="FRD8" s="16"/>
      <c r="FRE8" s="16"/>
      <c r="FRF8" s="16"/>
      <c r="FRG8" s="16"/>
      <c r="FRH8" s="16"/>
      <c r="FRI8" s="16"/>
      <c r="FRJ8" s="16"/>
      <c r="FRK8" s="16"/>
      <c r="FRL8" s="16"/>
      <c r="FRM8" s="16"/>
      <c r="FRN8" s="16"/>
      <c r="FRO8" s="16"/>
      <c r="FRP8" s="16"/>
      <c r="FRQ8" s="16"/>
      <c r="FRR8" s="16"/>
      <c r="FRS8" s="16"/>
      <c r="FRT8" s="16"/>
      <c r="FRU8" s="16"/>
      <c r="FRV8" s="16"/>
      <c r="FRW8" s="16"/>
      <c r="FRX8" s="16"/>
      <c r="FRY8" s="16"/>
      <c r="FRZ8" s="16"/>
      <c r="FSA8" s="16"/>
      <c r="FSB8" s="16"/>
      <c r="FSC8" s="16"/>
      <c r="FSD8" s="16"/>
      <c r="FSE8" s="16"/>
      <c r="FSF8" s="16"/>
      <c r="FSG8" s="16"/>
      <c r="FSH8" s="16"/>
      <c r="FSI8" s="16"/>
      <c r="FSJ8" s="16"/>
      <c r="FSK8" s="16"/>
      <c r="FSL8" s="16"/>
      <c r="FSM8" s="16"/>
      <c r="FSN8" s="16"/>
      <c r="FSO8" s="16"/>
      <c r="FSP8" s="16"/>
      <c r="FSQ8" s="16"/>
      <c r="FSR8" s="16"/>
      <c r="FSS8" s="16"/>
      <c r="FST8" s="16"/>
      <c r="FSU8" s="16"/>
      <c r="FSV8" s="16"/>
      <c r="FSW8" s="16"/>
      <c r="FSX8" s="16"/>
      <c r="FSY8" s="16"/>
      <c r="FSZ8" s="16"/>
      <c r="FTA8" s="16"/>
      <c r="FTB8" s="16"/>
      <c r="FTC8" s="16"/>
      <c r="FTD8" s="16"/>
      <c r="FTE8" s="16"/>
      <c r="FTF8" s="16"/>
      <c r="FTG8" s="16"/>
      <c r="FTH8" s="16"/>
      <c r="FTI8" s="16"/>
      <c r="FTJ8" s="16"/>
      <c r="FTK8" s="16"/>
      <c r="FTL8" s="16"/>
      <c r="FTM8" s="16"/>
      <c r="FTN8" s="16"/>
      <c r="FTO8" s="16"/>
      <c r="FTP8" s="16"/>
      <c r="FTQ8" s="16"/>
      <c r="FTR8" s="16"/>
      <c r="FTS8" s="16"/>
      <c r="FTT8" s="16"/>
      <c r="FTU8" s="16"/>
      <c r="FTV8" s="16"/>
      <c r="FTW8" s="16"/>
      <c r="FTX8" s="16"/>
      <c r="FTY8" s="16"/>
      <c r="FTZ8" s="16"/>
      <c r="FUA8" s="16"/>
      <c r="FUB8" s="16"/>
      <c r="FUC8" s="16"/>
      <c r="FUD8" s="16"/>
      <c r="FUE8" s="16"/>
      <c r="FUF8" s="16"/>
      <c r="FUG8" s="16"/>
      <c r="FUH8" s="16"/>
      <c r="FUI8" s="16"/>
      <c r="FUJ8" s="16"/>
      <c r="FUK8" s="16"/>
      <c r="FUL8" s="16"/>
      <c r="FUM8" s="16"/>
      <c r="FUN8" s="16"/>
      <c r="FUO8" s="16"/>
      <c r="FUP8" s="16"/>
      <c r="FUQ8" s="16"/>
      <c r="FUR8" s="16"/>
      <c r="FUS8" s="16"/>
      <c r="FUT8" s="16"/>
      <c r="FUU8" s="16"/>
      <c r="FUV8" s="16"/>
      <c r="FUW8" s="16"/>
      <c r="FUX8" s="16"/>
      <c r="FUY8" s="16"/>
      <c r="FUZ8" s="16"/>
      <c r="FVA8" s="16"/>
      <c r="FVB8" s="16"/>
      <c r="FVC8" s="16"/>
      <c r="FVD8" s="16"/>
      <c r="FVE8" s="16"/>
      <c r="FVF8" s="16"/>
      <c r="FVG8" s="16"/>
      <c r="FVH8" s="16"/>
      <c r="FVI8" s="16"/>
      <c r="FVJ8" s="16"/>
      <c r="FVK8" s="16"/>
      <c r="FVL8" s="16"/>
      <c r="FVM8" s="16"/>
      <c r="FVN8" s="16"/>
      <c r="FVO8" s="16"/>
      <c r="FVP8" s="16"/>
      <c r="FVQ8" s="16"/>
      <c r="FVR8" s="16"/>
      <c r="FVS8" s="16"/>
      <c r="FVT8" s="16"/>
      <c r="FVU8" s="16"/>
      <c r="FVV8" s="16"/>
      <c r="FVW8" s="16"/>
      <c r="FVX8" s="16"/>
      <c r="FVY8" s="16"/>
      <c r="FVZ8" s="16"/>
      <c r="FWA8" s="16"/>
      <c r="FWB8" s="16"/>
      <c r="FWC8" s="16"/>
      <c r="FWD8" s="16"/>
      <c r="FWE8" s="16"/>
      <c r="FWF8" s="16"/>
      <c r="FWG8" s="16"/>
      <c r="FWH8" s="16"/>
      <c r="FWI8" s="16"/>
      <c r="FWJ8" s="16"/>
      <c r="FWK8" s="16"/>
      <c r="FWL8" s="16"/>
      <c r="FWM8" s="16"/>
      <c r="FWN8" s="16"/>
      <c r="FWO8" s="16"/>
      <c r="FWP8" s="16"/>
      <c r="FWQ8" s="16"/>
      <c r="FWR8" s="16"/>
      <c r="FWS8" s="16"/>
      <c r="FWT8" s="16"/>
      <c r="FWU8" s="16"/>
      <c r="FWV8" s="16"/>
      <c r="FWW8" s="16"/>
      <c r="FWX8" s="16"/>
      <c r="FWY8" s="16"/>
      <c r="FWZ8" s="16"/>
      <c r="FXA8" s="16"/>
      <c r="FXB8" s="16"/>
      <c r="FXC8" s="16"/>
      <c r="FXD8" s="16"/>
      <c r="FXE8" s="16"/>
      <c r="FXF8" s="16"/>
      <c r="FXG8" s="16"/>
      <c r="FXH8" s="16"/>
      <c r="FXI8" s="16"/>
      <c r="FXJ8" s="16"/>
      <c r="FXK8" s="16"/>
      <c r="FXL8" s="16"/>
      <c r="FXM8" s="16"/>
      <c r="FXN8" s="16"/>
      <c r="FXO8" s="16"/>
      <c r="FXP8" s="16"/>
      <c r="FXQ8" s="16"/>
      <c r="FXR8" s="16"/>
      <c r="FXS8" s="16"/>
      <c r="FXT8" s="16"/>
      <c r="FXU8" s="16"/>
      <c r="FXV8" s="16"/>
      <c r="FXW8" s="16"/>
      <c r="FXX8" s="16"/>
      <c r="FXY8" s="16"/>
      <c r="FXZ8" s="16"/>
      <c r="FYA8" s="16"/>
      <c r="FYB8" s="16"/>
      <c r="FYC8" s="16"/>
      <c r="FYD8" s="16"/>
      <c r="FYE8" s="16"/>
      <c r="FYF8" s="16"/>
      <c r="FYG8" s="16"/>
      <c r="FYH8" s="16"/>
      <c r="FYI8" s="16"/>
      <c r="FYJ8" s="16"/>
      <c r="FYK8" s="16"/>
      <c r="FYL8" s="16"/>
      <c r="FYM8" s="16"/>
      <c r="FYN8" s="16"/>
      <c r="FYO8" s="16"/>
      <c r="FYP8" s="16"/>
      <c r="FYQ8" s="16"/>
      <c r="FYR8" s="16"/>
      <c r="FYS8" s="16"/>
      <c r="FYT8" s="16"/>
      <c r="FYU8" s="16"/>
      <c r="FYV8" s="16"/>
      <c r="FYW8" s="16"/>
      <c r="FYX8" s="16"/>
      <c r="FYY8" s="16"/>
      <c r="FYZ8" s="16"/>
      <c r="FZA8" s="16"/>
      <c r="FZB8" s="16"/>
      <c r="FZC8" s="16"/>
      <c r="FZD8" s="16"/>
      <c r="FZE8" s="16"/>
      <c r="FZF8" s="16"/>
      <c r="FZG8" s="16"/>
      <c r="FZH8" s="16"/>
      <c r="FZI8" s="16"/>
      <c r="FZJ8" s="16"/>
      <c r="FZK8" s="16"/>
      <c r="FZL8" s="16"/>
      <c r="FZM8" s="16"/>
      <c r="FZN8" s="16"/>
      <c r="FZO8" s="16"/>
      <c r="FZP8" s="16"/>
      <c r="FZQ8" s="16"/>
      <c r="FZR8" s="16"/>
      <c r="FZS8" s="16"/>
      <c r="FZT8" s="16"/>
      <c r="FZU8" s="16"/>
      <c r="FZV8" s="16"/>
      <c r="FZW8" s="16"/>
      <c r="FZX8" s="16"/>
      <c r="FZY8" s="16"/>
      <c r="FZZ8" s="16"/>
      <c r="GAA8" s="16"/>
      <c r="GAB8" s="16"/>
      <c r="GAC8" s="16"/>
      <c r="GAD8" s="16"/>
      <c r="GAE8" s="16"/>
      <c r="GAF8" s="16"/>
      <c r="GAG8" s="16"/>
      <c r="GAH8" s="16"/>
      <c r="GAI8" s="16"/>
      <c r="GAJ8" s="16"/>
      <c r="GAK8" s="16"/>
      <c r="GAL8" s="16"/>
      <c r="GAM8" s="16"/>
      <c r="GAN8" s="16"/>
      <c r="GAO8" s="16"/>
      <c r="GAP8" s="16"/>
      <c r="GAQ8" s="16"/>
      <c r="GAR8" s="16"/>
      <c r="GAS8" s="16"/>
      <c r="GAT8" s="16"/>
      <c r="GAU8" s="16"/>
      <c r="GAV8" s="16"/>
      <c r="GAW8" s="16"/>
      <c r="GAX8" s="16"/>
      <c r="GAY8" s="16"/>
      <c r="GAZ8" s="16"/>
      <c r="GBA8" s="16"/>
      <c r="GBB8" s="16"/>
      <c r="GBC8" s="16"/>
      <c r="GBD8" s="16"/>
      <c r="GBE8" s="16"/>
      <c r="GBF8" s="16"/>
      <c r="GBG8" s="16"/>
      <c r="GBH8" s="16"/>
      <c r="GBI8" s="16"/>
      <c r="GBJ8" s="16"/>
      <c r="GBK8" s="16"/>
      <c r="GBL8" s="16"/>
      <c r="GBM8" s="16"/>
      <c r="GBN8" s="16"/>
      <c r="GBO8" s="16"/>
      <c r="GBP8" s="16"/>
      <c r="GBQ8" s="16"/>
      <c r="GBR8" s="16"/>
      <c r="GBS8" s="16"/>
      <c r="GBT8" s="16"/>
      <c r="GBU8" s="16"/>
      <c r="GBV8" s="16"/>
      <c r="GBW8" s="16"/>
      <c r="GBX8" s="16"/>
      <c r="GBY8" s="16"/>
      <c r="GBZ8" s="16"/>
      <c r="GCA8" s="16"/>
      <c r="GCB8" s="16"/>
      <c r="GCC8" s="16"/>
      <c r="GCD8" s="16"/>
      <c r="GCE8" s="16"/>
      <c r="GCF8" s="16"/>
      <c r="GCG8" s="16"/>
      <c r="GCH8" s="16"/>
      <c r="GCI8" s="16"/>
      <c r="GCJ8" s="16"/>
      <c r="GCK8" s="16"/>
      <c r="GCL8" s="16"/>
      <c r="GCM8" s="16"/>
      <c r="GCN8" s="16"/>
      <c r="GCO8" s="16"/>
      <c r="GCP8" s="16"/>
      <c r="GCQ8" s="16"/>
      <c r="GCR8" s="16"/>
      <c r="GCS8" s="16"/>
      <c r="GCT8" s="16"/>
      <c r="GCU8" s="16"/>
      <c r="GCV8" s="16"/>
      <c r="GCW8" s="16"/>
      <c r="GCX8" s="16"/>
      <c r="GCY8" s="16"/>
      <c r="GCZ8" s="16"/>
      <c r="GDA8" s="16"/>
      <c r="GDB8" s="16"/>
      <c r="GDC8" s="16"/>
      <c r="GDD8" s="16"/>
      <c r="GDE8" s="16"/>
      <c r="GDF8" s="16"/>
      <c r="GDG8" s="16"/>
      <c r="GDH8" s="16"/>
      <c r="GDI8" s="16"/>
      <c r="GDJ8" s="16"/>
      <c r="GDK8" s="16"/>
      <c r="GDL8" s="16"/>
      <c r="GDM8" s="16"/>
      <c r="GDN8" s="16"/>
      <c r="GDO8" s="16"/>
      <c r="GDP8" s="16"/>
      <c r="GDQ8" s="16"/>
      <c r="GDR8" s="16"/>
      <c r="GDS8" s="16"/>
      <c r="GDT8" s="16"/>
      <c r="GDU8" s="16"/>
      <c r="GDV8" s="16"/>
      <c r="GDW8" s="16"/>
      <c r="GDX8" s="16"/>
      <c r="GDY8" s="16"/>
      <c r="GDZ8" s="16"/>
      <c r="GEA8" s="16"/>
      <c r="GEB8" s="16"/>
      <c r="GEC8" s="16"/>
      <c r="GED8" s="16"/>
      <c r="GEE8" s="16"/>
      <c r="GEF8" s="16"/>
      <c r="GEG8" s="16"/>
      <c r="GEH8" s="16"/>
      <c r="GEI8" s="16"/>
      <c r="GEJ8" s="16"/>
      <c r="GEK8" s="16"/>
      <c r="GEL8" s="16"/>
      <c r="GEM8" s="16"/>
      <c r="GEN8" s="16"/>
      <c r="GEO8" s="16"/>
      <c r="GEP8" s="16"/>
      <c r="GEQ8" s="16"/>
      <c r="GER8" s="16"/>
      <c r="GES8" s="16"/>
      <c r="GET8" s="16"/>
      <c r="GEU8" s="16"/>
      <c r="GEV8" s="16"/>
      <c r="GEW8" s="16"/>
      <c r="GEX8" s="16"/>
      <c r="GEY8" s="16"/>
      <c r="GEZ8" s="16"/>
      <c r="GFA8" s="16"/>
      <c r="GFB8" s="16"/>
      <c r="GFC8" s="16"/>
      <c r="GFD8" s="16"/>
      <c r="GFE8" s="16"/>
      <c r="GFF8" s="16"/>
      <c r="GFG8" s="16"/>
      <c r="GFH8" s="16"/>
      <c r="GFI8" s="16"/>
      <c r="GFJ8" s="16"/>
      <c r="GFK8" s="16"/>
      <c r="GFL8" s="16"/>
      <c r="GFM8" s="16"/>
      <c r="GFN8" s="16"/>
      <c r="GFO8" s="16"/>
      <c r="GFP8" s="16"/>
      <c r="GFQ8" s="16"/>
      <c r="GFR8" s="16"/>
      <c r="GFS8" s="16"/>
      <c r="GFT8" s="16"/>
      <c r="GFU8" s="16"/>
      <c r="GFV8" s="16"/>
      <c r="GFW8" s="16"/>
      <c r="GFX8" s="16"/>
      <c r="GFY8" s="16"/>
      <c r="GFZ8" s="16"/>
      <c r="GGA8" s="16"/>
      <c r="GGB8" s="16"/>
      <c r="GGC8" s="16"/>
      <c r="GGD8" s="16"/>
      <c r="GGE8" s="16"/>
      <c r="GGF8" s="16"/>
      <c r="GGG8" s="16"/>
      <c r="GGH8" s="16"/>
      <c r="GGI8" s="16"/>
      <c r="GGJ8" s="16"/>
      <c r="GGK8" s="16"/>
      <c r="GGL8" s="16"/>
      <c r="GGM8" s="16"/>
      <c r="GGN8" s="16"/>
      <c r="GGO8" s="16"/>
      <c r="GGP8" s="16"/>
      <c r="GGQ8" s="16"/>
      <c r="GGR8" s="16"/>
      <c r="GGS8" s="16"/>
      <c r="GGT8" s="16"/>
      <c r="GGU8" s="16"/>
      <c r="GGV8" s="16"/>
      <c r="GGW8" s="16"/>
      <c r="GGX8" s="16"/>
      <c r="GGY8" s="16"/>
      <c r="GGZ8" s="16"/>
      <c r="GHA8" s="16"/>
      <c r="GHB8" s="16"/>
      <c r="GHC8" s="16"/>
      <c r="GHD8" s="16"/>
      <c r="GHE8" s="16"/>
      <c r="GHF8" s="16"/>
      <c r="GHG8" s="16"/>
      <c r="GHH8" s="16"/>
      <c r="GHI8" s="16"/>
      <c r="GHJ8" s="16"/>
      <c r="GHK8" s="16"/>
      <c r="GHL8" s="16"/>
      <c r="GHM8" s="16"/>
      <c r="GHN8" s="16"/>
      <c r="GHO8" s="16"/>
      <c r="GHP8" s="16"/>
      <c r="GHQ8" s="16"/>
      <c r="GHR8" s="16"/>
      <c r="GHS8" s="16"/>
      <c r="GHT8" s="16"/>
      <c r="GHU8" s="16"/>
      <c r="GHV8" s="16"/>
      <c r="GHW8" s="16"/>
      <c r="GHX8" s="16"/>
      <c r="GHY8" s="16"/>
      <c r="GHZ8" s="16"/>
      <c r="GIA8" s="16"/>
      <c r="GIB8" s="16"/>
      <c r="GIC8" s="16"/>
      <c r="GID8" s="16"/>
      <c r="GIE8" s="16"/>
      <c r="GIF8" s="16"/>
      <c r="GIG8" s="16"/>
      <c r="GIH8" s="16"/>
      <c r="GII8" s="16"/>
      <c r="GIJ8" s="16"/>
      <c r="GIK8" s="16"/>
      <c r="GIL8" s="16"/>
      <c r="GIM8" s="16"/>
      <c r="GIN8" s="16"/>
      <c r="GIO8" s="16"/>
      <c r="GIP8" s="16"/>
      <c r="GIQ8" s="16"/>
      <c r="GIR8" s="16"/>
      <c r="GIS8" s="16"/>
      <c r="GIT8" s="16"/>
      <c r="GIU8" s="16"/>
      <c r="GIV8" s="16"/>
      <c r="GIW8" s="16"/>
      <c r="GIX8" s="16"/>
      <c r="GIY8" s="16"/>
      <c r="GIZ8" s="16"/>
      <c r="GJA8" s="16"/>
      <c r="GJB8" s="16"/>
      <c r="GJC8" s="16"/>
      <c r="GJD8" s="16"/>
      <c r="GJE8" s="16"/>
      <c r="GJF8" s="16"/>
      <c r="GJG8" s="16"/>
      <c r="GJH8" s="16"/>
      <c r="GJI8" s="16"/>
      <c r="GJJ8" s="16"/>
      <c r="GJK8" s="16"/>
      <c r="GJL8" s="16"/>
      <c r="GJM8" s="16"/>
      <c r="GJN8" s="16"/>
      <c r="GJO8" s="16"/>
      <c r="GJP8" s="16"/>
      <c r="GJQ8" s="16"/>
      <c r="GJR8" s="16"/>
      <c r="GJS8" s="16"/>
      <c r="GJT8" s="16"/>
      <c r="GJU8" s="16"/>
      <c r="GJV8" s="16"/>
      <c r="GJW8" s="16"/>
      <c r="GJX8" s="16"/>
      <c r="GJY8" s="16"/>
      <c r="GJZ8" s="16"/>
      <c r="GKA8" s="16"/>
      <c r="GKB8" s="16"/>
      <c r="GKC8" s="16"/>
      <c r="GKD8" s="16"/>
      <c r="GKE8" s="16"/>
      <c r="GKF8" s="16"/>
      <c r="GKG8" s="16"/>
      <c r="GKH8" s="16"/>
      <c r="GKI8" s="16"/>
      <c r="GKJ8" s="16"/>
      <c r="GKK8" s="16"/>
      <c r="GKL8" s="16"/>
      <c r="GKM8" s="16"/>
      <c r="GKN8" s="16"/>
      <c r="GKO8" s="16"/>
      <c r="GKP8" s="16"/>
      <c r="GKQ8" s="16"/>
      <c r="GKR8" s="16"/>
      <c r="GKS8" s="16"/>
      <c r="GKT8" s="16"/>
      <c r="GKU8" s="16"/>
      <c r="GKV8" s="16"/>
      <c r="GKW8" s="16"/>
      <c r="GKX8" s="16"/>
      <c r="GKY8" s="16"/>
      <c r="GKZ8" s="16"/>
      <c r="GLA8" s="16"/>
      <c r="GLB8" s="16"/>
      <c r="GLC8" s="16"/>
      <c r="GLD8" s="16"/>
      <c r="GLE8" s="16"/>
      <c r="GLF8" s="16"/>
      <c r="GLG8" s="16"/>
      <c r="GLH8" s="16"/>
      <c r="GLI8" s="16"/>
      <c r="GLJ8" s="16"/>
      <c r="GLK8" s="16"/>
      <c r="GLL8" s="16"/>
      <c r="GLM8" s="16"/>
      <c r="GLN8" s="16"/>
      <c r="GLO8" s="16"/>
      <c r="GLP8" s="16"/>
      <c r="GLQ8" s="16"/>
      <c r="GLR8" s="16"/>
      <c r="GLS8" s="16"/>
      <c r="GLT8" s="16"/>
      <c r="GLU8" s="16"/>
      <c r="GLV8" s="16"/>
      <c r="GLW8" s="16"/>
      <c r="GLX8" s="16"/>
      <c r="GLY8" s="16"/>
      <c r="GLZ8" s="16"/>
      <c r="GMA8" s="16"/>
      <c r="GMB8" s="16"/>
      <c r="GMC8" s="16"/>
      <c r="GMD8" s="16"/>
      <c r="GME8" s="16"/>
      <c r="GMF8" s="16"/>
      <c r="GMG8" s="16"/>
      <c r="GMH8" s="16"/>
      <c r="GMI8" s="16"/>
      <c r="GMJ8" s="16"/>
      <c r="GMK8" s="16"/>
      <c r="GML8" s="16"/>
      <c r="GMM8" s="16"/>
      <c r="GMN8" s="16"/>
      <c r="GMO8" s="16"/>
      <c r="GMP8" s="16"/>
      <c r="GMQ8" s="16"/>
      <c r="GMR8" s="16"/>
      <c r="GMS8" s="16"/>
      <c r="GMT8" s="16"/>
      <c r="GMU8" s="16"/>
      <c r="GMV8" s="16"/>
      <c r="GMW8" s="16"/>
      <c r="GMX8" s="16"/>
      <c r="GMY8" s="16"/>
      <c r="GMZ8" s="16"/>
      <c r="GNA8" s="16"/>
      <c r="GNB8" s="16"/>
      <c r="GNC8" s="16"/>
      <c r="GND8" s="16"/>
      <c r="GNE8" s="16"/>
      <c r="GNF8" s="16"/>
      <c r="GNG8" s="16"/>
      <c r="GNH8" s="16"/>
      <c r="GNI8" s="16"/>
      <c r="GNJ8" s="16"/>
      <c r="GNK8" s="16"/>
      <c r="GNL8" s="16"/>
      <c r="GNM8" s="16"/>
      <c r="GNN8" s="16"/>
      <c r="GNO8" s="16"/>
      <c r="GNP8" s="16"/>
      <c r="GNQ8" s="16"/>
      <c r="GNR8" s="16"/>
      <c r="GNS8" s="16"/>
      <c r="GNT8" s="16"/>
      <c r="GNU8" s="16"/>
      <c r="GNV8" s="16"/>
      <c r="GNW8" s="16"/>
      <c r="GNX8" s="16"/>
      <c r="GNY8" s="16"/>
      <c r="GNZ8" s="16"/>
      <c r="GOA8" s="16"/>
      <c r="GOB8" s="16"/>
      <c r="GOC8" s="16"/>
      <c r="GOD8" s="16"/>
      <c r="GOE8" s="16"/>
      <c r="GOF8" s="16"/>
      <c r="GOG8" s="16"/>
      <c r="GOH8" s="16"/>
      <c r="GOI8" s="16"/>
      <c r="GOJ8" s="16"/>
      <c r="GOK8" s="16"/>
      <c r="GOL8" s="16"/>
      <c r="GOM8" s="16"/>
      <c r="GON8" s="16"/>
      <c r="GOO8" s="16"/>
      <c r="GOP8" s="16"/>
      <c r="GOQ8" s="16"/>
      <c r="GOR8" s="16"/>
      <c r="GOS8" s="16"/>
      <c r="GOT8" s="16"/>
      <c r="GOU8" s="16"/>
      <c r="GOV8" s="16"/>
      <c r="GOW8" s="16"/>
      <c r="GOX8" s="16"/>
      <c r="GOY8" s="16"/>
      <c r="GOZ8" s="16"/>
      <c r="GPA8" s="16"/>
      <c r="GPB8" s="16"/>
      <c r="GPC8" s="16"/>
      <c r="GPD8" s="16"/>
      <c r="GPE8" s="16"/>
      <c r="GPF8" s="16"/>
      <c r="GPG8" s="16"/>
      <c r="GPH8" s="16"/>
      <c r="GPI8" s="16"/>
      <c r="GPJ8" s="16"/>
      <c r="GPK8" s="16"/>
      <c r="GPL8" s="16"/>
      <c r="GPM8" s="16"/>
      <c r="GPN8" s="16"/>
      <c r="GPO8" s="16"/>
      <c r="GPP8" s="16"/>
      <c r="GPQ8" s="16"/>
      <c r="GPR8" s="16"/>
      <c r="GPS8" s="16"/>
      <c r="GPT8" s="16"/>
      <c r="GPU8" s="16"/>
      <c r="GPV8" s="16"/>
      <c r="GPW8" s="16"/>
      <c r="GPX8" s="16"/>
      <c r="GPY8" s="16"/>
      <c r="GPZ8" s="16"/>
      <c r="GQA8" s="16"/>
      <c r="GQB8" s="16"/>
      <c r="GQC8" s="16"/>
      <c r="GQD8" s="16"/>
      <c r="GQE8" s="16"/>
      <c r="GQF8" s="16"/>
      <c r="GQG8" s="16"/>
      <c r="GQH8" s="16"/>
      <c r="GQI8" s="16"/>
      <c r="GQJ8" s="16"/>
      <c r="GQK8" s="16"/>
      <c r="GQL8" s="16"/>
      <c r="GQM8" s="16"/>
      <c r="GQN8" s="16"/>
      <c r="GQO8" s="16"/>
      <c r="GQP8" s="16"/>
      <c r="GQQ8" s="16"/>
      <c r="GQR8" s="16"/>
      <c r="GQS8" s="16"/>
      <c r="GQT8" s="16"/>
      <c r="GQU8" s="16"/>
      <c r="GQV8" s="16"/>
      <c r="GQW8" s="16"/>
      <c r="GQX8" s="16"/>
      <c r="GQY8" s="16"/>
      <c r="GQZ8" s="16"/>
      <c r="GRA8" s="16"/>
      <c r="GRB8" s="16"/>
      <c r="GRC8" s="16"/>
      <c r="GRD8" s="16"/>
      <c r="GRE8" s="16"/>
      <c r="GRF8" s="16"/>
      <c r="GRG8" s="16"/>
      <c r="GRH8" s="16"/>
      <c r="GRI8" s="16"/>
      <c r="GRJ8" s="16"/>
      <c r="GRK8" s="16"/>
      <c r="GRL8" s="16"/>
      <c r="GRM8" s="16"/>
      <c r="GRN8" s="16"/>
      <c r="GRO8" s="16"/>
      <c r="GRP8" s="16"/>
      <c r="GRQ8" s="16"/>
      <c r="GRR8" s="16"/>
      <c r="GRS8" s="16"/>
      <c r="GRT8" s="16"/>
      <c r="GRU8" s="16"/>
      <c r="GRV8" s="16"/>
      <c r="GRW8" s="16"/>
      <c r="GRX8" s="16"/>
      <c r="GRY8" s="16"/>
      <c r="GRZ8" s="16"/>
      <c r="GSA8" s="16"/>
      <c r="GSB8" s="16"/>
      <c r="GSC8" s="16"/>
      <c r="GSD8" s="16"/>
      <c r="GSE8" s="16"/>
      <c r="GSF8" s="16"/>
      <c r="GSG8" s="16"/>
      <c r="GSH8" s="16"/>
      <c r="GSI8" s="16"/>
      <c r="GSJ8" s="16"/>
      <c r="GSK8" s="16"/>
      <c r="GSL8" s="16"/>
      <c r="GSM8" s="16"/>
      <c r="GSN8" s="16"/>
      <c r="GSO8" s="16"/>
      <c r="GSP8" s="16"/>
      <c r="GSQ8" s="16"/>
      <c r="GSR8" s="16"/>
      <c r="GSS8" s="16"/>
      <c r="GST8" s="16"/>
      <c r="GSU8" s="16"/>
      <c r="GSV8" s="16"/>
      <c r="GSW8" s="16"/>
      <c r="GSX8" s="16"/>
      <c r="GSY8" s="16"/>
      <c r="GSZ8" s="16"/>
      <c r="GTA8" s="16"/>
      <c r="GTB8" s="16"/>
      <c r="GTC8" s="16"/>
      <c r="GTD8" s="16"/>
      <c r="GTE8" s="16"/>
      <c r="GTF8" s="16"/>
      <c r="GTG8" s="16"/>
      <c r="GTH8" s="16"/>
      <c r="GTI8" s="16"/>
      <c r="GTJ8" s="16"/>
      <c r="GTK8" s="16"/>
      <c r="GTL8" s="16"/>
      <c r="GTM8" s="16"/>
      <c r="GTN8" s="16"/>
      <c r="GTO8" s="16"/>
      <c r="GTP8" s="16"/>
      <c r="GTQ8" s="16"/>
      <c r="GTR8" s="16"/>
      <c r="GTS8" s="16"/>
      <c r="GTT8" s="16"/>
      <c r="GTU8" s="16"/>
      <c r="GTV8" s="16"/>
      <c r="GTW8" s="16"/>
      <c r="GTX8" s="16"/>
      <c r="GTY8" s="16"/>
      <c r="GTZ8" s="16"/>
      <c r="GUA8" s="16"/>
      <c r="GUB8" s="16"/>
      <c r="GUC8" s="16"/>
      <c r="GUD8" s="16"/>
      <c r="GUE8" s="16"/>
      <c r="GUF8" s="16"/>
      <c r="GUG8" s="16"/>
      <c r="GUH8" s="16"/>
      <c r="GUI8" s="16"/>
      <c r="GUJ8" s="16"/>
      <c r="GUK8" s="16"/>
      <c r="GUL8" s="16"/>
      <c r="GUM8" s="16"/>
      <c r="GUN8" s="16"/>
      <c r="GUO8" s="16"/>
      <c r="GUP8" s="16"/>
      <c r="GUQ8" s="16"/>
      <c r="GUR8" s="16"/>
      <c r="GUS8" s="16"/>
      <c r="GUT8" s="16"/>
      <c r="GUU8" s="16"/>
      <c r="GUV8" s="16"/>
      <c r="GUW8" s="16"/>
      <c r="GUX8" s="16"/>
      <c r="GUY8" s="16"/>
      <c r="GUZ8" s="16"/>
      <c r="GVA8" s="16"/>
      <c r="GVB8" s="16"/>
      <c r="GVC8" s="16"/>
      <c r="GVD8" s="16"/>
      <c r="GVE8" s="16"/>
      <c r="GVF8" s="16"/>
      <c r="GVG8" s="16"/>
      <c r="GVH8" s="16"/>
      <c r="GVI8" s="16"/>
      <c r="GVJ8" s="16"/>
      <c r="GVK8" s="16"/>
      <c r="GVL8" s="16"/>
      <c r="GVM8" s="16"/>
      <c r="GVN8" s="16"/>
      <c r="GVO8" s="16"/>
      <c r="GVP8" s="16"/>
      <c r="GVQ8" s="16"/>
      <c r="GVR8" s="16"/>
      <c r="GVS8" s="16"/>
      <c r="GVT8" s="16"/>
      <c r="GVU8" s="16"/>
      <c r="GVV8" s="16"/>
      <c r="GVW8" s="16"/>
      <c r="GVX8" s="16"/>
      <c r="GVY8" s="16"/>
      <c r="GVZ8" s="16"/>
      <c r="GWA8" s="16"/>
      <c r="GWB8" s="16"/>
      <c r="GWC8" s="16"/>
      <c r="GWD8" s="16"/>
      <c r="GWE8" s="16"/>
      <c r="GWF8" s="16"/>
      <c r="GWG8" s="16"/>
      <c r="GWH8" s="16"/>
      <c r="GWI8" s="16"/>
      <c r="GWJ8" s="16"/>
      <c r="GWK8" s="16"/>
      <c r="GWL8" s="16"/>
      <c r="GWM8" s="16"/>
      <c r="GWN8" s="16"/>
      <c r="GWO8" s="16"/>
      <c r="GWP8" s="16"/>
      <c r="GWQ8" s="16"/>
      <c r="GWR8" s="16"/>
      <c r="GWS8" s="16"/>
      <c r="GWT8" s="16"/>
      <c r="GWU8" s="16"/>
      <c r="GWV8" s="16"/>
      <c r="GWW8" s="16"/>
      <c r="GWX8" s="16"/>
      <c r="GWY8" s="16"/>
      <c r="GWZ8" s="16"/>
      <c r="GXA8" s="16"/>
      <c r="GXB8" s="16"/>
      <c r="GXC8" s="16"/>
      <c r="GXD8" s="16"/>
      <c r="GXE8" s="16"/>
      <c r="GXF8" s="16"/>
      <c r="GXG8" s="16"/>
      <c r="GXH8" s="16"/>
      <c r="GXI8" s="16"/>
      <c r="GXJ8" s="16"/>
      <c r="GXK8" s="16"/>
      <c r="GXL8" s="16"/>
      <c r="GXM8" s="16"/>
      <c r="GXN8" s="16"/>
      <c r="GXO8" s="16"/>
      <c r="GXP8" s="16"/>
      <c r="GXQ8" s="16"/>
      <c r="GXR8" s="16"/>
      <c r="GXS8" s="16"/>
      <c r="GXT8" s="16"/>
      <c r="GXU8" s="16"/>
      <c r="GXV8" s="16"/>
      <c r="GXW8" s="16"/>
      <c r="GXX8" s="16"/>
      <c r="GXY8" s="16"/>
      <c r="GXZ8" s="16"/>
      <c r="GYA8" s="16"/>
      <c r="GYB8" s="16"/>
      <c r="GYC8" s="16"/>
      <c r="GYD8" s="16"/>
      <c r="GYE8" s="16"/>
      <c r="GYF8" s="16"/>
      <c r="GYG8" s="16"/>
      <c r="GYH8" s="16"/>
      <c r="GYI8" s="16"/>
      <c r="GYJ8" s="16"/>
      <c r="GYK8" s="16"/>
      <c r="GYL8" s="16"/>
      <c r="GYM8" s="16"/>
      <c r="GYN8" s="16"/>
      <c r="GYO8" s="16"/>
      <c r="GYP8" s="16"/>
      <c r="GYQ8" s="16"/>
      <c r="GYR8" s="16"/>
      <c r="GYS8" s="16"/>
      <c r="GYT8" s="16"/>
      <c r="GYU8" s="16"/>
      <c r="GYV8" s="16"/>
      <c r="GYW8" s="16"/>
      <c r="GYX8" s="16"/>
      <c r="GYY8" s="16"/>
      <c r="GYZ8" s="16"/>
      <c r="GZA8" s="16"/>
      <c r="GZB8" s="16"/>
      <c r="GZC8" s="16"/>
      <c r="GZD8" s="16"/>
      <c r="GZE8" s="16"/>
      <c r="GZF8" s="16"/>
      <c r="GZG8" s="16"/>
      <c r="GZH8" s="16"/>
      <c r="GZI8" s="16"/>
      <c r="GZJ8" s="16"/>
      <c r="GZK8" s="16"/>
      <c r="GZL8" s="16"/>
      <c r="GZM8" s="16"/>
      <c r="GZN8" s="16"/>
      <c r="GZO8" s="16"/>
      <c r="GZP8" s="16"/>
      <c r="GZQ8" s="16"/>
      <c r="GZR8" s="16"/>
      <c r="GZS8" s="16"/>
      <c r="GZT8" s="16"/>
      <c r="GZU8" s="16"/>
      <c r="GZV8" s="16"/>
      <c r="GZW8" s="16"/>
      <c r="GZX8" s="16"/>
      <c r="GZY8" s="16"/>
      <c r="GZZ8" s="16"/>
      <c r="HAA8" s="16"/>
      <c r="HAB8" s="16"/>
      <c r="HAC8" s="16"/>
      <c r="HAD8" s="16"/>
      <c r="HAE8" s="16"/>
      <c r="HAF8" s="16"/>
      <c r="HAG8" s="16"/>
      <c r="HAH8" s="16"/>
      <c r="HAI8" s="16"/>
      <c r="HAJ8" s="16"/>
      <c r="HAK8" s="16"/>
      <c r="HAL8" s="16"/>
      <c r="HAM8" s="16"/>
      <c r="HAN8" s="16"/>
      <c r="HAO8" s="16"/>
      <c r="HAP8" s="16"/>
      <c r="HAQ8" s="16"/>
      <c r="HAR8" s="16"/>
      <c r="HAS8" s="16"/>
      <c r="HAT8" s="16"/>
      <c r="HAU8" s="16"/>
      <c r="HAV8" s="16"/>
      <c r="HAW8" s="16"/>
      <c r="HAX8" s="16"/>
      <c r="HAY8" s="16"/>
      <c r="HAZ8" s="16"/>
      <c r="HBA8" s="16"/>
      <c r="HBB8" s="16"/>
      <c r="HBC8" s="16"/>
      <c r="HBD8" s="16"/>
      <c r="HBE8" s="16"/>
      <c r="HBF8" s="16"/>
      <c r="HBG8" s="16"/>
      <c r="HBH8" s="16"/>
      <c r="HBI8" s="16"/>
      <c r="HBJ8" s="16"/>
      <c r="HBK8" s="16"/>
      <c r="HBL8" s="16"/>
      <c r="HBM8" s="16"/>
      <c r="HBN8" s="16"/>
      <c r="HBO8" s="16"/>
      <c r="HBP8" s="16"/>
      <c r="HBQ8" s="16"/>
      <c r="HBR8" s="16"/>
      <c r="HBS8" s="16"/>
      <c r="HBT8" s="16"/>
      <c r="HBU8" s="16"/>
      <c r="HBV8" s="16"/>
      <c r="HBW8" s="16"/>
      <c r="HBX8" s="16"/>
      <c r="HBY8" s="16"/>
      <c r="HBZ8" s="16"/>
      <c r="HCA8" s="16"/>
      <c r="HCB8" s="16"/>
      <c r="HCC8" s="16"/>
      <c r="HCD8" s="16"/>
      <c r="HCE8" s="16"/>
      <c r="HCF8" s="16"/>
      <c r="HCG8" s="16"/>
      <c r="HCH8" s="16"/>
      <c r="HCI8" s="16"/>
      <c r="HCJ8" s="16"/>
      <c r="HCK8" s="16"/>
      <c r="HCL8" s="16"/>
      <c r="HCM8" s="16"/>
      <c r="HCN8" s="16"/>
      <c r="HCO8" s="16"/>
      <c r="HCP8" s="16"/>
      <c r="HCQ8" s="16"/>
      <c r="HCR8" s="16"/>
      <c r="HCS8" s="16"/>
      <c r="HCT8" s="16"/>
      <c r="HCU8" s="16"/>
      <c r="HCV8" s="16"/>
      <c r="HCW8" s="16"/>
      <c r="HCX8" s="16"/>
      <c r="HCY8" s="16"/>
      <c r="HCZ8" s="16"/>
      <c r="HDA8" s="16"/>
      <c r="HDB8" s="16"/>
      <c r="HDC8" s="16"/>
      <c r="HDD8" s="16"/>
      <c r="HDE8" s="16"/>
      <c r="HDF8" s="16"/>
      <c r="HDG8" s="16"/>
      <c r="HDH8" s="16"/>
      <c r="HDI8" s="16"/>
      <c r="HDJ8" s="16"/>
      <c r="HDK8" s="16"/>
      <c r="HDL8" s="16"/>
      <c r="HDM8" s="16"/>
      <c r="HDN8" s="16"/>
      <c r="HDO8" s="16"/>
      <c r="HDP8" s="16"/>
      <c r="HDQ8" s="16"/>
      <c r="HDR8" s="16"/>
      <c r="HDS8" s="16"/>
      <c r="HDT8" s="16"/>
      <c r="HDU8" s="16"/>
      <c r="HDV8" s="16"/>
      <c r="HDW8" s="16"/>
      <c r="HDX8" s="16"/>
      <c r="HDY8" s="16"/>
      <c r="HDZ8" s="16"/>
      <c r="HEA8" s="16"/>
      <c r="HEB8" s="16"/>
      <c r="HEC8" s="16"/>
      <c r="HED8" s="16"/>
      <c r="HEE8" s="16"/>
      <c r="HEF8" s="16"/>
      <c r="HEG8" s="16"/>
      <c r="HEH8" s="16"/>
      <c r="HEI8" s="16"/>
      <c r="HEJ8" s="16"/>
      <c r="HEK8" s="16"/>
      <c r="HEL8" s="16"/>
      <c r="HEM8" s="16"/>
      <c r="HEN8" s="16"/>
      <c r="HEO8" s="16"/>
      <c r="HEP8" s="16"/>
      <c r="HEQ8" s="16"/>
      <c r="HER8" s="16"/>
      <c r="HES8" s="16"/>
      <c r="HET8" s="16"/>
      <c r="HEU8" s="16"/>
      <c r="HEV8" s="16"/>
      <c r="HEW8" s="16"/>
      <c r="HEX8" s="16"/>
      <c r="HEY8" s="16"/>
      <c r="HEZ8" s="16"/>
      <c r="HFA8" s="16"/>
      <c r="HFB8" s="16"/>
      <c r="HFC8" s="16"/>
      <c r="HFD8" s="16"/>
      <c r="HFE8" s="16"/>
      <c r="HFF8" s="16"/>
      <c r="HFG8" s="16"/>
      <c r="HFH8" s="16"/>
      <c r="HFI8" s="16"/>
      <c r="HFJ8" s="16"/>
      <c r="HFK8" s="16"/>
      <c r="HFL8" s="16"/>
      <c r="HFM8" s="16"/>
      <c r="HFN8" s="16"/>
      <c r="HFO8" s="16"/>
      <c r="HFP8" s="16"/>
      <c r="HFQ8" s="16"/>
      <c r="HFR8" s="16"/>
      <c r="HFS8" s="16"/>
      <c r="HFT8" s="16"/>
      <c r="HFU8" s="16"/>
      <c r="HFV8" s="16"/>
      <c r="HFW8" s="16"/>
      <c r="HFX8" s="16"/>
      <c r="HFY8" s="16"/>
      <c r="HFZ8" s="16"/>
      <c r="HGA8" s="16"/>
      <c r="HGB8" s="16"/>
      <c r="HGC8" s="16"/>
      <c r="HGD8" s="16"/>
      <c r="HGE8" s="16"/>
      <c r="HGF8" s="16"/>
      <c r="HGG8" s="16"/>
      <c r="HGH8" s="16"/>
      <c r="HGI8" s="16"/>
      <c r="HGJ8" s="16"/>
      <c r="HGK8" s="16"/>
      <c r="HGL8" s="16"/>
      <c r="HGM8" s="16"/>
      <c r="HGN8" s="16"/>
      <c r="HGO8" s="16"/>
      <c r="HGP8" s="16"/>
      <c r="HGQ8" s="16"/>
      <c r="HGR8" s="16"/>
      <c r="HGS8" s="16"/>
      <c r="HGT8" s="16"/>
      <c r="HGU8" s="16"/>
      <c r="HGV8" s="16"/>
      <c r="HGW8" s="16"/>
      <c r="HGX8" s="16"/>
      <c r="HGY8" s="16"/>
      <c r="HGZ8" s="16"/>
      <c r="HHA8" s="16"/>
      <c r="HHB8" s="16"/>
      <c r="HHC8" s="16"/>
      <c r="HHD8" s="16"/>
      <c r="HHE8" s="16"/>
      <c r="HHF8" s="16"/>
      <c r="HHG8" s="16"/>
      <c r="HHH8" s="16"/>
      <c r="HHI8" s="16"/>
      <c r="HHJ8" s="16"/>
      <c r="HHK8" s="16"/>
      <c r="HHL8" s="16"/>
      <c r="HHM8" s="16"/>
      <c r="HHN8" s="16"/>
      <c r="HHO8" s="16"/>
      <c r="HHP8" s="16"/>
      <c r="HHQ8" s="16"/>
      <c r="HHR8" s="16"/>
      <c r="HHS8" s="16"/>
      <c r="HHT8" s="16"/>
      <c r="HHU8" s="16"/>
      <c r="HHV8" s="16"/>
      <c r="HHW8" s="16"/>
      <c r="HHX8" s="16"/>
      <c r="HHY8" s="16"/>
      <c r="HHZ8" s="16"/>
      <c r="HIA8" s="16"/>
      <c r="HIB8" s="16"/>
      <c r="HIC8" s="16"/>
      <c r="HID8" s="16"/>
      <c r="HIE8" s="16"/>
      <c r="HIF8" s="16"/>
      <c r="HIG8" s="16"/>
      <c r="HIH8" s="16"/>
      <c r="HII8" s="16"/>
      <c r="HIJ8" s="16"/>
      <c r="HIK8" s="16"/>
      <c r="HIL8" s="16"/>
      <c r="HIM8" s="16"/>
      <c r="HIN8" s="16"/>
      <c r="HIO8" s="16"/>
      <c r="HIP8" s="16"/>
      <c r="HIQ8" s="16"/>
      <c r="HIR8" s="16"/>
      <c r="HIS8" s="16"/>
      <c r="HIT8" s="16"/>
      <c r="HIU8" s="16"/>
      <c r="HIV8" s="16"/>
      <c r="HIW8" s="16"/>
      <c r="HIX8" s="16"/>
      <c r="HIY8" s="16"/>
      <c r="HIZ8" s="16"/>
      <c r="HJA8" s="16"/>
      <c r="HJB8" s="16"/>
      <c r="HJC8" s="16"/>
      <c r="HJD8" s="16"/>
      <c r="HJE8" s="16"/>
      <c r="HJF8" s="16"/>
      <c r="HJG8" s="16"/>
      <c r="HJH8" s="16"/>
      <c r="HJI8" s="16"/>
      <c r="HJJ8" s="16"/>
      <c r="HJK8" s="16"/>
      <c r="HJL8" s="16"/>
      <c r="HJM8" s="16"/>
      <c r="HJN8" s="16"/>
      <c r="HJO8" s="16"/>
      <c r="HJP8" s="16"/>
      <c r="HJQ8" s="16"/>
      <c r="HJR8" s="16"/>
      <c r="HJS8" s="16"/>
      <c r="HJT8" s="16"/>
      <c r="HJU8" s="16"/>
      <c r="HJV8" s="16"/>
      <c r="HJW8" s="16"/>
      <c r="HJX8" s="16"/>
      <c r="HJY8" s="16"/>
      <c r="HJZ8" s="16"/>
      <c r="HKA8" s="16"/>
      <c r="HKB8" s="16"/>
      <c r="HKC8" s="16"/>
      <c r="HKD8" s="16"/>
      <c r="HKE8" s="16"/>
      <c r="HKF8" s="16"/>
      <c r="HKG8" s="16"/>
      <c r="HKH8" s="16"/>
      <c r="HKI8" s="16"/>
      <c r="HKJ8" s="16"/>
      <c r="HKK8" s="16"/>
      <c r="HKL8" s="16"/>
      <c r="HKM8" s="16"/>
      <c r="HKN8" s="16"/>
      <c r="HKO8" s="16"/>
      <c r="HKP8" s="16"/>
      <c r="HKQ8" s="16"/>
      <c r="HKR8" s="16"/>
      <c r="HKS8" s="16"/>
      <c r="HKT8" s="16"/>
      <c r="HKU8" s="16"/>
      <c r="HKV8" s="16"/>
      <c r="HKW8" s="16"/>
      <c r="HKX8" s="16"/>
      <c r="HKY8" s="16"/>
      <c r="HKZ8" s="16"/>
      <c r="HLA8" s="16"/>
      <c r="HLB8" s="16"/>
      <c r="HLC8" s="16"/>
      <c r="HLD8" s="16"/>
      <c r="HLE8" s="16"/>
      <c r="HLF8" s="16"/>
      <c r="HLG8" s="16"/>
      <c r="HLH8" s="16"/>
      <c r="HLI8" s="16"/>
      <c r="HLJ8" s="16"/>
      <c r="HLK8" s="16"/>
      <c r="HLL8" s="16"/>
      <c r="HLM8" s="16"/>
      <c r="HLN8" s="16"/>
      <c r="HLO8" s="16"/>
      <c r="HLP8" s="16"/>
      <c r="HLQ8" s="16"/>
      <c r="HLR8" s="16"/>
      <c r="HLS8" s="16"/>
      <c r="HLT8" s="16"/>
      <c r="HLU8" s="16"/>
      <c r="HLV8" s="16"/>
      <c r="HLW8" s="16"/>
      <c r="HLX8" s="16"/>
      <c r="HLY8" s="16"/>
      <c r="HLZ8" s="16"/>
      <c r="HMA8" s="16"/>
      <c r="HMB8" s="16"/>
      <c r="HMC8" s="16"/>
      <c r="HMD8" s="16"/>
      <c r="HME8" s="16"/>
      <c r="HMF8" s="16"/>
      <c r="HMG8" s="16"/>
      <c r="HMH8" s="16"/>
      <c r="HMI8" s="16"/>
      <c r="HMJ8" s="16"/>
      <c r="HMK8" s="16"/>
      <c r="HML8" s="16"/>
      <c r="HMM8" s="16"/>
      <c r="HMN8" s="16"/>
      <c r="HMO8" s="16"/>
      <c r="HMP8" s="16"/>
      <c r="HMQ8" s="16"/>
      <c r="HMR8" s="16"/>
      <c r="HMS8" s="16"/>
      <c r="HMT8" s="16"/>
      <c r="HMU8" s="16"/>
      <c r="HMV8" s="16"/>
      <c r="HMW8" s="16"/>
      <c r="HMX8" s="16"/>
      <c r="HMY8" s="16"/>
      <c r="HMZ8" s="16"/>
      <c r="HNA8" s="16"/>
      <c r="HNB8" s="16"/>
      <c r="HNC8" s="16"/>
      <c r="HND8" s="16"/>
      <c r="HNE8" s="16"/>
      <c r="HNF8" s="16"/>
      <c r="HNG8" s="16"/>
      <c r="HNH8" s="16"/>
      <c r="HNI8" s="16"/>
      <c r="HNJ8" s="16"/>
      <c r="HNK8" s="16"/>
      <c r="HNL8" s="16"/>
      <c r="HNM8" s="16"/>
      <c r="HNN8" s="16"/>
      <c r="HNO8" s="16"/>
      <c r="HNP8" s="16"/>
      <c r="HNQ8" s="16"/>
      <c r="HNR8" s="16"/>
      <c r="HNS8" s="16"/>
      <c r="HNT8" s="16"/>
      <c r="HNU8" s="16"/>
      <c r="HNV8" s="16"/>
      <c r="HNW8" s="16"/>
      <c r="HNX8" s="16"/>
      <c r="HNY8" s="16"/>
      <c r="HNZ8" s="16"/>
      <c r="HOA8" s="16"/>
      <c r="HOB8" s="16"/>
      <c r="HOC8" s="16"/>
      <c r="HOD8" s="16"/>
      <c r="HOE8" s="16"/>
      <c r="HOF8" s="16"/>
      <c r="HOG8" s="16"/>
      <c r="HOH8" s="16"/>
      <c r="HOI8" s="16"/>
      <c r="HOJ8" s="16"/>
      <c r="HOK8" s="16"/>
      <c r="HOL8" s="16"/>
      <c r="HOM8" s="16"/>
      <c r="HON8" s="16"/>
      <c r="HOO8" s="16"/>
      <c r="HOP8" s="16"/>
      <c r="HOQ8" s="16"/>
      <c r="HOR8" s="16"/>
      <c r="HOS8" s="16"/>
      <c r="HOT8" s="16"/>
      <c r="HOU8" s="16"/>
      <c r="HOV8" s="16"/>
      <c r="HOW8" s="16"/>
      <c r="HOX8" s="16"/>
      <c r="HOY8" s="16"/>
      <c r="HOZ8" s="16"/>
      <c r="HPA8" s="16"/>
      <c r="HPB8" s="16"/>
      <c r="HPC8" s="16"/>
      <c r="HPD8" s="16"/>
      <c r="HPE8" s="16"/>
      <c r="HPF8" s="16"/>
      <c r="HPG8" s="16"/>
      <c r="HPH8" s="16"/>
      <c r="HPI8" s="16"/>
      <c r="HPJ8" s="16"/>
      <c r="HPK8" s="16"/>
      <c r="HPL8" s="16"/>
      <c r="HPM8" s="16"/>
      <c r="HPN8" s="16"/>
      <c r="HPO8" s="16"/>
      <c r="HPP8" s="16"/>
      <c r="HPQ8" s="16"/>
      <c r="HPR8" s="16"/>
      <c r="HPS8" s="16"/>
      <c r="HPT8" s="16"/>
      <c r="HPU8" s="16"/>
      <c r="HPV8" s="16"/>
      <c r="HPW8" s="16"/>
      <c r="HPX8" s="16"/>
      <c r="HPY8" s="16"/>
      <c r="HPZ8" s="16"/>
      <c r="HQA8" s="16"/>
      <c r="HQB8" s="16"/>
      <c r="HQC8" s="16"/>
      <c r="HQD8" s="16"/>
      <c r="HQE8" s="16"/>
      <c r="HQF8" s="16"/>
      <c r="HQG8" s="16"/>
      <c r="HQH8" s="16"/>
      <c r="HQI8" s="16"/>
      <c r="HQJ8" s="16"/>
      <c r="HQK8" s="16"/>
      <c r="HQL8" s="16"/>
      <c r="HQM8" s="16"/>
      <c r="HQN8" s="16"/>
      <c r="HQO8" s="16"/>
      <c r="HQP8" s="16"/>
      <c r="HQQ8" s="16"/>
      <c r="HQR8" s="16"/>
      <c r="HQS8" s="16"/>
      <c r="HQT8" s="16"/>
      <c r="HQU8" s="16"/>
      <c r="HQV8" s="16"/>
      <c r="HQW8" s="16"/>
      <c r="HQX8" s="16"/>
      <c r="HQY8" s="16"/>
      <c r="HQZ8" s="16"/>
      <c r="HRA8" s="16"/>
      <c r="HRB8" s="16"/>
      <c r="HRC8" s="16"/>
      <c r="HRD8" s="16"/>
      <c r="HRE8" s="16"/>
      <c r="HRF8" s="16"/>
      <c r="HRG8" s="16"/>
      <c r="HRH8" s="16"/>
      <c r="HRI8" s="16"/>
      <c r="HRJ8" s="16"/>
      <c r="HRK8" s="16"/>
      <c r="HRL8" s="16"/>
      <c r="HRM8" s="16"/>
      <c r="HRN8" s="16"/>
      <c r="HRO8" s="16"/>
      <c r="HRP8" s="16"/>
      <c r="HRQ8" s="16"/>
      <c r="HRR8" s="16"/>
      <c r="HRS8" s="16"/>
      <c r="HRT8" s="16"/>
      <c r="HRU8" s="16"/>
      <c r="HRV8" s="16"/>
      <c r="HRW8" s="16"/>
      <c r="HRX8" s="16"/>
      <c r="HRY8" s="16"/>
      <c r="HRZ8" s="16"/>
      <c r="HSA8" s="16"/>
      <c r="HSB8" s="16"/>
      <c r="HSC8" s="16"/>
      <c r="HSD8" s="16"/>
      <c r="HSE8" s="16"/>
      <c r="HSF8" s="16"/>
      <c r="HSG8" s="16"/>
      <c r="HSH8" s="16"/>
      <c r="HSI8" s="16"/>
      <c r="HSJ8" s="16"/>
      <c r="HSK8" s="16"/>
      <c r="HSL8" s="16"/>
      <c r="HSM8" s="16"/>
      <c r="HSN8" s="16"/>
      <c r="HSO8" s="16"/>
      <c r="HSP8" s="16"/>
      <c r="HSQ8" s="16"/>
      <c r="HSR8" s="16"/>
      <c r="HSS8" s="16"/>
      <c r="HST8" s="16"/>
      <c r="HSU8" s="16"/>
      <c r="HSV8" s="16"/>
      <c r="HSW8" s="16"/>
      <c r="HSX8" s="16"/>
      <c r="HSY8" s="16"/>
      <c r="HSZ8" s="16"/>
      <c r="HTA8" s="16"/>
      <c r="HTB8" s="16"/>
      <c r="HTC8" s="16"/>
      <c r="HTD8" s="16"/>
      <c r="HTE8" s="16"/>
      <c r="HTF8" s="16"/>
      <c r="HTG8" s="16"/>
      <c r="HTH8" s="16"/>
      <c r="HTI8" s="16"/>
      <c r="HTJ8" s="16"/>
      <c r="HTK8" s="16"/>
      <c r="HTL8" s="16"/>
      <c r="HTM8" s="16"/>
      <c r="HTN8" s="16"/>
      <c r="HTO8" s="16"/>
      <c r="HTP8" s="16"/>
      <c r="HTQ8" s="16"/>
      <c r="HTR8" s="16"/>
      <c r="HTS8" s="16"/>
      <c r="HTT8" s="16"/>
      <c r="HTU8" s="16"/>
      <c r="HTV8" s="16"/>
      <c r="HTW8" s="16"/>
      <c r="HTX8" s="16"/>
      <c r="HTY8" s="16"/>
      <c r="HTZ8" s="16"/>
      <c r="HUA8" s="16"/>
      <c r="HUB8" s="16"/>
      <c r="HUC8" s="16"/>
      <c r="HUD8" s="16"/>
      <c r="HUE8" s="16"/>
      <c r="HUF8" s="16"/>
      <c r="HUG8" s="16"/>
      <c r="HUH8" s="16"/>
      <c r="HUI8" s="16"/>
      <c r="HUJ8" s="16"/>
      <c r="HUK8" s="16"/>
      <c r="HUL8" s="16"/>
      <c r="HUM8" s="16"/>
      <c r="HUN8" s="16"/>
      <c r="HUO8" s="16"/>
      <c r="HUP8" s="16"/>
      <c r="HUQ8" s="16"/>
      <c r="HUR8" s="16"/>
      <c r="HUS8" s="16"/>
      <c r="HUT8" s="16"/>
      <c r="HUU8" s="16"/>
      <c r="HUV8" s="16"/>
      <c r="HUW8" s="16"/>
      <c r="HUX8" s="16"/>
      <c r="HUY8" s="16"/>
      <c r="HUZ8" s="16"/>
      <c r="HVA8" s="16"/>
      <c r="HVB8" s="16"/>
      <c r="HVC8" s="16"/>
      <c r="HVD8" s="16"/>
      <c r="HVE8" s="16"/>
      <c r="HVF8" s="16"/>
      <c r="HVG8" s="16"/>
      <c r="HVH8" s="16"/>
      <c r="HVI8" s="16"/>
      <c r="HVJ8" s="16"/>
      <c r="HVK8" s="16"/>
      <c r="HVL8" s="16"/>
      <c r="HVM8" s="16"/>
      <c r="HVN8" s="16"/>
      <c r="HVO8" s="16"/>
      <c r="HVP8" s="16"/>
      <c r="HVQ8" s="16"/>
      <c r="HVR8" s="16"/>
      <c r="HVS8" s="16"/>
      <c r="HVT8" s="16"/>
      <c r="HVU8" s="16"/>
      <c r="HVV8" s="16"/>
      <c r="HVW8" s="16"/>
      <c r="HVX8" s="16"/>
      <c r="HVY8" s="16"/>
      <c r="HVZ8" s="16"/>
      <c r="HWA8" s="16"/>
      <c r="HWB8" s="16"/>
      <c r="HWC8" s="16"/>
      <c r="HWD8" s="16"/>
      <c r="HWE8" s="16"/>
      <c r="HWF8" s="16"/>
      <c r="HWG8" s="16"/>
      <c r="HWH8" s="16"/>
      <c r="HWI8" s="16"/>
      <c r="HWJ8" s="16"/>
      <c r="HWK8" s="16"/>
      <c r="HWL8" s="16"/>
      <c r="HWM8" s="16"/>
      <c r="HWN8" s="16"/>
      <c r="HWO8" s="16"/>
      <c r="HWP8" s="16"/>
      <c r="HWQ8" s="16"/>
      <c r="HWR8" s="16"/>
      <c r="HWS8" s="16"/>
      <c r="HWT8" s="16"/>
      <c r="HWU8" s="16"/>
      <c r="HWV8" s="16"/>
      <c r="HWW8" s="16"/>
      <c r="HWX8" s="16"/>
      <c r="HWY8" s="16"/>
      <c r="HWZ8" s="16"/>
      <c r="HXA8" s="16"/>
      <c r="HXB8" s="16"/>
      <c r="HXC8" s="16"/>
      <c r="HXD8" s="16"/>
      <c r="HXE8" s="16"/>
      <c r="HXF8" s="16"/>
      <c r="HXG8" s="16"/>
      <c r="HXH8" s="16"/>
      <c r="HXI8" s="16"/>
      <c r="HXJ8" s="16"/>
      <c r="HXK8" s="16"/>
      <c r="HXL8" s="16"/>
      <c r="HXM8" s="16"/>
      <c r="HXN8" s="16"/>
      <c r="HXO8" s="16"/>
      <c r="HXP8" s="16"/>
      <c r="HXQ8" s="16"/>
      <c r="HXR8" s="16"/>
      <c r="HXS8" s="16"/>
      <c r="HXT8" s="16"/>
      <c r="HXU8" s="16"/>
      <c r="HXV8" s="16"/>
      <c r="HXW8" s="16"/>
      <c r="HXX8" s="16"/>
      <c r="HXY8" s="16"/>
      <c r="HXZ8" s="16"/>
      <c r="HYA8" s="16"/>
      <c r="HYB8" s="16"/>
      <c r="HYC8" s="16"/>
      <c r="HYD8" s="16"/>
      <c r="HYE8" s="16"/>
      <c r="HYF8" s="16"/>
      <c r="HYG8" s="16"/>
      <c r="HYH8" s="16"/>
      <c r="HYI8" s="16"/>
      <c r="HYJ8" s="16"/>
      <c r="HYK8" s="16"/>
      <c r="HYL8" s="16"/>
      <c r="HYM8" s="16"/>
      <c r="HYN8" s="16"/>
      <c r="HYO8" s="16"/>
      <c r="HYP8" s="16"/>
      <c r="HYQ8" s="16"/>
      <c r="HYR8" s="16"/>
      <c r="HYS8" s="16"/>
      <c r="HYT8" s="16"/>
      <c r="HYU8" s="16"/>
      <c r="HYV8" s="16"/>
      <c r="HYW8" s="16"/>
      <c r="HYX8" s="16"/>
      <c r="HYY8" s="16"/>
      <c r="HYZ8" s="16"/>
      <c r="HZA8" s="16"/>
      <c r="HZB8" s="16"/>
      <c r="HZC8" s="16"/>
      <c r="HZD8" s="16"/>
      <c r="HZE8" s="16"/>
      <c r="HZF8" s="16"/>
      <c r="HZG8" s="16"/>
      <c r="HZH8" s="16"/>
      <c r="HZI8" s="16"/>
      <c r="HZJ8" s="16"/>
      <c r="HZK8" s="16"/>
      <c r="HZL8" s="16"/>
      <c r="HZM8" s="16"/>
      <c r="HZN8" s="16"/>
      <c r="HZO8" s="16"/>
      <c r="HZP8" s="16"/>
      <c r="HZQ8" s="16"/>
      <c r="HZR8" s="16"/>
      <c r="HZS8" s="16"/>
      <c r="HZT8" s="16"/>
      <c r="HZU8" s="16"/>
      <c r="HZV8" s="16"/>
      <c r="HZW8" s="16"/>
      <c r="HZX8" s="16"/>
      <c r="HZY8" s="16"/>
      <c r="HZZ8" s="16"/>
      <c r="IAA8" s="16"/>
      <c r="IAB8" s="16"/>
      <c r="IAC8" s="16"/>
      <c r="IAD8" s="16"/>
      <c r="IAE8" s="16"/>
      <c r="IAF8" s="16"/>
      <c r="IAG8" s="16"/>
      <c r="IAH8" s="16"/>
      <c r="IAI8" s="16"/>
      <c r="IAJ8" s="16"/>
      <c r="IAK8" s="16"/>
      <c r="IAL8" s="16"/>
      <c r="IAM8" s="16"/>
      <c r="IAN8" s="16"/>
      <c r="IAO8" s="16"/>
      <c r="IAP8" s="16"/>
      <c r="IAQ8" s="16"/>
      <c r="IAR8" s="16"/>
      <c r="IAS8" s="16"/>
      <c r="IAT8" s="16"/>
      <c r="IAU8" s="16"/>
      <c r="IAV8" s="16"/>
      <c r="IAW8" s="16"/>
      <c r="IAX8" s="16"/>
      <c r="IAY8" s="16"/>
      <c r="IAZ8" s="16"/>
      <c r="IBA8" s="16"/>
      <c r="IBB8" s="16"/>
      <c r="IBC8" s="16"/>
      <c r="IBD8" s="16"/>
      <c r="IBE8" s="16"/>
      <c r="IBF8" s="16"/>
      <c r="IBG8" s="16"/>
      <c r="IBH8" s="16"/>
      <c r="IBI8" s="16"/>
      <c r="IBJ8" s="16"/>
      <c r="IBK8" s="16"/>
      <c r="IBL8" s="16"/>
      <c r="IBM8" s="16"/>
      <c r="IBN8" s="16"/>
      <c r="IBO8" s="16"/>
      <c r="IBP8" s="16"/>
      <c r="IBQ8" s="16"/>
      <c r="IBR8" s="16"/>
      <c r="IBS8" s="16"/>
      <c r="IBT8" s="16"/>
      <c r="IBU8" s="16"/>
      <c r="IBV8" s="16"/>
      <c r="IBW8" s="16"/>
      <c r="IBX8" s="16"/>
      <c r="IBY8" s="16"/>
      <c r="IBZ8" s="16"/>
      <c r="ICA8" s="16"/>
      <c r="ICB8" s="16"/>
      <c r="ICC8" s="16"/>
      <c r="ICD8" s="16"/>
      <c r="ICE8" s="16"/>
      <c r="ICF8" s="16"/>
      <c r="ICG8" s="16"/>
      <c r="ICH8" s="16"/>
      <c r="ICI8" s="16"/>
      <c r="ICJ8" s="16"/>
      <c r="ICK8" s="16"/>
      <c r="ICL8" s="16"/>
      <c r="ICM8" s="16"/>
      <c r="ICN8" s="16"/>
      <c r="ICO8" s="16"/>
      <c r="ICP8" s="16"/>
      <c r="ICQ8" s="16"/>
      <c r="ICR8" s="16"/>
      <c r="ICS8" s="16"/>
      <c r="ICT8" s="16"/>
      <c r="ICU8" s="16"/>
      <c r="ICV8" s="16"/>
      <c r="ICW8" s="16"/>
      <c r="ICX8" s="16"/>
      <c r="ICY8" s="16"/>
      <c r="ICZ8" s="16"/>
      <c r="IDA8" s="16"/>
      <c r="IDB8" s="16"/>
      <c r="IDC8" s="16"/>
      <c r="IDD8" s="16"/>
      <c r="IDE8" s="16"/>
      <c r="IDF8" s="16"/>
      <c r="IDG8" s="16"/>
      <c r="IDH8" s="16"/>
      <c r="IDI8" s="16"/>
      <c r="IDJ8" s="16"/>
      <c r="IDK8" s="16"/>
      <c r="IDL8" s="16"/>
      <c r="IDM8" s="16"/>
      <c r="IDN8" s="16"/>
      <c r="IDO8" s="16"/>
      <c r="IDP8" s="16"/>
      <c r="IDQ8" s="16"/>
      <c r="IDR8" s="16"/>
      <c r="IDS8" s="16"/>
      <c r="IDT8" s="16"/>
      <c r="IDU8" s="16"/>
      <c r="IDV8" s="16"/>
      <c r="IDW8" s="16"/>
      <c r="IDX8" s="16"/>
      <c r="IDY8" s="16"/>
      <c r="IDZ8" s="16"/>
      <c r="IEA8" s="16"/>
      <c r="IEB8" s="16"/>
      <c r="IEC8" s="16"/>
      <c r="IED8" s="16"/>
      <c r="IEE8" s="16"/>
      <c r="IEF8" s="16"/>
      <c r="IEG8" s="16"/>
      <c r="IEH8" s="16"/>
      <c r="IEI8" s="16"/>
      <c r="IEJ8" s="16"/>
      <c r="IEK8" s="16"/>
      <c r="IEL8" s="16"/>
      <c r="IEM8" s="16"/>
      <c r="IEN8" s="16"/>
      <c r="IEO8" s="16"/>
      <c r="IEP8" s="16"/>
      <c r="IEQ8" s="16"/>
      <c r="IER8" s="16"/>
      <c r="IES8" s="16"/>
      <c r="IET8" s="16"/>
      <c r="IEU8" s="16"/>
      <c r="IEV8" s="16"/>
      <c r="IEW8" s="16"/>
      <c r="IEX8" s="16"/>
      <c r="IEY8" s="16"/>
      <c r="IEZ8" s="16"/>
      <c r="IFA8" s="16"/>
      <c r="IFB8" s="16"/>
      <c r="IFC8" s="16"/>
      <c r="IFD8" s="16"/>
      <c r="IFE8" s="16"/>
      <c r="IFF8" s="16"/>
      <c r="IFG8" s="16"/>
      <c r="IFH8" s="16"/>
      <c r="IFI8" s="16"/>
      <c r="IFJ8" s="16"/>
      <c r="IFK8" s="16"/>
      <c r="IFL8" s="16"/>
      <c r="IFM8" s="16"/>
      <c r="IFN8" s="16"/>
      <c r="IFO8" s="16"/>
      <c r="IFP8" s="16"/>
      <c r="IFQ8" s="16"/>
      <c r="IFR8" s="16"/>
      <c r="IFS8" s="16"/>
      <c r="IFT8" s="16"/>
      <c r="IFU8" s="16"/>
      <c r="IFV8" s="16"/>
      <c r="IFW8" s="16"/>
      <c r="IFX8" s="16"/>
      <c r="IFY8" s="16"/>
      <c r="IFZ8" s="16"/>
      <c r="IGA8" s="16"/>
      <c r="IGB8" s="16"/>
      <c r="IGC8" s="16"/>
      <c r="IGD8" s="16"/>
      <c r="IGE8" s="16"/>
      <c r="IGF8" s="16"/>
      <c r="IGG8" s="16"/>
      <c r="IGH8" s="16"/>
      <c r="IGI8" s="16"/>
      <c r="IGJ8" s="16"/>
      <c r="IGK8" s="16"/>
      <c r="IGL8" s="16"/>
      <c r="IGM8" s="16"/>
      <c r="IGN8" s="16"/>
      <c r="IGO8" s="16"/>
      <c r="IGP8" s="16"/>
      <c r="IGQ8" s="16"/>
      <c r="IGR8" s="16"/>
      <c r="IGS8" s="16"/>
      <c r="IGT8" s="16"/>
      <c r="IGU8" s="16"/>
      <c r="IGV8" s="16"/>
      <c r="IGW8" s="16"/>
      <c r="IGX8" s="16"/>
      <c r="IGY8" s="16"/>
      <c r="IGZ8" s="16"/>
      <c r="IHA8" s="16"/>
      <c r="IHB8" s="16"/>
      <c r="IHC8" s="16"/>
      <c r="IHD8" s="16"/>
      <c r="IHE8" s="16"/>
      <c r="IHF8" s="16"/>
      <c r="IHG8" s="16"/>
      <c r="IHH8" s="16"/>
      <c r="IHI8" s="16"/>
      <c r="IHJ8" s="16"/>
      <c r="IHK8" s="16"/>
      <c r="IHL8" s="16"/>
      <c r="IHM8" s="16"/>
      <c r="IHN8" s="16"/>
      <c r="IHO8" s="16"/>
      <c r="IHP8" s="16"/>
      <c r="IHQ8" s="16"/>
      <c r="IHR8" s="16"/>
      <c r="IHS8" s="16"/>
      <c r="IHT8" s="16"/>
      <c r="IHU8" s="16"/>
      <c r="IHV8" s="16"/>
      <c r="IHW8" s="16"/>
      <c r="IHX8" s="16"/>
      <c r="IHY8" s="16"/>
      <c r="IHZ8" s="16"/>
      <c r="IIA8" s="16"/>
      <c r="IIB8" s="16"/>
      <c r="IIC8" s="16"/>
      <c r="IID8" s="16"/>
      <c r="IIE8" s="16"/>
      <c r="IIF8" s="16"/>
      <c r="IIG8" s="16"/>
      <c r="IIH8" s="16"/>
      <c r="III8" s="16"/>
      <c r="IIJ8" s="16"/>
      <c r="IIK8" s="16"/>
      <c r="IIL8" s="16"/>
      <c r="IIM8" s="16"/>
      <c r="IIN8" s="16"/>
      <c r="IIO8" s="16"/>
      <c r="IIP8" s="16"/>
      <c r="IIQ8" s="16"/>
      <c r="IIR8" s="16"/>
      <c r="IIS8" s="16"/>
      <c r="IIT8" s="16"/>
      <c r="IIU8" s="16"/>
      <c r="IIV8" s="16"/>
      <c r="IIW8" s="16"/>
      <c r="IIX8" s="16"/>
      <c r="IIY8" s="16"/>
      <c r="IIZ8" s="16"/>
      <c r="IJA8" s="16"/>
      <c r="IJB8" s="16"/>
      <c r="IJC8" s="16"/>
      <c r="IJD8" s="16"/>
      <c r="IJE8" s="16"/>
      <c r="IJF8" s="16"/>
      <c r="IJG8" s="16"/>
      <c r="IJH8" s="16"/>
      <c r="IJI8" s="16"/>
      <c r="IJJ8" s="16"/>
      <c r="IJK8" s="16"/>
      <c r="IJL8" s="16"/>
      <c r="IJM8" s="16"/>
      <c r="IJN8" s="16"/>
      <c r="IJO8" s="16"/>
      <c r="IJP8" s="16"/>
      <c r="IJQ8" s="16"/>
      <c r="IJR8" s="16"/>
      <c r="IJS8" s="16"/>
      <c r="IJT8" s="16"/>
      <c r="IJU8" s="16"/>
      <c r="IJV8" s="16"/>
      <c r="IJW8" s="16"/>
      <c r="IJX8" s="16"/>
      <c r="IJY8" s="16"/>
      <c r="IJZ8" s="16"/>
      <c r="IKA8" s="16"/>
      <c r="IKB8" s="16"/>
      <c r="IKC8" s="16"/>
      <c r="IKD8" s="16"/>
      <c r="IKE8" s="16"/>
      <c r="IKF8" s="16"/>
      <c r="IKG8" s="16"/>
      <c r="IKH8" s="16"/>
      <c r="IKI8" s="16"/>
      <c r="IKJ8" s="16"/>
      <c r="IKK8" s="16"/>
      <c r="IKL8" s="16"/>
      <c r="IKM8" s="16"/>
      <c r="IKN8" s="16"/>
      <c r="IKO8" s="16"/>
      <c r="IKP8" s="16"/>
      <c r="IKQ8" s="16"/>
      <c r="IKR8" s="16"/>
      <c r="IKS8" s="16"/>
      <c r="IKT8" s="16"/>
      <c r="IKU8" s="16"/>
      <c r="IKV8" s="16"/>
      <c r="IKW8" s="16"/>
      <c r="IKX8" s="16"/>
      <c r="IKY8" s="16"/>
      <c r="IKZ8" s="16"/>
      <c r="ILA8" s="16"/>
      <c r="ILB8" s="16"/>
      <c r="ILC8" s="16"/>
      <c r="ILD8" s="16"/>
      <c r="ILE8" s="16"/>
      <c r="ILF8" s="16"/>
      <c r="ILG8" s="16"/>
      <c r="ILH8" s="16"/>
      <c r="ILI8" s="16"/>
      <c r="ILJ8" s="16"/>
      <c r="ILK8" s="16"/>
      <c r="ILL8" s="16"/>
      <c r="ILM8" s="16"/>
      <c r="ILN8" s="16"/>
      <c r="ILO8" s="16"/>
      <c r="ILP8" s="16"/>
      <c r="ILQ8" s="16"/>
      <c r="ILR8" s="16"/>
      <c r="ILS8" s="16"/>
      <c r="ILT8" s="16"/>
      <c r="ILU8" s="16"/>
      <c r="ILV8" s="16"/>
      <c r="ILW8" s="16"/>
      <c r="ILX8" s="16"/>
      <c r="ILY8" s="16"/>
      <c r="ILZ8" s="16"/>
      <c r="IMA8" s="16"/>
      <c r="IMB8" s="16"/>
      <c r="IMC8" s="16"/>
      <c r="IMD8" s="16"/>
      <c r="IME8" s="16"/>
      <c r="IMF8" s="16"/>
      <c r="IMG8" s="16"/>
      <c r="IMH8" s="16"/>
      <c r="IMI8" s="16"/>
      <c r="IMJ8" s="16"/>
      <c r="IMK8" s="16"/>
      <c r="IML8" s="16"/>
      <c r="IMM8" s="16"/>
      <c r="IMN8" s="16"/>
      <c r="IMO8" s="16"/>
      <c r="IMP8" s="16"/>
      <c r="IMQ8" s="16"/>
      <c r="IMR8" s="16"/>
      <c r="IMS8" s="16"/>
      <c r="IMT8" s="16"/>
      <c r="IMU8" s="16"/>
      <c r="IMV8" s="16"/>
      <c r="IMW8" s="16"/>
      <c r="IMX8" s="16"/>
      <c r="IMY8" s="16"/>
      <c r="IMZ8" s="16"/>
      <c r="INA8" s="16"/>
      <c r="INB8" s="16"/>
      <c r="INC8" s="16"/>
      <c r="IND8" s="16"/>
      <c r="INE8" s="16"/>
      <c r="INF8" s="16"/>
      <c r="ING8" s="16"/>
      <c r="INH8" s="16"/>
      <c r="INI8" s="16"/>
      <c r="INJ8" s="16"/>
      <c r="INK8" s="16"/>
      <c r="INL8" s="16"/>
      <c r="INM8" s="16"/>
      <c r="INN8" s="16"/>
      <c r="INO8" s="16"/>
      <c r="INP8" s="16"/>
      <c r="INQ8" s="16"/>
      <c r="INR8" s="16"/>
      <c r="INS8" s="16"/>
      <c r="INT8" s="16"/>
      <c r="INU8" s="16"/>
      <c r="INV8" s="16"/>
      <c r="INW8" s="16"/>
      <c r="INX8" s="16"/>
      <c r="INY8" s="16"/>
      <c r="INZ8" s="16"/>
      <c r="IOA8" s="16"/>
      <c r="IOB8" s="16"/>
      <c r="IOC8" s="16"/>
      <c r="IOD8" s="16"/>
      <c r="IOE8" s="16"/>
      <c r="IOF8" s="16"/>
      <c r="IOG8" s="16"/>
      <c r="IOH8" s="16"/>
      <c r="IOI8" s="16"/>
      <c r="IOJ8" s="16"/>
      <c r="IOK8" s="16"/>
      <c r="IOL8" s="16"/>
      <c r="IOM8" s="16"/>
      <c r="ION8" s="16"/>
      <c r="IOO8" s="16"/>
      <c r="IOP8" s="16"/>
      <c r="IOQ8" s="16"/>
      <c r="IOR8" s="16"/>
      <c r="IOS8" s="16"/>
      <c r="IOT8" s="16"/>
      <c r="IOU8" s="16"/>
      <c r="IOV8" s="16"/>
      <c r="IOW8" s="16"/>
      <c r="IOX8" s="16"/>
      <c r="IOY8" s="16"/>
      <c r="IOZ8" s="16"/>
      <c r="IPA8" s="16"/>
      <c r="IPB8" s="16"/>
      <c r="IPC8" s="16"/>
      <c r="IPD8" s="16"/>
      <c r="IPE8" s="16"/>
      <c r="IPF8" s="16"/>
      <c r="IPG8" s="16"/>
      <c r="IPH8" s="16"/>
      <c r="IPI8" s="16"/>
      <c r="IPJ8" s="16"/>
      <c r="IPK8" s="16"/>
      <c r="IPL8" s="16"/>
      <c r="IPM8" s="16"/>
      <c r="IPN8" s="16"/>
      <c r="IPO8" s="16"/>
      <c r="IPP8" s="16"/>
      <c r="IPQ8" s="16"/>
      <c r="IPR8" s="16"/>
      <c r="IPS8" s="16"/>
      <c r="IPT8" s="16"/>
      <c r="IPU8" s="16"/>
      <c r="IPV8" s="16"/>
      <c r="IPW8" s="16"/>
      <c r="IPX8" s="16"/>
      <c r="IPY8" s="16"/>
      <c r="IPZ8" s="16"/>
      <c r="IQA8" s="16"/>
      <c r="IQB8" s="16"/>
      <c r="IQC8" s="16"/>
      <c r="IQD8" s="16"/>
      <c r="IQE8" s="16"/>
      <c r="IQF8" s="16"/>
      <c r="IQG8" s="16"/>
      <c r="IQH8" s="16"/>
      <c r="IQI8" s="16"/>
      <c r="IQJ8" s="16"/>
      <c r="IQK8" s="16"/>
      <c r="IQL8" s="16"/>
      <c r="IQM8" s="16"/>
      <c r="IQN8" s="16"/>
      <c r="IQO8" s="16"/>
      <c r="IQP8" s="16"/>
      <c r="IQQ8" s="16"/>
      <c r="IQR8" s="16"/>
      <c r="IQS8" s="16"/>
      <c r="IQT8" s="16"/>
      <c r="IQU8" s="16"/>
      <c r="IQV8" s="16"/>
      <c r="IQW8" s="16"/>
      <c r="IQX8" s="16"/>
      <c r="IQY8" s="16"/>
      <c r="IQZ8" s="16"/>
      <c r="IRA8" s="16"/>
      <c r="IRB8" s="16"/>
      <c r="IRC8" s="16"/>
      <c r="IRD8" s="16"/>
      <c r="IRE8" s="16"/>
      <c r="IRF8" s="16"/>
      <c r="IRG8" s="16"/>
      <c r="IRH8" s="16"/>
      <c r="IRI8" s="16"/>
      <c r="IRJ8" s="16"/>
      <c r="IRK8" s="16"/>
      <c r="IRL8" s="16"/>
      <c r="IRM8" s="16"/>
      <c r="IRN8" s="16"/>
      <c r="IRO8" s="16"/>
      <c r="IRP8" s="16"/>
      <c r="IRQ8" s="16"/>
      <c r="IRR8" s="16"/>
      <c r="IRS8" s="16"/>
      <c r="IRT8" s="16"/>
      <c r="IRU8" s="16"/>
      <c r="IRV8" s="16"/>
      <c r="IRW8" s="16"/>
      <c r="IRX8" s="16"/>
      <c r="IRY8" s="16"/>
      <c r="IRZ8" s="16"/>
      <c r="ISA8" s="16"/>
      <c r="ISB8" s="16"/>
      <c r="ISC8" s="16"/>
      <c r="ISD8" s="16"/>
      <c r="ISE8" s="16"/>
      <c r="ISF8" s="16"/>
      <c r="ISG8" s="16"/>
      <c r="ISH8" s="16"/>
      <c r="ISI8" s="16"/>
      <c r="ISJ8" s="16"/>
      <c r="ISK8" s="16"/>
      <c r="ISL8" s="16"/>
      <c r="ISM8" s="16"/>
      <c r="ISN8" s="16"/>
      <c r="ISO8" s="16"/>
      <c r="ISP8" s="16"/>
      <c r="ISQ8" s="16"/>
      <c r="ISR8" s="16"/>
      <c r="ISS8" s="16"/>
      <c r="IST8" s="16"/>
      <c r="ISU8" s="16"/>
      <c r="ISV8" s="16"/>
      <c r="ISW8" s="16"/>
      <c r="ISX8" s="16"/>
      <c r="ISY8" s="16"/>
      <c r="ISZ8" s="16"/>
      <c r="ITA8" s="16"/>
      <c r="ITB8" s="16"/>
      <c r="ITC8" s="16"/>
      <c r="ITD8" s="16"/>
      <c r="ITE8" s="16"/>
      <c r="ITF8" s="16"/>
      <c r="ITG8" s="16"/>
      <c r="ITH8" s="16"/>
      <c r="ITI8" s="16"/>
      <c r="ITJ8" s="16"/>
      <c r="ITK8" s="16"/>
      <c r="ITL8" s="16"/>
      <c r="ITM8" s="16"/>
      <c r="ITN8" s="16"/>
      <c r="ITO8" s="16"/>
      <c r="ITP8" s="16"/>
      <c r="ITQ8" s="16"/>
      <c r="ITR8" s="16"/>
      <c r="ITS8" s="16"/>
      <c r="ITT8" s="16"/>
      <c r="ITU8" s="16"/>
      <c r="ITV8" s="16"/>
      <c r="ITW8" s="16"/>
      <c r="ITX8" s="16"/>
      <c r="ITY8" s="16"/>
      <c r="ITZ8" s="16"/>
      <c r="IUA8" s="16"/>
      <c r="IUB8" s="16"/>
      <c r="IUC8" s="16"/>
      <c r="IUD8" s="16"/>
      <c r="IUE8" s="16"/>
      <c r="IUF8" s="16"/>
      <c r="IUG8" s="16"/>
      <c r="IUH8" s="16"/>
      <c r="IUI8" s="16"/>
      <c r="IUJ8" s="16"/>
      <c r="IUK8" s="16"/>
      <c r="IUL8" s="16"/>
      <c r="IUM8" s="16"/>
      <c r="IUN8" s="16"/>
      <c r="IUO8" s="16"/>
      <c r="IUP8" s="16"/>
      <c r="IUQ8" s="16"/>
      <c r="IUR8" s="16"/>
      <c r="IUS8" s="16"/>
      <c r="IUT8" s="16"/>
      <c r="IUU8" s="16"/>
      <c r="IUV8" s="16"/>
      <c r="IUW8" s="16"/>
      <c r="IUX8" s="16"/>
      <c r="IUY8" s="16"/>
      <c r="IUZ8" s="16"/>
      <c r="IVA8" s="16"/>
      <c r="IVB8" s="16"/>
      <c r="IVC8" s="16"/>
      <c r="IVD8" s="16"/>
      <c r="IVE8" s="16"/>
      <c r="IVF8" s="16"/>
      <c r="IVG8" s="16"/>
      <c r="IVH8" s="16"/>
      <c r="IVI8" s="16"/>
      <c r="IVJ8" s="16"/>
      <c r="IVK8" s="16"/>
      <c r="IVL8" s="16"/>
      <c r="IVM8" s="16"/>
      <c r="IVN8" s="16"/>
      <c r="IVO8" s="16"/>
      <c r="IVP8" s="16"/>
      <c r="IVQ8" s="16"/>
      <c r="IVR8" s="16"/>
      <c r="IVS8" s="16"/>
      <c r="IVT8" s="16"/>
      <c r="IVU8" s="16"/>
      <c r="IVV8" s="16"/>
      <c r="IVW8" s="16"/>
      <c r="IVX8" s="16"/>
      <c r="IVY8" s="16"/>
      <c r="IVZ8" s="16"/>
      <c r="IWA8" s="16"/>
      <c r="IWB8" s="16"/>
      <c r="IWC8" s="16"/>
      <c r="IWD8" s="16"/>
      <c r="IWE8" s="16"/>
      <c r="IWF8" s="16"/>
      <c r="IWG8" s="16"/>
      <c r="IWH8" s="16"/>
      <c r="IWI8" s="16"/>
      <c r="IWJ8" s="16"/>
      <c r="IWK8" s="16"/>
      <c r="IWL8" s="16"/>
      <c r="IWM8" s="16"/>
      <c r="IWN8" s="16"/>
      <c r="IWO8" s="16"/>
      <c r="IWP8" s="16"/>
      <c r="IWQ8" s="16"/>
      <c r="IWR8" s="16"/>
      <c r="IWS8" s="16"/>
      <c r="IWT8" s="16"/>
      <c r="IWU8" s="16"/>
      <c r="IWV8" s="16"/>
      <c r="IWW8" s="16"/>
      <c r="IWX8" s="16"/>
      <c r="IWY8" s="16"/>
      <c r="IWZ8" s="16"/>
      <c r="IXA8" s="16"/>
      <c r="IXB8" s="16"/>
      <c r="IXC8" s="16"/>
      <c r="IXD8" s="16"/>
      <c r="IXE8" s="16"/>
      <c r="IXF8" s="16"/>
      <c r="IXG8" s="16"/>
      <c r="IXH8" s="16"/>
      <c r="IXI8" s="16"/>
      <c r="IXJ8" s="16"/>
      <c r="IXK8" s="16"/>
      <c r="IXL8" s="16"/>
      <c r="IXM8" s="16"/>
      <c r="IXN8" s="16"/>
      <c r="IXO8" s="16"/>
      <c r="IXP8" s="16"/>
      <c r="IXQ8" s="16"/>
      <c r="IXR8" s="16"/>
      <c r="IXS8" s="16"/>
      <c r="IXT8" s="16"/>
      <c r="IXU8" s="16"/>
      <c r="IXV8" s="16"/>
      <c r="IXW8" s="16"/>
      <c r="IXX8" s="16"/>
      <c r="IXY8" s="16"/>
      <c r="IXZ8" s="16"/>
      <c r="IYA8" s="16"/>
      <c r="IYB8" s="16"/>
      <c r="IYC8" s="16"/>
      <c r="IYD8" s="16"/>
      <c r="IYE8" s="16"/>
      <c r="IYF8" s="16"/>
      <c r="IYG8" s="16"/>
      <c r="IYH8" s="16"/>
      <c r="IYI8" s="16"/>
      <c r="IYJ8" s="16"/>
      <c r="IYK8" s="16"/>
      <c r="IYL8" s="16"/>
      <c r="IYM8" s="16"/>
      <c r="IYN8" s="16"/>
      <c r="IYO8" s="16"/>
      <c r="IYP8" s="16"/>
      <c r="IYQ8" s="16"/>
      <c r="IYR8" s="16"/>
      <c r="IYS8" s="16"/>
      <c r="IYT8" s="16"/>
      <c r="IYU8" s="16"/>
      <c r="IYV8" s="16"/>
      <c r="IYW8" s="16"/>
      <c r="IYX8" s="16"/>
      <c r="IYY8" s="16"/>
      <c r="IYZ8" s="16"/>
      <c r="IZA8" s="16"/>
      <c r="IZB8" s="16"/>
      <c r="IZC8" s="16"/>
      <c r="IZD8" s="16"/>
      <c r="IZE8" s="16"/>
      <c r="IZF8" s="16"/>
      <c r="IZG8" s="16"/>
      <c r="IZH8" s="16"/>
      <c r="IZI8" s="16"/>
      <c r="IZJ8" s="16"/>
      <c r="IZK8" s="16"/>
      <c r="IZL8" s="16"/>
      <c r="IZM8" s="16"/>
      <c r="IZN8" s="16"/>
      <c r="IZO8" s="16"/>
      <c r="IZP8" s="16"/>
      <c r="IZQ8" s="16"/>
      <c r="IZR8" s="16"/>
      <c r="IZS8" s="16"/>
      <c r="IZT8" s="16"/>
      <c r="IZU8" s="16"/>
      <c r="IZV8" s="16"/>
      <c r="IZW8" s="16"/>
      <c r="IZX8" s="16"/>
      <c r="IZY8" s="16"/>
      <c r="IZZ8" s="16"/>
      <c r="JAA8" s="16"/>
      <c r="JAB8" s="16"/>
      <c r="JAC8" s="16"/>
      <c r="JAD8" s="16"/>
      <c r="JAE8" s="16"/>
      <c r="JAF8" s="16"/>
      <c r="JAG8" s="16"/>
      <c r="JAH8" s="16"/>
      <c r="JAI8" s="16"/>
      <c r="JAJ8" s="16"/>
      <c r="JAK8" s="16"/>
      <c r="JAL8" s="16"/>
      <c r="JAM8" s="16"/>
      <c r="JAN8" s="16"/>
      <c r="JAO8" s="16"/>
      <c r="JAP8" s="16"/>
      <c r="JAQ8" s="16"/>
      <c r="JAR8" s="16"/>
      <c r="JAS8" s="16"/>
      <c r="JAT8" s="16"/>
      <c r="JAU8" s="16"/>
      <c r="JAV8" s="16"/>
      <c r="JAW8" s="16"/>
      <c r="JAX8" s="16"/>
      <c r="JAY8" s="16"/>
      <c r="JAZ8" s="16"/>
      <c r="JBA8" s="16"/>
      <c r="JBB8" s="16"/>
      <c r="JBC8" s="16"/>
      <c r="JBD8" s="16"/>
      <c r="JBE8" s="16"/>
      <c r="JBF8" s="16"/>
      <c r="JBG8" s="16"/>
      <c r="JBH8" s="16"/>
      <c r="JBI8" s="16"/>
      <c r="JBJ8" s="16"/>
      <c r="JBK8" s="16"/>
      <c r="JBL8" s="16"/>
      <c r="JBM8" s="16"/>
      <c r="JBN8" s="16"/>
      <c r="JBO8" s="16"/>
      <c r="JBP8" s="16"/>
      <c r="JBQ8" s="16"/>
      <c r="JBR8" s="16"/>
      <c r="JBS8" s="16"/>
      <c r="JBT8" s="16"/>
      <c r="JBU8" s="16"/>
      <c r="JBV8" s="16"/>
      <c r="JBW8" s="16"/>
      <c r="JBX8" s="16"/>
      <c r="JBY8" s="16"/>
      <c r="JBZ8" s="16"/>
      <c r="JCA8" s="16"/>
      <c r="JCB8" s="16"/>
      <c r="JCC8" s="16"/>
      <c r="JCD8" s="16"/>
      <c r="JCE8" s="16"/>
      <c r="JCF8" s="16"/>
      <c r="JCG8" s="16"/>
      <c r="JCH8" s="16"/>
      <c r="JCI8" s="16"/>
      <c r="JCJ8" s="16"/>
      <c r="JCK8" s="16"/>
      <c r="JCL8" s="16"/>
      <c r="JCM8" s="16"/>
      <c r="JCN8" s="16"/>
      <c r="JCO8" s="16"/>
      <c r="JCP8" s="16"/>
      <c r="JCQ8" s="16"/>
      <c r="JCR8" s="16"/>
      <c r="JCS8" s="16"/>
      <c r="JCT8" s="16"/>
      <c r="JCU8" s="16"/>
      <c r="JCV8" s="16"/>
      <c r="JCW8" s="16"/>
      <c r="JCX8" s="16"/>
      <c r="JCY8" s="16"/>
      <c r="JCZ8" s="16"/>
      <c r="JDA8" s="16"/>
      <c r="JDB8" s="16"/>
      <c r="JDC8" s="16"/>
      <c r="JDD8" s="16"/>
      <c r="JDE8" s="16"/>
      <c r="JDF8" s="16"/>
      <c r="JDG8" s="16"/>
      <c r="JDH8" s="16"/>
      <c r="JDI8" s="16"/>
      <c r="JDJ8" s="16"/>
      <c r="JDK8" s="16"/>
      <c r="JDL8" s="16"/>
      <c r="JDM8" s="16"/>
      <c r="JDN8" s="16"/>
      <c r="JDO8" s="16"/>
      <c r="JDP8" s="16"/>
      <c r="JDQ8" s="16"/>
      <c r="JDR8" s="16"/>
      <c r="JDS8" s="16"/>
      <c r="JDT8" s="16"/>
      <c r="JDU8" s="16"/>
      <c r="JDV8" s="16"/>
      <c r="JDW8" s="16"/>
      <c r="JDX8" s="16"/>
      <c r="JDY8" s="16"/>
      <c r="JDZ8" s="16"/>
      <c r="JEA8" s="16"/>
      <c r="JEB8" s="16"/>
      <c r="JEC8" s="16"/>
      <c r="JED8" s="16"/>
      <c r="JEE8" s="16"/>
      <c r="JEF8" s="16"/>
      <c r="JEG8" s="16"/>
      <c r="JEH8" s="16"/>
      <c r="JEI8" s="16"/>
      <c r="JEJ8" s="16"/>
      <c r="JEK8" s="16"/>
      <c r="JEL8" s="16"/>
      <c r="JEM8" s="16"/>
      <c r="JEN8" s="16"/>
      <c r="JEO8" s="16"/>
      <c r="JEP8" s="16"/>
      <c r="JEQ8" s="16"/>
      <c r="JER8" s="16"/>
      <c r="JES8" s="16"/>
      <c r="JET8" s="16"/>
      <c r="JEU8" s="16"/>
      <c r="JEV8" s="16"/>
      <c r="JEW8" s="16"/>
      <c r="JEX8" s="16"/>
      <c r="JEY8" s="16"/>
      <c r="JEZ8" s="16"/>
      <c r="JFA8" s="16"/>
      <c r="JFB8" s="16"/>
      <c r="JFC8" s="16"/>
      <c r="JFD8" s="16"/>
      <c r="JFE8" s="16"/>
      <c r="JFF8" s="16"/>
      <c r="JFG8" s="16"/>
      <c r="JFH8" s="16"/>
      <c r="JFI8" s="16"/>
      <c r="JFJ8" s="16"/>
      <c r="JFK8" s="16"/>
      <c r="JFL8" s="16"/>
      <c r="JFM8" s="16"/>
      <c r="JFN8" s="16"/>
      <c r="JFO8" s="16"/>
      <c r="JFP8" s="16"/>
      <c r="JFQ8" s="16"/>
      <c r="JFR8" s="16"/>
      <c r="JFS8" s="16"/>
      <c r="JFT8" s="16"/>
      <c r="JFU8" s="16"/>
      <c r="JFV8" s="16"/>
      <c r="JFW8" s="16"/>
      <c r="JFX8" s="16"/>
      <c r="JFY8" s="16"/>
      <c r="JFZ8" s="16"/>
      <c r="JGA8" s="16"/>
      <c r="JGB8" s="16"/>
      <c r="JGC8" s="16"/>
      <c r="JGD8" s="16"/>
      <c r="JGE8" s="16"/>
      <c r="JGF8" s="16"/>
      <c r="JGG8" s="16"/>
      <c r="JGH8" s="16"/>
      <c r="JGI8" s="16"/>
      <c r="JGJ8" s="16"/>
      <c r="JGK8" s="16"/>
      <c r="JGL8" s="16"/>
      <c r="JGM8" s="16"/>
      <c r="JGN8" s="16"/>
      <c r="JGO8" s="16"/>
      <c r="JGP8" s="16"/>
      <c r="JGQ8" s="16"/>
      <c r="JGR8" s="16"/>
      <c r="JGS8" s="16"/>
      <c r="JGT8" s="16"/>
      <c r="JGU8" s="16"/>
      <c r="JGV8" s="16"/>
      <c r="JGW8" s="16"/>
      <c r="JGX8" s="16"/>
      <c r="JGY8" s="16"/>
      <c r="JGZ8" s="16"/>
      <c r="JHA8" s="16"/>
      <c r="JHB8" s="16"/>
      <c r="JHC8" s="16"/>
      <c r="JHD8" s="16"/>
      <c r="JHE8" s="16"/>
      <c r="JHF8" s="16"/>
      <c r="JHG8" s="16"/>
      <c r="JHH8" s="16"/>
      <c r="JHI8" s="16"/>
      <c r="JHJ8" s="16"/>
      <c r="JHK8" s="16"/>
      <c r="JHL8" s="16"/>
      <c r="JHM8" s="16"/>
      <c r="JHN8" s="16"/>
      <c r="JHO8" s="16"/>
      <c r="JHP8" s="16"/>
      <c r="JHQ8" s="16"/>
      <c r="JHR8" s="16"/>
      <c r="JHS8" s="16"/>
      <c r="JHT8" s="16"/>
      <c r="JHU8" s="16"/>
      <c r="JHV8" s="16"/>
      <c r="JHW8" s="16"/>
      <c r="JHX8" s="16"/>
      <c r="JHY8" s="16"/>
      <c r="JHZ8" s="16"/>
      <c r="JIA8" s="16"/>
      <c r="JIB8" s="16"/>
      <c r="JIC8" s="16"/>
      <c r="JID8" s="16"/>
      <c r="JIE8" s="16"/>
      <c r="JIF8" s="16"/>
      <c r="JIG8" s="16"/>
      <c r="JIH8" s="16"/>
      <c r="JII8" s="16"/>
      <c r="JIJ8" s="16"/>
      <c r="JIK8" s="16"/>
      <c r="JIL8" s="16"/>
      <c r="JIM8" s="16"/>
      <c r="JIN8" s="16"/>
      <c r="JIO8" s="16"/>
      <c r="JIP8" s="16"/>
      <c r="JIQ8" s="16"/>
      <c r="JIR8" s="16"/>
      <c r="JIS8" s="16"/>
      <c r="JIT8" s="16"/>
      <c r="JIU8" s="16"/>
      <c r="JIV8" s="16"/>
      <c r="JIW8" s="16"/>
      <c r="JIX8" s="16"/>
      <c r="JIY8" s="16"/>
      <c r="JIZ8" s="16"/>
      <c r="JJA8" s="16"/>
      <c r="JJB8" s="16"/>
      <c r="JJC8" s="16"/>
      <c r="JJD8" s="16"/>
      <c r="JJE8" s="16"/>
      <c r="JJF8" s="16"/>
      <c r="JJG8" s="16"/>
      <c r="JJH8" s="16"/>
      <c r="JJI8" s="16"/>
      <c r="JJJ8" s="16"/>
      <c r="JJK8" s="16"/>
      <c r="JJL8" s="16"/>
      <c r="JJM8" s="16"/>
      <c r="JJN8" s="16"/>
      <c r="JJO8" s="16"/>
      <c r="JJP8" s="16"/>
      <c r="JJQ8" s="16"/>
      <c r="JJR8" s="16"/>
      <c r="JJS8" s="16"/>
      <c r="JJT8" s="16"/>
      <c r="JJU8" s="16"/>
      <c r="JJV8" s="16"/>
      <c r="JJW8" s="16"/>
      <c r="JJX8" s="16"/>
      <c r="JJY8" s="16"/>
      <c r="JJZ8" s="16"/>
      <c r="JKA8" s="16"/>
      <c r="JKB8" s="16"/>
      <c r="JKC8" s="16"/>
      <c r="JKD8" s="16"/>
      <c r="JKE8" s="16"/>
      <c r="JKF8" s="16"/>
      <c r="JKG8" s="16"/>
      <c r="JKH8" s="16"/>
      <c r="JKI8" s="16"/>
      <c r="JKJ8" s="16"/>
      <c r="JKK8" s="16"/>
      <c r="JKL8" s="16"/>
      <c r="JKM8" s="16"/>
      <c r="JKN8" s="16"/>
      <c r="JKO8" s="16"/>
      <c r="JKP8" s="16"/>
      <c r="JKQ8" s="16"/>
      <c r="JKR8" s="16"/>
      <c r="JKS8" s="16"/>
      <c r="JKT8" s="16"/>
      <c r="JKU8" s="16"/>
      <c r="JKV8" s="16"/>
      <c r="JKW8" s="16"/>
      <c r="JKX8" s="16"/>
      <c r="JKY8" s="16"/>
      <c r="JKZ8" s="16"/>
      <c r="JLA8" s="16"/>
      <c r="JLB8" s="16"/>
      <c r="JLC8" s="16"/>
      <c r="JLD8" s="16"/>
      <c r="JLE8" s="16"/>
      <c r="JLF8" s="16"/>
      <c r="JLG8" s="16"/>
      <c r="JLH8" s="16"/>
      <c r="JLI8" s="16"/>
      <c r="JLJ8" s="16"/>
      <c r="JLK8" s="16"/>
      <c r="JLL8" s="16"/>
      <c r="JLM8" s="16"/>
      <c r="JLN8" s="16"/>
      <c r="JLO8" s="16"/>
      <c r="JLP8" s="16"/>
      <c r="JLQ8" s="16"/>
      <c r="JLR8" s="16"/>
      <c r="JLS8" s="16"/>
      <c r="JLT8" s="16"/>
      <c r="JLU8" s="16"/>
      <c r="JLV8" s="16"/>
      <c r="JLW8" s="16"/>
      <c r="JLX8" s="16"/>
      <c r="JLY8" s="16"/>
      <c r="JLZ8" s="16"/>
      <c r="JMA8" s="16"/>
      <c r="JMB8" s="16"/>
      <c r="JMC8" s="16"/>
      <c r="JMD8" s="16"/>
      <c r="JME8" s="16"/>
      <c r="JMF8" s="16"/>
      <c r="JMG8" s="16"/>
      <c r="JMH8" s="16"/>
      <c r="JMI8" s="16"/>
      <c r="JMJ8" s="16"/>
      <c r="JMK8" s="16"/>
      <c r="JML8" s="16"/>
      <c r="JMM8" s="16"/>
      <c r="JMN8" s="16"/>
      <c r="JMO8" s="16"/>
      <c r="JMP8" s="16"/>
      <c r="JMQ8" s="16"/>
      <c r="JMR8" s="16"/>
      <c r="JMS8" s="16"/>
      <c r="JMT8" s="16"/>
      <c r="JMU8" s="16"/>
      <c r="JMV8" s="16"/>
      <c r="JMW8" s="16"/>
      <c r="JMX8" s="16"/>
      <c r="JMY8" s="16"/>
      <c r="JMZ8" s="16"/>
      <c r="JNA8" s="16"/>
      <c r="JNB8" s="16"/>
      <c r="JNC8" s="16"/>
      <c r="JND8" s="16"/>
      <c r="JNE8" s="16"/>
      <c r="JNF8" s="16"/>
      <c r="JNG8" s="16"/>
      <c r="JNH8" s="16"/>
      <c r="JNI8" s="16"/>
      <c r="JNJ8" s="16"/>
      <c r="JNK8" s="16"/>
      <c r="JNL8" s="16"/>
      <c r="JNM8" s="16"/>
      <c r="JNN8" s="16"/>
      <c r="JNO8" s="16"/>
      <c r="JNP8" s="16"/>
      <c r="JNQ8" s="16"/>
      <c r="JNR8" s="16"/>
      <c r="JNS8" s="16"/>
      <c r="JNT8" s="16"/>
      <c r="JNU8" s="16"/>
      <c r="JNV8" s="16"/>
      <c r="JNW8" s="16"/>
      <c r="JNX8" s="16"/>
      <c r="JNY8" s="16"/>
      <c r="JNZ8" s="16"/>
      <c r="JOA8" s="16"/>
      <c r="JOB8" s="16"/>
      <c r="JOC8" s="16"/>
      <c r="JOD8" s="16"/>
      <c r="JOE8" s="16"/>
      <c r="JOF8" s="16"/>
      <c r="JOG8" s="16"/>
      <c r="JOH8" s="16"/>
      <c r="JOI8" s="16"/>
      <c r="JOJ8" s="16"/>
      <c r="JOK8" s="16"/>
      <c r="JOL8" s="16"/>
      <c r="JOM8" s="16"/>
      <c r="JON8" s="16"/>
      <c r="JOO8" s="16"/>
      <c r="JOP8" s="16"/>
      <c r="JOQ8" s="16"/>
      <c r="JOR8" s="16"/>
      <c r="JOS8" s="16"/>
      <c r="JOT8" s="16"/>
      <c r="JOU8" s="16"/>
      <c r="JOV8" s="16"/>
      <c r="JOW8" s="16"/>
      <c r="JOX8" s="16"/>
      <c r="JOY8" s="16"/>
      <c r="JOZ8" s="16"/>
      <c r="JPA8" s="16"/>
      <c r="JPB8" s="16"/>
      <c r="JPC8" s="16"/>
      <c r="JPD8" s="16"/>
      <c r="JPE8" s="16"/>
      <c r="JPF8" s="16"/>
      <c r="JPG8" s="16"/>
      <c r="JPH8" s="16"/>
      <c r="JPI8" s="16"/>
      <c r="JPJ8" s="16"/>
      <c r="JPK8" s="16"/>
      <c r="JPL8" s="16"/>
      <c r="JPM8" s="16"/>
      <c r="JPN8" s="16"/>
      <c r="JPO8" s="16"/>
      <c r="JPP8" s="16"/>
      <c r="JPQ8" s="16"/>
      <c r="JPR8" s="16"/>
      <c r="JPS8" s="16"/>
      <c r="JPT8" s="16"/>
      <c r="JPU8" s="16"/>
      <c r="JPV8" s="16"/>
      <c r="JPW8" s="16"/>
      <c r="JPX8" s="16"/>
      <c r="JPY8" s="16"/>
      <c r="JPZ8" s="16"/>
      <c r="JQA8" s="16"/>
      <c r="JQB8" s="16"/>
      <c r="JQC8" s="16"/>
      <c r="JQD8" s="16"/>
      <c r="JQE8" s="16"/>
      <c r="JQF8" s="16"/>
      <c r="JQG8" s="16"/>
      <c r="JQH8" s="16"/>
      <c r="JQI8" s="16"/>
      <c r="JQJ8" s="16"/>
      <c r="JQK8" s="16"/>
      <c r="JQL8" s="16"/>
      <c r="JQM8" s="16"/>
      <c r="JQN8" s="16"/>
      <c r="JQO8" s="16"/>
      <c r="JQP8" s="16"/>
      <c r="JQQ8" s="16"/>
      <c r="JQR8" s="16"/>
      <c r="JQS8" s="16"/>
      <c r="JQT8" s="16"/>
      <c r="JQU8" s="16"/>
      <c r="JQV8" s="16"/>
      <c r="JQW8" s="16"/>
      <c r="JQX8" s="16"/>
      <c r="JQY8" s="16"/>
      <c r="JQZ8" s="16"/>
      <c r="JRA8" s="16"/>
      <c r="JRB8" s="16"/>
      <c r="JRC8" s="16"/>
      <c r="JRD8" s="16"/>
      <c r="JRE8" s="16"/>
      <c r="JRF8" s="16"/>
      <c r="JRG8" s="16"/>
      <c r="JRH8" s="16"/>
      <c r="JRI8" s="16"/>
      <c r="JRJ8" s="16"/>
      <c r="JRK8" s="16"/>
      <c r="JRL8" s="16"/>
      <c r="JRM8" s="16"/>
      <c r="JRN8" s="16"/>
      <c r="JRO8" s="16"/>
      <c r="JRP8" s="16"/>
      <c r="JRQ8" s="16"/>
      <c r="JRR8" s="16"/>
      <c r="JRS8" s="16"/>
      <c r="JRT8" s="16"/>
      <c r="JRU8" s="16"/>
      <c r="JRV8" s="16"/>
      <c r="JRW8" s="16"/>
      <c r="JRX8" s="16"/>
      <c r="JRY8" s="16"/>
      <c r="JRZ8" s="16"/>
      <c r="JSA8" s="16"/>
      <c r="JSB8" s="16"/>
      <c r="JSC8" s="16"/>
      <c r="JSD8" s="16"/>
      <c r="JSE8" s="16"/>
      <c r="JSF8" s="16"/>
      <c r="JSG8" s="16"/>
      <c r="JSH8" s="16"/>
      <c r="JSI8" s="16"/>
      <c r="JSJ8" s="16"/>
      <c r="JSK8" s="16"/>
      <c r="JSL8" s="16"/>
      <c r="JSM8" s="16"/>
      <c r="JSN8" s="16"/>
      <c r="JSO8" s="16"/>
      <c r="JSP8" s="16"/>
      <c r="JSQ8" s="16"/>
      <c r="JSR8" s="16"/>
      <c r="JSS8" s="16"/>
      <c r="JST8" s="16"/>
      <c r="JSU8" s="16"/>
      <c r="JSV8" s="16"/>
      <c r="JSW8" s="16"/>
      <c r="JSX8" s="16"/>
      <c r="JSY8" s="16"/>
      <c r="JSZ8" s="16"/>
      <c r="JTA8" s="16"/>
      <c r="JTB8" s="16"/>
      <c r="JTC8" s="16"/>
      <c r="JTD8" s="16"/>
      <c r="JTE8" s="16"/>
      <c r="JTF8" s="16"/>
      <c r="JTG8" s="16"/>
      <c r="JTH8" s="16"/>
      <c r="JTI8" s="16"/>
      <c r="JTJ8" s="16"/>
      <c r="JTK8" s="16"/>
      <c r="JTL8" s="16"/>
      <c r="JTM8" s="16"/>
      <c r="JTN8" s="16"/>
      <c r="JTO8" s="16"/>
      <c r="JTP8" s="16"/>
      <c r="JTQ8" s="16"/>
      <c r="JTR8" s="16"/>
      <c r="JTS8" s="16"/>
      <c r="JTT8" s="16"/>
      <c r="JTU8" s="16"/>
      <c r="JTV8" s="16"/>
      <c r="JTW8" s="16"/>
      <c r="JTX8" s="16"/>
      <c r="JTY8" s="16"/>
      <c r="JTZ8" s="16"/>
      <c r="JUA8" s="16"/>
      <c r="JUB8" s="16"/>
      <c r="JUC8" s="16"/>
      <c r="JUD8" s="16"/>
      <c r="JUE8" s="16"/>
      <c r="JUF8" s="16"/>
      <c r="JUG8" s="16"/>
      <c r="JUH8" s="16"/>
      <c r="JUI8" s="16"/>
      <c r="JUJ8" s="16"/>
      <c r="JUK8" s="16"/>
      <c r="JUL8" s="16"/>
      <c r="JUM8" s="16"/>
      <c r="JUN8" s="16"/>
      <c r="JUO8" s="16"/>
      <c r="JUP8" s="16"/>
      <c r="JUQ8" s="16"/>
      <c r="JUR8" s="16"/>
      <c r="JUS8" s="16"/>
      <c r="JUT8" s="16"/>
      <c r="JUU8" s="16"/>
      <c r="JUV8" s="16"/>
      <c r="JUW8" s="16"/>
      <c r="JUX8" s="16"/>
      <c r="JUY8" s="16"/>
      <c r="JUZ8" s="16"/>
      <c r="JVA8" s="16"/>
      <c r="JVB8" s="16"/>
      <c r="JVC8" s="16"/>
      <c r="JVD8" s="16"/>
      <c r="JVE8" s="16"/>
      <c r="JVF8" s="16"/>
      <c r="JVG8" s="16"/>
      <c r="JVH8" s="16"/>
      <c r="JVI8" s="16"/>
      <c r="JVJ8" s="16"/>
      <c r="JVK8" s="16"/>
      <c r="JVL8" s="16"/>
      <c r="JVM8" s="16"/>
      <c r="JVN8" s="16"/>
      <c r="JVO8" s="16"/>
      <c r="JVP8" s="16"/>
      <c r="JVQ8" s="16"/>
      <c r="JVR8" s="16"/>
      <c r="JVS8" s="16"/>
      <c r="JVT8" s="16"/>
      <c r="JVU8" s="16"/>
      <c r="JVV8" s="16"/>
      <c r="JVW8" s="16"/>
      <c r="JVX8" s="16"/>
      <c r="JVY8" s="16"/>
      <c r="JVZ8" s="16"/>
      <c r="JWA8" s="16"/>
      <c r="JWB8" s="16"/>
      <c r="JWC8" s="16"/>
      <c r="JWD8" s="16"/>
      <c r="JWE8" s="16"/>
      <c r="JWF8" s="16"/>
      <c r="JWG8" s="16"/>
      <c r="JWH8" s="16"/>
      <c r="JWI8" s="16"/>
      <c r="JWJ8" s="16"/>
      <c r="JWK8" s="16"/>
      <c r="JWL8" s="16"/>
      <c r="JWM8" s="16"/>
      <c r="JWN8" s="16"/>
      <c r="JWO8" s="16"/>
      <c r="JWP8" s="16"/>
      <c r="JWQ8" s="16"/>
      <c r="JWR8" s="16"/>
      <c r="JWS8" s="16"/>
      <c r="JWT8" s="16"/>
      <c r="JWU8" s="16"/>
      <c r="JWV8" s="16"/>
      <c r="JWW8" s="16"/>
      <c r="JWX8" s="16"/>
      <c r="JWY8" s="16"/>
      <c r="JWZ8" s="16"/>
      <c r="JXA8" s="16"/>
      <c r="JXB8" s="16"/>
      <c r="JXC8" s="16"/>
      <c r="JXD8" s="16"/>
      <c r="JXE8" s="16"/>
      <c r="JXF8" s="16"/>
      <c r="JXG8" s="16"/>
      <c r="JXH8" s="16"/>
      <c r="JXI8" s="16"/>
      <c r="JXJ8" s="16"/>
      <c r="JXK8" s="16"/>
      <c r="JXL8" s="16"/>
      <c r="JXM8" s="16"/>
      <c r="JXN8" s="16"/>
      <c r="JXO8" s="16"/>
      <c r="JXP8" s="16"/>
      <c r="JXQ8" s="16"/>
      <c r="JXR8" s="16"/>
      <c r="JXS8" s="16"/>
      <c r="JXT8" s="16"/>
      <c r="JXU8" s="16"/>
      <c r="JXV8" s="16"/>
      <c r="JXW8" s="16"/>
      <c r="JXX8" s="16"/>
      <c r="JXY8" s="16"/>
      <c r="JXZ8" s="16"/>
      <c r="JYA8" s="16"/>
      <c r="JYB8" s="16"/>
      <c r="JYC8" s="16"/>
      <c r="JYD8" s="16"/>
      <c r="JYE8" s="16"/>
      <c r="JYF8" s="16"/>
      <c r="JYG8" s="16"/>
      <c r="JYH8" s="16"/>
      <c r="JYI8" s="16"/>
      <c r="JYJ8" s="16"/>
      <c r="JYK8" s="16"/>
      <c r="JYL8" s="16"/>
      <c r="JYM8" s="16"/>
      <c r="JYN8" s="16"/>
      <c r="JYO8" s="16"/>
      <c r="JYP8" s="16"/>
      <c r="JYQ8" s="16"/>
      <c r="JYR8" s="16"/>
      <c r="JYS8" s="16"/>
      <c r="JYT8" s="16"/>
      <c r="JYU8" s="16"/>
      <c r="JYV8" s="16"/>
      <c r="JYW8" s="16"/>
      <c r="JYX8" s="16"/>
      <c r="JYY8" s="16"/>
      <c r="JYZ8" s="16"/>
      <c r="JZA8" s="16"/>
      <c r="JZB8" s="16"/>
      <c r="JZC8" s="16"/>
      <c r="JZD8" s="16"/>
      <c r="JZE8" s="16"/>
      <c r="JZF8" s="16"/>
      <c r="JZG8" s="16"/>
      <c r="JZH8" s="16"/>
      <c r="JZI8" s="16"/>
      <c r="JZJ8" s="16"/>
      <c r="JZK8" s="16"/>
      <c r="JZL8" s="16"/>
      <c r="JZM8" s="16"/>
      <c r="JZN8" s="16"/>
      <c r="JZO8" s="16"/>
      <c r="JZP8" s="16"/>
      <c r="JZQ8" s="16"/>
      <c r="JZR8" s="16"/>
      <c r="JZS8" s="16"/>
      <c r="JZT8" s="16"/>
      <c r="JZU8" s="16"/>
      <c r="JZV8" s="16"/>
      <c r="JZW8" s="16"/>
      <c r="JZX8" s="16"/>
      <c r="JZY8" s="16"/>
      <c r="JZZ8" s="16"/>
      <c r="KAA8" s="16"/>
      <c r="KAB8" s="16"/>
      <c r="KAC8" s="16"/>
      <c r="KAD8" s="16"/>
      <c r="KAE8" s="16"/>
      <c r="KAF8" s="16"/>
      <c r="KAG8" s="16"/>
      <c r="KAH8" s="16"/>
      <c r="KAI8" s="16"/>
      <c r="KAJ8" s="16"/>
      <c r="KAK8" s="16"/>
      <c r="KAL8" s="16"/>
      <c r="KAM8" s="16"/>
      <c r="KAN8" s="16"/>
      <c r="KAO8" s="16"/>
      <c r="KAP8" s="16"/>
      <c r="KAQ8" s="16"/>
      <c r="KAR8" s="16"/>
      <c r="KAS8" s="16"/>
      <c r="KAT8" s="16"/>
      <c r="KAU8" s="16"/>
      <c r="KAV8" s="16"/>
      <c r="KAW8" s="16"/>
      <c r="KAX8" s="16"/>
      <c r="KAY8" s="16"/>
      <c r="KAZ8" s="16"/>
      <c r="KBA8" s="16"/>
      <c r="KBB8" s="16"/>
      <c r="KBC8" s="16"/>
      <c r="KBD8" s="16"/>
      <c r="KBE8" s="16"/>
      <c r="KBF8" s="16"/>
      <c r="KBG8" s="16"/>
      <c r="KBH8" s="16"/>
      <c r="KBI8" s="16"/>
      <c r="KBJ8" s="16"/>
      <c r="KBK8" s="16"/>
      <c r="KBL8" s="16"/>
      <c r="KBM8" s="16"/>
      <c r="KBN8" s="16"/>
      <c r="KBO8" s="16"/>
      <c r="KBP8" s="16"/>
      <c r="KBQ8" s="16"/>
      <c r="KBR8" s="16"/>
      <c r="KBS8" s="16"/>
      <c r="KBT8" s="16"/>
      <c r="KBU8" s="16"/>
      <c r="KBV8" s="16"/>
      <c r="KBW8" s="16"/>
      <c r="KBX8" s="16"/>
      <c r="KBY8" s="16"/>
      <c r="KBZ8" s="16"/>
      <c r="KCA8" s="16"/>
      <c r="KCB8" s="16"/>
      <c r="KCC8" s="16"/>
      <c r="KCD8" s="16"/>
      <c r="KCE8" s="16"/>
      <c r="KCF8" s="16"/>
      <c r="KCG8" s="16"/>
      <c r="KCH8" s="16"/>
      <c r="KCI8" s="16"/>
      <c r="KCJ8" s="16"/>
      <c r="KCK8" s="16"/>
      <c r="KCL8" s="16"/>
      <c r="KCM8" s="16"/>
      <c r="KCN8" s="16"/>
      <c r="KCO8" s="16"/>
      <c r="KCP8" s="16"/>
      <c r="KCQ8" s="16"/>
      <c r="KCR8" s="16"/>
      <c r="KCS8" s="16"/>
      <c r="KCT8" s="16"/>
      <c r="KCU8" s="16"/>
      <c r="KCV8" s="16"/>
      <c r="KCW8" s="16"/>
      <c r="KCX8" s="16"/>
      <c r="KCY8" s="16"/>
      <c r="KCZ8" s="16"/>
      <c r="KDA8" s="16"/>
      <c r="KDB8" s="16"/>
      <c r="KDC8" s="16"/>
      <c r="KDD8" s="16"/>
      <c r="KDE8" s="16"/>
      <c r="KDF8" s="16"/>
      <c r="KDG8" s="16"/>
      <c r="KDH8" s="16"/>
      <c r="KDI8" s="16"/>
      <c r="KDJ8" s="16"/>
      <c r="KDK8" s="16"/>
      <c r="KDL8" s="16"/>
      <c r="KDM8" s="16"/>
      <c r="KDN8" s="16"/>
      <c r="KDO8" s="16"/>
      <c r="KDP8" s="16"/>
      <c r="KDQ8" s="16"/>
      <c r="KDR8" s="16"/>
      <c r="KDS8" s="16"/>
      <c r="KDT8" s="16"/>
      <c r="KDU8" s="16"/>
      <c r="KDV8" s="16"/>
      <c r="KDW8" s="16"/>
      <c r="KDX8" s="16"/>
      <c r="KDY8" s="16"/>
      <c r="KDZ8" s="16"/>
      <c r="KEA8" s="16"/>
      <c r="KEB8" s="16"/>
      <c r="KEC8" s="16"/>
      <c r="KED8" s="16"/>
      <c r="KEE8" s="16"/>
      <c r="KEF8" s="16"/>
      <c r="KEG8" s="16"/>
      <c r="KEH8" s="16"/>
      <c r="KEI8" s="16"/>
      <c r="KEJ8" s="16"/>
      <c r="KEK8" s="16"/>
      <c r="KEL8" s="16"/>
      <c r="KEM8" s="16"/>
      <c r="KEN8" s="16"/>
      <c r="KEO8" s="16"/>
      <c r="KEP8" s="16"/>
      <c r="KEQ8" s="16"/>
      <c r="KER8" s="16"/>
      <c r="KES8" s="16"/>
      <c r="KET8" s="16"/>
      <c r="KEU8" s="16"/>
      <c r="KEV8" s="16"/>
      <c r="KEW8" s="16"/>
      <c r="KEX8" s="16"/>
      <c r="KEY8" s="16"/>
      <c r="KEZ8" s="16"/>
      <c r="KFA8" s="16"/>
      <c r="KFB8" s="16"/>
      <c r="KFC8" s="16"/>
      <c r="KFD8" s="16"/>
      <c r="KFE8" s="16"/>
      <c r="KFF8" s="16"/>
      <c r="KFG8" s="16"/>
      <c r="KFH8" s="16"/>
      <c r="KFI8" s="16"/>
      <c r="KFJ8" s="16"/>
      <c r="KFK8" s="16"/>
      <c r="KFL8" s="16"/>
      <c r="KFM8" s="16"/>
      <c r="KFN8" s="16"/>
      <c r="KFO8" s="16"/>
      <c r="KFP8" s="16"/>
      <c r="KFQ8" s="16"/>
      <c r="KFR8" s="16"/>
      <c r="KFS8" s="16"/>
      <c r="KFT8" s="16"/>
      <c r="KFU8" s="16"/>
      <c r="KFV8" s="16"/>
      <c r="KFW8" s="16"/>
      <c r="KFX8" s="16"/>
      <c r="KFY8" s="16"/>
      <c r="KFZ8" s="16"/>
      <c r="KGA8" s="16"/>
      <c r="KGB8" s="16"/>
      <c r="KGC8" s="16"/>
      <c r="KGD8" s="16"/>
      <c r="KGE8" s="16"/>
      <c r="KGF8" s="16"/>
      <c r="KGG8" s="16"/>
      <c r="KGH8" s="16"/>
      <c r="KGI8" s="16"/>
      <c r="KGJ8" s="16"/>
      <c r="KGK8" s="16"/>
      <c r="KGL8" s="16"/>
      <c r="KGM8" s="16"/>
      <c r="KGN8" s="16"/>
      <c r="KGO8" s="16"/>
      <c r="KGP8" s="16"/>
      <c r="KGQ8" s="16"/>
      <c r="KGR8" s="16"/>
      <c r="KGS8" s="16"/>
      <c r="KGT8" s="16"/>
      <c r="KGU8" s="16"/>
      <c r="KGV8" s="16"/>
      <c r="KGW8" s="16"/>
      <c r="KGX8" s="16"/>
      <c r="KGY8" s="16"/>
      <c r="KGZ8" s="16"/>
      <c r="KHA8" s="16"/>
      <c r="KHB8" s="16"/>
      <c r="KHC8" s="16"/>
      <c r="KHD8" s="16"/>
      <c r="KHE8" s="16"/>
      <c r="KHF8" s="16"/>
      <c r="KHG8" s="16"/>
      <c r="KHH8" s="16"/>
      <c r="KHI8" s="16"/>
      <c r="KHJ8" s="16"/>
      <c r="KHK8" s="16"/>
      <c r="KHL8" s="16"/>
      <c r="KHM8" s="16"/>
      <c r="KHN8" s="16"/>
      <c r="KHO8" s="16"/>
      <c r="KHP8" s="16"/>
      <c r="KHQ8" s="16"/>
      <c r="KHR8" s="16"/>
      <c r="KHS8" s="16"/>
      <c r="KHT8" s="16"/>
      <c r="KHU8" s="16"/>
      <c r="KHV8" s="16"/>
      <c r="KHW8" s="16"/>
      <c r="KHX8" s="16"/>
      <c r="KHY8" s="16"/>
      <c r="KHZ8" s="16"/>
      <c r="KIA8" s="16"/>
      <c r="KIB8" s="16"/>
      <c r="KIC8" s="16"/>
      <c r="KID8" s="16"/>
      <c r="KIE8" s="16"/>
      <c r="KIF8" s="16"/>
      <c r="KIG8" s="16"/>
      <c r="KIH8" s="16"/>
      <c r="KII8" s="16"/>
      <c r="KIJ8" s="16"/>
      <c r="KIK8" s="16"/>
      <c r="KIL8" s="16"/>
      <c r="KIM8" s="16"/>
      <c r="KIN8" s="16"/>
      <c r="KIO8" s="16"/>
      <c r="KIP8" s="16"/>
      <c r="KIQ8" s="16"/>
      <c r="KIR8" s="16"/>
      <c r="KIS8" s="16"/>
      <c r="KIT8" s="16"/>
      <c r="KIU8" s="16"/>
      <c r="KIV8" s="16"/>
      <c r="KIW8" s="16"/>
      <c r="KIX8" s="16"/>
      <c r="KIY8" s="16"/>
      <c r="KIZ8" s="16"/>
      <c r="KJA8" s="16"/>
      <c r="KJB8" s="16"/>
      <c r="KJC8" s="16"/>
      <c r="KJD8" s="16"/>
      <c r="KJE8" s="16"/>
      <c r="KJF8" s="16"/>
      <c r="KJG8" s="16"/>
      <c r="KJH8" s="16"/>
      <c r="KJI8" s="16"/>
      <c r="KJJ8" s="16"/>
      <c r="KJK8" s="16"/>
      <c r="KJL8" s="16"/>
      <c r="KJM8" s="16"/>
      <c r="KJN8" s="16"/>
      <c r="KJO8" s="16"/>
      <c r="KJP8" s="16"/>
      <c r="KJQ8" s="16"/>
      <c r="KJR8" s="16"/>
      <c r="KJS8" s="16"/>
      <c r="KJT8" s="16"/>
      <c r="KJU8" s="16"/>
      <c r="KJV8" s="16"/>
      <c r="KJW8" s="16"/>
      <c r="KJX8" s="16"/>
      <c r="KJY8" s="16"/>
      <c r="KJZ8" s="16"/>
      <c r="KKA8" s="16"/>
      <c r="KKB8" s="16"/>
      <c r="KKC8" s="16"/>
      <c r="KKD8" s="16"/>
      <c r="KKE8" s="16"/>
      <c r="KKF8" s="16"/>
      <c r="KKG8" s="16"/>
      <c r="KKH8" s="16"/>
      <c r="KKI8" s="16"/>
      <c r="KKJ8" s="16"/>
      <c r="KKK8" s="16"/>
      <c r="KKL8" s="16"/>
      <c r="KKM8" s="16"/>
      <c r="KKN8" s="16"/>
      <c r="KKO8" s="16"/>
      <c r="KKP8" s="16"/>
      <c r="KKQ8" s="16"/>
      <c r="KKR8" s="16"/>
      <c r="KKS8" s="16"/>
      <c r="KKT8" s="16"/>
      <c r="KKU8" s="16"/>
      <c r="KKV8" s="16"/>
      <c r="KKW8" s="16"/>
      <c r="KKX8" s="16"/>
      <c r="KKY8" s="16"/>
      <c r="KKZ8" s="16"/>
      <c r="KLA8" s="16"/>
      <c r="KLB8" s="16"/>
      <c r="KLC8" s="16"/>
      <c r="KLD8" s="16"/>
      <c r="KLE8" s="16"/>
      <c r="KLF8" s="16"/>
      <c r="KLG8" s="16"/>
      <c r="KLH8" s="16"/>
      <c r="KLI8" s="16"/>
      <c r="KLJ8" s="16"/>
      <c r="KLK8" s="16"/>
      <c r="KLL8" s="16"/>
      <c r="KLM8" s="16"/>
      <c r="KLN8" s="16"/>
      <c r="KLO8" s="16"/>
      <c r="KLP8" s="16"/>
      <c r="KLQ8" s="16"/>
      <c r="KLR8" s="16"/>
      <c r="KLS8" s="16"/>
      <c r="KLT8" s="16"/>
      <c r="KLU8" s="16"/>
      <c r="KLV8" s="16"/>
      <c r="KLW8" s="16"/>
      <c r="KLX8" s="16"/>
      <c r="KLY8" s="16"/>
      <c r="KLZ8" s="16"/>
      <c r="KMA8" s="16"/>
      <c r="KMB8" s="16"/>
      <c r="KMC8" s="16"/>
      <c r="KMD8" s="16"/>
      <c r="KME8" s="16"/>
      <c r="KMF8" s="16"/>
      <c r="KMG8" s="16"/>
      <c r="KMH8" s="16"/>
      <c r="KMI8" s="16"/>
      <c r="KMJ8" s="16"/>
      <c r="KMK8" s="16"/>
      <c r="KML8" s="16"/>
      <c r="KMM8" s="16"/>
      <c r="KMN8" s="16"/>
      <c r="KMO8" s="16"/>
      <c r="KMP8" s="16"/>
      <c r="KMQ8" s="16"/>
      <c r="KMR8" s="16"/>
      <c r="KMS8" s="16"/>
      <c r="KMT8" s="16"/>
      <c r="KMU8" s="16"/>
      <c r="KMV8" s="16"/>
      <c r="KMW8" s="16"/>
      <c r="KMX8" s="16"/>
      <c r="KMY8" s="16"/>
      <c r="KMZ8" s="16"/>
      <c r="KNA8" s="16"/>
      <c r="KNB8" s="16"/>
      <c r="KNC8" s="16"/>
      <c r="KND8" s="16"/>
      <c r="KNE8" s="16"/>
      <c r="KNF8" s="16"/>
      <c r="KNG8" s="16"/>
      <c r="KNH8" s="16"/>
      <c r="KNI8" s="16"/>
      <c r="KNJ8" s="16"/>
      <c r="KNK8" s="16"/>
      <c r="KNL8" s="16"/>
      <c r="KNM8" s="16"/>
      <c r="KNN8" s="16"/>
      <c r="KNO8" s="16"/>
      <c r="KNP8" s="16"/>
      <c r="KNQ8" s="16"/>
      <c r="KNR8" s="16"/>
      <c r="KNS8" s="16"/>
      <c r="KNT8" s="16"/>
      <c r="KNU8" s="16"/>
      <c r="KNV8" s="16"/>
      <c r="KNW8" s="16"/>
      <c r="KNX8" s="16"/>
      <c r="KNY8" s="16"/>
      <c r="KNZ8" s="16"/>
      <c r="KOA8" s="16"/>
      <c r="KOB8" s="16"/>
      <c r="KOC8" s="16"/>
      <c r="KOD8" s="16"/>
      <c r="KOE8" s="16"/>
      <c r="KOF8" s="16"/>
      <c r="KOG8" s="16"/>
      <c r="KOH8" s="16"/>
      <c r="KOI8" s="16"/>
      <c r="KOJ8" s="16"/>
      <c r="KOK8" s="16"/>
      <c r="KOL8" s="16"/>
      <c r="KOM8" s="16"/>
      <c r="KON8" s="16"/>
      <c r="KOO8" s="16"/>
      <c r="KOP8" s="16"/>
      <c r="KOQ8" s="16"/>
      <c r="KOR8" s="16"/>
      <c r="KOS8" s="16"/>
      <c r="KOT8" s="16"/>
      <c r="KOU8" s="16"/>
      <c r="KOV8" s="16"/>
      <c r="KOW8" s="16"/>
      <c r="KOX8" s="16"/>
      <c r="KOY8" s="16"/>
      <c r="KOZ8" s="16"/>
      <c r="KPA8" s="16"/>
      <c r="KPB8" s="16"/>
      <c r="KPC8" s="16"/>
      <c r="KPD8" s="16"/>
      <c r="KPE8" s="16"/>
      <c r="KPF8" s="16"/>
      <c r="KPG8" s="16"/>
      <c r="KPH8" s="16"/>
      <c r="KPI8" s="16"/>
      <c r="KPJ8" s="16"/>
      <c r="KPK8" s="16"/>
      <c r="KPL8" s="16"/>
      <c r="KPM8" s="16"/>
      <c r="KPN8" s="16"/>
      <c r="KPO8" s="16"/>
      <c r="KPP8" s="16"/>
      <c r="KPQ8" s="16"/>
      <c r="KPR8" s="16"/>
      <c r="KPS8" s="16"/>
      <c r="KPT8" s="16"/>
      <c r="KPU8" s="16"/>
      <c r="KPV8" s="16"/>
      <c r="KPW8" s="16"/>
      <c r="KPX8" s="16"/>
      <c r="KPY8" s="16"/>
      <c r="KPZ8" s="16"/>
      <c r="KQA8" s="16"/>
      <c r="KQB8" s="16"/>
      <c r="KQC8" s="16"/>
      <c r="KQD8" s="16"/>
      <c r="KQE8" s="16"/>
      <c r="KQF8" s="16"/>
      <c r="KQG8" s="16"/>
      <c r="KQH8" s="16"/>
      <c r="KQI8" s="16"/>
      <c r="KQJ8" s="16"/>
      <c r="KQK8" s="16"/>
      <c r="KQL8" s="16"/>
      <c r="KQM8" s="16"/>
      <c r="KQN8" s="16"/>
      <c r="KQO8" s="16"/>
      <c r="KQP8" s="16"/>
      <c r="KQQ8" s="16"/>
      <c r="KQR8" s="16"/>
      <c r="KQS8" s="16"/>
      <c r="KQT8" s="16"/>
      <c r="KQU8" s="16"/>
      <c r="KQV8" s="16"/>
      <c r="KQW8" s="16"/>
      <c r="KQX8" s="16"/>
      <c r="KQY8" s="16"/>
      <c r="KQZ8" s="16"/>
      <c r="KRA8" s="16"/>
      <c r="KRB8" s="16"/>
      <c r="KRC8" s="16"/>
      <c r="KRD8" s="16"/>
      <c r="KRE8" s="16"/>
      <c r="KRF8" s="16"/>
      <c r="KRG8" s="16"/>
      <c r="KRH8" s="16"/>
      <c r="KRI8" s="16"/>
      <c r="KRJ8" s="16"/>
      <c r="KRK8" s="16"/>
      <c r="KRL8" s="16"/>
      <c r="KRM8" s="16"/>
      <c r="KRN8" s="16"/>
      <c r="KRO8" s="16"/>
      <c r="KRP8" s="16"/>
      <c r="KRQ8" s="16"/>
      <c r="KRR8" s="16"/>
      <c r="KRS8" s="16"/>
      <c r="KRT8" s="16"/>
      <c r="KRU8" s="16"/>
      <c r="KRV8" s="16"/>
      <c r="KRW8" s="16"/>
      <c r="KRX8" s="16"/>
      <c r="KRY8" s="16"/>
      <c r="KRZ8" s="16"/>
      <c r="KSA8" s="16"/>
      <c r="KSB8" s="16"/>
      <c r="KSC8" s="16"/>
      <c r="KSD8" s="16"/>
      <c r="KSE8" s="16"/>
      <c r="KSF8" s="16"/>
      <c r="KSG8" s="16"/>
      <c r="KSH8" s="16"/>
      <c r="KSI8" s="16"/>
      <c r="KSJ8" s="16"/>
      <c r="KSK8" s="16"/>
      <c r="KSL8" s="16"/>
      <c r="KSM8" s="16"/>
      <c r="KSN8" s="16"/>
      <c r="KSO8" s="16"/>
      <c r="KSP8" s="16"/>
      <c r="KSQ8" s="16"/>
      <c r="KSR8" s="16"/>
      <c r="KSS8" s="16"/>
      <c r="KST8" s="16"/>
      <c r="KSU8" s="16"/>
      <c r="KSV8" s="16"/>
      <c r="KSW8" s="16"/>
      <c r="KSX8" s="16"/>
      <c r="KSY8" s="16"/>
      <c r="KSZ8" s="16"/>
      <c r="KTA8" s="16"/>
      <c r="KTB8" s="16"/>
      <c r="KTC8" s="16"/>
      <c r="KTD8" s="16"/>
      <c r="KTE8" s="16"/>
      <c r="KTF8" s="16"/>
      <c r="KTG8" s="16"/>
      <c r="KTH8" s="16"/>
      <c r="KTI8" s="16"/>
      <c r="KTJ8" s="16"/>
      <c r="KTK8" s="16"/>
      <c r="KTL8" s="16"/>
      <c r="KTM8" s="16"/>
      <c r="KTN8" s="16"/>
      <c r="KTO8" s="16"/>
      <c r="KTP8" s="16"/>
      <c r="KTQ8" s="16"/>
      <c r="KTR8" s="16"/>
      <c r="KTS8" s="16"/>
      <c r="KTT8" s="16"/>
      <c r="KTU8" s="16"/>
      <c r="KTV8" s="16"/>
      <c r="KTW8" s="16"/>
      <c r="KTX8" s="16"/>
      <c r="KTY8" s="16"/>
      <c r="KTZ8" s="16"/>
      <c r="KUA8" s="16"/>
      <c r="KUB8" s="16"/>
      <c r="KUC8" s="16"/>
      <c r="KUD8" s="16"/>
      <c r="KUE8" s="16"/>
      <c r="KUF8" s="16"/>
      <c r="KUG8" s="16"/>
      <c r="KUH8" s="16"/>
      <c r="KUI8" s="16"/>
      <c r="KUJ8" s="16"/>
      <c r="KUK8" s="16"/>
      <c r="KUL8" s="16"/>
      <c r="KUM8" s="16"/>
      <c r="KUN8" s="16"/>
      <c r="KUO8" s="16"/>
      <c r="KUP8" s="16"/>
      <c r="KUQ8" s="16"/>
      <c r="KUR8" s="16"/>
      <c r="KUS8" s="16"/>
      <c r="KUT8" s="16"/>
      <c r="KUU8" s="16"/>
      <c r="KUV8" s="16"/>
      <c r="KUW8" s="16"/>
      <c r="KUX8" s="16"/>
      <c r="KUY8" s="16"/>
      <c r="KUZ8" s="16"/>
      <c r="KVA8" s="16"/>
      <c r="KVB8" s="16"/>
      <c r="KVC8" s="16"/>
      <c r="KVD8" s="16"/>
      <c r="KVE8" s="16"/>
      <c r="KVF8" s="16"/>
      <c r="KVG8" s="16"/>
      <c r="KVH8" s="16"/>
      <c r="KVI8" s="16"/>
      <c r="KVJ8" s="16"/>
      <c r="KVK8" s="16"/>
      <c r="KVL8" s="16"/>
      <c r="KVM8" s="16"/>
      <c r="KVN8" s="16"/>
      <c r="KVO8" s="16"/>
      <c r="KVP8" s="16"/>
      <c r="KVQ8" s="16"/>
      <c r="KVR8" s="16"/>
      <c r="KVS8" s="16"/>
      <c r="KVT8" s="16"/>
      <c r="KVU8" s="16"/>
      <c r="KVV8" s="16"/>
      <c r="KVW8" s="16"/>
      <c r="KVX8" s="16"/>
      <c r="KVY8" s="16"/>
      <c r="KVZ8" s="16"/>
      <c r="KWA8" s="16"/>
      <c r="KWB8" s="16"/>
      <c r="KWC8" s="16"/>
      <c r="KWD8" s="16"/>
      <c r="KWE8" s="16"/>
      <c r="KWF8" s="16"/>
      <c r="KWG8" s="16"/>
      <c r="KWH8" s="16"/>
      <c r="KWI8" s="16"/>
      <c r="KWJ8" s="16"/>
      <c r="KWK8" s="16"/>
      <c r="KWL8" s="16"/>
      <c r="KWM8" s="16"/>
      <c r="KWN8" s="16"/>
      <c r="KWO8" s="16"/>
      <c r="KWP8" s="16"/>
      <c r="KWQ8" s="16"/>
      <c r="KWR8" s="16"/>
      <c r="KWS8" s="16"/>
      <c r="KWT8" s="16"/>
      <c r="KWU8" s="16"/>
      <c r="KWV8" s="16"/>
      <c r="KWW8" s="16"/>
      <c r="KWX8" s="16"/>
      <c r="KWY8" s="16"/>
      <c r="KWZ8" s="16"/>
      <c r="KXA8" s="16"/>
      <c r="KXB8" s="16"/>
      <c r="KXC8" s="16"/>
      <c r="KXD8" s="16"/>
      <c r="KXE8" s="16"/>
      <c r="KXF8" s="16"/>
      <c r="KXG8" s="16"/>
      <c r="KXH8" s="16"/>
      <c r="KXI8" s="16"/>
      <c r="KXJ8" s="16"/>
      <c r="KXK8" s="16"/>
      <c r="KXL8" s="16"/>
      <c r="KXM8" s="16"/>
      <c r="KXN8" s="16"/>
      <c r="KXO8" s="16"/>
      <c r="KXP8" s="16"/>
      <c r="KXQ8" s="16"/>
      <c r="KXR8" s="16"/>
      <c r="KXS8" s="16"/>
      <c r="KXT8" s="16"/>
      <c r="KXU8" s="16"/>
      <c r="KXV8" s="16"/>
      <c r="KXW8" s="16"/>
      <c r="KXX8" s="16"/>
      <c r="KXY8" s="16"/>
      <c r="KXZ8" s="16"/>
      <c r="KYA8" s="16"/>
      <c r="KYB8" s="16"/>
      <c r="KYC8" s="16"/>
      <c r="KYD8" s="16"/>
      <c r="KYE8" s="16"/>
      <c r="KYF8" s="16"/>
      <c r="KYG8" s="16"/>
      <c r="KYH8" s="16"/>
      <c r="KYI8" s="16"/>
      <c r="KYJ8" s="16"/>
      <c r="KYK8" s="16"/>
      <c r="KYL8" s="16"/>
      <c r="KYM8" s="16"/>
      <c r="KYN8" s="16"/>
      <c r="KYO8" s="16"/>
      <c r="KYP8" s="16"/>
      <c r="KYQ8" s="16"/>
      <c r="KYR8" s="16"/>
      <c r="KYS8" s="16"/>
      <c r="KYT8" s="16"/>
      <c r="KYU8" s="16"/>
      <c r="KYV8" s="16"/>
      <c r="KYW8" s="16"/>
      <c r="KYX8" s="16"/>
      <c r="KYY8" s="16"/>
      <c r="KYZ8" s="16"/>
      <c r="KZA8" s="16"/>
      <c r="KZB8" s="16"/>
      <c r="KZC8" s="16"/>
      <c r="KZD8" s="16"/>
      <c r="KZE8" s="16"/>
      <c r="KZF8" s="16"/>
      <c r="KZG8" s="16"/>
      <c r="KZH8" s="16"/>
      <c r="KZI8" s="16"/>
      <c r="KZJ8" s="16"/>
      <c r="KZK8" s="16"/>
      <c r="KZL8" s="16"/>
      <c r="KZM8" s="16"/>
      <c r="KZN8" s="16"/>
      <c r="KZO8" s="16"/>
      <c r="KZP8" s="16"/>
      <c r="KZQ8" s="16"/>
      <c r="KZR8" s="16"/>
      <c r="KZS8" s="16"/>
      <c r="KZT8" s="16"/>
      <c r="KZU8" s="16"/>
      <c r="KZV8" s="16"/>
      <c r="KZW8" s="16"/>
      <c r="KZX8" s="16"/>
      <c r="KZY8" s="16"/>
      <c r="KZZ8" s="16"/>
      <c r="LAA8" s="16"/>
      <c r="LAB8" s="16"/>
      <c r="LAC8" s="16"/>
      <c r="LAD8" s="16"/>
      <c r="LAE8" s="16"/>
      <c r="LAF8" s="16"/>
      <c r="LAG8" s="16"/>
      <c r="LAH8" s="16"/>
      <c r="LAI8" s="16"/>
      <c r="LAJ8" s="16"/>
      <c r="LAK8" s="16"/>
      <c r="LAL8" s="16"/>
      <c r="LAM8" s="16"/>
      <c r="LAN8" s="16"/>
      <c r="LAO8" s="16"/>
      <c r="LAP8" s="16"/>
      <c r="LAQ8" s="16"/>
      <c r="LAR8" s="16"/>
      <c r="LAS8" s="16"/>
      <c r="LAT8" s="16"/>
      <c r="LAU8" s="16"/>
      <c r="LAV8" s="16"/>
      <c r="LAW8" s="16"/>
      <c r="LAX8" s="16"/>
      <c r="LAY8" s="16"/>
      <c r="LAZ8" s="16"/>
      <c r="LBA8" s="16"/>
      <c r="LBB8" s="16"/>
      <c r="LBC8" s="16"/>
      <c r="LBD8" s="16"/>
      <c r="LBE8" s="16"/>
      <c r="LBF8" s="16"/>
      <c r="LBG8" s="16"/>
      <c r="LBH8" s="16"/>
      <c r="LBI8" s="16"/>
      <c r="LBJ8" s="16"/>
      <c r="LBK8" s="16"/>
      <c r="LBL8" s="16"/>
      <c r="LBM8" s="16"/>
      <c r="LBN8" s="16"/>
      <c r="LBO8" s="16"/>
      <c r="LBP8" s="16"/>
      <c r="LBQ8" s="16"/>
      <c r="LBR8" s="16"/>
      <c r="LBS8" s="16"/>
      <c r="LBT8" s="16"/>
      <c r="LBU8" s="16"/>
      <c r="LBV8" s="16"/>
      <c r="LBW8" s="16"/>
      <c r="LBX8" s="16"/>
      <c r="LBY8" s="16"/>
      <c r="LBZ8" s="16"/>
      <c r="LCA8" s="16"/>
      <c r="LCB8" s="16"/>
      <c r="LCC8" s="16"/>
      <c r="LCD8" s="16"/>
      <c r="LCE8" s="16"/>
      <c r="LCF8" s="16"/>
      <c r="LCG8" s="16"/>
      <c r="LCH8" s="16"/>
      <c r="LCI8" s="16"/>
      <c r="LCJ8" s="16"/>
      <c r="LCK8" s="16"/>
      <c r="LCL8" s="16"/>
      <c r="LCM8" s="16"/>
      <c r="LCN8" s="16"/>
      <c r="LCO8" s="16"/>
      <c r="LCP8" s="16"/>
      <c r="LCQ8" s="16"/>
      <c r="LCR8" s="16"/>
      <c r="LCS8" s="16"/>
      <c r="LCT8" s="16"/>
      <c r="LCU8" s="16"/>
      <c r="LCV8" s="16"/>
      <c r="LCW8" s="16"/>
      <c r="LCX8" s="16"/>
      <c r="LCY8" s="16"/>
      <c r="LCZ8" s="16"/>
      <c r="LDA8" s="16"/>
      <c r="LDB8" s="16"/>
      <c r="LDC8" s="16"/>
      <c r="LDD8" s="16"/>
      <c r="LDE8" s="16"/>
      <c r="LDF8" s="16"/>
      <c r="LDG8" s="16"/>
      <c r="LDH8" s="16"/>
      <c r="LDI8" s="16"/>
      <c r="LDJ8" s="16"/>
      <c r="LDK8" s="16"/>
      <c r="LDL8" s="16"/>
      <c r="LDM8" s="16"/>
      <c r="LDN8" s="16"/>
      <c r="LDO8" s="16"/>
      <c r="LDP8" s="16"/>
      <c r="LDQ8" s="16"/>
      <c r="LDR8" s="16"/>
      <c r="LDS8" s="16"/>
      <c r="LDT8" s="16"/>
      <c r="LDU8" s="16"/>
      <c r="LDV8" s="16"/>
      <c r="LDW8" s="16"/>
      <c r="LDX8" s="16"/>
      <c r="LDY8" s="16"/>
      <c r="LDZ8" s="16"/>
      <c r="LEA8" s="16"/>
      <c r="LEB8" s="16"/>
      <c r="LEC8" s="16"/>
      <c r="LED8" s="16"/>
      <c r="LEE8" s="16"/>
      <c r="LEF8" s="16"/>
      <c r="LEG8" s="16"/>
      <c r="LEH8" s="16"/>
      <c r="LEI8" s="16"/>
      <c r="LEJ8" s="16"/>
      <c r="LEK8" s="16"/>
      <c r="LEL8" s="16"/>
      <c r="LEM8" s="16"/>
      <c r="LEN8" s="16"/>
      <c r="LEO8" s="16"/>
      <c r="LEP8" s="16"/>
      <c r="LEQ8" s="16"/>
      <c r="LER8" s="16"/>
      <c r="LES8" s="16"/>
      <c r="LET8" s="16"/>
      <c r="LEU8" s="16"/>
      <c r="LEV8" s="16"/>
      <c r="LEW8" s="16"/>
      <c r="LEX8" s="16"/>
      <c r="LEY8" s="16"/>
      <c r="LEZ8" s="16"/>
      <c r="LFA8" s="16"/>
      <c r="LFB8" s="16"/>
      <c r="LFC8" s="16"/>
      <c r="LFD8" s="16"/>
      <c r="LFE8" s="16"/>
      <c r="LFF8" s="16"/>
      <c r="LFG8" s="16"/>
      <c r="LFH8" s="16"/>
      <c r="LFI8" s="16"/>
      <c r="LFJ8" s="16"/>
      <c r="LFK8" s="16"/>
      <c r="LFL8" s="16"/>
      <c r="LFM8" s="16"/>
      <c r="LFN8" s="16"/>
      <c r="LFO8" s="16"/>
      <c r="LFP8" s="16"/>
      <c r="LFQ8" s="16"/>
      <c r="LFR8" s="16"/>
      <c r="LFS8" s="16"/>
      <c r="LFT8" s="16"/>
      <c r="LFU8" s="16"/>
      <c r="LFV8" s="16"/>
      <c r="LFW8" s="16"/>
      <c r="LFX8" s="16"/>
      <c r="LFY8" s="16"/>
      <c r="LFZ8" s="16"/>
      <c r="LGA8" s="16"/>
      <c r="LGB8" s="16"/>
      <c r="LGC8" s="16"/>
      <c r="LGD8" s="16"/>
      <c r="LGE8" s="16"/>
      <c r="LGF8" s="16"/>
      <c r="LGG8" s="16"/>
      <c r="LGH8" s="16"/>
      <c r="LGI8" s="16"/>
      <c r="LGJ8" s="16"/>
      <c r="LGK8" s="16"/>
      <c r="LGL8" s="16"/>
      <c r="LGM8" s="16"/>
      <c r="LGN8" s="16"/>
      <c r="LGO8" s="16"/>
      <c r="LGP8" s="16"/>
      <c r="LGQ8" s="16"/>
      <c r="LGR8" s="16"/>
      <c r="LGS8" s="16"/>
      <c r="LGT8" s="16"/>
      <c r="LGU8" s="16"/>
      <c r="LGV8" s="16"/>
      <c r="LGW8" s="16"/>
      <c r="LGX8" s="16"/>
      <c r="LGY8" s="16"/>
      <c r="LGZ8" s="16"/>
      <c r="LHA8" s="16"/>
      <c r="LHB8" s="16"/>
      <c r="LHC8" s="16"/>
      <c r="LHD8" s="16"/>
      <c r="LHE8" s="16"/>
      <c r="LHF8" s="16"/>
      <c r="LHG8" s="16"/>
      <c r="LHH8" s="16"/>
      <c r="LHI8" s="16"/>
      <c r="LHJ8" s="16"/>
      <c r="LHK8" s="16"/>
      <c r="LHL8" s="16"/>
      <c r="LHM8" s="16"/>
      <c r="LHN8" s="16"/>
      <c r="LHO8" s="16"/>
      <c r="LHP8" s="16"/>
      <c r="LHQ8" s="16"/>
      <c r="LHR8" s="16"/>
      <c r="LHS8" s="16"/>
      <c r="LHT8" s="16"/>
      <c r="LHU8" s="16"/>
      <c r="LHV8" s="16"/>
      <c r="LHW8" s="16"/>
      <c r="LHX8" s="16"/>
      <c r="LHY8" s="16"/>
      <c r="LHZ8" s="16"/>
      <c r="LIA8" s="16"/>
      <c r="LIB8" s="16"/>
      <c r="LIC8" s="16"/>
      <c r="LID8" s="16"/>
      <c r="LIE8" s="16"/>
      <c r="LIF8" s="16"/>
      <c r="LIG8" s="16"/>
      <c r="LIH8" s="16"/>
      <c r="LII8" s="16"/>
      <c r="LIJ8" s="16"/>
      <c r="LIK8" s="16"/>
      <c r="LIL8" s="16"/>
      <c r="LIM8" s="16"/>
      <c r="LIN8" s="16"/>
      <c r="LIO8" s="16"/>
      <c r="LIP8" s="16"/>
      <c r="LIQ8" s="16"/>
      <c r="LIR8" s="16"/>
      <c r="LIS8" s="16"/>
      <c r="LIT8" s="16"/>
      <c r="LIU8" s="16"/>
      <c r="LIV8" s="16"/>
      <c r="LIW8" s="16"/>
      <c r="LIX8" s="16"/>
      <c r="LIY8" s="16"/>
      <c r="LIZ8" s="16"/>
      <c r="LJA8" s="16"/>
      <c r="LJB8" s="16"/>
      <c r="LJC8" s="16"/>
      <c r="LJD8" s="16"/>
      <c r="LJE8" s="16"/>
      <c r="LJF8" s="16"/>
      <c r="LJG8" s="16"/>
      <c r="LJH8" s="16"/>
      <c r="LJI8" s="16"/>
      <c r="LJJ8" s="16"/>
      <c r="LJK8" s="16"/>
      <c r="LJL8" s="16"/>
      <c r="LJM8" s="16"/>
      <c r="LJN8" s="16"/>
      <c r="LJO8" s="16"/>
      <c r="LJP8" s="16"/>
      <c r="LJQ8" s="16"/>
      <c r="LJR8" s="16"/>
      <c r="LJS8" s="16"/>
      <c r="LJT8" s="16"/>
      <c r="LJU8" s="16"/>
      <c r="LJV8" s="16"/>
      <c r="LJW8" s="16"/>
      <c r="LJX8" s="16"/>
      <c r="LJY8" s="16"/>
      <c r="LJZ8" s="16"/>
      <c r="LKA8" s="16"/>
      <c r="LKB8" s="16"/>
      <c r="LKC8" s="16"/>
      <c r="LKD8" s="16"/>
      <c r="LKE8" s="16"/>
      <c r="LKF8" s="16"/>
      <c r="LKG8" s="16"/>
      <c r="LKH8" s="16"/>
      <c r="LKI8" s="16"/>
      <c r="LKJ8" s="16"/>
      <c r="LKK8" s="16"/>
      <c r="LKL8" s="16"/>
      <c r="LKM8" s="16"/>
      <c r="LKN8" s="16"/>
      <c r="LKO8" s="16"/>
      <c r="LKP8" s="16"/>
      <c r="LKQ8" s="16"/>
      <c r="LKR8" s="16"/>
      <c r="LKS8" s="16"/>
      <c r="LKT8" s="16"/>
      <c r="LKU8" s="16"/>
      <c r="LKV8" s="16"/>
      <c r="LKW8" s="16"/>
      <c r="LKX8" s="16"/>
      <c r="LKY8" s="16"/>
      <c r="LKZ8" s="16"/>
      <c r="LLA8" s="16"/>
      <c r="LLB8" s="16"/>
      <c r="LLC8" s="16"/>
      <c r="LLD8" s="16"/>
      <c r="LLE8" s="16"/>
      <c r="LLF8" s="16"/>
      <c r="LLG8" s="16"/>
      <c r="LLH8" s="16"/>
      <c r="LLI8" s="16"/>
      <c r="LLJ8" s="16"/>
      <c r="LLK8" s="16"/>
      <c r="LLL8" s="16"/>
      <c r="LLM8" s="16"/>
      <c r="LLN8" s="16"/>
      <c r="LLO8" s="16"/>
      <c r="LLP8" s="16"/>
      <c r="LLQ8" s="16"/>
      <c r="LLR8" s="16"/>
      <c r="LLS8" s="16"/>
      <c r="LLT8" s="16"/>
      <c r="LLU8" s="16"/>
      <c r="LLV8" s="16"/>
      <c r="LLW8" s="16"/>
      <c r="LLX8" s="16"/>
      <c r="LLY8" s="16"/>
      <c r="LLZ8" s="16"/>
      <c r="LMA8" s="16"/>
      <c r="LMB8" s="16"/>
      <c r="LMC8" s="16"/>
      <c r="LMD8" s="16"/>
      <c r="LME8" s="16"/>
      <c r="LMF8" s="16"/>
      <c r="LMG8" s="16"/>
      <c r="LMH8" s="16"/>
      <c r="LMI8" s="16"/>
      <c r="LMJ8" s="16"/>
      <c r="LMK8" s="16"/>
      <c r="LML8" s="16"/>
      <c r="LMM8" s="16"/>
      <c r="LMN8" s="16"/>
      <c r="LMO8" s="16"/>
      <c r="LMP8" s="16"/>
      <c r="LMQ8" s="16"/>
      <c r="LMR8" s="16"/>
      <c r="LMS8" s="16"/>
      <c r="LMT8" s="16"/>
      <c r="LMU8" s="16"/>
      <c r="LMV8" s="16"/>
      <c r="LMW8" s="16"/>
      <c r="LMX8" s="16"/>
      <c r="LMY8" s="16"/>
      <c r="LMZ8" s="16"/>
      <c r="LNA8" s="16"/>
      <c r="LNB8" s="16"/>
      <c r="LNC8" s="16"/>
      <c r="LND8" s="16"/>
      <c r="LNE8" s="16"/>
      <c r="LNF8" s="16"/>
      <c r="LNG8" s="16"/>
      <c r="LNH8" s="16"/>
      <c r="LNI8" s="16"/>
      <c r="LNJ8" s="16"/>
      <c r="LNK8" s="16"/>
      <c r="LNL8" s="16"/>
      <c r="LNM8" s="16"/>
      <c r="LNN8" s="16"/>
      <c r="LNO8" s="16"/>
      <c r="LNP8" s="16"/>
      <c r="LNQ8" s="16"/>
      <c r="LNR8" s="16"/>
      <c r="LNS8" s="16"/>
      <c r="LNT8" s="16"/>
      <c r="LNU8" s="16"/>
      <c r="LNV8" s="16"/>
      <c r="LNW8" s="16"/>
      <c r="LNX8" s="16"/>
      <c r="LNY8" s="16"/>
      <c r="LNZ8" s="16"/>
      <c r="LOA8" s="16"/>
      <c r="LOB8" s="16"/>
      <c r="LOC8" s="16"/>
      <c r="LOD8" s="16"/>
      <c r="LOE8" s="16"/>
      <c r="LOF8" s="16"/>
      <c r="LOG8" s="16"/>
      <c r="LOH8" s="16"/>
      <c r="LOI8" s="16"/>
      <c r="LOJ8" s="16"/>
      <c r="LOK8" s="16"/>
      <c r="LOL8" s="16"/>
      <c r="LOM8" s="16"/>
      <c r="LON8" s="16"/>
      <c r="LOO8" s="16"/>
      <c r="LOP8" s="16"/>
      <c r="LOQ8" s="16"/>
      <c r="LOR8" s="16"/>
      <c r="LOS8" s="16"/>
      <c r="LOT8" s="16"/>
      <c r="LOU8" s="16"/>
      <c r="LOV8" s="16"/>
      <c r="LOW8" s="16"/>
      <c r="LOX8" s="16"/>
      <c r="LOY8" s="16"/>
      <c r="LOZ8" s="16"/>
      <c r="LPA8" s="16"/>
      <c r="LPB8" s="16"/>
      <c r="LPC8" s="16"/>
      <c r="LPD8" s="16"/>
      <c r="LPE8" s="16"/>
      <c r="LPF8" s="16"/>
      <c r="LPG8" s="16"/>
      <c r="LPH8" s="16"/>
      <c r="LPI8" s="16"/>
      <c r="LPJ8" s="16"/>
      <c r="LPK8" s="16"/>
      <c r="LPL8" s="16"/>
      <c r="LPM8" s="16"/>
      <c r="LPN8" s="16"/>
      <c r="LPO8" s="16"/>
      <c r="LPP8" s="16"/>
      <c r="LPQ8" s="16"/>
      <c r="LPR8" s="16"/>
      <c r="LPS8" s="16"/>
      <c r="LPT8" s="16"/>
      <c r="LPU8" s="16"/>
      <c r="LPV8" s="16"/>
      <c r="LPW8" s="16"/>
      <c r="LPX8" s="16"/>
      <c r="LPY8" s="16"/>
      <c r="LPZ8" s="16"/>
      <c r="LQA8" s="16"/>
      <c r="LQB8" s="16"/>
      <c r="LQC8" s="16"/>
      <c r="LQD8" s="16"/>
      <c r="LQE8" s="16"/>
      <c r="LQF8" s="16"/>
      <c r="LQG8" s="16"/>
      <c r="LQH8" s="16"/>
      <c r="LQI8" s="16"/>
      <c r="LQJ8" s="16"/>
      <c r="LQK8" s="16"/>
      <c r="LQL8" s="16"/>
      <c r="LQM8" s="16"/>
      <c r="LQN8" s="16"/>
      <c r="LQO8" s="16"/>
      <c r="LQP8" s="16"/>
      <c r="LQQ8" s="16"/>
      <c r="LQR8" s="16"/>
      <c r="LQS8" s="16"/>
      <c r="LQT8" s="16"/>
      <c r="LQU8" s="16"/>
      <c r="LQV8" s="16"/>
      <c r="LQW8" s="16"/>
      <c r="LQX8" s="16"/>
      <c r="LQY8" s="16"/>
      <c r="LQZ8" s="16"/>
      <c r="LRA8" s="16"/>
      <c r="LRB8" s="16"/>
      <c r="LRC8" s="16"/>
      <c r="LRD8" s="16"/>
      <c r="LRE8" s="16"/>
      <c r="LRF8" s="16"/>
      <c r="LRG8" s="16"/>
      <c r="LRH8" s="16"/>
      <c r="LRI8" s="16"/>
      <c r="LRJ8" s="16"/>
      <c r="LRK8" s="16"/>
      <c r="LRL8" s="16"/>
      <c r="LRM8" s="16"/>
      <c r="LRN8" s="16"/>
      <c r="LRO8" s="16"/>
      <c r="LRP8" s="16"/>
      <c r="LRQ8" s="16"/>
      <c r="LRR8" s="16"/>
      <c r="LRS8" s="16"/>
      <c r="LRT8" s="16"/>
      <c r="LRU8" s="16"/>
      <c r="LRV8" s="16"/>
      <c r="LRW8" s="16"/>
      <c r="LRX8" s="16"/>
      <c r="LRY8" s="16"/>
      <c r="LRZ8" s="16"/>
      <c r="LSA8" s="16"/>
      <c r="LSB8" s="16"/>
      <c r="LSC8" s="16"/>
      <c r="LSD8" s="16"/>
      <c r="LSE8" s="16"/>
      <c r="LSF8" s="16"/>
      <c r="LSG8" s="16"/>
      <c r="LSH8" s="16"/>
      <c r="LSI8" s="16"/>
      <c r="LSJ8" s="16"/>
      <c r="LSK8" s="16"/>
      <c r="LSL8" s="16"/>
      <c r="LSM8" s="16"/>
      <c r="LSN8" s="16"/>
      <c r="LSO8" s="16"/>
      <c r="LSP8" s="16"/>
      <c r="LSQ8" s="16"/>
      <c r="LSR8" s="16"/>
      <c r="LSS8" s="16"/>
      <c r="LST8" s="16"/>
      <c r="LSU8" s="16"/>
      <c r="LSV8" s="16"/>
      <c r="LSW8" s="16"/>
      <c r="LSX8" s="16"/>
      <c r="LSY8" s="16"/>
      <c r="LSZ8" s="16"/>
      <c r="LTA8" s="16"/>
      <c r="LTB8" s="16"/>
      <c r="LTC8" s="16"/>
      <c r="LTD8" s="16"/>
      <c r="LTE8" s="16"/>
      <c r="LTF8" s="16"/>
      <c r="LTG8" s="16"/>
      <c r="LTH8" s="16"/>
      <c r="LTI8" s="16"/>
      <c r="LTJ8" s="16"/>
      <c r="LTK8" s="16"/>
      <c r="LTL8" s="16"/>
      <c r="LTM8" s="16"/>
      <c r="LTN8" s="16"/>
      <c r="LTO8" s="16"/>
      <c r="LTP8" s="16"/>
      <c r="LTQ8" s="16"/>
      <c r="LTR8" s="16"/>
      <c r="LTS8" s="16"/>
      <c r="LTT8" s="16"/>
      <c r="LTU8" s="16"/>
      <c r="LTV8" s="16"/>
      <c r="LTW8" s="16"/>
      <c r="LTX8" s="16"/>
      <c r="LTY8" s="16"/>
      <c r="LTZ8" s="16"/>
      <c r="LUA8" s="16"/>
      <c r="LUB8" s="16"/>
      <c r="LUC8" s="16"/>
      <c r="LUD8" s="16"/>
      <c r="LUE8" s="16"/>
      <c r="LUF8" s="16"/>
      <c r="LUG8" s="16"/>
      <c r="LUH8" s="16"/>
      <c r="LUI8" s="16"/>
      <c r="LUJ8" s="16"/>
      <c r="LUK8" s="16"/>
      <c r="LUL8" s="16"/>
      <c r="LUM8" s="16"/>
      <c r="LUN8" s="16"/>
      <c r="LUO8" s="16"/>
      <c r="LUP8" s="16"/>
      <c r="LUQ8" s="16"/>
      <c r="LUR8" s="16"/>
      <c r="LUS8" s="16"/>
      <c r="LUT8" s="16"/>
      <c r="LUU8" s="16"/>
      <c r="LUV8" s="16"/>
      <c r="LUW8" s="16"/>
      <c r="LUX8" s="16"/>
      <c r="LUY8" s="16"/>
      <c r="LUZ8" s="16"/>
      <c r="LVA8" s="16"/>
      <c r="LVB8" s="16"/>
      <c r="LVC8" s="16"/>
      <c r="LVD8" s="16"/>
      <c r="LVE8" s="16"/>
      <c r="LVF8" s="16"/>
      <c r="LVG8" s="16"/>
      <c r="LVH8" s="16"/>
      <c r="LVI8" s="16"/>
      <c r="LVJ8" s="16"/>
      <c r="LVK8" s="16"/>
      <c r="LVL8" s="16"/>
      <c r="LVM8" s="16"/>
      <c r="LVN8" s="16"/>
      <c r="LVO8" s="16"/>
      <c r="LVP8" s="16"/>
      <c r="LVQ8" s="16"/>
      <c r="LVR8" s="16"/>
      <c r="LVS8" s="16"/>
      <c r="LVT8" s="16"/>
      <c r="LVU8" s="16"/>
      <c r="LVV8" s="16"/>
      <c r="LVW8" s="16"/>
      <c r="LVX8" s="16"/>
      <c r="LVY8" s="16"/>
      <c r="LVZ8" s="16"/>
      <c r="LWA8" s="16"/>
      <c r="LWB8" s="16"/>
      <c r="LWC8" s="16"/>
      <c r="LWD8" s="16"/>
      <c r="LWE8" s="16"/>
      <c r="LWF8" s="16"/>
      <c r="LWG8" s="16"/>
      <c r="LWH8" s="16"/>
      <c r="LWI8" s="16"/>
      <c r="LWJ8" s="16"/>
      <c r="LWK8" s="16"/>
      <c r="LWL8" s="16"/>
      <c r="LWM8" s="16"/>
      <c r="LWN8" s="16"/>
      <c r="LWO8" s="16"/>
      <c r="LWP8" s="16"/>
      <c r="LWQ8" s="16"/>
      <c r="LWR8" s="16"/>
      <c r="LWS8" s="16"/>
      <c r="LWT8" s="16"/>
      <c r="LWU8" s="16"/>
      <c r="LWV8" s="16"/>
      <c r="LWW8" s="16"/>
      <c r="LWX8" s="16"/>
      <c r="LWY8" s="16"/>
      <c r="LWZ8" s="16"/>
      <c r="LXA8" s="16"/>
      <c r="LXB8" s="16"/>
      <c r="LXC8" s="16"/>
      <c r="LXD8" s="16"/>
      <c r="LXE8" s="16"/>
      <c r="LXF8" s="16"/>
      <c r="LXG8" s="16"/>
      <c r="LXH8" s="16"/>
      <c r="LXI8" s="16"/>
      <c r="LXJ8" s="16"/>
      <c r="LXK8" s="16"/>
      <c r="LXL8" s="16"/>
      <c r="LXM8" s="16"/>
      <c r="LXN8" s="16"/>
      <c r="LXO8" s="16"/>
      <c r="LXP8" s="16"/>
      <c r="LXQ8" s="16"/>
      <c r="LXR8" s="16"/>
      <c r="LXS8" s="16"/>
      <c r="LXT8" s="16"/>
      <c r="LXU8" s="16"/>
      <c r="LXV8" s="16"/>
      <c r="LXW8" s="16"/>
      <c r="LXX8" s="16"/>
      <c r="LXY8" s="16"/>
      <c r="LXZ8" s="16"/>
      <c r="LYA8" s="16"/>
      <c r="LYB8" s="16"/>
      <c r="LYC8" s="16"/>
      <c r="LYD8" s="16"/>
      <c r="LYE8" s="16"/>
      <c r="LYF8" s="16"/>
      <c r="LYG8" s="16"/>
      <c r="LYH8" s="16"/>
      <c r="LYI8" s="16"/>
      <c r="LYJ8" s="16"/>
      <c r="LYK8" s="16"/>
      <c r="LYL8" s="16"/>
      <c r="LYM8" s="16"/>
      <c r="LYN8" s="16"/>
      <c r="LYO8" s="16"/>
      <c r="LYP8" s="16"/>
      <c r="LYQ8" s="16"/>
      <c r="LYR8" s="16"/>
      <c r="LYS8" s="16"/>
      <c r="LYT8" s="16"/>
      <c r="LYU8" s="16"/>
      <c r="LYV8" s="16"/>
      <c r="LYW8" s="16"/>
      <c r="LYX8" s="16"/>
      <c r="LYY8" s="16"/>
      <c r="LYZ8" s="16"/>
      <c r="LZA8" s="16"/>
      <c r="LZB8" s="16"/>
      <c r="LZC8" s="16"/>
      <c r="LZD8" s="16"/>
      <c r="LZE8" s="16"/>
      <c r="LZF8" s="16"/>
      <c r="LZG8" s="16"/>
      <c r="LZH8" s="16"/>
      <c r="LZI8" s="16"/>
      <c r="LZJ8" s="16"/>
      <c r="LZK8" s="16"/>
      <c r="LZL8" s="16"/>
      <c r="LZM8" s="16"/>
      <c r="LZN8" s="16"/>
      <c r="LZO8" s="16"/>
      <c r="LZP8" s="16"/>
      <c r="LZQ8" s="16"/>
      <c r="LZR8" s="16"/>
      <c r="LZS8" s="16"/>
      <c r="LZT8" s="16"/>
      <c r="LZU8" s="16"/>
      <c r="LZV8" s="16"/>
      <c r="LZW8" s="16"/>
      <c r="LZX8" s="16"/>
      <c r="LZY8" s="16"/>
      <c r="LZZ8" s="16"/>
      <c r="MAA8" s="16"/>
      <c r="MAB8" s="16"/>
      <c r="MAC8" s="16"/>
      <c r="MAD8" s="16"/>
      <c r="MAE8" s="16"/>
      <c r="MAF8" s="16"/>
      <c r="MAG8" s="16"/>
      <c r="MAH8" s="16"/>
      <c r="MAI8" s="16"/>
      <c r="MAJ8" s="16"/>
      <c r="MAK8" s="16"/>
      <c r="MAL8" s="16"/>
      <c r="MAM8" s="16"/>
      <c r="MAN8" s="16"/>
      <c r="MAO8" s="16"/>
      <c r="MAP8" s="16"/>
      <c r="MAQ8" s="16"/>
      <c r="MAR8" s="16"/>
      <c r="MAS8" s="16"/>
      <c r="MAT8" s="16"/>
      <c r="MAU8" s="16"/>
      <c r="MAV8" s="16"/>
      <c r="MAW8" s="16"/>
      <c r="MAX8" s="16"/>
      <c r="MAY8" s="16"/>
      <c r="MAZ8" s="16"/>
      <c r="MBA8" s="16"/>
      <c r="MBB8" s="16"/>
      <c r="MBC8" s="16"/>
      <c r="MBD8" s="16"/>
      <c r="MBE8" s="16"/>
      <c r="MBF8" s="16"/>
      <c r="MBG8" s="16"/>
      <c r="MBH8" s="16"/>
      <c r="MBI8" s="16"/>
      <c r="MBJ8" s="16"/>
      <c r="MBK8" s="16"/>
      <c r="MBL8" s="16"/>
      <c r="MBM8" s="16"/>
      <c r="MBN8" s="16"/>
      <c r="MBO8" s="16"/>
      <c r="MBP8" s="16"/>
      <c r="MBQ8" s="16"/>
      <c r="MBR8" s="16"/>
      <c r="MBS8" s="16"/>
      <c r="MBT8" s="16"/>
      <c r="MBU8" s="16"/>
      <c r="MBV8" s="16"/>
      <c r="MBW8" s="16"/>
      <c r="MBX8" s="16"/>
      <c r="MBY8" s="16"/>
      <c r="MBZ8" s="16"/>
      <c r="MCA8" s="16"/>
      <c r="MCB8" s="16"/>
      <c r="MCC8" s="16"/>
      <c r="MCD8" s="16"/>
      <c r="MCE8" s="16"/>
      <c r="MCF8" s="16"/>
      <c r="MCG8" s="16"/>
      <c r="MCH8" s="16"/>
      <c r="MCI8" s="16"/>
      <c r="MCJ8" s="16"/>
      <c r="MCK8" s="16"/>
      <c r="MCL8" s="16"/>
      <c r="MCM8" s="16"/>
      <c r="MCN8" s="16"/>
      <c r="MCO8" s="16"/>
      <c r="MCP8" s="16"/>
      <c r="MCQ8" s="16"/>
      <c r="MCR8" s="16"/>
      <c r="MCS8" s="16"/>
      <c r="MCT8" s="16"/>
      <c r="MCU8" s="16"/>
      <c r="MCV8" s="16"/>
      <c r="MCW8" s="16"/>
      <c r="MCX8" s="16"/>
      <c r="MCY8" s="16"/>
      <c r="MCZ8" s="16"/>
      <c r="MDA8" s="16"/>
      <c r="MDB8" s="16"/>
      <c r="MDC8" s="16"/>
      <c r="MDD8" s="16"/>
      <c r="MDE8" s="16"/>
      <c r="MDF8" s="16"/>
      <c r="MDG8" s="16"/>
      <c r="MDH8" s="16"/>
      <c r="MDI8" s="16"/>
      <c r="MDJ8" s="16"/>
      <c r="MDK8" s="16"/>
      <c r="MDL8" s="16"/>
      <c r="MDM8" s="16"/>
      <c r="MDN8" s="16"/>
      <c r="MDO8" s="16"/>
      <c r="MDP8" s="16"/>
      <c r="MDQ8" s="16"/>
      <c r="MDR8" s="16"/>
      <c r="MDS8" s="16"/>
      <c r="MDT8" s="16"/>
      <c r="MDU8" s="16"/>
      <c r="MDV8" s="16"/>
      <c r="MDW8" s="16"/>
      <c r="MDX8" s="16"/>
      <c r="MDY8" s="16"/>
      <c r="MDZ8" s="16"/>
      <c r="MEA8" s="16"/>
      <c r="MEB8" s="16"/>
      <c r="MEC8" s="16"/>
      <c r="MED8" s="16"/>
      <c r="MEE8" s="16"/>
      <c r="MEF8" s="16"/>
      <c r="MEG8" s="16"/>
      <c r="MEH8" s="16"/>
      <c r="MEI8" s="16"/>
      <c r="MEJ8" s="16"/>
      <c r="MEK8" s="16"/>
      <c r="MEL8" s="16"/>
      <c r="MEM8" s="16"/>
      <c r="MEN8" s="16"/>
      <c r="MEO8" s="16"/>
      <c r="MEP8" s="16"/>
      <c r="MEQ8" s="16"/>
      <c r="MER8" s="16"/>
      <c r="MES8" s="16"/>
      <c r="MET8" s="16"/>
      <c r="MEU8" s="16"/>
      <c r="MEV8" s="16"/>
      <c r="MEW8" s="16"/>
      <c r="MEX8" s="16"/>
      <c r="MEY8" s="16"/>
      <c r="MEZ8" s="16"/>
      <c r="MFA8" s="16"/>
      <c r="MFB8" s="16"/>
      <c r="MFC8" s="16"/>
      <c r="MFD8" s="16"/>
      <c r="MFE8" s="16"/>
      <c r="MFF8" s="16"/>
      <c r="MFG8" s="16"/>
      <c r="MFH8" s="16"/>
      <c r="MFI8" s="16"/>
      <c r="MFJ8" s="16"/>
      <c r="MFK8" s="16"/>
      <c r="MFL8" s="16"/>
      <c r="MFM8" s="16"/>
      <c r="MFN8" s="16"/>
      <c r="MFO8" s="16"/>
      <c r="MFP8" s="16"/>
      <c r="MFQ8" s="16"/>
      <c r="MFR8" s="16"/>
      <c r="MFS8" s="16"/>
      <c r="MFT8" s="16"/>
      <c r="MFU8" s="16"/>
      <c r="MFV8" s="16"/>
      <c r="MFW8" s="16"/>
      <c r="MFX8" s="16"/>
      <c r="MFY8" s="16"/>
      <c r="MFZ8" s="16"/>
      <c r="MGA8" s="16"/>
      <c r="MGB8" s="16"/>
      <c r="MGC8" s="16"/>
      <c r="MGD8" s="16"/>
      <c r="MGE8" s="16"/>
      <c r="MGF8" s="16"/>
      <c r="MGG8" s="16"/>
      <c r="MGH8" s="16"/>
      <c r="MGI8" s="16"/>
      <c r="MGJ8" s="16"/>
      <c r="MGK8" s="16"/>
      <c r="MGL8" s="16"/>
      <c r="MGM8" s="16"/>
      <c r="MGN8" s="16"/>
      <c r="MGO8" s="16"/>
      <c r="MGP8" s="16"/>
      <c r="MGQ8" s="16"/>
      <c r="MGR8" s="16"/>
      <c r="MGS8" s="16"/>
      <c r="MGT8" s="16"/>
      <c r="MGU8" s="16"/>
      <c r="MGV8" s="16"/>
      <c r="MGW8" s="16"/>
      <c r="MGX8" s="16"/>
      <c r="MGY8" s="16"/>
      <c r="MGZ8" s="16"/>
      <c r="MHA8" s="16"/>
      <c r="MHB8" s="16"/>
      <c r="MHC8" s="16"/>
      <c r="MHD8" s="16"/>
      <c r="MHE8" s="16"/>
      <c r="MHF8" s="16"/>
      <c r="MHG8" s="16"/>
      <c r="MHH8" s="16"/>
      <c r="MHI8" s="16"/>
      <c r="MHJ8" s="16"/>
      <c r="MHK8" s="16"/>
      <c r="MHL8" s="16"/>
      <c r="MHM8" s="16"/>
      <c r="MHN8" s="16"/>
      <c r="MHO8" s="16"/>
      <c r="MHP8" s="16"/>
      <c r="MHQ8" s="16"/>
      <c r="MHR8" s="16"/>
      <c r="MHS8" s="16"/>
      <c r="MHT8" s="16"/>
      <c r="MHU8" s="16"/>
      <c r="MHV8" s="16"/>
      <c r="MHW8" s="16"/>
      <c r="MHX8" s="16"/>
      <c r="MHY8" s="16"/>
      <c r="MHZ8" s="16"/>
      <c r="MIA8" s="16"/>
      <c r="MIB8" s="16"/>
      <c r="MIC8" s="16"/>
      <c r="MID8" s="16"/>
      <c r="MIE8" s="16"/>
      <c r="MIF8" s="16"/>
      <c r="MIG8" s="16"/>
      <c r="MIH8" s="16"/>
      <c r="MII8" s="16"/>
      <c r="MIJ8" s="16"/>
      <c r="MIK8" s="16"/>
      <c r="MIL8" s="16"/>
      <c r="MIM8" s="16"/>
      <c r="MIN8" s="16"/>
      <c r="MIO8" s="16"/>
      <c r="MIP8" s="16"/>
      <c r="MIQ8" s="16"/>
      <c r="MIR8" s="16"/>
      <c r="MIS8" s="16"/>
      <c r="MIT8" s="16"/>
      <c r="MIU8" s="16"/>
      <c r="MIV8" s="16"/>
      <c r="MIW8" s="16"/>
      <c r="MIX8" s="16"/>
      <c r="MIY8" s="16"/>
      <c r="MIZ8" s="16"/>
      <c r="MJA8" s="16"/>
      <c r="MJB8" s="16"/>
      <c r="MJC8" s="16"/>
      <c r="MJD8" s="16"/>
      <c r="MJE8" s="16"/>
      <c r="MJF8" s="16"/>
      <c r="MJG8" s="16"/>
      <c r="MJH8" s="16"/>
      <c r="MJI8" s="16"/>
      <c r="MJJ8" s="16"/>
      <c r="MJK8" s="16"/>
      <c r="MJL8" s="16"/>
      <c r="MJM8" s="16"/>
      <c r="MJN8" s="16"/>
      <c r="MJO8" s="16"/>
      <c r="MJP8" s="16"/>
      <c r="MJQ8" s="16"/>
      <c r="MJR8" s="16"/>
      <c r="MJS8" s="16"/>
      <c r="MJT8" s="16"/>
      <c r="MJU8" s="16"/>
      <c r="MJV8" s="16"/>
      <c r="MJW8" s="16"/>
      <c r="MJX8" s="16"/>
      <c r="MJY8" s="16"/>
      <c r="MJZ8" s="16"/>
      <c r="MKA8" s="16"/>
      <c r="MKB8" s="16"/>
      <c r="MKC8" s="16"/>
      <c r="MKD8" s="16"/>
      <c r="MKE8" s="16"/>
      <c r="MKF8" s="16"/>
      <c r="MKG8" s="16"/>
      <c r="MKH8" s="16"/>
      <c r="MKI8" s="16"/>
      <c r="MKJ8" s="16"/>
      <c r="MKK8" s="16"/>
      <c r="MKL8" s="16"/>
      <c r="MKM8" s="16"/>
      <c r="MKN8" s="16"/>
      <c r="MKO8" s="16"/>
      <c r="MKP8" s="16"/>
      <c r="MKQ8" s="16"/>
      <c r="MKR8" s="16"/>
      <c r="MKS8" s="16"/>
      <c r="MKT8" s="16"/>
      <c r="MKU8" s="16"/>
      <c r="MKV8" s="16"/>
      <c r="MKW8" s="16"/>
      <c r="MKX8" s="16"/>
      <c r="MKY8" s="16"/>
      <c r="MKZ8" s="16"/>
      <c r="MLA8" s="16"/>
      <c r="MLB8" s="16"/>
      <c r="MLC8" s="16"/>
      <c r="MLD8" s="16"/>
      <c r="MLE8" s="16"/>
      <c r="MLF8" s="16"/>
      <c r="MLG8" s="16"/>
      <c r="MLH8" s="16"/>
      <c r="MLI8" s="16"/>
      <c r="MLJ8" s="16"/>
      <c r="MLK8" s="16"/>
      <c r="MLL8" s="16"/>
      <c r="MLM8" s="16"/>
      <c r="MLN8" s="16"/>
      <c r="MLO8" s="16"/>
      <c r="MLP8" s="16"/>
      <c r="MLQ8" s="16"/>
      <c r="MLR8" s="16"/>
      <c r="MLS8" s="16"/>
      <c r="MLT8" s="16"/>
      <c r="MLU8" s="16"/>
      <c r="MLV8" s="16"/>
      <c r="MLW8" s="16"/>
      <c r="MLX8" s="16"/>
      <c r="MLY8" s="16"/>
      <c r="MLZ8" s="16"/>
      <c r="MMA8" s="16"/>
      <c r="MMB8" s="16"/>
      <c r="MMC8" s="16"/>
      <c r="MMD8" s="16"/>
      <c r="MME8" s="16"/>
      <c r="MMF8" s="16"/>
      <c r="MMG8" s="16"/>
      <c r="MMH8" s="16"/>
      <c r="MMI8" s="16"/>
      <c r="MMJ8" s="16"/>
      <c r="MMK8" s="16"/>
      <c r="MML8" s="16"/>
      <c r="MMM8" s="16"/>
      <c r="MMN8" s="16"/>
      <c r="MMO8" s="16"/>
      <c r="MMP8" s="16"/>
      <c r="MMQ8" s="16"/>
      <c r="MMR8" s="16"/>
      <c r="MMS8" s="16"/>
      <c r="MMT8" s="16"/>
      <c r="MMU8" s="16"/>
      <c r="MMV8" s="16"/>
      <c r="MMW8" s="16"/>
      <c r="MMX8" s="16"/>
      <c r="MMY8" s="16"/>
      <c r="MMZ8" s="16"/>
      <c r="MNA8" s="16"/>
      <c r="MNB8" s="16"/>
      <c r="MNC8" s="16"/>
      <c r="MND8" s="16"/>
      <c r="MNE8" s="16"/>
      <c r="MNF8" s="16"/>
      <c r="MNG8" s="16"/>
      <c r="MNH8" s="16"/>
      <c r="MNI8" s="16"/>
      <c r="MNJ8" s="16"/>
      <c r="MNK8" s="16"/>
      <c r="MNL8" s="16"/>
      <c r="MNM8" s="16"/>
      <c r="MNN8" s="16"/>
      <c r="MNO8" s="16"/>
      <c r="MNP8" s="16"/>
      <c r="MNQ8" s="16"/>
      <c r="MNR8" s="16"/>
      <c r="MNS8" s="16"/>
      <c r="MNT8" s="16"/>
      <c r="MNU8" s="16"/>
      <c r="MNV8" s="16"/>
      <c r="MNW8" s="16"/>
      <c r="MNX8" s="16"/>
      <c r="MNY8" s="16"/>
      <c r="MNZ8" s="16"/>
      <c r="MOA8" s="16"/>
      <c r="MOB8" s="16"/>
      <c r="MOC8" s="16"/>
      <c r="MOD8" s="16"/>
      <c r="MOE8" s="16"/>
      <c r="MOF8" s="16"/>
      <c r="MOG8" s="16"/>
      <c r="MOH8" s="16"/>
      <c r="MOI8" s="16"/>
      <c r="MOJ8" s="16"/>
      <c r="MOK8" s="16"/>
      <c r="MOL8" s="16"/>
      <c r="MOM8" s="16"/>
      <c r="MON8" s="16"/>
      <c r="MOO8" s="16"/>
      <c r="MOP8" s="16"/>
      <c r="MOQ8" s="16"/>
      <c r="MOR8" s="16"/>
      <c r="MOS8" s="16"/>
      <c r="MOT8" s="16"/>
      <c r="MOU8" s="16"/>
      <c r="MOV8" s="16"/>
      <c r="MOW8" s="16"/>
      <c r="MOX8" s="16"/>
      <c r="MOY8" s="16"/>
      <c r="MOZ8" s="16"/>
      <c r="MPA8" s="16"/>
      <c r="MPB8" s="16"/>
      <c r="MPC8" s="16"/>
      <c r="MPD8" s="16"/>
      <c r="MPE8" s="16"/>
      <c r="MPF8" s="16"/>
      <c r="MPG8" s="16"/>
      <c r="MPH8" s="16"/>
      <c r="MPI8" s="16"/>
      <c r="MPJ8" s="16"/>
      <c r="MPK8" s="16"/>
      <c r="MPL8" s="16"/>
      <c r="MPM8" s="16"/>
      <c r="MPN8" s="16"/>
      <c r="MPO8" s="16"/>
      <c r="MPP8" s="16"/>
      <c r="MPQ8" s="16"/>
      <c r="MPR8" s="16"/>
      <c r="MPS8" s="16"/>
      <c r="MPT8" s="16"/>
      <c r="MPU8" s="16"/>
      <c r="MPV8" s="16"/>
      <c r="MPW8" s="16"/>
      <c r="MPX8" s="16"/>
      <c r="MPY8" s="16"/>
      <c r="MPZ8" s="16"/>
      <c r="MQA8" s="16"/>
      <c r="MQB8" s="16"/>
      <c r="MQC8" s="16"/>
      <c r="MQD8" s="16"/>
      <c r="MQE8" s="16"/>
      <c r="MQF8" s="16"/>
      <c r="MQG8" s="16"/>
      <c r="MQH8" s="16"/>
      <c r="MQI8" s="16"/>
      <c r="MQJ8" s="16"/>
      <c r="MQK8" s="16"/>
      <c r="MQL8" s="16"/>
      <c r="MQM8" s="16"/>
      <c r="MQN8" s="16"/>
      <c r="MQO8" s="16"/>
      <c r="MQP8" s="16"/>
      <c r="MQQ8" s="16"/>
      <c r="MQR8" s="16"/>
      <c r="MQS8" s="16"/>
      <c r="MQT8" s="16"/>
      <c r="MQU8" s="16"/>
      <c r="MQV8" s="16"/>
      <c r="MQW8" s="16"/>
      <c r="MQX8" s="16"/>
      <c r="MQY8" s="16"/>
      <c r="MQZ8" s="16"/>
      <c r="MRA8" s="16"/>
      <c r="MRB8" s="16"/>
      <c r="MRC8" s="16"/>
      <c r="MRD8" s="16"/>
      <c r="MRE8" s="16"/>
      <c r="MRF8" s="16"/>
      <c r="MRG8" s="16"/>
      <c r="MRH8" s="16"/>
      <c r="MRI8" s="16"/>
      <c r="MRJ8" s="16"/>
      <c r="MRK8" s="16"/>
      <c r="MRL8" s="16"/>
      <c r="MRM8" s="16"/>
      <c r="MRN8" s="16"/>
      <c r="MRO8" s="16"/>
      <c r="MRP8" s="16"/>
      <c r="MRQ8" s="16"/>
      <c r="MRR8" s="16"/>
      <c r="MRS8" s="16"/>
      <c r="MRT8" s="16"/>
      <c r="MRU8" s="16"/>
      <c r="MRV8" s="16"/>
      <c r="MRW8" s="16"/>
      <c r="MRX8" s="16"/>
      <c r="MRY8" s="16"/>
      <c r="MRZ8" s="16"/>
      <c r="MSA8" s="16"/>
      <c r="MSB8" s="16"/>
      <c r="MSC8" s="16"/>
      <c r="MSD8" s="16"/>
      <c r="MSE8" s="16"/>
      <c r="MSF8" s="16"/>
      <c r="MSG8" s="16"/>
      <c r="MSH8" s="16"/>
      <c r="MSI8" s="16"/>
      <c r="MSJ8" s="16"/>
      <c r="MSK8" s="16"/>
      <c r="MSL8" s="16"/>
      <c r="MSM8" s="16"/>
      <c r="MSN8" s="16"/>
      <c r="MSO8" s="16"/>
      <c r="MSP8" s="16"/>
      <c r="MSQ8" s="16"/>
      <c r="MSR8" s="16"/>
      <c r="MSS8" s="16"/>
      <c r="MST8" s="16"/>
      <c r="MSU8" s="16"/>
      <c r="MSV8" s="16"/>
      <c r="MSW8" s="16"/>
      <c r="MSX8" s="16"/>
      <c r="MSY8" s="16"/>
      <c r="MSZ8" s="16"/>
      <c r="MTA8" s="16"/>
      <c r="MTB8" s="16"/>
      <c r="MTC8" s="16"/>
      <c r="MTD8" s="16"/>
      <c r="MTE8" s="16"/>
      <c r="MTF8" s="16"/>
      <c r="MTG8" s="16"/>
      <c r="MTH8" s="16"/>
      <c r="MTI8" s="16"/>
      <c r="MTJ8" s="16"/>
      <c r="MTK8" s="16"/>
      <c r="MTL8" s="16"/>
      <c r="MTM8" s="16"/>
      <c r="MTN8" s="16"/>
      <c r="MTO8" s="16"/>
      <c r="MTP8" s="16"/>
      <c r="MTQ8" s="16"/>
      <c r="MTR8" s="16"/>
      <c r="MTS8" s="16"/>
      <c r="MTT8" s="16"/>
      <c r="MTU8" s="16"/>
      <c r="MTV8" s="16"/>
      <c r="MTW8" s="16"/>
      <c r="MTX8" s="16"/>
      <c r="MTY8" s="16"/>
      <c r="MTZ8" s="16"/>
      <c r="MUA8" s="16"/>
      <c r="MUB8" s="16"/>
      <c r="MUC8" s="16"/>
      <c r="MUD8" s="16"/>
      <c r="MUE8" s="16"/>
      <c r="MUF8" s="16"/>
      <c r="MUG8" s="16"/>
      <c r="MUH8" s="16"/>
      <c r="MUI8" s="16"/>
      <c r="MUJ8" s="16"/>
      <c r="MUK8" s="16"/>
      <c r="MUL8" s="16"/>
      <c r="MUM8" s="16"/>
      <c r="MUN8" s="16"/>
      <c r="MUO8" s="16"/>
      <c r="MUP8" s="16"/>
      <c r="MUQ8" s="16"/>
      <c r="MUR8" s="16"/>
      <c r="MUS8" s="16"/>
      <c r="MUT8" s="16"/>
      <c r="MUU8" s="16"/>
      <c r="MUV8" s="16"/>
      <c r="MUW8" s="16"/>
      <c r="MUX8" s="16"/>
      <c r="MUY8" s="16"/>
      <c r="MUZ8" s="16"/>
      <c r="MVA8" s="16"/>
      <c r="MVB8" s="16"/>
      <c r="MVC8" s="16"/>
      <c r="MVD8" s="16"/>
      <c r="MVE8" s="16"/>
      <c r="MVF8" s="16"/>
      <c r="MVG8" s="16"/>
      <c r="MVH8" s="16"/>
      <c r="MVI8" s="16"/>
      <c r="MVJ8" s="16"/>
      <c r="MVK8" s="16"/>
      <c r="MVL8" s="16"/>
      <c r="MVM8" s="16"/>
      <c r="MVN8" s="16"/>
      <c r="MVO8" s="16"/>
      <c r="MVP8" s="16"/>
      <c r="MVQ8" s="16"/>
      <c r="MVR8" s="16"/>
      <c r="MVS8" s="16"/>
      <c r="MVT8" s="16"/>
      <c r="MVU8" s="16"/>
      <c r="MVV8" s="16"/>
      <c r="MVW8" s="16"/>
      <c r="MVX8" s="16"/>
      <c r="MVY8" s="16"/>
      <c r="MVZ8" s="16"/>
      <c r="MWA8" s="16"/>
      <c r="MWB8" s="16"/>
      <c r="MWC8" s="16"/>
      <c r="MWD8" s="16"/>
      <c r="MWE8" s="16"/>
      <c r="MWF8" s="16"/>
      <c r="MWG8" s="16"/>
      <c r="MWH8" s="16"/>
      <c r="MWI8" s="16"/>
      <c r="MWJ8" s="16"/>
      <c r="MWK8" s="16"/>
      <c r="MWL8" s="16"/>
      <c r="MWM8" s="16"/>
      <c r="MWN8" s="16"/>
      <c r="MWO8" s="16"/>
      <c r="MWP8" s="16"/>
      <c r="MWQ8" s="16"/>
      <c r="MWR8" s="16"/>
      <c r="MWS8" s="16"/>
      <c r="MWT8" s="16"/>
      <c r="MWU8" s="16"/>
      <c r="MWV8" s="16"/>
      <c r="MWW8" s="16"/>
      <c r="MWX8" s="16"/>
      <c r="MWY8" s="16"/>
      <c r="MWZ8" s="16"/>
      <c r="MXA8" s="16"/>
      <c r="MXB8" s="16"/>
      <c r="MXC8" s="16"/>
      <c r="MXD8" s="16"/>
      <c r="MXE8" s="16"/>
      <c r="MXF8" s="16"/>
      <c r="MXG8" s="16"/>
      <c r="MXH8" s="16"/>
      <c r="MXI8" s="16"/>
      <c r="MXJ8" s="16"/>
      <c r="MXK8" s="16"/>
      <c r="MXL8" s="16"/>
      <c r="MXM8" s="16"/>
      <c r="MXN8" s="16"/>
      <c r="MXO8" s="16"/>
      <c r="MXP8" s="16"/>
      <c r="MXQ8" s="16"/>
      <c r="MXR8" s="16"/>
      <c r="MXS8" s="16"/>
      <c r="MXT8" s="16"/>
      <c r="MXU8" s="16"/>
      <c r="MXV8" s="16"/>
      <c r="MXW8" s="16"/>
      <c r="MXX8" s="16"/>
      <c r="MXY8" s="16"/>
      <c r="MXZ8" s="16"/>
      <c r="MYA8" s="16"/>
      <c r="MYB8" s="16"/>
      <c r="MYC8" s="16"/>
      <c r="MYD8" s="16"/>
      <c r="MYE8" s="16"/>
      <c r="MYF8" s="16"/>
      <c r="MYG8" s="16"/>
      <c r="MYH8" s="16"/>
      <c r="MYI8" s="16"/>
      <c r="MYJ8" s="16"/>
      <c r="MYK8" s="16"/>
      <c r="MYL8" s="16"/>
      <c r="MYM8" s="16"/>
      <c r="MYN8" s="16"/>
      <c r="MYO8" s="16"/>
      <c r="MYP8" s="16"/>
      <c r="MYQ8" s="16"/>
      <c r="MYR8" s="16"/>
      <c r="MYS8" s="16"/>
      <c r="MYT8" s="16"/>
      <c r="MYU8" s="16"/>
      <c r="MYV8" s="16"/>
      <c r="MYW8" s="16"/>
      <c r="MYX8" s="16"/>
      <c r="MYY8" s="16"/>
      <c r="MYZ8" s="16"/>
      <c r="MZA8" s="16"/>
      <c r="MZB8" s="16"/>
      <c r="MZC8" s="16"/>
      <c r="MZD8" s="16"/>
      <c r="MZE8" s="16"/>
      <c r="MZF8" s="16"/>
      <c r="MZG8" s="16"/>
      <c r="MZH8" s="16"/>
      <c r="MZI8" s="16"/>
      <c r="MZJ8" s="16"/>
      <c r="MZK8" s="16"/>
      <c r="MZL8" s="16"/>
      <c r="MZM8" s="16"/>
      <c r="MZN8" s="16"/>
      <c r="MZO8" s="16"/>
      <c r="MZP8" s="16"/>
      <c r="MZQ8" s="16"/>
      <c r="MZR8" s="16"/>
      <c r="MZS8" s="16"/>
      <c r="MZT8" s="16"/>
      <c r="MZU8" s="16"/>
      <c r="MZV8" s="16"/>
      <c r="MZW8" s="16"/>
      <c r="MZX8" s="16"/>
      <c r="MZY8" s="16"/>
      <c r="MZZ8" s="16"/>
      <c r="NAA8" s="16"/>
      <c r="NAB8" s="16"/>
      <c r="NAC8" s="16"/>
      <c r="NAD8" s="16"/>
      <c r="NAE8" s="16"/>
      <c r="NAF8" s="16"/>
      <c r="NAG8" s="16"/>
      <c r="NAH8" s="16"/>
      <c r="NAI8" s="16"/>
      <c r="NAJ8" s="16"/>
      <c r="NAK8" s="16"/>
      <c r="NAL8" s="16"/>
      <c r="NAM8" s="16"/>
      <c r="NAN8" s="16"/>
      <c r="NAO8" s="16"/>
      <c r="NAP8" s="16"/>
      <c r="NAQ8" s="16"/>
      <c r="NAR8" s="16"/>
      <c r="NAS8" s="16"/>
      <c r="NAT8" s="16"/>
      <c r="NAU8" s="16"/>
      <c r="NAV8" s="16"/>
      <c r="NAW8" s="16"/>
      <c r="NAX8" s="16"/>
      <c r="NAY8" s="16"/>
      <c r="NAZ8" s="16"/>
      <c r="NBA8" s="16"/>
      <c r="NBB8" s="16"/>
      <c r="NBC8" s="16"/>
      <c r="NBD8" s="16"/>
      <c r="NBE8" s="16"/>
      <c r="NBF8" s="16"/>
      <c r="NBG8" s="16"/>
      <c r="NBH8" s="16"/>
      <c r="NBI8" s="16"/>
      <c r="NBJ8" s="16"/>
      <c r="NBK8" s="16"/>
      <c r="NBL8" s="16"/>
      <c r="NBM8" s="16"/>
      <c r="NBN8" s="16"/>
      <c r="NBO8" s="16"/>
      <c r="NBP8" s="16"/>
      <c r="NBQ8" s="16"/>
      <c r="NBR8" s="16"/>
      <c r="NBS8" s="16"/>
      <c r="NBT8" s="16"/>
      <c r="NBU8" s="16"/>
      <c r="NBV8" s="16"/>
      <c r="NBW8" s="16"/>
      <c r="NBX8" s="16"/>
      <c r="NBY8" s="16"/>
      <c r="NBZ8" s="16"/>
      <c r="NCA8" s="16"/>
      <c r="NCB8" s="16"/>
      <c r="NCC8" s="16"/>
      <c r="NCD8" s="16"/>
      <c r="NCE8" s="16"/>
      <c r="NCF8" s="16"/>
      <c r="NCG8" s="16"/>
      <c r="NCH8" s="16"/>
      <c r="NCI8" s="16"/>
      <c r="NCJ8" s="16"/>
      <c r="NCK8" s="16"/>
      <c r="NCL8" s="16"/>
      <c r="NCM8" s="16"/>
      <c r="NCN8" s="16"/>
      <c r="NCO8" s="16"/>
      <c r="NCP8" s="16"/>
      <c r="NCQ8" s="16"/>
      <c r="NCR8" s="16"/>
      <c r="NCS8" s="16"/>
      <c r="NCT8" s="16"/>
      <c r="NCU8" s="16"/>
      <c r="NCV8" s="16"/>
      <c r="NCW8" s="16"/>
      <c r="NCX8" s="16"/>
      <c r="NCY8" s="16"/>
      <c r="NCZ8" s="16"/>
      <c r="NDA8" s="16"/>
      <c r="NDB8" s="16"/>
      <c r="NDC8" s="16"/>
      <c r="NDD8" s="16"/>
      <c r="NDE8" s="16"/>
      <c r="NDF8" s="16"/>
      <c r="NDG8" s="16"/>
      <c r="NDH8" s="16"/>
      <c r="NDI8" s="16"/>
      <c r="NDJ8" s="16"/>
      <c r="NDK8" s="16"/>
      <c r="NDL8" s="16"/>
      <c r="NDM8" s="16"/>
      <c r="NDN8" s="16"/>
      <c r="NDO8" s="16"/>
      <c r="NDP8" s="16"/>
      <c r="NDQ8" s="16"/>
      <c r="NDR8" s="16"/>
      <c r="NDS8" s="16"/>
      <c r="NDT8" s="16"/>
      <c r="NDU8" s="16"/>
      <c r="NDV8" s="16"/>
      <c r="NDW8" s="16"/>
      <c r="NDX8" s="16"/>
      <c r="NDY8" s="16"/>
      <c r="NDZ8" s="16"/>
      <c r="NEA8" s="16"/>
      <c r="NEB8" s="16"/>
      <c r="NEC8" s="16"/>
      <c r="NED8" s="16"/>
      <c r="NEE8" s="16"/>
      <c r="NEF8" s="16"/>
      <c r="NEG8" s="16"/>
      <c r="NEH8" s="16"/>
      <c r="NEI8" s="16"/>
      <c r="NEJ8" s="16"/>
      <c r="NEK8" s="16"/>
      <c r="NEL8" s="16"/>
      <c r="NEM8" s="16"/>
      <c r="NEN8" s="16"/>
      <c r="NEO8" s="16"/>
      <c r="NEP8" s="16"/>
      <c r="NEQ8" s="16"/>
      <c r="NER8" s="16"/>
      <c r="NES8" s="16"/>
      <c r="NET8" s="16"/>
      <c r="NEU8" s="16"/>
      <c r="NEV8" s="16"/>
      <c r="NEW8" s="16"/>
      <c r="NEX8" s="16"/>
      <c r="NEY8" s="16"/>
      <c r="NEZ8" s="16"/>
      <c r="NFA8" s="16"/>
      <c r="NFB8" s="16"/>
      <c r="NFC8" s="16"/>
      <c r="NFD8" s="16"/>
      <c r="NFE8" s="16"/>
      <c r="NFF8" s="16"/>
      <c r="NFG8" s="16"/>
      <c r="NFH8" s="16"/>
      <c r="NFI8" s="16"/>
      <c r="NFJ8" s="16"/>
      <c r="NFK8" s="16"/>
      <c r="NFL8" s="16"/>
      <c r="NFM8" s="16"/>
      <c r="NFN8" s="16"/>
      <c r="NFO8" s="16"/>
      <c r="NFP8" s="16"/>
      <c r="NFQ8" s="16"/>
      <c r="NFR8" s="16"/>
      <c r="NFS8" s="16"/>
      <c r="NFT8" s="16"/>
      <c r="NFU8" s="16"/>
      <c r="NFV8" s="16"/>
      <c r="NFW8" s="16"/>
      <c r="NFX8" s="16"/>
      <c r="NFY8" s="16"/>
      <c r="NFZ8" s="16"/>
      <c r="NGA8" s="16"/>
      <c r="NGB8" s="16"/>
      <c r="NGC8" s="16"/>
      <c r="NGD8" s="16"/>
      <c r="NGE8" s="16"/>
      <c r="NGF8" s="16"/>
      <c r="NGG8" s="16"/>
      <c r="NGH8" s="16"/>
      <c r="NGI8" s="16"/>
      <c r="NGJ8" s="16"/>
      <c r="NGK8" s="16"/>
      <c r="NGL8" s="16"/>
      <c r="NGM8" s="16"/>
      <c r="NGN8" s="16"/>
      <c r="NGO8" s="16"/>
      <c r="NGP8" s="16"/>
      <c r="NGQ8" s="16"/>
      <c r="NGR8" s="16"/>
      <c r="NGS8" s="16"/>
      <c r="NGT8" s="16"/>
      <c r="NGU8" s="16"/>
      <c r="NGV8" s="16"/>
      <c r="NGW8" s="16"/>
      <c r="NGX8" s="16"/>
      <c r="NGY8" s="16"/>
      <c r="NGZ8" s="16"/>
      <c r="NHA8" s="16"/>
      <c r="NHB8" s="16"/>
      <c r="NHC8" s="16"/>
      <c r="NHD8" s="16"/>
      <c r="NHE8" s="16"/>
      <c r="NHF8" s="16"/>
      <c r="NHG8" s="16"/>
      <c r="NHH8" s="16"/>
      <c r="NHI8" s="16"/>
      <c r="NHJ8" s="16"/>
      <c r="NHK8" s="16"/>
      <c r="NHL8" s="16"/>
      <c r="NHM8" s="16"/>
      <c r="NHN8" s="16"/>
      <c r="NHO8" s="16"/>
      <c r="NHP8" s="16"/>
      <c r="NHQ8" s="16"/>
      <c r="NHR8" s="16"/>
      <c r="NHS8" s="16"/>
      <c r="NHT8" s="16"/>
      <c r="NHU8" s="16"/>
      <c r="NHV8" s="16"/>
      <c r="NHW8" s="16"/>
      <c r="NHX8" s="16"/>
      <c r="NHY8" s="16"/>
      <c r="NHZ8" s="16"/>
      <c r="NIA8" s="16"/>
      <c r="NIB8" s="16"/>
      <c r="NIC8" s="16"/>
      <c r="NID8" s="16"/>
      <c r="NIE8" s="16"/>
      <c r="NIF8" s="16"/>
      <c r="NIG8" s="16"/>
      <c r="NIH8" s="16"/>
      <c r="NII8" s="16"/>
      <c r="NIJ8" s="16"/>
      <c r="NIK8" s="16"/>
      <c r="NIL8" s="16"/>
      <c r="NIM8" s="16"/>
      <c r="NIN8" s="16"/>
      <c r="NIO8" s="16"/>
      <c r="NIP8" s="16"/>
      <c r="NIQ8" s="16"/>
      <c r="NIR8" s="16"/>
      <c r="NIS8" s="16"/>
      <c r="NIT8" s="16"/>
      <c r="NIU8" s="16"/>
      <c r="NIV8" s="16"/>
      <c r="NIW8" s="16"/>
      <c r="NIX8" s="16"/>
      <c r="NIY8" s="16"/>
      <c r="NIZ8" s="16"/>
      <c r="NJA8" s="16"/>
      <c r="NJB8" s="16"/>
      <c r="NJC8" s="16"/>
      <c r="NJD8" s="16"/>
      <c r="NJE8" s="16"/>
      <c r="NJF8" s="16"/>
      <c r="NJG8" s="16"/>
      <c r="NJH8" s="16"/>
      <c r="NJI8" s="16"/>
      <c r="NJJ8" s="16"/>
      <c r="NJK8" s="16"/>
      <c r="NJL8" s="16"/>
      <c r="NJM8" s="16"/>
      <c r="NJN8" s="16"/>
      <c r="NJO8" s="16"/>
      <c r="NJP8" s="16"/>
      <c r="NJQ8" s="16"/>
      <c r="NJR8" s="16"/>
      <c r="NJS8" s="16"/>
      <c r="NJT8" s="16"/>
      <c r="NJU8" s="16"/>
      <c r="NJV8" s="16"/>
      <c r="NJW8" s="16"/>
      <c r="NJX8" s="16"/>
      <c r="NJY8" s="16"/>
      <c r="NJZ8" s="16"/>
      <c r="NKA8" s="16"/>
      <c r="NKB8" s="16"/>
      <c r="NKC8" s="16"/>
      <c r="NKD8" s="16"/>
      <c r="NKE8" s="16"/>
      <c r="NKF8" s="16"/>
      <c r="NKG8" s="16"/>
      <c r="NKH8" s="16"/>
      <c r="NKI8" s="16"/>
      <c r="NKJ8" s="16"/>
      <c r="NKK8" s="16"/>
      <c r="NKL8" s="16"/>
      <c r="NKM8" s="16"/>
      <c r="NKN8" s="16"/>
      <c r="NKO8" s="16"/>
      <c r="NKP8" s="16"/>
      <c r="NKQ8" s="16"/>
      <c r="NKR8" s="16"/>
      <c r="NKS8" s="16"/>
      <c r="NKT8" s="16"/>
      <c r="NKU8" s="16"/>
      <c r="NKV8" s="16"/>
      <c r="NKW8" s="16"/>
      <c r="NKX8" s="16"/>
      <c r="NKY8" s="16"/>
      <c r="NKZ8" s="16"/>
      <c r="NLA8" s="16"/>
      <c r="NLB8" s="16"/>
      <c r="NLC8" s="16"/>
      <c r="NLD8" s="16"/>
      <c r="NLE8" s="16"/>
      <c r="NLF8" s="16"/>
      <c r="NLG8" s="16"/>
      <c r="NLH8" s="16"/>
      <c r="NLI8" s="16"/>
      <c r="NLJ8" s="16"/>
      <c r="NLK8" s="16"/>
      <c r="NLL8" s="16"/>
      <c r="NLM8" s="16"/>
      <c r="NLN8" s="16"/>
      <c r="NLO8" s="16"/>
      <c r="NLP8" s="16"/>
      <c r="NLQ8" s="16"/>
      <c r="NLR8" s="16"/>
      <c r="NLS8" s="16"/>
      <c r="NLT8" s="16"/>
      <c r="NLU8" s="16"/>
      <c r="NLV8" s="16"/>
      <c r="NLW8" s="16"/>
      <c r="NLX8" s="16"/>
      <c r="NLY8" s="16"/>
      <c r="NLZ8" s="16"/>
      <c r="NMA8" s="16"/>
      <c r="NMB8" s="16"/>
      <c r="NMC8" s="16"/>
      <c r="NMD8" s="16"/>
      <c r="NME8" s="16"/>
      <c r="NMF8" s="16"/>
      <c r="NMG8" s="16"/>
      <c r="NMH8" s="16"/>
      <c r="NMI8" s="16"/>
      <c r="NMJ8" s="16"/>
      <c r="NMK8" s="16"/>
      <c r="NML8" s="16"/>
      <c r="NMM8" s="16"/>
      <c r="NMN8" s="16"/>
      <c r="NMO8" s="16"/>
      <c r="NMP8" s="16"/>
      <c r="NMQ8" s="16"/>
      <c r="NMR8" s="16"/>
      <c r="NMS8" s="16"/>
      <c r="NMT8" s="16"/>
      <c r="NMU8" s="16"/>
      <c r="NMV8" s="16"/>
      <c r="NMW8" s="16"/>
      <c r="NMX8" s="16"/>
      <c r="NMY8" s="16"/>
      <c r="NMZ8" s="16"/>
      <c r="NNA8" s="16"/>
      <c r="NNB8" s="16"/>
      <c r="NNC8" s="16"/>
      <c r="NND8" s="16"/>
      <c r="NNE8" s="16"/>
      <c r="NNF8" s="16"/>
      <c r="NNG8" s="16"/>
      <c r="NNH8" s="16"/>
      <c r="NNI8" s="16"/>
      <c r="NNJ8" s="16"/>
      <c r="NNK8" s="16"/>
      <c r="NNL8" s="16"/>
      <c r="NNM8" s="16"/>
      <c r="NNN8" s="16"/>
      <c r="NNO8" s="16"/>
      <c r="NNP8" s="16"/>
      <c r="NNQ8" s="16"/>
      <c r="NNR8" s="16"/>
      <c r="NNS8" s="16"/>
      <c r="NNT8" s="16"/>
      <c r="NNU8" s="16"/>
      <c r="NNV8" s="16"/>
      <c r="NNW8" s="16"/>
      <c r="NNX8" s="16"/>
      <c r="NNY8" s="16"/>
      <c r="NNZ8" s="16"/>
      <c r="NOA8" s="16"/>
      <c r="NOB8" s="16"/>
      <c r="NOC8" s="16"/>
      <c r="NOD8" s="16"/>
      <c r="NOE8" s="16"/>
      <c r="NOF8" s="16"/>
      <c r="NOG8" s="16"/>
      <c r="NOH8" s="16"/>
      <c r="NOI8" s="16"/>
      <c r="NOJ8" s="16"/>
      <c r="NOK8" s="16"/>
      <c r="NOL8" s="16"/>
      <c r="NOM8" s="16"/>
      <c r="NON8" s="16"/>
      <c r="NOO8" s="16"/>
      <c r="NOP8" s="16"/>
      <c r="NOQ8" s="16"/>
      <c r="NOR8" s="16"/>
      <c r="NOS8" s="16"/>
      <c r="NOT8" s="16"/>
      <c r="NOU8" s="16"/>
      <c r="NOV8" s="16"/>
      <c r="NOW8" s="16"/>
      <c r="NOX8" s="16"/>
      <c r="NOY8" s="16"/>
      <c r="NOZ8" s="16"/>
      <c r="NPA8" s="16"/>
      <c r="NPB8" s="16"/>
      <c r="NPC8" s="16"/>
      <c r="NPD8" s="16"/>
      <c r="NPE8" s="16"/>
      <c r="NPF8" s="16"/>
      <c r="NPG8" s="16"/>
      <c r="NPH8" s="16"/>
      <c r="NPI8" s="16"/>
      <c r="NPJ8" s="16"/>
      <c r="NPK8" s="16"/>
      <c r="NPL8" s="16"/>
      <c r="NPM8" s="16"/>
      <c r="NPN8" s="16"/>
      <c r="NPO8" s="16"/>
      <c r="NPP8" s="16"/>
      <c r="NPQ8" s="16"/>
      <c r="NPR8" s="16"/>
      <c r="NPS8" s="16"/>
      <c r="NPT8" s="16"/>
      <c r="NPU8" s="16"/>
      <c r="NPV8" s="16"/>
      <c r="NPW8" s="16"/>
      <c r="NPX8" s="16"/>
      <c r="NPY8" s="16"/>
      <c r="NPZ8" s="16"/>
      <c r="NQA8" s="16"/>
      <c r="NQB8" s="16"/>
      <c r="NQC8" s="16"/>
      <c r="NQD8" s="16"/>
      <c r="NQE8" s="16"/>
      <c r="NQF8" s="16"/>
      <c r="NQG8" s="16"/>
      <c r="NQH8" s="16"/>
      <c r="NQI8" s="16"/>
      <c r="NQJ8" s="16"/>
      <c r="NQK8" s="16"/>
      <c r="NQL8" s="16"/>
      <c r="NQM8" s="16"/>
      <c r="NQN8" s="16"/>
      <c r="NQO8" s="16"/>
      <c r="NQP8" s="16"/>
      <c r="NQQ8" s="16"/>
      <c r="NQR8" s="16"/>
      <c r="NQS8" s="16"/>
      <c r="NQT8" s="16"/>
      <c r="NQU8" s="16"/>
      <c r="NQV8" s="16"/>
      <c r="NQW8" s="16"/>
      <c r="NQX8" s="16"/>
      <c r="NQY8" s="16"/>
      <c r="NQZ8" s="16"/>
      <c r="NRA8" s="16"/>
      <c r="NRB8" s="16"/>
      <c r="NRC8" s="16"/>
      <c r="NRD8" s="16"/>
      <c r="NRE8" s="16"/>
      <c r="NRF8" s="16"/>
      <c r="NRG8" s="16"/>
      <c r="NRH8" s="16"/>
      <c r="NRI8" s="16"/>
      <c r="NRJ8" s="16"/>
      <c r="NRK8" s="16"/>
      <c r="NRL8" s="16"/>
      <c r="NRM8" s="16"/>
      <c r="NRN8" s="16"/>
      <c r="NRO8" s="16"/>
      <c r="NRP8" s="16"/>
      <c r="NRQ8" s="16"/>
      <c r="NRR8" s="16"/>
      <c r="NRS8" s="16"/>
      <c r="NRT8" s="16"/>
      <c r="NRU8" s="16"/>
      <c r="NRV8" s="16"/>
      <c r="NRW8" s="16"/>
      <c r="NRX8" s="16"/>
      <c r="NRY8" s="16"/>
      <c r="NRZ8" s="16"/>
      <c r="NSA8" s="16"/>
      <c r="NSB8" s="16"/>
      <c r="NSC8" s="16"/>
      <c r="NSD8" s="16"/>
      <c r="NSE8" s="16"/>
      <c r="NSF8" s="16"/>
      <c r="NSG8" s="16"/>
      <c r="NSH8" s="16"/>
      <c r="NSI8" s="16"/>
      <c r="NSJ8" s="16"/>
      <c r="NSK8" s="16"/>
      <c r="NSL8" s="16"/>
      <c r="NSM8" s="16"/>
      <c r="NSN8" s="16"/>
      <c r="NSO8" s="16"/>
      <c r="NSP8" s="16"/>
      <c r="NSQ8" s="16"/>
      <c r="NSR8" s="16"/>
      <c r="NSS8" s="16"/>
      <c r="NST8" s="16"/>
      <c r="NSU8" s="16"/>
      <c r="NSV8" s="16"/>
      <c r="NSW8" s="16"/>
      <c r="NSX8" s="16"/>
      <c r="NSY8" s="16"/>
      <c r="NSZ8" s="16"/>
      <c r="NTA8" s="16"/>
      <c r="NTB8" s="16"/>
      <c r="NTC8" s="16"/>
      <c r="NTD8" s="16"/>
      <c r="NTE8" s="16"/>
      <c r="NTF8" s="16"/>
      <c r="NTG8" s="16"/>
      <c r="NTH8" s="16"/>
      <c r="NTI8" s="16"/>
      <c r="NTJ8" s="16"/>
      <c r="NTK8" s="16"/>
      <c r="NTL8" s="16"/>
      <c r="NTM8" s="16"/>
      <c r="NTN8" s="16"/>
      <c r="NTO8" s="16"/>
      <c r="NTP8" s="16"/>
      <c r="NTQ8" s="16"/>
      <c r="NTR8" s="16"/>
      <c r="NTS8" s="16"/>
      <c r="NTT8" s="16"/>
      <c r="NTU8" s="16"/>
      <c r="NTV8" s="16"/>
      <c r="NTW8" s="16"/>
      <c r="NTX8" s="16"/>
      <c r="NTY8" s="16"/>
      <c r="NTZ8" s="16"/>
      <c r="NUA8" s="16"/>
      <c r="NUB8" s="16"/>
      <c r="NUC8" s="16"/>
      <c r="NUD8" s="16"/>
      <c r="NUE8" s="16"/>
      <c r="NUF8" s="16"/>
      <c r="NUG8" s="16"/>
      <c r="NUH8" s="16"/>
      <c r="NUI8" s="16"/>
      <c r="NUJ8" s="16"/>
      <c r="NUK8" s="16"/>
      <c r="NUL8" s="16"/>
      <c r="NUM8" s="16"/>
      <c r="NUN8" s="16"/>
      <c r="NUO8" s="16"/>
      <c r="NUP8" s="16"/>
      <c r="NUQ8" s="16"/>
      <c r="NUR8" s="16"/>
      <c r="NUS8" s="16"/>
      <c r="NUT8" s="16"/>
      <c r="NUU8" s="16"/>
      <c r="NUV8" s="16"/>
      <c r="NUW8" s="16"/>
      <c r="NUX8" s="16"/>
      <c r="NUY8" s="16"/>
      <c r="NUZ8" s="16"/>
      <c r="NVA8" s="16"/>
      <c r="NVB8" s="16"/>
      <c r="NVC8" s="16"/>
      <c r="NVD8" s="16"/>
      <c r="NVE8" s="16"/>
      <c r="NVF8" s="16"/>
      <c r="NVG8" s="16"/>
      <c r="NVH8" s="16"/>
      <c r="NVI8" s="16"/>
      <c r="NVJ8" s="16"/>
      <c r="NVK8" s="16"/>
      <c r="NVL8" s="16"/>
      <c r="NVM8" s="16"/>
      <c r="NVN8" s="16"/>
      <c r="NVO8" s="16"/>
      <c r="NVP8" s="16"/>
      <c r="NVQ8" s="16"/>
      <c r="NVR8" s="16"/>
      <c r="NVS8" s="16"/>
      <c r="NVT8" s="16"/>
      <c r="NVU8" s="16"/>
      <c r="NVV8" s="16"/>
      <c r="NVW8" s="16"/>
      <c r="NVX8" s="16"/>
      <c r="NVY8" s="16"/>
      <c r="NVZ8" s="16"/>
      <c r="NWA8" s="16"/>
      <c r="NWB8" s="16"/>
      <c r="NWC8" s="16"/>
      <c r="NWD8" s="16"/>
      <c r="NWE8" s="16"/>
      <c r="NWF8" s="16"/>
      <c r="NWG8" s="16"/>
      <c r="NWH8" s="16"/>
      <c r="NWI8" s="16"/>
      <c r="NWJ8" s="16"/>
      <c r="NWK8" s="16"/>
      <c r="NWL8" s="16"/>
      <c r="NWM8" s="16"/>
      <c r="NWN8" s="16"/>
      <c r="NWO8" s="16"/>
      <c r="NWP8" s="16"/>
      <c r="NWQ8" s="16"/>
      <c r="NWR8" s="16"/>
      <c r="NWS8" s="16"/>
      <c r="NWT8" s="16"/>
      <c r="NWU8" s="16"/>
      <c r="NWV8" s="16"/>
      <c r="NWW8" s="16"/>
      <c r="NWX8" s="16"/>
      <c r="NWY8" s="16"/>
      <c r="NWZ8" s="16"/>
      <c r="NXA8" s="16"/>
      <c r="NXB8" s="16"/>
      <c r="NXC8" s="16"/>
      <c r="NXD8" s="16"/>
      <c r="NXE8" s="16"/>
      <c r="NXF8" s="16"/>
      <c r="NXG8" s="16"/>
      <c r="NXH8" s="16"/>
      <c r="NXI8" s="16"/>
      <c r="NXJ8" s="16"/>
      <c r="NXK8" s="16"/>
      <c r="NXL8" s="16"/>
      <c r="NXM8" s="16"/>
      <c r="NXN8" s="16"/>
      <c r="NXO8" s="16"/>
      <c r="NXP8" s="16"/>
      <c r="NXQ8" s="16"/>
      <c r="NXR8" s="16"/>
      <c r="NXS8" s="16"/>
      <c r="NXT8" s="16"/>
      <c r="NXU8" s="16"/>
      <c r="NXV8" s="16"/>
      <c r="NXW8" s="16"/>
      <c r="NXX8" s="16"/>
      <c r="NXY8" s="16"/>
      <c r="NXZ8" s="16"/>
      <c r="NYA8" s="16"/>
      <c r="NYB8" s="16"/>
      <c r="NYC8" s="16"/>
      <c r="NYD8" s="16"/>
      <c r="NYE8" s="16"/>
      <c r="NYF8" s="16"/>
      <c r="NYG8" s="16"/>
      <c r="NYH8" s="16"/>
      <c r="NYI8" s="16"/>
      <c r="NYJ8" s="16"/>
      <c r="NYK8" s="16"/>
      <c r="NYL8" s="16"/>
      <c r="NYM8" s="16"/>
      <c r="NYN8" s="16"/>
      <c r="NYO8" s="16"/>
      <c r="NYP8" s="16"/>
      <c r="NYQ8" s="16"/>
      <c r="NYR8" s="16"/>
      <c r="NYS8" s="16"/>
      <c r="NYT8" s="16"/>
      <c r="NYU8" s="16"/>
      <c r="NYV8" s="16"/>
      <c r="NYW8" s="16"/>
      <c r="NYX8" s="16"/>
      <c r="NYY8" s="16"/>
      <c r="NYZ8" s="16"/>
      <c r="NZA8" s="16"/>
      <c r="NZB8" s="16"/>
      <c r="NZC8" s="16"/>
      <c r="NZD8" s="16"/>
      <c r="NZE8" s="16"/>
      <c r="NZF8" s="16"/>
      <c r="NZG8" s="16"/>
      <c r="NZH8" s="16"/>
      <c r="NZI8" s="16"/>
      <c r="NZJ8" s="16"/>
      <c r="NZK8" s="16"/>
      <c r="NZL8" s="16"/>
      <c r="NZM8" s="16"/>
      <c r="NZN8" s="16"/>
      <c r="NZO8" s="16"/>
      <c r="NZP8" s="16"/>
      <c r="NZQ8" s="16"/>
      <c r="NZR8" s="16"/>
      <c r="NZS8" s="16"/>
      <c r="NZT8" s="16"/>
      <c r="NZU8" s="16"/>
      <c r="NZV8" s="16"/>
      <c r="NZW8" s="16"/>
      <c r="NZX8" s="16"/>
      <c r="NZY8" s="16"/>
      <c r="NZZ8" s="16"/>
      <c r="OAA8" s="16"/>
      <c r="OAB8" s="16"/>
      <c r="OAC8" s="16"/>
      <c r="OAD8" s="16"/>
      <c r="OAE8" s="16"/>
      <c r="OAF8" s="16"/>
      <c r="OAG8" s="16"/>
      <c r="OAH8" s="16"/>
      <c r="OAI8" s="16"/>
      <c r="OAJ8" s="16"/>
      <c r="OAK8" s="16"/>
      <c r="OAL8" s="16"/>
      <c r="OAM8" s="16"/>
      <c r="OAN8" s="16"/>
      <c r="OAO8" s="16"/>
      <c r="OAP8" s="16"/>
      <c r="OAQ8" s="16"/>
      <c r="OAR8" s="16"/>
      <c r="OAS8" s="16"/>
      <c r="OAT8" s="16"/>
      <c r="OAU8" s="16"/>
      <c r="OAV8" s="16"/>
      <c r="OAW8" s="16"/>
      <c r="OAX8" s="16"/>
      <c r="OAY8" s="16"/>
      <c r="OAZ8" s="16"/>
      <c r="OBA8" s="16"/>
      <c r="OBB8" s="16"/>
      <c r="OBC8" s="16"/>
      <c r="OBD8" s="16"/>
      <c r="OBE8" s="16"/>
      <c r="OBF8" s="16"/>
      <c r="OBG8" s="16"/>
      <c r="OBH8" s="16"/>
      <c r="OBI8" s="16"/>
      <c r="OBJ8" s="16"/>
      <c r="OBK8" s="16"/>
      <c r="OBL8" s="16"/>
      <c r="OBM8" s="16"/>
      <c r="OBN8" s="16"/>
      <c r="OBO8" s="16"/>
      <c r="OBP8" s="16"/>
      <c r="OBQ8" s="16"/>
      <c r="OBR8" s="16"/>
      <c r="OBS8" s="16"/>
      <c r="OBT8" s="16"/>
      <c r="OBU8" s="16"/>
      <c r="OBV8" s="16"/>
      <c r="OBW8" s="16"/>
      <c r="OBX8" s="16"/>
      <c r="OBY8" s="16"/>
      <c r="OBZ8" s="16"/>
      <c r="OCA8" s="16"/>
      <c r="OCB8" s="16"/>
      <c r="OCC8" s="16"/>
      <c r="OCD8" s="16"/>
      <c r="OCE8" s="16"/>
      <c r="OCF8" s="16"/>
      <c r="OCG8" s="16"/>
      <c r="OCH8" s="16"/>
      <c r="OCI8" s="16"/>
      <c r="OCJ8" s="16"/>
      <c r="OCK8" s="16"/>
      <c r="OCL8" s="16"/>
      <c r="OCM8" s="16"/>
      <c r="OCN8" s="16"/>
      <c r="OCO8" s="16"/>
      <c r="OCP8" s="16"/>
      <c r="OCQ8" s="16"/>
      <c r="OCR8" s="16"/>
      <c r="OCS8" s="16"/>
      <c r="OCT8" s="16"/>
      <c r="OCU8" s="16"/>
      <c r="OCV8" s="16"/>
      <c r="OCW8" s="16"/>
      <c r="OCX8" s="16"/>
      <c r="OCY8" s="16"/>
      <c r="OCZ8" s="16"/>
      <c r="ODA8" s="16"/>
      <c r="ODB8" s="16"/>
      <c r="ODC8" s="16"/>
      <c r="ODD8" s="16"/>
      <c r="ODE8" s="16"/>
      <c r="ODF8" s="16"/>
      <c r="ODG8" s="16"/>
      <c r="ODH8" s="16"/>
      <c r="ODI8" s="16"/>
      <c r="ODJ8" s="16"/>
      <c r="ODK8" s="16"/>
      <c r="ODL8" s="16"/>
      <c r="ODM8" s="16"/>
      <c r="ODN8" s="16"/>
      <c r="ODO8" s="16"/>
      <c r="ODP8" s="16"/>
      <c r="ODQ8" s="16"/>
      <c r="ODR8" s="16"/>
      <c r="ODS8" s="16"/>
      <c r="ODT8" s="16"/>
      <c r="ODU8" s="16"/>
      <c r="ODV8" s="16"/>
      <c r="ODW8" s="16"/>
      <c r="ODX8" s="16"/>
      <c r="ODY8" s="16"/>
      <c r="ODZ8" s="16"/>
      <c r="OEA8" s="16"/>
      <c r="OEB8" s="16"/>
      <c r="OEC8" s="16"/>
      <c r="OED8" s="16"/>
      <c r="OEE8" s="16"/>
      <c r="OEF8" s="16"/>
      <c r="OEG8" s="16"/>
      <c r="OEH8" s="16"/>
      <c r="OEI8" s="16"/>
      <c r="OEJ8" s="16"/>
      <c r="OEK8" s="16"/>
      <c r="OEL8" s="16"/>
      <c r="OEM8" s="16"/>
      <c r="OEN8" s="16"/>
      <c r="OEO8" s="16"/>
      <c r="OEP8" s="16"/>
      <c r="OEQ8" s="16"/>
      <c r="OER8" s="16"/>
      <c r="OES8" s="16"/>
      <c r="OET8" s="16"/>
      <c r="OEU8" s="16"/>
      <c r="OEV8" s="16"/>
      <c r="OEW8" s="16"/>
      <c r="OEX8" s="16"/>
      <c r="OEY8" s="16"/>
      <c r="OEZ8" s="16"/>
      <c r="OFA8" s="16"/>
      <c r="OFB8" s="16"/>
      <c r="OFC8" s="16"/>
      <c r="OFD8" s="16"/>
      <c r="OFE8" s="16"/>
      <c r="OFF8" s="16"/>
      <c r="OFG8" s="16"/>
      <c r="OFH8" s="16"/>
      <c r="OFI8" s="16"/>
      <c r="OFJ8" s="16"/>
      <c r="OFK8" s="16"/>
      <c r="OFL8" s="16"/>
      <c r="OFM8" s="16"/>
      <c r="OFN8" s="16"/>
      <c r="OFO8" s="16"/>
      <c r="OFP8" s="16"/>
      <c r="OFQ8" s="16"/>
      <c r="OFR8" s="16"/>
      <c r="OFS8" s="16"/>
      <c r="OFT8" s="16"/>
      <c r="OFU8" s="16"/>
      <c r="OFV8" s="16"/>
      <c r="OFW8" s="16"/>
      <c r="OFX8" s="16"/>
      <c r="OFY8" s="16"/>
      <c r="OFZ8" s="16"/>
      <c r="OGA8" s="16"/>
      <c r="OGB8" s="16"/>
      <c r="OGC8" s="16"/>
      <c r="OGD8" s="16"/>
      <c r="OGE8" s="16"/>
      <c r="OGF8" s="16"/>
      <c r="OGG8" s="16"/>
      <c r="OGH8" s="16"/>
      <c r="OGI8" s="16"/>
      <c r="OGJ8" s="16"/>
      <c r="OGK8" s="16"/>
      <c r="OGL8" s="16"/>
      <c r="OGM8" s="16"/>
      <c r="OGN8" s="16"/>
      <c r="OGO8" s="16"/>
      <c r="OGP8" s="16"/>
      <c r="OGQ8" s="16"/>
      <c r="OGR8" s="16"/>
      <c r="OGS8" s="16"/>
      <c r="OGT8" s="16"/>
      <c r="OGU8" s="16"/>
      <c r="OGV8" s="16"/>
      <c r="OGW8" s="16"/>
      <c r="OGX8" s="16"/>
      <c r="OGY8" s="16"/>
      <c r="OGZ8" s="16"/>
      <c r="OHA8" s="16"/>
      <c r="OHB8" s="16"/>
      <c r="OHC8" s="16"/>
      <c r="OHD8" s="16"/>
      <c r="OHE8" s="16"/>
      <c r="OHF8" s="16"/>
      <c r="OHG8" s="16"/>
      <c r="OHH8" s="16"/>
      <c r="OHI8" s="16"/>
      <c r="OHJ8" s="16"/>
      <c r="OHK8" s="16"/>
      <c r="OHL8" s="16"/>
      <c r="OHM8" s="16"/>
      <c r="OHN8" s="16"/>
      <c r="OHO8" s="16"/>
      <c r="OHP8" s="16"/>
      <c r="OHQ8" s="16"/>
      <c r="OHR8" s="16"/>
      <c r="OHS8" s="16"/>
      <c r="OHT8" s="16"/>
      <c r="OHU8" s="16"/>
      <c r="OHV8" s="16"/>
      <c r="OHW8" s="16"/>
      <c r="OHX8" s="16"/>
      <c r="OHY8" s="16"/>
      <c r="OHZ8" s="16"/>
      <c r="OIA8" s="16"/>
      <c r="OIB8" s="16"/>
      <c r="OIC8" s="16"/>
      <c r="OID8" s="16"/>
      <c r="OIE8" s="16"/>
      <c r="OIF8" s="16"/>
      <c r="OIG8" s="16"/>
      <c r="OIH8" s="16"/>
      <c r="OII8" s="16"/>
      <c r="OIJ8" s="16"/>
      <c r="OIK8" s="16"/>
      <c r="OIL8" s="16"/>
      <c r="OIM8" s="16"/>
      <c r="OIN8" s="16"/>
      <c r="OIO8" s="16"/>
      <c r="OIP8" s="16"/>
      <c r="OIQ8" s="16"/>
      <c r="OIR8" s="16"/>
      <c r="OIS8" s="16"/>
      <c r="OIT8" s="16"/>
      <c r="OIU8" s="16"/>
      <c r="OIV8" s="16"/>
      <c r="OIW8" s="16"/>
      <c r="OIX8" s="16"/>
      <c r="OIY8" s="16"/>
      <c r="OIZ8" s="16"/>
      <c r="OJA8" s="16"/>
      <c r="OJB8" s="16"/>
      <c r="OJC8" s="16"/>
      <c r="OJD8" s="16"/>
      <c r="OJE8" s="16"/>
      <c r="OJF8" s="16"/>
      <c r="OJG8" s="16"/>
      <c r="OJH8" s="16"/>
      <c r="OJI8" s="16"/>
      <c r="OJJ8" s="16"/>
      <c r="OJK8" s="16"/>
      <c r="OJL8" s="16"/>
      <c r="OJM8" s="16"/>
      <c r="OJN8" s="16"/>
      <c r="OJO8" s="16"/>
      <c r="OJP8" s="16"/>
      <c r="OJQ8" s="16"/>
      <c r="OJR8" s="16"/>
      <c r="OJS8" s="16"/>
      <c r="OJT8" s="16"/>
      <c r="OJU8" s="16"/>
      <c r="OJV8" s="16"/>
      <c r="OJW8" s="16"/>
      <c r="OJX8" s="16"/>
      <c r="OJY8" s="16"/>
      <c r="OJZ8" s="16"/>
      <c r="OKA8" s="16"/>
      <c r="OKB8" s="16"/>
      <c r="OKC8" s="16"/>
      <c r="OKD8" s="16"/>
      <c r="OKE8" s="16"/>
      <c r="OKF8" s="16"/>
      <c r="OKG8" s="16"/>
      <c r="OKH8" s="16"/>
      <c r="OKI8" s="16"/>
      <c r="OKJ8" s="16"/>
      <c r="OKK8" s="16"/>
      <c r="OKL8" s="16"/>
      <c r="OKM8" s="16"/>
      <c r="OKN8" s="16"/>
      <c r="OKO8" s="16"/>
      <c r="OKP8" s="16"/>
      <c r="OKQ8" s="16"/>
      <c r="OKR8" s="16"/>
      <c r="OKS8" s="16"/>
      <c r="OKT8" s="16"/>
      <c r="OKU8" s="16"/>
      <c r="OKV8" s="16"/>
      <c r="OKW8" s="16"/>
      <c r="OKX8" s="16"/>
      <c r="OKY8" s="16"/>
      <c r="OKZ8" s="16"/>
      <c r="OLA8" s="16"/>
      <c r="OLB8" s="16"/>
      <c r="OLC8" s="16"/>
      <c r="OLD8" s="16"/>
      <c r="OLE8" s="16"/>
      <c r="OLF8" s="16"/>
      <c r="OLG8" s="16"/>
      <c r="OLH8" s="16"/>
      <c r="OLI8" s="16"/>
      <c r="OLJ8" s="16"/>
      <c r="OLK8" s="16"/>
      <c r="OLL8" s="16"/>
      <c r="OLM8" s="16"/>
      <c r="OLN8" s="16"/>
      <c r="OLO8" s="16"/>
      <c r="OLP8" s="16"/>
      <c r="OLQ8" s="16"/>
      <c r="OLR8" s="16"/>
      <c r="OLS8" s="16"/>
      <c r="OLT8" s="16"/>
      <c r="OLU8" s="16"/>
      <c r="OLV8" s="16"/>
      <c r="OLW8" s="16"/>
      <c r="OLX8" s="16"/>
      <c r="OLY8" s="16"/>
      <c r="OLZ8" s="16"/>
      <c r="OMA8" s="16"/>
      <c r="OMB8" s="16"/>
      <c r="OMC8" s="16"/>
      <c r="OMD8" s="16"/>
      <c r="OME8" s="16"/>
      <c r="OMF8" s="16"/>
      <c r="OMG8" s="16"/>
      <c r="OMH8" s="16"/>
      <c r="OMI8" s="16"/>
      <c r="OMJ8" s="16"/>
      <c r="OMK8" s="16"/>
      <c r="OML8" s="16"/>
      <c r="OMM8" s="16"/>
      <c r="OMN8" s="16"/>
      <c r="OMO8" s="16"/>
      <c r="OMP8" s="16"/>
      <c r="OMQ8" s="16"/>
      <c r="OMR8" s="16"/>
      <c r="OMS8" s="16"/>
      <c r="OMT8" s="16"/>
      <c r="OMU8" s="16"/>
      <c r="OMV8" s="16"/>
      <c r="OMW8" s="16"/>
      <c r="OMX8" s="16"/>
      <c r="OMY8" s="16"/>
      <c r="OMZ8" s="16"/>
      <c r="ONA8" s="16"/>
      <c r="ONB8" s="16"/>
      <c r="ONC8" s="16"/>
      <c r="OND8" s="16"/>
      <c r="ONE8" s="16"/>
      <c r="ONF8" s="16"/>
      <c r="ONG8" s="16"/>
      <c r="ONH8" s="16"/>
      <c r="ONI8" s="16"/>
      <c r="ONJ8" s="16"/>
      <c r="ONK8" s="16"/>
      <c r="ONL8" s="16"/>
      <c r="ONM8" s="16"/>
      <c r="ONN8" s="16"/>
      <c r="ONO8" s="16"/>
      <c r="ONP8" s="16"/>
      <c r="ONQ8" s="16"/>
      <c r="ONR8" s="16"/>
      <c r="ONS8" s="16"/>
      <c r="ONT8" s="16"/>
      <c r="ONU8" s="16"/>
      <c r="ONV8" s="16"/>
      <c r="ONW8" s="16"/>
      <c r="ONX8" s="16"/>
      <c r="ONY8" s="16"/>
      <c r="ONZ8" s="16"/>
      <c r="OOA8" s="16"/>
      <c r="OOB8" s="16"/>
      <c r="OOC8" s="16"/>
      <c r="OOD8" s="16"/>
      <c r="OOE8" s="16"/>
      <c r="OOF8" s="16"/>
      <c r="OOG8" s="16"/>
      <c r="OOH8" s="16"/>
      <c r="OOI8" s="16"/>
      <c r="OOJ8" s="16"/>
      <c r="OOK8" s="16"/>
      <c r="OOL8" s="16"/>
      <c r="OOM8" s="16"/>
      <c r="OON8" s="16"/>
      <c r="OOO8" s="16"/>
      <c r="OOP8" s="16"/>
      <c r="OOQ8" s="16"/>
      <c r="OOR8" s="16"/>
      <c r="OOS8" s="16"/>
      <c r="OOT8" s="16"/>
      <c r="OOU8" s="16"/>
      <c r="OOV8" s="16"/>
      <c r="OOW8" s="16"/>
      <c r="OOX8" s="16"/>
      <c r="OOY8" s="16"/>
      <c r="OOZ8" s="16"/>
      <c r="OPA8" s="16"/>
      <c r="OPB8" s="16"/>
      <c r="OPC8" s="16"/>
      <c r="OPD8" s="16"/>
      <c r="OPE8" s="16"/>
      <c r="OPF8" s="16"/>
      <c r="OPG8" s="16"/>
      <c r="OPH8" s="16"/>
      <c r="OPI8" s="16"/>
      <c r="OPJ8" s="16"/>
      <c r="OPK8" s="16"/>
      <c r="OPL8" s="16"/>
      <c r="OPM8" s="16"/>
      <c r="OPN8" s="16"/>
      <c r="OPO8" s="16"/>
      <c r="OPP8" s="16"/>
      <c r="OPQ8" s="16"/>
      <c r="OPR8" s="16"/>
      <c r="OPS8" s="16"/>
      <c r="OPT8" s="16"/>
      <c r="OPU8" s="16"/>
      <c r="OPV8" s="16"/>
      <c r="OPW8" s="16"/>
      <c r="OPX8" s="16"/>
      <c r="OPY8" s="16"/>
      <c r="OPZ8" s="16"/>
      <c r="OQA8" s="16"/>
      <c r="OQB8" s="16"/>
      <c r="OQC8" s="16"/>
      <c r="OQD8" s="16"/>
      <c r="OQE8" s="16"/>
      <c r="OQF8" s="16"/>
      <c r="OQG8" s="16"/>
      <c r="OQH8" s="16"/>
      <c r="OQI8" s="16"/>
      <c r="OQJ8" s="16"/>
      <c r="OQK8" s="16"/>
      <c r="OQL8" s="16"/>
      <c r="OQM8" s="16"/>
      <c r="OQN8" s="16"/>
      <c r="OQO8" s="16"/>
      <c r="OQP8" s="16"/>
      <c r="OQQ8" s="16"/>
      <c r="OQR8" s="16"/>
      <c r="OQS8" s="16"/>
      <c r="OQT8" s="16"/>
      <c r="OQU8" s="16"/>
      <c r="OQV8" s="16"/>
      <c r="OQW8" s="16"/>
      <c r="OQX8" s="16"/>
      <c r="OQY8" s="16"/>
      <c r="OQZ8" s="16"/>
      <c r="ORA8" s="16"/>
      <c r="ORB8" s="16"/>
      <c r="ORC8" s="16"/>
      <c r="ORD8" s="16"/>
      <c r="ORE8" s="16"/>
      <c r="ORF8" s="16"/>
      <c r="ORG8" s="16"/>
      <c r="ORH8" s="16"/>
      <c r="ORI8" s="16"/>
      <c r="ORJ8" s="16"/>
      <c r="ORK8" s="16"/>
      <c r="ORL8" s="16"/>
      <c r="ORM8" s="16"/>
      <c r="ORN8" s="16"/>
      <c r="ORO8" s="16"/>
      <c r="ORP8" s="16"/>
      <c r="ORQ8" s="16"/>
      <c r="ORR8" s="16"/>
      <c r="ORS8" s="16"/>
      <c r="ORT8" s="16"/>
      <c r="ORU8" s="16"/>
      <c r="ORV8" s="16"/>
      <c r="ORW8" s="16"/>
      <c r="ORX8" s="16"/>
      <c r="ORY8" s="16"/>
      <c r="ORZ8" s="16"/>
      <c r="OSA8" s="16"/>
      <c r="OSB8" s="16"/>
      <c r="OSC8" s="16"/>
      <c r="OSD8" s="16"/>
      <c r="OSE8" s="16"/>
      <c r="OSF8" s="16"/>
      <c r="OSG8" s="16"/>
      <c r="OSH8" s="16"/>
      <c r="OSI8" s="16"/>
      <c r="OSJ8" s="16"/>
      <c r="OSK8" s="16"/>
      <c r="OSL8" s="16"/>
      <c r="OSM8" s="16"/>
      <c r="OSN8" s="16"/>
      <c r="OSO8" s="16"/>
      <c r="OSP8" s="16"/>
      <c r="OSQ8" s="16"/>
      <c r="OSR8" s="16"/>
      <c r="OSS8" s="16"/>
      <c r="OST8" s="16"/>
      <c r="OSU8" s="16"/>
      <c r="OSV8" s="16"/>
      <c r="OSW8" s="16"/>
      <c r="OSX8" s="16"/>
      <c r="OSY8" s="16"/>
      <c r="OSZ8" s="16"/>
      <c r="OTA8" s="16"/>
      <c r="OTB8" s="16"/>
      <c r="OTC8" s="16"/>
      <c r="OTD8" s="16"/>
      <c r="OTE8" s="16"/>
      <c r="OTF8" s="16"/>
      <c r="OTG8" s="16"/>
      <c r="OTH8" s="16"/>
      <c r="OTI8" s="16"/>
      <c r="OTJ8" s="16"/>
      <c r="OTK8" s="16"/>
      <c r="OTL8" s="16"/>
      <c r="OTM8" s="16"/>
      <c r="OTN8" s="16"/>
      <c r="OTO8" s="16"/>
      <c r="OTP8" s="16"/>
      <c r="OTQ8" s="16"/>
      <c r="OTR8" s="16"/>
      <c r="OTS8" s="16"/>
      <c r="OTT8" s="16"/>
      <c r="OTU8" s="16"/>
      <c r="OTV8" s="16"/>
      <c r="OTW8" s="16"/>
      <c r="OTX8" s="16"/>
      <c r="OTY8" s="16"/>
      <c r="OTZ8" s="16"/>
      <c r="OUA8" s="16"/>
      <c r="OUB8" s="16"/>
      <c r="OUC8" s="16"/>
      <c r="OUD8" s="16"/>
      <c r="OUE8" s="16"/>
      <c r="OUF8" s="16"/>
      <c r="OUG8" s="16"/>
      <c r="OUH8" s="16"/>
      <c r="OUI8" s="16"/>
      <c r="OUJ8" s="16"/>
      <c r="OUK8" s="16"/>
      <c r="OUL8" s="16"/>
      <c r="OUM8" s="16"/>
      <c r="OUN8" s="16"/>
      <c r="OUO8" s="16"/>
      <c r="OUP8" s="16"/>
      <c r="OUQ8" s="16"/>
      <c r="OUR8" s="16"/>
      <c r="OUS8" s="16"/>
      <c r="OUT8" s="16"/>
      <c r="OUU8" s="16"/>
      <c r="OUV8" s="16"/>
      <c r="OUW8" s="16"/>
      <c r="OUX8" s="16"/>
      <c r="OUY8" s="16"/>
      <c r="OUZ8" s="16"/>
      <c r="OVA8" s="16"/>
      <c r="OVB8" s="16"/>
      <c r="OVC8" s="16"/>
      <c r="OVD8" s="16"/>
      <c r="OVE8" s="16"/>
      <c r="OVF8" s="16"/>
      <c r="OVG8" s="16"/>
      <c r="OVH8" s="16"/>
      <c r="OVI8" s="16"/>
      <c r="OVJ8" s="16"/>
      <c r="OVK8" s="16"/>
      <c r="OVL8" s="16"/>
      <c r="OVM8" s="16"/>
      <c r="OVN8" s="16"/>
      <c r="OVO8" s="16"/>
      <c r="OVP8" s="16"/>
      <c r="OVQ8" s="16"/>
      <c r="OVR8" s="16"/>
      <c r="OVS8" s="16"/>
      <c r="OVT8" s="16"/>
      <c r="OVU8" s="16"/>
      <c r="OVV8" s="16"/>
      <c r="OVW8" s="16"/>
      <c r="OVX8" s="16"/>
      <c r="OVY8" s="16"/>
      <c r="OVZ8" s="16"/>
      <c r="OWA8" s="16"/>
      <c r="OWB8" s="16"/>
      <c r="OWC8" s="16"/>
      <c r="OWD8" s="16"/>
      <c r="OWE8" s="16"/>
      <c r="OWF8" s="16"/>
      <c r="OWG8" s="16"/>
      <c r="OWH8" s="16"/>
      <c r="OWI8" s="16"/>
      <c r="OWJ8" s="16"/>
      <c r="OWK8" s="16"/>
      <c r="OWL8" s="16"/>
      <c r="OWM8" s="16"/>
      <c r="OWN8" s="16"/>
      <c r="OWO8" s="16"/>
      <c r="OWP8" s="16"/>
      <c r="OWQ8" s="16"/>
      <c r="OWR8" s="16"/>
      <c r="OWS8" s="16"/>
      <c r="OWT8" s="16"/>
      <c r="OWU8" s="16"/>
      <c r="OWV8" s="16"/>
      <c r="OWW8" s="16"/>
      <c r="OWX8" s="16"/>
      <c r="OWY8" s="16"/>
      <c r="OWZ8" s="16"/>
      <c r="OXA8" s="16"/>
      <c r="OXB8" s="16"/>
      <c r="OXC8" s="16"/>
      <c r="OXD8" s="16"/>
      <c r="OXE8" s="16"/>
      <c r="OXF8" s="16"/>
      <c r="OXG8" s="16"/>
      <c r="OXH8" s="16"/>
      <c r="OXI8" s="16"/>
      <c r="OXJ8" s="16"/>
      <c r="OXK8" s="16"/>
      <c r="OXL8" s="16"/>
      <c r="OXM8" s="16"/>
      <c r="OXN8" s="16"/>
      <c r="OXO8" s="16"/>
      <c r="OXP8" s="16"/>
      <c r="OXQ8" s="16"/>
      <c r="OXR8" s="16"/>
      <c r="OXS8" s="16"/>
      <c r="OXT8" s="16"/>
      <c r="OXU8" s="16"/>
      <c r="OXV8" s="16"/>
      <c r="OXW8" s="16"/>
      <c r="OXX8" s="16"/>
      <c r="OXY8" s="16"/>
      <c r="OXZ8" s="16"/>
      <c r="OYA8" s="16"/>
      <c r="OYB8" s="16"/>
      <c r="OYC8" s="16"/>
      <c r="OYD8" s="16"/>
      <c r="OYE8" s="16"/>
      <c r="OYF8" s="16"/>
      <c r="OYG8" s="16"/>
      <c r="OYH8" s="16"/>
      <c r="OYI8" s="16"/>
      <c r="OYJ8" s="16"/>
      <c r="OYK8" s="16"/>
      <c r="OYL8" s="16"/>
      <c r="OYM8" s="16"/>
      <c r="OYN8" s="16"/>
      <c r="OYO8" s="16"/>
      <c r="OYP8" s="16"/>
      <c r="OYQ8" s="16"/>
      <c r="OYR8" s="16"/>
      <c r="OYS8" s="16"/>
      <c r="OYT8" s="16"/>
      <c r="OYU8" s="16"/>
      <c r="OYV8" s="16"/>
      <c r="OYW8" s="16"/>
      <c r="OYX8" s="16"/>
      <c r="OYY8" s="16"/>
      <c r="OYZ8" s="16"/>
      <c r="OZA8" s="16"/>
      <c r="OZB8" s="16"/>
      <c r="OZC8" s="16"/>
      <c r="OZD8" s="16"/>
      <c r="OZE8" s="16"/>
      <c r="OZF8" s="16"/>
      <c r="OZG8" s="16"/>
      <c r="OZH8" s="16"/>
      <c r="OZI8" s="16"/>
      <c r="OZJ8" s="16"/>
      <c r="OZK8" s="16"/>
      <c r="OZL8" s="16"/>
      <c r="OZM8" s="16"/>
      <c r="OZN8" s="16"/>
      <c r="OZO8" s="16"/>
      <c r="OZP8" s="16"/>
      <c r="OZQ8" s="16"/>
      <c r="OZR8" s="16"/>
      <c r="OZS8" s="16"/>
      <c r="OZT8" s="16"/>
      <c r="OZU8" s="16"/>
      <c r="OZV8" s="16"/>
      <c r="OZW8" s="16"/>
      <c r="OZX8" s="16"/>
      <c r="OZY8" s="16"/>
      <c r="OZZ8" s="16"/>
      <c r="PAA8" s="16"/>
      <c r="PAB8" s="16"/>
      <c r="PAC8" s="16"/>
      <c r="PAD8" s="16"/>
      <c r="PAE8" s="16"/>
      <c r="PAF8" s="16"/>
      <c r="PAG8" s="16"/>
      <c r="PAH8" s="16"/>
      <c r="PAI8" s="16"/>
      <c r="PAJ8" s="16"/>
      <c r="PAK8" s="16"/>
      <c r="PAL8" s="16"/>
      <c r="PAM8" s="16"/>
      <c r="PAN8" s="16"/>
      <c r="PAO8" s="16"/>
      <c r="PAP8" s="16"/>
      <c r="PAQ8" s="16"/>
      <c r="PAR8" s="16"/>
      <c r="PAS8" s="16"/>
      <c r="PAT8" s="16"/>
      <c r="PAU8" s="16"/>
      <c r="PAV8" s="16"/>
      <c r="PAW8" s="16"/>
      <c r="PAX8" s="16"/>
      <c r="PAY8" s="16"/>
      <c r="PAZ8" s="16"/>
      <c r="PBA8" s="16"/>
      <c r="PBB8" s="16"/>
      <c r="PBC8" s="16"/>
      <c r="PBD8" s="16"/>
      <c r="PBE8" s="16"/>
      <c r="PBF8" s="16"/>
      <c r="PBG8" s="16"/>
      <c r="PBH8" s="16"/>
      <c r="PBI8" s="16"/>
      <c r="PBJ8" s="16"/>
      <c r="PBK8" s="16"/>
      <c r="PBL8" s="16"/>
      <c r="PBM8" s="16"/>
      <c r="PBN8" s="16"/>
      <c r="PBO8" s="16"/>
      <c r="PBP8" s="16"/>
      <c r="PBQ8" s="16"/>
      <c r="PBR8" s="16"/>
      <c r="PBS8" s="16"/>
      <c r="PBT8" s="16"/>
      <c r="PBU8" s="16"/>
      <c r="PBV8" s="16"/>
      <c r="PBW8" s="16"/>
      <c r="PBX8" s="16"/>
      <c r="PBY8" s="16"/>
      <c r="PBZ8" s="16"/>
      <c r="PCA8" s="16"/>
      <c r="PCB8" s="16"/>
      <c r="PCC8" s="16"/>
      <c r="PCD8" s="16"/>
      <c r="PCE8" s="16"/>
      <c r="PCF8" s="16"/>
      <c r="PCG8" s="16"/>
      <c r="PCH8" s="16"/>
      <c r="PCI8" s="16"/>
      <c r="PCJ8" s="16"/>
      <c r="PCK8" s="16"/>
      <c r="PCL8" s="16"/>
      <c r="PCM8" s="16"/>
      <c r="PCN8" s="16"/>
      <c r="PCO8" s="16"/>
      <c r="PCP8" s="16"/>
      <c r="PCQ8" s="16"/>
      <c r="PCR8" s="16"/>
      <c r="PCS8" s="16"/>
      <c r="PCT8" s="16"/>
      <c r="PCU8" s="16"/>
      <c r="PCV8" s="16"/>
      <c r="PCW8" s="16"/>
      <c r="PCX8" s="16"/>
      <c r="PCY8" s="16"/>
      <c r="PCZ8" s="16"/>
      <c r="PDA8" s="16"/>
      <c r="PDB8" s="16"/>
      <c r="PDC8" s="16"/>
      <c r="PDD8" s="16"/>
      <c r="PDE8" s="16"/>
      <c r="PDF8" s="16"/>
      <c r="PDG8" s="16"/>
      <c r="PDH8" s="16"/>
      <c r="PDI8" s="16"/>
      <c r="PDJ8" s="16"/>
      <c r="PDK8" s="16"/>
      <c r="PDL8" s="16"/>
      <c r="PDM8" s="16"/>
      <c r="PDN8" s="16"/>
      <c r="PDO8" s="16"/>
      <c r="PDP8" s="16"/>
      <c r="PDQ8" s="16"/>
      <c r="PDR8" s="16"/>
      <c r="PDS8" s="16"/>
      <c r="PDT8" s="16"/>
      <c r="PDU8" s="16"/>
      <c r="PDV8" s="16"/>
      <c r="PDW8" s="16"/>
      <c r="PDX8" s="16"/>
      <c r="PDY8" s="16"/>
      <c r="PDZ8" s="16"/>
      <c r="PEA8" s="16"/>
      <c r="PEB8" s="16"/>
      <c r="PEC8" s="16"/>
      <c r="PED8" s="16"/>
      <c r="PEE8" s="16"/>
      <c r="PEF8" s="16"/>
      <c r="PEG8" s="16"/>
      <c r="PEH8" s="16"/>
      <c r="PEI8" s="16"/>
      <c r="PEJ8" s="16"/>
      <c r="PEK8" s="16"/>
      <c r="PEL8" s="16"/>
      <c r="PEM8" s="16"/>
      <c r="PEN8" s="16"/>
      <c r="PEO8" s="16"/>
      <c r="PEP8" s="16"/>
      <c r="PEQ8" s="16"/>
      <c r="PER8" s="16"/>
      <c r="PES8" s="16"/>
      <c r="PET8" s="16"/>
      <c r="PEU8" s="16"/>
      <c r="PEV8" s="16"/>
      <c r="PEW8" s="16"/>
      <c r="PEX8" s="16"/>
      <c r="PEY8" s="16"/>
      <c r="PEZ8" s="16"/>
      <c r="PFA8" s="16"/>
      <c r="PFB8" s="16"/>
      <c r="PFC8" s="16"/>
      <c r="PFD8" s="16"/>
      <c r="PFE8" s="16"/>
      <c r="PFF8" s="16"/>
      <c r="PFG8" s="16"/>
      <c r="PFH8" s="16"/>
      <c r="PFI8" s="16"/>
      <c r="PFJ8" s="16"/>
      <c r="PFK8" s="16"/>
      <c r="PFL8" s="16"/>
      <c r="PFM8" s="16"/>
      <c r="PFN8" s="16"/>
      <c r="PFO8" s="16"/>
      <c r="PFP8" s="16"/>
      <c r="PFQ8" s="16"/>
      <c r="PFR8" s="16"/>
      <c r="PFS8" s="16"/>
      <c r="PFT8" s="16"/>
      <c r="PFU8" s="16"/>
      <c r="PFV8" s="16"/>
      <c r="PFW8" s="16"/>
      <c r="PFX8" s="16"/>
      <c r="PFY8" s="16"/>
      <c r="PFZ8" s="16"/>
      <c r="PGA8" s="16"/>
      <c r="PGB8" s="16"/>
      <c r="PGC8" s="16"/>
      <c r="PGD8" s="16"/>
      <c r="PGE8" s="16"/>
      <c r="PGF8" s="16"/>
      <c r="PGG8" s="16"/>
      <c r="PGH8" s="16"/>
      <c r="PGI8" s="16"/>
      <c r="PGJ8" s="16"/>
      <c r="PGK8" s="16"/>
      <c r="PGL8" s="16"/>
      <c r="PGM8" s="16"/>
      <c r="PGN8" s="16"/>
      <c r="PGO8" s="16"/>
      <c r="PGP8" s="16"/>
      <c r="PGQ8" s="16"/>
      <c r="PGR8" s="16"/>
      <c r="PGS8" s="16"/>
      <c r="PGT8" s="16"/>
      <c r="PGU8" s="16"/>
      <c r="PGV8" s="16"/>
      <c r="PGW8" s="16"/>
      <c r="PGX8" s="16"/>
      <c r="PGY8" s="16"/>
      <c r="PGZ8" s="16"/>
      <c r="PHA8" s="16"/>
      <c r="PHB8" s="16"/>
      <c r="PHC8" s="16"/>
      <c r="PHD8" s="16"/>
      <c r="PHE8" s="16"/>
      <c r="PHF8" s="16"/>
      <c r="PHG8" s="16"/>
      <c r="PHH8" s="16"/>
      <c r="PHI8" s="16"/>
      <c r="PHJ8" s="16"/>
      <c r="PHK8" s="16"/>
      <c r="PHL8" s="16"/>
      <c r="PHM8" s="16"/>
      <c r="PHN8" s="16"/>
      <c r="PHO8" s="16"/>
      <c r="PHP8" s="16"/>
      <c r="PHQ8" s="16"/>
      <c r="PHR8" s="16"/>
      <c r="PHS8" s="16"/>
      <c r="PHT8" s="16"/>
      <c r="PHU8" s="16"/>
      <c r="PHV8" s="16"/>
      <c r="PHW8" s="16"/>
      <c r="PHX8" s="16"/>
      <c r="PHY8" s="16"/>
      <c r="PHZ8" s="16"/>
      <c r="PIA8" s="16"/>
      <c r="PIB8" s="16"/>
      <c r="PIC8" s="16"/>
      <c r="PID8" s="16"/>
      <c r="PIE8" s="16"/>
      <c r="PIF8" s="16"/>
      <c r="PIG8" s="16"/>
      <c r="PIH8" s="16"/>
      <c r="PII8" s="16"/>
      <c r="PIJ8" s="16"/>
      <c r="PIK8" s="16"/>
      <c r="PIL8" s="16"/>
      <c r="PIM8" s="16"/>
      <c r="PIN8" s="16"/>
      <c r="PIO8" s="16"/>
      <c r="PIP8" s="16"/>
      <c r="PIQ8" s="16"/>
      <c r="PIR8" s="16"/>
      <c r="PIS8" s="16"/>
      <c r="PIT8" s="16"/>
      <c r="PIU8" s="16"/>
      <c r="PIV8" s="16"/>
      <c r="PIW8" s="16"/>
      <c r="PIX8" s="16"/>
      <c r="PIY8" s="16"/>
      <c r="PIZ8" s="16"/>
      <c r="PJA8" s="16"/>
      <c r="PJB8" s="16"/>
      <c r="PJC8" s="16"/>
      <c r="PJD8" s="16"/>
      <c r="PJE8" s="16"/>
      <c r="PJF8" s="16"/>
      <c r="PJG8" s="16"/>
      <c r="PJH8" s="16"/>
      <c r="PJI8" s="16"/>
      <c r="PJJ8" s="16"/>
      <c r="PJK8" s="16"/>
      <c r="PJL8" s="16"/>
      <c r="PJM8" s="16"/>
      <c r="PJN8" s="16"/>
      <c r="PJO8" s="16"/>
      <c r="PJP8" s="16"/>
      <c r="PJQ8" s="16"/>
      <c r="PJR8" s="16"/>
      <c r="PJS8" s="16"/>
      <c r="PJT8" s="16"/>
      <c r="PJU8" s="16"/>
      <c r="PJV8" s="16"/>
      <c r="PJW8" s="16"/>
      <c r="PJX8" s="16"/>
      <c r="PJY8" s="16"/>
      <c r="PJZ8" s="16"/>
      <c r="PKA8" s="16"/>
      <c r="PKB8" s="16"/>
      <c r="PKC8" s="16"/>
      <c r="PKD8" s="16"/>
      <c r="PKE8" s="16"/>
      <c r="PKF8" s="16"/>
      <c r="PKG8" s="16"/>
      <c r="PKH8" s="16"/>
      <c r="PKI8" s="16"/>
      <c r="PKJ8" s="16"/>
      <c r="PKK8" s="16"/>
      <c r="PKL8" s="16"/>
      <c r="PKM8" s="16"/>
      <c r="PKN8" s="16"/>
      <c r="PKO8" s="16"/>
      <c r="PKP8" s="16"/>
      <c r="PKQ8" s="16"/>
      <c r="PKR8" s="16"/>
      <c r="PKS8" s="16"/>
      <c r="PKT8" s="16"/>
      <c r="PKU8" s="16"/>
      <c r="PKV8" s="16"/>
      <c r="PKW8" s="16"/>
      <c r="PKX8" s="16"/>
      <c r="PKY8" s="16"/>
      <c r="PKZ8" s="16"/>
      <c r="PLA8" s="16"/>
      <c r="PLB8" s="16"/>
      <c r="PLC8" s="16"/>
      <c r="PLD8" s="16"/>
      <c r="PLE8" s="16"/>
      <c r="PLF8" s="16"/>
      <c r="PLG8" s="16"/>
      <c r="PLH8" s="16"/>
      <c r="PLI8" s="16"/>
      <c r="PLJ8" s="16"/>
      <c r="PLK8" s="16"/>
      <c r="PLL8" s="16"/>
      <c r="PLM8" s="16"/>
      <c r="PLN8" s="16"/>
      <c r="PLO8" s="16"/>
      <c r="PLP8" s="16"/>
      <c r="PLQ8" s="16"/>
      <c r="PLR8" s="16"/>
      <c r="PLS8" s="16"/>
      <c r="PLT8" s="16"/>
      <c r="PLU8" s="16"/>
      <c r="PLV8" s="16"/>
      <c r="PLW8" s="16"/>
      <c r="PLX8" s="16"/>
      <c r="PLY8" s="16"/>
      <c r="PLZ8" s="16"/>
      <c r="PMA8" s="16"/>
      <c r="PMB8" s="16"/>
      <c r="PMC8" s="16"/>
      <c r="PMD8" s="16"/>
      <c r="PME8" s="16"/>
      <c r="PMF8" s="16"/>
      <c r="PMG8" s="16"/>
      <c r="PMH8" s="16"/>
      <c r="PMI8" s="16"/>
      <c r="PMJ8" s="16"/>
      <c r="PMK8" s="16"/>
      <c r="PML8" s="16"/>
      <c r="PMM8" s="16"/>
      <c r="PMN8" s="16"/>
      <c r="PMO8" s="16"/>
      <c r="PMP8" s="16"/>
      <c r="PMQ8" s="16"/>
      <c r="PMR8" s="16"/>
      <c r="PMS8" s="16"/>
      <c r="PMT8" s="16"/>
      <c r="PMU8" s="16"/>
      <c r="PMV8" s="16"/>
      <c r="PMW8" s="16"/>
      <c r="PMX8" s="16"/>
      <c r="PMY8" s="16"/>
      <c r="PMZ8" s="16"/>
      <c r="PNA8" s="16"/>
      <c r="PNB8" s="16"/>
      <c r="PNC8" s="16"/>
      <c r="PND8" s="16"/>
      <c r="PNE8" s="16"/>
      <c r="PNF8" s="16"/>
      <c r="PNG8" s="16"/>
      <c r="PNH8" s="16"/>
      <c r="PNI8" s="16"/>
      <c r="PNJ8" s="16"/>
      <c r="PNK8" s="16"/>
      <c r="PNL8" s="16"/>
      <c r="PNM8" s="16"/>
      <c r="PNN8" s="16"/>
      <c r="PNO8" s="16"/>
      <c r="PNP8" s="16"/>
      <c r="PNQ8" s="16"/>
      <c r="PNR8" s="16"/>
      <c r="PNS8" s="16"/>
      <c r="PNT8" s="16"/>
      <c r="PNU8" s="16"/>
      <c r="PNV8" s="16"/>
      <c r="PNW8" s="16"/>
      <c r="PNX8" s="16"/>
      <c r="PNY8" s="16"/>
      <c r="PNZ8" s="16"/>
      <c r="POA8" s="16"/>
      <c r="POB8" s="16"/>
      <c r="POC8" s="16"/>
      <c r="POD8" s="16"/>
      <c r="POE8" s="16"/>
      <c r="POF8" s="16"/>
      <c r="POG8" s="16"/>
      <c r="POH8" s="16"/>
      <c r="POI8" s="16"/>
      <c r="POJ8" s="16"/>
      <c r="POK8" s="16"/>
      <c r="POL8" s="16"/>
      <c r="POM8" s="16"/>
      <c r="PON8" s="16"/>
      <c r="POO8" s="16"/>
      <c r="POP8" s="16"/>
      <c r="POQ8" s="16"/>
      <c r="POR8" s="16"/>
      <c r="POS8" s="16"/>
      <c r="POT8" s="16"/>
      <c r="POU8" s="16"/>
      <c r="POV8" s="16"/>
      <c r="POW8" s="16"/>
      <c r="POX8" s="16"/>
      <c r="POY8" s="16"/>
      <c r="POZ8" s="16"/>
      <c r="PPA8" s="16"/>
      <c r="PPB8" s="16"/>
      <c r="PPC8" s="16"/>
      <c r="PPD8" s="16"/>
      <c r="PPE8" s="16"/>
      <c r="PPF8" s="16"/>
      <c r="PPG8" s="16"/>
      <c r="PPH8" s="16"/>
      <c r="PPI8" s="16"/>
      <c r="PPJ8" s="16"/>
      <c r="PPK8" s="16"/>
      <c r="PPL8" s="16"/>
      <c r="PPM8" s="16"/>
      <c r="PPN8" s="16"/>
      <c r="PPO8" s="16"/>
      <c r="PPP8" s="16"/>
      <c r="PPQ8" s="16"/>
      <c r="PPR8" s="16"/>
      <c r="PPS8" s="16"/>
      <c r="PPT8" s="16"/>
      <c r="PPU8" s="16"/>
      <c r="PPV8" s="16"/>
      <c r="PPW8" s="16"/>
      <c r="PPX8" s="16"/>
      <c r="PPY8" s="16"/>
      <c r="PPZ8" s="16"/>
      <c r="PQA8" s="16"/>
      <c r="PQB8" s="16"/>
      <c r="PQC8" s="16"/>
      <c r="PQD8" s="16"/>
      <c r="PQE8" s="16"/>
      <c r="PQF8" s="16"/>
      <c r="PQG8" s="16"/>
      <c r="PQH8" s="16"/>
      <c r="PQI8" s="16"/>
      <c r="PQJ8" s="16"/>
      <c r="PQK8" s="16"/>
      <c r="PQL8" s="16"/>
      <c r="PQM8" s="16"/>
      <c r="PQN8" s="16"/>
      <c r="PQO8" s="16"/>
      <c r="PQP8" s="16"/>
      <c r="PQQ8" s="16"/>
      <c r="PQR8" s="16"/>
      <c r="PQS8" s="16"/>
      <c r="PQT8" s="16"/>
      <c r="PQU8" s="16"/>
      <c r="PQV8" s="16"/>
      <c r="PQW8" s="16"/>
      <c r="PQX8" s="16"/>
      <c r="PQY8" s="16"/>
      <c r="PQZ8" s="16"/>
      <c r="PRA8" s="16"/>
      <c r="PRB8" s="16"/>
      <c r="PRC8" s="16"/>
      <c r="PRD8" s="16"/>
      <c r="PRE8" s="16"/>
      <c r="PRF8" s="16"/>
      <c r="PRG8" s="16"/>
      <c r="PRH8" s="16"/>
      <c r="PRI8" s="16"/>
      <c r="PRJ8" s="16"/>
      <c r="PRK8" s="16"/>
      <c r="PRL8" s="16"/>
      <c r="PRM8" s="16"/>
      <c r="PRN8" s="16"/>
      <c r="PRO8" s="16"/>
      <c r="PRP8" s="16"/>
      <c r="PRQ8" s="16"/>
      <c r="PRR8" s="16"/>
      <c r="PRS8" s="16"/>
      <c r="PRT8" s="16"/>
      <c r="PRU8" s="16"/>
      <c r="PRV8" s="16"/>
      <c r="PRW8" s="16"/>
      <c r="PRX8" s="16"/>
      <c r="PRY8" s="16"/>
      <c r="PRZ8" s="16"/>
      <c r="PSA8" s="16"/>
      <c r="PSB8" s="16"/>
      <c r="PSC8" s="16"/>
      <c r="PSD8" s="16"/>
      <c r="PSE8" s="16"/>
      <c r="PSF8" s="16"/>
      <c r="PSG8" s="16"/>
      <c r="PSH8" s="16"/>
      <c r="PSI8" s="16"/>
      <c r="PSJ8" s="16"/>
      <c r="PSK8" s="16"/>
      <c r="PSL8" s="16"/>
      <c r="PSM8" s="16"/>
      <c r="PSN8" s="16"/>
      <c r="PSO8" s="16"/>
      <c r="PSP8" s="16"/>
      <c r="PSQ8" s="16"/>
      <c r="PSR8" s="16"/>
      <c r="PSS8" s="16"/>
      <c r="PST8" s="16"/>
      <c r="PSU8" s="16"/>
      <c r="PSV8" s="16"/>
      <c r="PSW8" s="16"/>
      <c r="PSX8" s="16"/>
      <c r="PSY8" s="16"/>
      <c r="PSZ8" s="16"/>
      <c r="PTA8" s="16"/>
      <c r="PTB8" s="16"/>
      <c r="PTC8" s="16"/>
      <c r="PTD8" s="16"/>
      <c r="PTE8" s="16"/>
      <c r="PTF8" s="16"/>
      <c r="PTG8" s="16"/>
      <c r="PTH8" s="16"/>
      <c r="PTI8" s="16"/>
      <c r="PTJ8" s="16"/>
      <c r="PTK8" s="16"/>
      <c r="PTL8" s="16"/>
      <c r="PTM8" s="16"/>
      <c r="PTN8" s="16"/>
      <c r="PTO8" s="16"/>
      <c r="PTP8" s="16"/>
      <c r="PTQ8" s="16"/>
      <c r="PTR8" s="16"/>
      <c r="PTS8" s="16"/>
      <c r="PTT8" s="16"/>
      <c r="PTU8" s="16"/>
      <c r="PTV8" s="16"/>
      <c r="PTW8" s="16"/>
      <c r="PTX8" s="16"/>
      <c r="PTY8" s="16"/>
      <c r="PTZ8" s="16"/>
      <c r="PUA8" s="16"/>
      <c r="PUB8" s="16"/>
      <c r="PUC8" s="16"/>
      <c r="PUD8" s="16"/>
      <c r="PUE8" s="16"/>
      <c r="PUF8" s="16"/>
      <c r="PUG8" s="16"/>
      <c r="PUH8" s="16"/>
      <c r="PUI8" s="16"/>
      <c r="PUJ8" s="16"/>
      <c r="PUK8" s="16"/>
      <c r="PUL8" s="16"/>
      <c r="PUM8" s="16"/>
      <c r="PUN8" s="16"/>
      <c r="PUO8" s="16"/>
      <c r="PUP8" s="16"/>
      <c r="PUQ8" s="16"/>
      <c r="PUR8" s="16"/>
      <c r="PUS8" s="16"/>
      <c r="PUT8" s="16"/>
      <c r="PUU8" s="16"/>
      <c r="PUV8" s="16"/>
      <c r="PUW8" s="16"/>
      <c r="PUX8" s="16"/>
      <c r="PUY8" s="16"/>
      <c r="PUZ8" s="16"/>
      <c r="PVA8" s="16"/>
      <c r="PVB8" s="16"/>
      <c r="PVC8" s="16"/>
      <c r="PVD8" s="16"/>
      <c r="PVE8" s="16"/>
      <c r="PVF8" s="16"/>
      <c r="PVG8" s="16"/>
      <c r="PVH8" s="16"/>
      <c r="PVI8" s="16"/>
      <c r="PVJ8" s="16"/>
      <c r="PVK8" s="16"/>
      <c r="PVL8" s="16"/>
      <c r="PVM8" s="16"/>
      <c r="PVN8" s="16"/>
      <c r="PVO8" s="16"/>
      <c r="PVP8" s="16"/>
      <c r="PVQ8" s="16"/>
      <c r="PVR8" s="16"/>
      <c r="PVS8" s="16"/>
      <c r="PVT8" s="16"/>
      <c r="PVU8" s="16"/>
      <c r="PVV8" s="16"/>
      <c r="PVW8" s="16"/>
      <c r="PVX8" s="16"/>
      <c r="PVY8" s="16"/>
      <c r="PVZ8" s="16"/>
      <c r="PWA8" s="16"/>
      <c r="PWB8" s="16"/>
      <c r="PWC8" s="16"/>
      <c r="PWD8" s="16"/>
      <c r="PWE8" s="16"/>
      <c r="PWF8" s="16"/>
      <c r="PWG8" s="16"/>
      <c r="PWH8" s="16"/>
      <c r="PWI8" s="16"/>
      <c r="PWJ8" s="16"/>
      <c r="PWK8" s="16"/>
      <c r="PWL8" s="16"/>
      <c r="PWM8" s="16"/>
      <c r="PWN8" s="16"/>
      <c r="PWO8" s="16"/>
      <c r="PWP8" s="16"/>
      <c r="PWQ8" s="16"/>
      <c r="PWR8" s="16"/>
      <c r="PWS8" s="16"/>
      <c r="PWT8" s="16"/>
      <c r="PWU8" s="16"/>
      <c r="PWV8" s="16"/>
      <c r="PWW8" s="16"/>
      <c r="PWX8" s="16"/>
      <c r="PWY8" s="16"/>
      <c r="PWZ8" s="16"/>
      <c r="PXA8" s="16"/>
      <c r="PXB8" s="16"/>
      <c r="PXC8" s="16"/>
      <c r="PXD8" s="16"/>
      <c r="PXE8" s="16"/>
      <c r="PXF8" s="16"/>
      <c r="PXG8" s="16"/>
      <c r="PXH8" s="16"/>
      <c r="PXI8" s="16"/>
      <c r="PXJ8" s="16"/>
      <c r="PXK8" s="16"/>
      <c r="PXL8" s="16"/>
      <c r="PXM8" s="16"/>
      <c r="PXN8" s="16"/>
      <c r="PXO8" s="16"/>
      <c r="PXP8" s="16"/>
      <c r="PXQ8" s="16"/>
      <c r="PXR8" s="16"/>
      <c r="PXS8" s="16"/>
      <c r="PXT8" s="16"/>
      <c r="PXU8" s="16"/>
      <c r="PXV8" s="16"/>
      <c r="PXW8" s="16"/>
      <c r="PXX8" s="16"/>
      <c r="PXY8" s="16"/>
      <c r="PXZ8" s="16"/>
      <c r="PYA8" s="16"/>
      <c r="PYB8" s="16"/>
      <c r="PYC8" s="16"/>
      <c r="PYD8" s="16"/>
      <c r="PYE8" s="16"/>
      <c r="PYF8" s="16"/>
      <c r="PYG8" s="16"/>
      <c r="PYH8" s="16"/>
      <c r="PYI8" s="16"/>
      <c r="PYJ8" s="16"/>
      <c r="PYK8" s="16"/>
      <c r="PYL8" s="16"/>
      <c r="PYM8" s="16"/>
      <c r="PYN8" s="16"/>
      <c r="PYO8" s="16"/>
      <c r="PYP8" s="16"/>
      <c r="PYQ8" s="16"/>
      <c r="PYR8" s="16"/>
      <c r="PYS8" s="16"/>
      <c r="PYT8" s="16"/>
      <c r="PYU8" s="16"/>
      <c r="PYV8" s="16"/>
      <c r="PYW8" s="16"/>
      <c r="PYX8" s="16"/>
      <c r="PYY8" s="16"/>
      <c r="PYZ8" s="16"/>
      <c r="PZA8" s="16"/>
      <c r="PZB8" s="16"/>
      <c r="PZC8" s="16"/>
      <c r="PZD8" s="16"/>
      <c r="PZE8" s="16"/>
      <c r="PZF8" s="16"/>
      <c r="PZG8" s="16"/>
      <c r="PZH8" s="16"/>
      <c r="PZI8" s="16"/>
      <c r="PZJ8" s="16"/>
      <c r="PZK8" s="16"/>
      <c r="PZL8" s="16"/>
      <c r="PZM8" s="16"/>
      <c r="PZN8" s="16"/>
      <c r="PZO8" s="16"/>
      <c r="PZP8" s="16"/>
      <c r="PZQ8" s="16"/>
      <c r="PZR8" s="16"/>
      <c r="PZS8" s="16"/>
      <c r="PZT8" s="16"/>
      <c r="PZU8" s="16"/>
      <c r="PZV8" s="16"/>
      <c r="PZW8" s="16"/>
      <c r="PZX8" s="16"/>
      <c r="PZY8" s="16"/>
      <c r="PZZ8" s="16"/>
      <c r="QAA8" s="16"/>
      <c r="QAB8" s="16"/>
      <c r="QAC8" s="16"/>
      <c r="QAD8" s="16"/>
      <c r="QAE8" s="16"/>
      <c r="QAF8" s="16"/>
      <c r="QAG8" s="16"/>
      <c r="QAH8" s="16"/>
      <c r="QAI8" s="16"/>
      <c r="QAJ8" s="16"/>
      <c r="QAK8" s="16"/>
      <c r="QAL8" s="16"/>
      <c r="QAM8" s="16"/>
      <c r="QAN8" s="16"/>
      <c r="QAO8" s="16"/>
      <c r="QAP8" s="16"/>
      <c r="QAQ8" s="16"/>
      <c r="QAR8" s="16"/>
      <c r="QAS8" s="16"/>
      <c r="QAT8" s="16"/>
      <c r="QAU8" s="16"/>
      <c r="QAV8" s="16"/>
      <c r="QAW8" s="16"/>
      <c r="QAX8" s="16"/>
      <c r="QAY8" s="16"/>
      <c r="QAZ8" s="16"/>
      <c r="QBA8" s="16"/>
      <c r="QBB8" s="16"/>
      <c r="QBC8" s="16"/>
      <c r="QBD8" s="16"/>
      <c r="QBE8" s="16"/>
      <c r="QBF8" s="16"/>
      <c r="QBG8" s="16"/>
      <c r="QBH8" s="16"/>
      <c r="QBI8" s="16"/>
      <c r="QBJ8" s="16"/>
      <c r="QBK8" s="16"/>
      <c r="QBL8" s="16"/>
      <c r="QBM8" s="16"/>
      <c r="QBN8" s="16"/>
      <c r="QBO8" s="16"/>
      <c r="QBP8" s="16"/>
      <c r="QBQ8" s="16"/>
      <c r="QBR8" s="16"/>
      <c r="QBS8" s="16"/>
      <c r="QBT8" s="16"/>
      <c r="QBU8" s="16"/>
      <c r="QBV8" s="16"/>
      <c r="QBW8" s="16"/>
      <c r="QBX8" s="16"/>
      <c r="QBY8" s="16"/>
      <c r="QBZ8" s="16"/>
      <c r="QCA8" s="16"/>
      <c r="QCB8" s="16"/>
      <c r="QCC8" s="16"/>
      <c r="QCD8" s="16"/>
      <c r="QCE8" s="16"/>
      <c r="QCF8" s="16"/>
      <c r="QCG8" s="16"/>
      <c r="QCH8" s="16"/>
      <c r="QCI8" s="16"/>
      <c r="QCJ8" s="16"/>
      <c r="QCK8" s="16"/>
      <c r="QCL8" s="16"/>
      <c r="QCM8" s="16"/>
      <c r="QCN8" s="16"/>
      <c r="QCO8" s="16"/>
      <c r="QCP8" s="16"/>
      <c r="QCQ8" s="16"/>
      <c r="QCR8" s="16"/>
      <c r="QCS8" s="16"/>
      <c r="QCT8" s="16"/>
      <c r="QCU8" s="16"/>
      <c r="QCV8" s="16"/>
      <c r="QCW8" s="16"/>
      <c r="QCX8" s="16"/>
      <c r="QCY8" s="16"/>
      <c r="QCZ8" s="16"/>
      <c r="QDA8" s="16"/>
      <c r="QDB8" s="16"/>
      <c r="QDC8" s="16"/>
      <c r="QDD8" s="16"/>
      <c r="QDE8" s="16"/>
      <c r="QDF8" s="16"/>
      <c r="QDG8" s="16"/>
      <c r="QDH8" s="16"/>
      <c r="QDI8" s="16"/>
      <c r="QDJ8" s="16"/>
      <c r="QDK8" s="16"/>
      <c r="QDL8" s="16"/>
      <c r="QDM8" s="16"/>
      <c r="QDN8" s="16"/>
      <c r="QDO8" s="16"/>
      <c r="QDP8" s="16"/>
      <c r="QDQ8" s="16"/>
      <c r="QDR8" s="16"/>
      <c r="QDS8" s="16"/>
      <c r="QDT8" s="16"/>
      <c r="QDU8" s="16"/>
      <c r="QDV8" s="16"/>
      <c r="QDW8" s="16"/>
      <c r="QDX8" s="16"/>
      <c r="QDY8" s="16"/>
      <c r="QDZ8" s="16"/>
      <c r="QEA8" s="16"/>
      <c r="QEB8" s="16"/>
      <c r="QEC8" s="16"/>
      <c r="QED8" s="16"/>
      <c r="QEE8" s="16"/>
      <c r="QEF8" s="16"/>
      <c r="QEG8" s="16"/>
      <c r="QEH8" s="16"/>
      <c r="QEI8" s="16"/>
      <c r="QEJ8" s="16"/>
      <c r="QEK8" s="16"/>
      <c r="QEL8" s="16"/>
      <c r="QEM8" s="16"/>
      <c r="QEN8" s="16"/>
      <c r="QEO8" s="16"/>
      <c r="QEP8" s="16"/>
      <c r="QEQ8" s="16"/>
      <c r="QER8" s="16"/>
      <c r="QES8" s="16"/>
      <c r="QET8" s="16"/>
      <c r="QEU8" s="16"/>
      <c r="QEV8" s="16"/>
      <c r="QEW8" s="16"/>
      <c r="QEX8" s="16"/>
      <c r="QEY8" s="16"/>
      <c r="QEZ8" s="16"/>
      <c r="QFA8" s="16"/>
      <c r="QFB8" s="16"/>
      <c r="QFC8" s="16"/>
      <c r="QFD8" s="16"/>
      <c r="QFE8" s="16"/>
      <c r="QFF8" s="16"/>
      <c r="QFG8" s="16"/>
      <c r="QFH8" s="16"/>
      <c r="QFI8" s="16"/>
      <c r="QFJ8" s="16"/>
      <c r="QFK8" s="16"/>
      <c r="QFL8" s="16"/>
      <c r="QFM8" s="16"/>
      <c r="QFN8" s="16"/>
      <c r="QFO8" s="16"/>
      <c r="QFP8" s="16"/>
      <c r="QFQ8" s="16"/>
      <c r="QFR8" s="16"/>
      <c r="QFS8" s="16"/>
      <c r="QFT8" s="16"/>
      <c r="QFU8" s="16"/>
      <c r="QFV8" s="16"/>
      <c r="QFW8" s="16"/>
      <c r="QFX8" s="16"/>
      <c r="QFY8" s="16"/>
      <c r="QFZ8" s="16"/>
      <c r="QGA8" s="16"/>
      <c r="QGB8" s="16"/>
      <c r="QGC8" s="16"/>
      <c r="QGD8" s="16"/>
      <c r="QGE8" s="16"/>
      <c r="QGF8" s="16"/>
      <c r="QGG8" s="16"/>
      <c r="QGH8" s="16"/>
      <c r="QGI8" s="16"/>
      <c r="QGJ8" s="16"/>
      <c r="QGK8" s="16"/>
      <c r="QGL8" s="16"/>
      <c r="QGM8" s="16"/>
      <c r="QGN8" s="16"/>
      <c r="QGO8" s="16"/>
      <c r="QGP8" s="16"/>
      <c r="QGQ8" s="16"/>
      <c r="QGR8" s="16"/>
      <c r="QGS8" s="16"/>
      <c r="QGT8" s="16"/>
      <c r="QGU8" s="16"/>
      <c r="QGV8" s="16"/>
      <c r="QGW8" s="16"/>
      <c r="QGX8" s="16"/>
      <c r="QGY8" s="16"/>
      <c r="QGZ8" s="16"/>
      <c r="QHA8" s="16"/>
      <c r="QHB8" s="16"/>
      <c r="QHC8" s="16"/>
      <c r="QHD8" s="16"/>
      <c r="QHE8" s="16"/>
      <c r="QHF8" s="16"/>
      <c r="QHG8" s="16"/>
      <c r="QHH8" s="16"/>
      <c r="QHI8" s="16"/>
      <c r="QHJ8" s="16"/>
      <c r="QHK8" s="16"/>
      <c r="QHL8" s="16"/>
      <c r="QHM8" s="16"/>
      <c r="QHN8" s="16"/>
      <c r="QHO8" s="16"/>
      <c r="QHP8" s="16"/>
      <c r="QHQ8" s="16"/>
      <c r="QHR8" s="16"/>
      <c r="QHS8" s="16"/>
      <c r="QHT8" s="16"/>
      <c r="QHU8" s="16"/>
      <c r="QHV8" s="16"/>
      <c r="QHW8" s="16"/>
      <c r="QHX8" s="16"/>
      <c r="QHY8" s="16"/>
      <c r="QHZ8" s="16"/>
      <c r="QIA8" s="16"/>
      <c r="QIB8" s="16"/>
      <c r="QIC8" s="16"/>
      <c r="QID8" s="16"/>
      <c r="QIE8" s="16"/>
      <c r="QIF8" s="16"/>
      <c r="QIG8" s="16"/>
      <c r="QIH8" s="16"/>
      <c r="QII8" s="16"/>
      <c r="QIJ8" s="16"/>
      <c r="QIK8" s="16"/>
      <c r="QIL8" s="16"/>
      <c r="QIM8" s="16"/>
      <c r="QIN8" s="16"/>
      <c r="QIO8" s="16"/>
      <c r="QIP8" s="16"/>
      <c r="QIQ8" s="16"/>
      <c r="QIR8" s="16"/>
      <c r="QIS8" s="16"/>
      <c r="QIT8" s="16"/>
      <c r="QIU8" s="16"/>
      <c r="QIV8" s="16"/>
      <c r="QIW8" s="16"/>
      <c r="QIX8" s="16"/>
      <c r="QIY8" s="16"/>
      <c r="QIZ8" s="16"/>
      <c r="QJA8" s="16"/>
      <c r="QJB8" s="16"/>
      <c r="QJC8" s="16"/>
      <c r="QJD8" s="16"/>
      <c r="QJE8" s="16"/>
      <c r="QJF8" s="16"/>
      <c r="QJG8" s="16"/>
      <c r="QJH8" s="16"/>
      <c r="QJI8" s="16"/>
      <c r="QJJ8" s="16"/>
      <c r="QJK8" s="16"/>
      <c r="QJL8" s="16"/>
      <c r="QJM8" s="16"/>
      <c r="QJN8" s="16"/>
      <c r="QJO8" s="16"/>
      <c r="QJP8" s="16"/>
      <c r="QJQ8" s="16"/>
      <c r="QJR8" s="16"/>
      <c r="QJS8" s="16"/>
      <c r="QJT8" s="16"/>
      <c r="QJU8" s="16"/>
      <c r="QJV8" s="16"/>
      <c r="QJW8" s="16"/>
      <c r="QJX8" s="16"/>
      <c r="QJY8" s="16"/>
      <c r="QJZ8" s="16"/>
      <c r="QKA8" s="16"/>
      <c r="QKB8" s="16"/>
      <c r="QKC8" s="16"/>
      <c r="QKD8" s="16"/>
      <c r="QKE8" s="16"/>
      <c r="QKF8" s="16"/>
      <c r="QKG8" s="16"/>
      <c r="QKH8" s="16"/>
      <c r="QKI8" s="16"/>
      <c r="QKJ8" s="16"/>
      <c r="QKK8" s="16"/>
      <c r="QKL8" s="16"/>
      <c r="QKM8" s="16"/>
      <c r="QKN8" s="16"/>
      <c r="QKO8" s="16"/>
      <c r="QKP8" s="16"/>
      <c r="QKQ8" s="16"/>
      <c r="QKR8" s="16"/>
      <c r="QKS8" s="16"/>
      <c r="QKT8" s="16"/>
      <c r="QKU8" s="16"/>
      <c r="QKV8" s="16"/>
      <c r="QKW8" s="16"/>
      <c r="QKX8" s="16"/>
      <c r="QKY8" s="16"/>
      <c r="QKZ8" s="16"/>
      <c r="QLA8" s="16"/>
      <c r="QLB8" s="16"/>
      <c r="QLC8" s="16"/>
      <c r="QLD8" s="16"/>
      <c r="QLE8" s="16"/>
      <c r="QLF8" s="16"/>
      <c r="QLG8" s="16"/>
      <c r="QLH8" s="16"/>
      <c r="QLI8" s="16"/>
      <c r="QLJ8" s="16"/>
      <c r="QLK8" s="16"/>
      <c r="QLL8" s="16"/>
      <c r="QLM8" s="16"/>
      <c r="QLN8" s="16"/>
      <c r="QLO8" s="16"/>
      <c r="QLP8" s="16"/>
      <c r="QLQ8" s="16"/>
      <c r="QLR8" s="16"/>
      <c r="QLS8" s="16"/>
      <c r="QLT8" s="16"/>
      <c r="QLU8" s="16"/>
      <c r="QLV8" s="16"/>
      <c r="QLW8" s="16"/>
      <c r="QLX8" s="16"/>
      <c r="QLY8" s="16"/>
      <c r="QLZ8" s="16"/>
      <c r="QMA8" s="16"/>
      <c r="QMB8" s="16"/>
      <c r="QMC8" s="16"/>
      <c r="QMD8" s="16"/>
      <c r="QME8" s="16"/>
      <c r="QMF8" s="16"/>
      <c r="QMG8" s="16"/>
      <c r="QMH8" s="16"/>
      <c r="QMI8" s="16"/>
      <c r="QMJ8" s="16"/>
      <c r="QMK8" s="16"/>
      <c r="QML8" s="16"/>
      <c r="QMM8" s="16"/>
      <c r="QMN8" s="16"/>
      <c r="QMO8" s="16"/>
      <c r="QMP8" s="16"/>
      <c r="QMQ8" s="16"/>
      <c r="QMR8" s="16"/>
      <c r="QMS8" s="16"/>
      <c r="QMT8" s="16"/>
      <c r="QMU8" s="16"/>
      <c r="QMV8" s="16"/>
      <c r="QMW8" s="16"/>
      <c r="QMX8" s="16"/>
      <c r="QMY8" s="16"/>
      <c r="QMZ8" s="16"/>
      <c r="QNA8" s="16"/>
      <c r="QNB8" s="16"/>
      <c r="QNC8" s="16"/>
      <c r="QND8" s="16"/>
      <c r="QNE8" s="16"/>
      <c r="QNF8" s="16"/>
      <c r="QNG8" s="16"/>
      <c r="QNH8" s="16"/>
      <c r="QNI8" s="16"/>
      <c r="QNJ8" s="16"/>
      <c r="QNK8" s="16"/>
      <c r="QNL8" s="16"/>
      <c r="QNM8" s="16"/>
      <c r="QNN8" s="16"/>
      <c r="QNO8" s="16"/>
      <c r="QNP8" s="16"/>
      <c r="QNQ8" s="16"/>
      <c r="QNR8" s="16"/>
      <c r="QNS8" s="16"/>
      <c r="QNT8" s="16"/>
      <c r="QNU8" s="16"/>
      <c r="QNV8" s="16"/>
      <c r="QNW8" s="16"/>
      <c r="QNX8" s="16"/>
      <c r="QNY8" s="16"/>
      <c r="QNZ8" s="16"/>
      <c r="QOA8" s="16"/>
      <c r="QOB8" s="16"/>
      <c r="QOC8" s="16"/>
      <c r="QOD8" s="16"/>
      <c r="QOE8" s="16"/>
      <c r="QOF8" s="16"/>
      <c r="QOG8" s="16"/>
      <c r="QOH8" s="16"/>
      <c r="QOI8" s="16"/>
      <c r="QOJ8" s="16"/>
      <c r="QOK8" s="16"/>
      <c r="QOL8" s="16"/>
      <c r="QOM8" s="16"/>
      <c r="QON8" s="16"/>
      <c r="QOO8" s="16"/>
      <c r="QOP8" s="16"/>
      <c r="QOQ8" s="16"/>
      <c r="QOR8" s="16"/>
      <c r="QOS8" s="16"/>
      <c r="QOT8" s="16"/>
      <c r="QOU8" s="16"/>
      <c r="QOV8" s="16"/>
      <c r="QOW8" s="16"/>
      <c r="QOX8" s="16"/>
      <c r="QOY8" s="16"/>
      <c r="QOZ8" s="16"/>
      <c r="QPA8" s="16"/>
      <c r="QPB8" s="16"/>
      <c r="QPC8" s="16"/>
      <c r="QPD8" s="16"/>
      <c r="QPE8" s="16"/>
      <c r="QPF8" s="16"/>
      <c r="QPG8" s="16"/>
      <c r="QPH8" s="16"/>
      <c r="QPI8" s="16"/>
      <c r="QPJ8" s="16"/>
      <c r="QPK8" s="16"/>
      <c r="QPL8" s="16"/>
      <c r="QPM8" s="16"/>
      <c r="QPN8" s="16"/>
      <c r="QPO8" s="16"/>
      <c r="QPP8" s="16"/>
      <c r="QPQ8" s="16"/>
      <c r="QPR8" s="16"/>
      <c r="QPS8" s="16"/>
      <c r="QPT8" s="16"/>
      <c r="QPU8" s="16"/>
      <c r="QPV8" s="16"/>
      <c r="QPW8" s="16"/>
      <c r="QPX8" s="16"/>
      <c r="QPY8" s="16"/>
      <c r="QPZ8" s="16"/>
      <c r="QQA8" s="16"/>
      <c r="QQB8" s="16"/>
      <c r="QQC8" s="16"/>
      <c r="QQD8" s="16"/>
      <c r="QQE8" s="16"/>
      <c r="QQF8" s="16"/>
      <c r="QQG8" s="16"/>
      <c r="QQH8" s="16"/>
      <c r="QQI8" s="16"/>
      <c r="QQJ8" s="16"/>
      <c r="QQK8" s="16"/>
      <c r="QQL8" s="16"/>
      <c r="QQM8" s="16"/>
      <c r="QQN8" s="16"/>
      <c r="QQO8" s="16"/>
      <c r="QQP8" s="16"/>
      <c r="QQQ8" s="16"/>
      <c r="QQR8" s="16"/>
      <c r="QQS8" s="16"/>
      <c r="QQT8" s="16"/>
      <c r="QQU8" s="16"/>
      <c r="QQV8" s="16"/>
      <c r="QQW8" s="16"/>
      <c r="QQX8" s="16"/>
      <c r="QQY8" s="16"/>
      <c r="QQZ8" s="16"/>
      <c r="QRA8" s="16"/>
      <c r="QRB8" s="16"/>
      <c r="QRC8" s="16"/>
      <c r="QRD8" s="16"/>
      <c r="QRE8" s="16"/>
      <c r="QRF8" s="16"/>
      <c r="QRG8" s="16"/>
      <c r="QRH8" s="16"/>
      <c r="QRI8" s="16"/>
      <c r="QRJ8" s="16"/>
      <c r="QRK8" s="16"/>
      <c r="QRL8" s="16"/>
      <c r="QRM8" s="16"/>
      <c r="QRN8" s="16"/>
      <c r="QRO8" s="16"/>
      <c r="QRP8" s="16"/>
      <c r="QRQ8" s="16"/>
      <c r="QRR8" s="16"/>
      <c r="QRS8" s="16"/>
      <c r="QRT8" s="16"/>
      <c r="QRU8" s="16"/>
      <c r="QRV8" s="16"/>
      <c r="QRW8" s="16"/>
      <c r="QRX8" s="16"/>
      <c r="QRY8" s="16"/>
      <c r="QRZ8" s="16"/>
      <c r="QSA8" s="16"/>
      <c r="QSB8" s="16"/>
      <c r="QSC8" s="16"/>
      <c r="QSD8" s="16"/>
      <c r="QSE8" s="16"/>
      <c r="QSF8" s="16"/>
      <c r="QSG8" s="16"/>
      <c r="QSH8" s="16"/>
      <c r="QSI8" s="16"/>
      <c r="QSJ8" s="16"/>
      <c r="QSK8" s="16"/>
      <c r="QSL8" s="16"/>
      <c r="QSM8" s="16"/>
      <c r="QSN8" s="16"/>
      <c r="QSO8" s="16"/>
      <c r="QSP8" s="16"/>
      <c r="QSQ8" s="16"/>
      <c r="QSR8" s="16"/>
      <c r="QSS8" s="16"/>
      <c r="QST8" s="16"/>
      <c r="QSU8" s="16"/>
      <c r="QSV8" s="16"/>
      <c r="QSW8" s="16"/>
      <c r="QSX8" s="16"/>
      <c r="QSY8" s="16"/>
      <c r="QSZ8" s="16"/>
      <c r="QTA8" s="16"/>
      <c r="QTB8" s="16"/>
      <c r="QTC8" s="16"/>
      <c r="QTD8" s="16"/>
      <c r="QTE8" s="16"/>
      <c r="QTF8" s="16"/>
      <c r="QTG8" s="16"/>
      <c r="QTH8" s="16"/>
      <c r="QTI8" s="16"/>
      <c r="QTJ8" s="16"/>
      <c r="QTK8" s="16"/>
      <c r="QTL8" s="16"/>
      <c r="QTM8" s="16"/>
      <c r="QTN8" s="16"/>
      <c r="QTO8" s="16"/>
      <c r="QTP8" s="16"/>
      <c r="QTQ8" s="16"/>
      <c r="QTR8" s="16"/>
      <c r="QTS8" s="16"/>
      <c r="QTT8" s="16"/>
      <c r="QTU8" s="16"/>
      <c r="QTV8" s="16"/>
      <c r="QTW8" s="16"/>
      <c r="QTX8" s="16"/>
      <c r="QTY8" s="16"/>
      <c r="QTZ8" s="16"/>
      <c r="QUA8" s="16"/>
      <c r="QUB8" s="16"/>
      <c r="QUC8" s="16"/>
      <c r="QUD8" s="16"/>
      <c r="QUE8" s="16"/>
      <c r="QUF8" s="16"/>
      <c r="QUG8" s="16"/>
      <c r="QUH8" s="16"/>
      <c r="QUI8" s="16"/>
      <c r="QUJ8" s="16"/>
      <c r="QUK8" s="16"/>
      <c r="QUL8" s="16"/>
      <c r="QUM8" s="16"/>
      <c r="QUN8" s="16"/>
      <c r="QUO8" s="16"/>
      <c r="QUP8" s="16"/>
      <c r="QUQ8" s="16"/>
      <c r="QUR8" s="16"/>
      <c r="QUS8" s="16"/>
      <c r="QUT8" s="16"/>
      <c r="QUU8" s="16"/>
      <c r="QUV8" s="16"/>
      <c r="QUW8" s="16"/>
      <c r="QUX8" s="16"/>
      <c r="QUY8" s="16"/>
      <c r="QUZ8" s="16"/>
      <c r="QVA8" s="16"/>
      <c r="QVB8" s="16"/>
      <c r="QVC8" s="16"/>
      <c r="QVD8" s="16"/>
      <c r="QVE8" s="16"/>
      <c r="QVF8" s="16"/>
      <c r="QVG8" s="16"/>
      <c r="QVH8" s="16"/>
      <c r="QVI8" s="16"/>
      <c r="QVJ8" s="16"/>
      <c r="QVK8" s="16"/>
      <c r="QVL8" s="16"/>
      <c r="QVM8" s="16"/>
      <c r="QVN8" s="16"/>
      <c r="QVO8" s="16"/>
      <c r="QVP8" s="16"/>
      <c r="QVQ8" s="16"/>
      <c r="QVR8" s="16"/>
      <c r="QVS8" s="16"/>
      <c r="QVT8" s="16"/>
      <c r="QVU8" s="16"/>
      <c r="QVV8" s="16"/>
      <c r="QVW8" s="16"/>
      <c r="QVX8" s="16"/>
      <c r="QVY8" s="16"/>
      <c r="QVZ8" s="16"/>
      <c r="QWA8" s="16"/>
      <c r="QWB8" s="16"/>
      <c r="QWC8" s="16"/>
      <c r="QWD8" s="16"/>
      <c r="QWE8" s="16"/>
      <c r="QWF8" s="16"/>
      <c r="QWG8" s="16"/>
      <c r="QWH8" s="16"/>
      <c r="QWI8" s="16"/>
      <c r="QWJ8" s="16"/>
      <c r="QWK8" s="16"/>
      <c r="QWL8" s="16"/>
      <c r="QWM8" s="16"/>
      <c r="QWN8" s="16"/>
      <c r="QWO8" s="16"/>
      <c r="QWP8" s="16"/>
      <c r="QWQ8" s="16"/>
      <c r="QWR8" s="16"/>
      <c r="QWS8" s="16"/>
      <c r="QWT8" s="16"/>
      <c r="QWU8" s="16"/>
      <c r="QWV8" s="16"/>
      <c r="QWW8" s="16"/>
      <c r="QWX8" s="16"/>
      <c r="QWY8" s="16"/>
      <c r="QWZ8" s="16"/>
      <c r="QXA8" s="16"/>
      <c r="QXB8" s="16"/>
      <c r="QXC8" s="16"/>
      <c r="QXD8" s="16"/>
      <c r="QXE8" s="16"/>
      <c r="QXF8" s="16"/>
      <c r="QXG8" s="16"/>
      <c r="QXH8" s="16"/>
      <c r="QXI8" s="16"/>
      <c r="QXJ8" s="16"/>
      <c r="QXK8" s="16"/>
      <c r="QXL8" s="16"/>
      <c r="QXM8" s="16"/>
      <c r="QXN8" s="16"/>
      <c r="QXO8" s="16"/>
      <c r="QXP8" s="16"/>
      <c r="QXQ8" s="16"/>
      <c r="QXR8" s="16"/>
      <c r="QXS8" s="16"/>
      <c r="QXT8" s="16"/>
      <c r="QXU8" s="16"/>
      <c r="QXV8" s="16"/>
      <c r="QXW8" s="16"/>
      <c r="QXX8" s="16"/>
      <c r="QXY8" s="16"/>
      <c r="QXZ8" s="16"/>
      <c r="QYA8" s="16"/>
      <c r="QYB8" s="16"/>
      <c r="QYC8" s="16"/>
      <c r="QYD8" s="16"/>
      <c r="QYE8" s="16"/>
      <c r="QYF8" s="16"/>
      <c r="QYG8" s="16"/>
      <c r="QYH8" s="16"/>
      <c r="QYI8" s="16"/>
      <c r="QYJ8" s="16"/>
      <c r="QYK8" s="16"/>
      <c r="QYL8" s="16"/>
      <c r="QYM8" s="16"/>
      <c r="QYN8" s="16"/>
      <c r="QYO8" s="16"/>
      <c r="QYP8" s="16"/>
      <c r="QYQ8" s="16"/>
      <c r="QYR8" s="16"/>
      <c r="QYS8" s="16"/>
      <c r="QYT8" s="16"/>
      <c r="QYU8" s="16"/>
      <c r="QYV8" s="16"/>
      <c r="QYW8" s="16"/>
      <c r="QYX8" s="16"/>
      <c r="QYY8" s="16"/>
      <c r="QYZ8" s="16"/>
      <c r="QZA8" s="16"/>
      <c r="QZB8" s="16"/>
      <c r="QZC8" s="16"/>
      <c r="QZD8" s="16"/>
      <c r="QZE8" s="16"/>
      <c r="QZF8" s="16"/>
      <c r="QZG8" s="16"/>
      <c r="QZH8" s="16"/>
      <c r="QZI8" s="16"/>
      <c r="QZJ8" s="16"/>
      <c r="QZK8" s="16"/>
      <c r="QZL8" s="16"/>
      <c r="QZM8" s="16"/>
      <c r="QZN8" s="16"/>
      <c r="QZO8" s="16"/>
      <c r="QZP8" s="16"/>
      <c r="QZQ8" s="16"/>
      <c r="QZR8" s="16"/>
      <c r="QZS8" s="16"/>
      <c r="QZT8" s="16"/>
      <c r="QZU8" s="16"/>
      <c r="QZV8" s="16"/>
      <c r="QZW8" s="16"/>
      <c r="QZX8" s="16"/>
      <c r="QZY8" s="16"/>
      <c r="QZZ8" s="16"/>
      <c r="RAA8" s="16"/>
      <c r="RAB8" s="16"/>
      <c r="RAC8" s="16"/>
      <c r="RAD8" s="16"/>
      <c r="RAE8" s="16"/>
      <c r="RAF8" s="16"/>
      <c r="RAG8" s="16"/>
      <c r="RAH8" s="16"/>
      <c r="RAI8" s="16"/>
      <c r="RAJ8" s="16"/>
      <c r="RAK8" s="16"/>
      <c r="RAL8" s="16"/>
      <c r="RAM8" s="16"/>
      <c r="RAN8" s="16"/>
      <c r="RAO8" s="16"/>
      <c r="RAP8" s="16"/>
      <c r="RAQ8" s="16"/>
      <c r="RAR8" s="16"/>
      <c r="RAS8" s="16"/>
      <c r="RAT8" s="16"/>
      <c r="RAU8" s="16"/>
      <c r="RAV8" s="16"/>
      <c r="RAW8" s="16"/>
      <c r="RAX8" s="16"/>
      <c r="RAY8" s="16"/>
      <c r="RAZ8" s="16"/>
      <c r="RBA8" s="16"/>
      <c r="RBB8" s="16"/>
      <c r="RBC8" s="16"/>
      <c r="RBD8" s="16"/>
      <c r="RBE8" s="16"/>
      <c r="RBF8" s="16"/>
      <c r="RBG8" s="16"/>
      <c r="RBH8" s="16"/>
      <c r="RBI8" s="16"/>
      <c r="RBJ8" s="16"/>
      <c r="RBK8" s="16"/>
      <c r="RBL8" s="16"/>
      <c r="RBM8" s="16"/>
      <c r="RBN8" s="16"/>
      <c r="RBO8" s="16"/>
      <c r="RBP8" s="16"/>
      <c r="RBQ8" s="16"/>
      <c r="RBR8" s="16"/>
      <c r="RBS8" s="16"/>
      <c r="RBT8" s="16"/>
      <c r="RBU8" s="16"/>
      <c r="RBV8" s="16"/>
      <c r="RBW8" s="16"/>
      <c r="RBX8" s="16"/>
      <c r="RBY8" s="16"/>
      <c r="RBZ8" s="16"/>
      <c r="RCA8" s="16"/>
      <c r="RCB8" s="16"/>
      <c r="RCC8" s="16"/>
      <c r="RCD8" s="16"/>
      <c r="RCE8" s="16"/>
      <c r="RCF8" s="16"/>
      <c r="RCG8" s="16"/>
      <c r="RCH8" s="16"/>
      <c r="RCI8" s="16"/>
      <c r="RCJ8" s="16"/>
      <c r="RCK8" s="16"/>
      <c r="RCL8" s="16"/>
      <c r="RCM8" s="16"/>
      <c r="RCN8" s="16"/>
      <c r="RCO8" s="16"/>
      <c r="RCP8" s="16"/>
      <c r="RCQ8" s="16"/>
      <c r="RCR8" s="16"/>
      <c r="RCS8" s="16"/>
      <c r="RCT8" s="16"/>
      <c r="RCU8" s="16"/>
      <c r="RCV8" s="16"/>
      <c r="RCW8" s="16"/>
      <c r="RCX8" s="16"/>
      <c r="RCY8" s="16"/>
      <c r="RCZ8" s="16"/>
      <c r="RDA8" s="16"/>
      <c r="RDB8" s="16"/>
      <c r="RDC8" s="16"/>
      <c r="RDD8" s="16"/>
      <c r="RDE8" s="16"/>
      <c r="RDF8" s="16"/>
      <c r="RDG8" s="16"/>
      <c r="RDH8" s="16"/>
      <c r="RDI8" s="16"/>
      <c r="RDJ8" s="16"/>
      <c r="RDK8" s="16"/>
      <c r="RDL8" s="16"/>
      <c r="RDM8" s="16"/>
      <c r="RDN8" s="16"/>
      <c r="RDO8" s="16"/>
      <c r="RDP8" s="16"/>
      <c r="RDQ8" s="16"/>
      <c r="RDR8" s="16"/>
      <c r="RDS8" s="16"/>
      <c r="RDT8" s="16"/>
      <c r="RDU8" s="16"/>
      <c r="RDV8" s="16"/>
      <c r="RDW8" s="16"/>
      <c r="RDX8" s="16"/>
      <c r="RDY8" s="16"/>
      <c r="RDZ8" s="16"/>
      <c r="REA8" s="16"/>
      <c r="REB8" s="16"/>
      <c r="REC8" s="16"/>
      <c r="RED8" s="16"/>
      <c r="REE8" s="16"/>
      <c r="REF8" s="16"/>
      <c r="REG8" s="16"/>
      <c r="REH8" s="16"/>
      <c r="REI8" s="16"/>
      <c r="REJ8" s="16"/>
      <c r="REK8" s="16"/>
      <c r="REL8" s="16"/>
      <c r="REM8" s="16"/>
      <c r="REN8" s="16"/>
      <c r="REO8" s="16"/>
      <c r="REP8" s="16"/>
      <c r="REQ8" s="16"/>
      <c r="RER8" s="16"/>
      <c r="RES8" s="16"/>
      <c r="RET8" s="16"/>
      <c r="REU8" s="16"/>
      <c r="REV8" s="16"/>
      <c r="REW8" s="16"/>
      <c r="REX8" s="16"/>
      <c r="REY8" s="16"/>
      <c r="REZ8" s="16"/>
      <c r="RFA8" s="16"/>
      <c r="RFB8" s="16"/>
      <c r="RFC8" s="16"/>
      <c r="RFD8" s="16"/>
      <c r="RFE8" s="16"/>
      <c r="RFF8" s="16"/>
      <c r="RFG8" s="16"/>
      <c r="RFH8" s="16"/>
      <c r="RFI8" s="16"/>
      <c r="RFJ8" s="16"/>
      <c r="RFK8" s="16"/>
      <c r="RFL8" s="16"/>
      <c r="RFM8" s="16"/>
      <c r="RFN8" s="16"/>
      <c r="RFO8" s="16"/>
      <c r="RFP8" s="16"/>
      <c r="RFQ8" s="16"/>
      <c r="RFR8" s="16"/>
      <c r="RFS8" s="16"/>
      <c r="RFT8" s="16"/>
      <c r="RFU8" s="16"/>
      <c r="RFV8" s="16"/>
      <c r="RFW8" s="16"/>
      <c r="RFX8" s="16"/>
      <c r="RFY8" s="16"/>
      <c r="RFZ8" s="16"/>
      <c r="RGA8" s="16"/>
      <c r="RGB8" s="16"/>
      <c r="RGC8" s="16"/>
      <c r="RGD8" s="16"/>
      <c r="RGE8" s="16"/>
      <c r="RGF8" s="16"/>
      <c r="RGG8" s="16"/>
      <c r="RGH8" s="16"/>
      <c r="RGI8" s="16"/>
      <c r="RGJ8" s="16"/>
      <c r="RGK8" s="16"/>
      <c r="RGL8" s="16"/>
      <c r="RGM8" s="16"/>
      <c r="RGN8" s="16"/>
      <c r="RGO8" s="16"/>
      <c r="RGP8" s="16"/>
      <c r="RGQ8" s="16"/>
      <c r="RGR8" s="16"/>
      <c r="RGS8" s="16"/>
      <c r="RGT8" s="16"/>
      <c r="RGU8" s="16"/>
      <c r="RGV8" s="16"/>
      <c r="RGW8" s="16"/>
      <c r="RGX8" s="16"/>
      <c r="RGY8" s="16"/>
      <c r="RGZ8" s="16"/>
      <c r="RHA8" s="16"/>
      <c r="RHB8" s="16"/>
      <c r="RHC8" s="16"/>
      <c r="RHD8" s="16"/>
      <c r="RHE8" s="16"/>
      <c r="RHF8" s="16"/>
      <c r="RHG8" s="16"/>
      <c r="RHH8" s="16"/>
      <c r="RHI8" s="16"/>
      <c r="RHJ8" s="16"/>
      <c r="RHK8" s="16"/>
      <c r="RHL8" s="16"/>
      <c r="RHM8" s="16"/>
      <c r="RHN8" s="16"/>
      <c r="RHO8" s="16"/>
      <c r="RHP8" s="16"/>
      <c r="RHQ8" s="16"/>
      <c r="RHR8" s="16"/>
      <c r="RHS8" s="16"/>
      <c r="RHT8" s="16"/>
      <c r="RHU8" s="16"/>
      <c r="RHV8" s="16"/>
      <c r="RHW8" s="16"/>
      <c r="RHX8" s="16"/>
      <c r="RHY8" s="16"/>
      <c r="RHZ8" s="16"/>
      <c r="RIA8" s="16"/>
      <c r="RIB8" s="16"/>
      <c r="RIC8" s="16"/>
      <c r="RID8" s="16"/>
      <c r="RIE8" s="16"/>
      <c r="RIF8" s="16"/>
      <c r="RIG8" s="16"/>
      <c r="RIH8" s="16"/>
      <c r="RII8" s="16"/>
      <c r="RIJ8" s="16"/>
      <c r="RIK8" s="16"/>
      <c r="RIL8" s="16"/>
      <c r="RIM8" s="16"/>
      <c r="RIN8" s="16"/>
      <c r="RIO8" s="16"/>
      <c r="RIP8" s="16"/>
      <c r="RIQ8" s="16"/>
      <c r="RIR8" s="16"/>
      <c r="RIS8" s="16"/>
      <c r="RIT8" s="16"/>
      <c r="RIU8" s="16"/>
      <c r="RIV8" s="16"/>
      <c r="RIW8" s="16"/>
      <c r="RIX8" s="16"/>
      <c r="RIY8" s="16"/>
      <c r="RIZ8" s="16"/>
      <c r="RJA8" s="16"/>
      <c r="RJB8" s="16"/>
      <c r="RJC8" s="16"/>
      <c r="RJD8" s="16"/>
      <c r="RJE8" s="16"/>
      <c r="RJF8" s="16"/>
      <c r="RJG8" s="16"/>
      <c r="RJH8" s="16"/>
      <c r="RJI8" s="16"/>
      <c r="RJJ8" s="16"/>
      <c r="RJK8" s="16"/>
      <c r="RJL8" s="16"/>
      <c r="RJM8" s="16"/>
      <c r="RJN8" s="16"/>
      <c r="RJO8" s="16"/>
      <c r="RJP8" s="16"/>
      <c r="RJQ8" s="16"/>
      <c r="RJR8" s="16"/>
      <c r="RJS8" s="16"/>
      <c r="RJT8" s="16"/>
      <c r="RJU8" s="16"/>
      <c r="RJV8" s="16"/>
      <c r="RJW8" s="16"/>
      <c r="RJX8" s="16"/>
      <c r="RJY8" s="16"/>
      <c r="RJZ8" s="16"/>
      <c r="RKA8" s="16"/>
      <c r="RKB8" s="16"/>
      <c r="RKC8" s="16"/>
      <c r="RKD8" s="16"/>
      <c r="RKE8" s="16"/>
      <c r="RKF8" s="16"/>
      <c r="RKG8" s="16"/>
      <c r="RKH8" s="16"/>
      <c r="RKI8" s="16"/>
      <c r="RKJ8" s="16"/>
      <c r="RKK8" s="16"/>
      <c r="RKL8" s="16"/>
      <c r="RKM8" s="16"/>
      <c r="RKN8" s="16"/>
      <c r="RKO8" s="16"/>
      <c r="RKP8" s="16"/>
      <c r="RKQ8" s="16"/>
      <c r="RKR8" s="16"/>
      <c r="RKS8" s="16"/>
      <c r="RKT8" s="16"/>
      <c r="RKU8" s="16"/>
      <c r="RKV8" s="16"/>
      <c r="RKW8" s="16"/>
      <c r="RKX8" s="16"/>
      <c r="RKY8" s="16"/>
      <c r="RKZ8" s="16"/>
      <c r="RLA8" s="16"/>
      <c r="RLB8" s="16"/>
      <c r="RLC8" s="16"/>
      <c r="RLD8" s="16"/>
      <c r="RLE8" s="16"/>
      <c r="RLF8" s="16"/>
      <c r="RLG8" s="16"/>
      <c r="RLH8" s="16"/>
      <c r="RLI8" s="16"/>
      <c r="RLJ8" s="16"/>
      <c r="RLK8" s="16"/>
      <c r="RLL8" s="16"/>
      <c r="RLM8" s="16"/>
      <c r="RLN8" s="16"/>
      <c r="RLO8" s="16"/>
      <c r="RLP8" s="16"/>
      <c r="RLQ8" s="16"/>
      <c r="RLR8" s="16"/>
      <c r="RLS8" s="16"/>
      <c r="RLT8" s="16"/>
      <c r="RLU8" s="16"/>
      <c r="RLV8" s="16"/>
      <c r="RLW8" s="16"/>
      <c r="RLX8" s="16"/>
      <c r="RLY8" s="16"/>
      <c r="RLZ8" s="16"/>
      <c r="RMA8" s="16"/>
      <c r="RMB8" s="16"/>
      <c r="RMC8" s="16"/>
      <c r="RMD8" s="16"/>
      <c r="RME8" s="16"/>
      <c r="RMF8" s="16"/>
      <c r="RMG8" s="16"/>
      <c r="RMH8" s="16"/>
      <c r="RMI8" s="16"/>
      <c r="RMJ8" s="16"/>
      <c r="RMK8" s="16"/>
      <c r="RML8" s="16"/>
      <c r="RMM8" s="16"/>
      <c r="RMN8" s="16"/>
      <c r="RMO8" s="16"/>
      <c r="RMP8" s="16"/>
      <c r="RMQ8" s="16"/>
      <c r="RMR8" s="16"/>
      <c r="RMS8" s="16"/>
      <c r="RMT8" s="16"/>
      <c r="RMU8" s="16"/>
      <c r="RMV8" s="16"/>
      <c r="RMW8" s="16"/>
      <c r="RMX8" s="16"/>
      <c r="RMY8" s="16"/>
      <c r="RMZ8" s="16"/>
      <c r="RNA8" s="16"/>
      <c r="RNB8" s="16"/>
      <c r="RNC8" s="16"/>
      <c r="RND8" s="16"/>
      <c r="RNE8" s="16"/>
      <c r="RNF8" s="16"/>
      <c r="RNG8" s="16"/>
      <c r="RNH8" s="16"/>
      <c r="RNI8" s="16"/>
      <c r="RNJ8" s="16"/>
      <c r="RNK8" s="16"/>
      <c r="RNL8" s="16"/>
      <c r="RNM8" s="16"/>
      <c r="RNN8" s="16"/>
      <c r="RNO8" s="16"/>
      <c r="RNP8" s="16"/>
      <c r="RNQ8" s="16"/>
      <c r="RNR8" s="16"/>
      <c r="RNS8" s="16"/>
      <c r="RNT8" s="16"/>
      <c r="RNU8" s="16"/>
      <c r="RNV8" s="16"/>
      <c r="RNW8" s="16"/>
      <c r="RNX8" s="16"/>
      <c r="RNY8" s="16"/>
      <c r="RNZ8" s="16"/>
      <c r="ROA8" s="16"/>
      <c r="ROB8" s="16"/>
      <c r="ROC8" s="16"/>
      <c r="ROD8" s="16"/>
      <c r="ROE8" s="16"/>
      <c r="ROF8" s="16"/>
      <c r="ROG8" s="16"/>
      <c r="ROH8" s="16"/>
      <c r="ROI8" s="16"/>
      <c r="ROJ8" s="16"/>
      <c r="ROK8" s="16"/>
      <c r="ROL8" s="16"/>
      <c r="ROM8" s="16"/>
      <c r="RON8" s="16"/>
      <c r="ROO8" s="16"/>
      <c r="ROP8" s="16"/>
      <c r="ROQ8" s="16"/>
      <c r="ROR8" s="16"/>
      <c r="ROS8" s="16"/>
      <c r="ROT8" s="16"/>
      <c r="ROU8" s="16"/>
      <c r="ROV8" s="16"/>
      <c r="ROW8" s="16"/>
      <c r="ROX8" s="16"/>
      <c r="ROY8" s="16"/>
      <c r="ROZ8" s="16"/>
      <c r="RPA8" s="16"/>
      <c r="RPB8" s="16"/>
      <c r="RPC8" s="16"/>
      <c r="RPD8" s="16"/>
      <c r="RPE8" s="16"/>
      <c r="RPF8" s="16"/>
      <c r="RPG8" s="16"/>
      <c r="RPH8" s="16"/>
      <c r="RPI8" s="16"/>
      <c r="RPJ8" s="16"/>
      <c r="RPK8" s="16"/>
      <c r="RPL8" s="16"/>
      <c r="RPM8" s="16"/>
      <c r="RPN8" s="16"/>
      <c r="RPO8" s="16"/>
      <c r="RPP8" s="16"/>
      <c r="RPQ8" s="16"/>
      <c r="RPR8" s="16"/>
      <c r="RPS8" s="16"/>
      <c r="RPT8" s="16"/>
      <c r="RPU8" s="16"/>
      <c r="RPV8" s="16"/>
      <c r="RPW8" s="16"/>
      <c r="RPX8" s="16"/>
      <c r="RPY8" s="16"/>
      <c r="RPZ8" s="16"/>
      <c r="RQA8" s="16"/>
      <c r="RQB8" s="16"/>
      <c r="RQC8" s="16"/>
      <c r="RQD8" s="16"/>
      <c r="RQE8" s="16"/>
      <c r="RQF8" s="16"/>
      <c r="RQG8" s="16"/>
      <c r="RQH8" s="16"/>
      <c r="RQI8" s="16"/>
      <c r="RQJ8" s="16"/>
      <c r="RQK8" s="16"/>
      <c r="RQL8" s="16"/>
      <c r="RQM8" s="16"/>
      <c r="RQN8" s="16"/>
      <c r="RQO8" s="16"/>
      <c r="RQP8" s="16"/>
      <c r="RQQ8" s="16"/>
      <c r="RQR8" s="16"/>
      <c r="RQS8" s="16"/>
      <c r="RQT8" s="16"/>
      <c r="RQU8" s="16"/>
      <c r="RQV8" s="16"/>
      <c r="RQW8" s="16"/>
      <c r="RQX8" s="16"/>
      <c r="RQY8" s="16"/>
      <c r="RQZ8" s="16"/>
      <c r="RRA8" s="16"/>
      <c r="RRB8" s="16"/>
      <c r="RRC8" s="16"/>
      <c r="RRD8" s="16"/>
      <c r="RRE8" s="16"/>
      <c r="RRF8" s="16"/>
      <c r="RRG8" s="16"/>
      <c r="RRH8" s="16"/>
      <c r="RRI8" s="16"/>
      <c r="RRJ8" s="16"/>
      <c r="RRK8" s="16"/>
      <c r="RRL8" s="16"/>
      <c r="RRM8" s="16"/>
      <c r="RRN8" s="16"/>
      <c r="RRO8" s="16"/>
      <c r="RRP8" s="16"/>
      <c r="RRQ8" s="16"/>
      <c r="RRR8" s="16"/>
      <c r="RRS8" s="16"/>
      <c r="RRT8" s="16"/>
      <c r="RRU8" s="16"/>
      <c r="RRV8" s="16"/>
      <c r="RRW8" s="16"/>
      <c r="RRX8" s="16"/>
      <c r="RRY8" s="16"/>
      <c r="RRZ8" s="16"/>
      <c r="RSA8" s="16"/>
      <c r="RSB8" s="16"/>
      <c r="RSC8" s="16"/>
      <c r="RSD8" s="16"/>
      <c r="RSE8" s="16"/>
      <c r="RSF8" s="16"/>
      <c r="RSG8" s="16"/>
      <c r="RSH8" s="16"/>
      <c r="RSI8" s="16"/>
      <c r="RSJ8" s="16"/>
      <c r="RSK8" s="16"/>
      <c r="RSL8" s="16"/>
      <c r="RSM8" s="16"/>
      <c r="RSN8" s="16"/>
      <c r="RSO8" s="16"/>
      <c r="RSP8" s="16"/>
      <c r="RSQ8" s="16"/>
      <c r="RSR8" s="16"/>
      <c r="RSS8" s="16"/>
      <c r="RST8" s="16"/>
      <c r="RSU8" s="16"/>
      <c r="RSV8" s="16"/>
      <c r="RSW8" s="16"/>
      <c r="RSX8" s="16"/>
      <c r="RSY8" s="16"/>
      <c r="RSZ8" s="16"/>
      <c r="RTA8" s="16"/>
      <c r="RTB8" s="16"/>
      <c r="RTC8" s="16"/>
      <c r="RTD8" s="16"/>
      <c r="RTE8" s="16"/>
      <c r="RTF8" s="16"/>
      <c r="RTG8" s="16"/>
      <c r="RTH8" s="16"/>
      <c r="RTI8" s="16"/>
      <c r="RTJ8" s="16"/>
      <c r="RTK8" s="16"/>
      <c r="RTL8" s="16"/>
      <c r="RTM8" s="16"/>
      <c r="RTN8" s="16"/>
      <c r="RTO8" s="16"/>
      <c r="RTP8" s="16"/>
      <c r="RTQ8" s="16"/>
      <c r="RTR8" s="16"/>
      <c r="RTS8" s="16"/>
      <c r="RTT8" s="16"/>
      <c r="RTU8" s="16"/>
      <c r="RTV8" s="16"/>
      <c r="RTW8" s="16"/>
      <c r="RTX8" s="16"/>
      <c r="RTY8" s="16"/>
      <c r="RTZ8" s="16"/>
      <c r="RUA8" s="16"/>
      <c r="RUB8" s="16"/>
      <c r="RUC8" s="16"/>
      <c r="RUD8" s="16"/>
      <c r="RUE8" s="16"/>
      <c r="RUF8" s="16"/>
      <c r="RUG8" s="16"/>
      <c r="RUH8" s="16"/>
      <c r="RUI8" s="16"/>
      <c r="RUJ8" s="16"/>
      <c r="RUK8" s="16"/>
      <c r="RUL8" s="16"/>
      <c r="RUM8" s="16"/>
      <c r="RUN8" s="16"/>
      <c r="RUO8" s="16"/>
      <c r="RUP8" s="16"/>
      <c r="RUQ8" s="16"/>
      <c r="RUR8" s="16"/>
      <c r="RUS8" s="16"/>
      <c r="RUT8" s="16"/>
      <c r="RUU8" s="16"/>
      <c r="RUV8" s="16"/>
      <c r="RUW8" s="16"/>
      <c r="RUX8" s="16"/>
      <c r="RUY8" s="16"/>
      <c r="RUZ8" s="16"/>
      <c r="RVA8" s="16"/>
      <c r="RVB8" s="16"/>
      <c r="RVC8" s="16"/>
      <c r="RVD8" s="16"/>
      <c r="RVE8" s="16"/>
      <c r="RVF8" s="16"/>
      <c r="RVG8" s="16"/>
      <c r="RVH8" s="16"/>
      <c r="RVI8" s="16"/>
      <c r="RVJ8" s="16"/>
      <c r="RVK8" s="16"/>
      <c r="RVL8" s="16"/>
      <c r="RVM8" s="16"/>
      <c r="RVN8" s="16"/>
      <c r="RVO8" s="16"/>
      <c r="RVP8" s="16"/>
      <c r="RVQ8" s="16"/>
      <c r="RVR8" s="16"/>
      <c r="RVS8" s="16"/>
      <c r="RVT8" s="16"/>
      <c r="RVU8" s="16"/>
      <c r="RVV8" s="16"/>
      <c r="RVW8" s="16"/>
      <c r="RVX8" s="16"/>
      <c r="RVY8" s="16"/>
      <c r="RVZ8" s="16"/>
      <c r="RWA8" s="16"/>
      <c r="RWB8" s="16"/>
      <c r="RWC8" s="16"/>
      <c r="RWD8" s="16"/>
      <c r="RWE8" s="16"/>
      <c r="RWF8" s="16"/>
      <c r="RWG8" s="16"/>
      <c r="RWH8" s="16"/>
      <c r="RWI8" s="16"/>
      <c r="RWJ8" s="16"/>
      <c r="RWK8" s="16"/>
      <c r="RWL8" s="16"/>
      <c r="RWM8" s="16"/>
      <c r="RWN8" s="16"/>
      <c r="RWO8" s="16"/>
      <c r="RWP8" s="16"/>
      <c r="RWQ8" s="16"/>
      <c r="RWR8" s="16"/>
      <c r="RWS8" s="16"/>
      <c r="RWT8" s="16"/>
      <c r="RWU8" s="16"/>
      <c r="RWV8" s="16"/>
      <c r="RWW8" s="16"/>
      <c r="RWX8" s="16"/>
      <c r="RWY8" s="16"/>
      <c r="RWZ8" s="16"/>
      <c r="RXA8" s="16"/>
      <c r="RXB8" s="16"/>
      <c r="RXC8" s="16"/>
      <c r="RXD8" s="16"/>
      <c r="RXE8" s="16"/>
      <c r="RXF8" s="16"/>
      <c r="RXG8" s="16"/>
      <c r="RXH8" s="16"/>
      <c r="RXI8" s="16"/>
      <c r="RXJ8" s="16"/>
      <c r="RXK8" s="16"/>
      <c r="RXL8" s="16"/>
      <c r="RXM8" s="16"/>
      <c r="RXN8" s="16"/>
      <c r="RXO8" s="16"/>
      <c r="RXP8" s="16"/>
      <c r="RXQ8" s="16"/>
      <c r="RXR8" s="16"/>
      <c r="RXS8" s="16"/>
      <c r="RXT8" s="16"/>
      <c r="RXU8" s="16"/>
      <c r="RXV8" s="16"/>
      <c r="RXW8" s="16"/>
      <c r="RXX8" s="16"/>
      <c r="RXY8" s="16"/>
      <c r="RXZ8" s="16"/>
      <c r="RYA8" s="16"/>
      <c r="RYB8" s="16"/>
      <c r="RYC8" s="16"/>
      <c r="RYD8" s="16"/>
      <c r="RYE8" s="16"/>
      <c r="RYF8" s="16"/>
      <c r="RYG8" s="16"/>
      <c r="RYH8" s="16"/>
      <c r="RYI8" s="16"/>
      <c r="RYJ8" s="16"/>
      <c r="RYK8" s="16"/>
      <c r="RYL8" s="16"/>
      <c r="RYM8" s="16"/>
      <c r="RYN8" s="16"/>
      <c r="RYO8" s="16"/>
      <c r="RYP8" s="16"/>
      <c r="RYQ8" s="16"/>
      <c r="RYR8" s="16"/>
      <c r="RYS8" s="16"/>
      <c r="RYT8" s="16"/>
      <c r="RYU8" s="16"/>
      <c r="RYV8" s="16"/>
      <c r="RYW8" s="16"/>
      <c r="RYX8" s="16"/>
      <c r="RYY8" s="16"/>
      <c r="RYZ8" s="16"/>
      <c r="RZA8" s="16"/>
      <c r="RZB8" s="16"/>
      <c r="RZC8" s="16"/>
      <c r="RZD8" s="16"/>
      <c r="RZE8" s="16"/>
      <c r="RZF8" s="16"/>
      <c r="RZG8" s="16"/>
      <c r="RZH8" s="16"/>
      <c r="RZI8" s="16"/>
      <c r="RZJ8" s="16"/>
      <c r="RZK8" s="16"/>
      <c r="RZL8" s="16"/>
      <c r="RZM8" s="16"/>
      <c r="RZN8" s="16"/>
      <c r="RZO8" s="16"/>
      <c r="RZP8" s="16"/>
      <c r="RZQ8" s="16"/>
      <c r="RZR8" s="16"/>
      <c r="RZS8" s="16"/>
      <c r="RZT8" s="16"/>
      <c r="RZU8" s="16"/>
      <c r="RZV8" s="16"/>
      <c r="RZW8" s="16"/>
      <c r="RZX8" s="16"/>
      <c r="RZY8" s="16"/>
      <c r="RZZ8" s="16"/>
      <c r="SAA8" s="16"/>
      <c r="SAB8" s="16"/>
      <c r="SAC8" s="16"/>
      <c r="SAD8" s="16"/>
      <c r="SAE8" s="16"/>
      <c r="SAF8" s="16"/>
      <c r="SAG8" s="16"/>
      <c r="SAH8" s="16"/>
      <c r="SAI8" s="16"/>
      <c r="SAJ8" s="16"/>
      <c r="SAK8" s="16"/>
      <c r="SAL8" s="16"/>
      <c r="SAM8" s="16"/>
      <c r="SAN8" s="16"/>
      <c r="SAO8" s="16"/>
      <c r="SAP8" s="16"/>
      <c r="SAQ8" s="16"/>
      <c r="SAR8" s="16"/>
      <c r="SAS8" s="16"/>
      <c r="SAT8" s="16"/>
      <c r="SAU8" s="16"/>
      <c r="SAV8" s="16"/>
      <c r="SAW8" s="16"/>
      <c r="SAX8" s="16"/>
      <c r="SAY8" s="16"/>
      <c r="SAZ8" s="16"/>
      <c r="SBA8" s="16"/>
      <c r="SBB8" s="16"/>
      <c r="SBC8" s="16"/>
      <c r="SBD8" s="16"/>
      <c r="SBE8" s="16"/>
      <c r="SBF8" s="16"/>
      <c r="SBG8" s="16"/>
      <c r="SBH8" s="16"/>
      <c r="SBI8" s="16"/>
      <c r="SBJ8" s="16"/>
      <c r="SBK8" s="16"/>
      <c r="SBL8" s="16"/>
      <c r="SBM8" s="16"/>
      <c r="SBN8" s="16"/>
      <c r="SBO8" s="16"/>
      <c r="SBP8" s="16"/>
      <c r="SBQ8" s="16"/>
      <c r="SBR8" s="16"/>
      <c r="SBS8" s="16"/>
      <c r="SBT8" s="16"/>
      <c r="SBU8" s="16"/>
      <c r="SBV8" s="16"/>
      <c r="SBW8" s="16"/>
      <c r="SBX8" s="16"/>
      <c r="SBY8" s="16"/>
      <c r="SBZ8" s="16"/>
      <c r="SCA8" s="16"/>
      <c r="SCB8" s="16"/>
      <c r="SCC8" s="16"/>
      <c r="SCD8" s="16"/>
      <c r="SCE8" s="16"/>
      <c r="SCF8" s="16"/>
      <c r="SCG8" s="16"/>
      <c r="SCH8" s="16"/>
      <c r="SCI8" s="16"/>
      <c r="SCJ8" s="16"/>
      <c r="SCK8" s="16"/>
      <c r="SCL8" s="16"/>
      <c r="SCM8" s="16"/>
      <c r="SCN8" s="16"/>
      <c r="SCO8" s="16"/>
      <c r="SCP8" s="16"/>
      <c r="SCQ8" s="16"/>
      <c r="SCR8" s="16"/>
      <c r="SCS8" s="16"/>
      <c r="SCT8" s="16"/>
      <c r="SCU8" s="16"/>
      <c r="SCV8" s="16"/>
      <c r="SCW8" s="16"/>
      <c r="SCX8" s="16"/>
      <c r="SCY8" s="16"/>
      <c r="SCZ8" s="16"/>
      <c r="SDA8" s="16"/>
      <c r="SDB8" s="16"/>
      <c r="SDC8" s="16"/>
      <c r="SDD8" s="16"/>
      <c r="SDE8" s="16"/>
      <c r="SDF8" s="16"/>
      <c r="SDG8" s="16"/>
      <c r="SDH8" s="16"/>
      <c r="SDI8" s="16"/>
      <c r="SDJ8" s="16"/>
      <c r="SDK8" s="16"/>
      <c r="SDL8" s="16"/>
      <c r="SDM8" s="16"/>
      <c r="SDN8" s="16"/>
      <c r="SDO8" s="16"/>
      <c r="SDP8" s="16"/>
      <c r="SDQ8" s="16"/>
      <c r="SDR8" s="16"/>
      <c r="SDS8" s="16"/>
      <c r="SDT8" s="16"/>
      <c r="SDU8" s="16"/>
      <c r="SDV8" s="16"/>
      <c r="SDW8" s="16"/>
      <c r="SDX8" s="16"/>
      <c r="SDY8" s="16"/>
      <c r="SDZ8" s="16"/>
      <c r="SEA8" s="16"/>
      <c r="SEB8" s="16"/>
      <c r="SEC8" s="16"/>
      <c r="SED8" s="16"/>
      <c r="SEE8" s="16"/>
      <c r="SEF8" s="16"/>
      <c r="SEG8" s="16"/>
      <c r="SEH8" s="16"/>
      <c r="SEI8" s="16"/>
      <c r="SEJ8" s="16"/>
      <c r="SEK8" s="16"/>
      <c r="SEL8" s="16"/>
      <c r="SEM8" s="16"/>
      <c r="SEN8" s="16"/>
      <c r="SEO8" s="16"/>
      <c r="SEP8" s="16"/>
      <c r="SEQ8" s="16"/>
      <c r="SER8" s="16"/>
      <c r="SES8" s="16"/>
      <c r="SET8" s="16"/>
      <c r="SEU8" s="16"/>
      <c r="SEV8" s="16"/>
      <c r="SEW8" s="16"/>
      <c r="SEX8" s="16"/>
      <c r="SEY8" s="16"/>
      <c r="SEZ8" s="16"/>
      <c r="SFA8" s="16"/>
      <c r="SFB8" s="16"/>
      <c r="SFC8" s="16"/>
      <c r="SFD8" s="16"/>
      <c r="SFE8" s="16"/>
      <c r="SFF8" s="16"/>
      <c r="SFG8" s="16"/>
      <c r="SFH8" s="16"/>
      <c r="SFI8" s="16"/>
      <c r="SFJ8" s="16"/>
      <c r="SFK8" s="16"/>
      <c r="SFL8" s="16"/>
      <c r="SFM8" s="16"/>
      <c r="SFN8" s="16"/>
      <c r="SFO8" s="16"/>
      <c r="SFP8" s="16"/>
      <c r="SFQ8" s="16"/>
      <c r="SFR8" s="16"/>
      <c r="SFS8" s="16"/>
      <c r="SFT8" s="16"/>
      <c r="SFU8" s="16"/>
      <c r="SFV8" s="16"/>
      <c r="SFW8" s="16"/>
      <c r="SFX8" s="16"/>
      <c r="SFY8" s="16"/>
      <c r="SFZ8" s="16"/>
      <c r="SGA8" s="16"/>
      <c r="SGB8" s="16"/>
      <c r="SGC8" s="16"/>
      <c r="SGD8" s="16"/>
      <c r="SGE8" s="16"/>
      <c r="SGF8" s="16"/>
      <c r="SGG8" s="16"/>
      <c r="SGH8" s="16"/>
      <c r="SGI8" s="16"/>
      <c r="SGJ8" s="16"/>
      <c r="SGK8" s="16"/>
      <c r="SGL8" s="16"/>
      <c r="SGM8" s="16"/>
      <c r="SGN8" s="16"/>
      <c r="SGO8" s="16"/>
      <c r="SGP8" s="16"/>
      <c r="SGQ8" s="16"/>
      <c r="SGR8" s="16"/>
      <c r="SGS8" s="16"/>
      <c r="SGT8" s="16"/>
      <c r="SGU8" s="16"/>
      <c r="SGV8" s="16"/>
      <c r="SGW8" s="16"/>
      <c r="SGX8" s="16"/>
      <c r="SGY8" s="16"/>
      <c r="SGZ8" s="16"/>
      <c r="SHA8" s="16"/>
      <c r="SHB8" s="16"/>
      <c r="SHC8" s="16"/>
      <c r="SHD8" s="16"/>
      <c r="SHE8" s="16"/>
      <c r="SHF8" s="16"/>
      <c r="SHG8" s="16"/>
      <c r="SHH8" s="16"/>
      <c r="SHI8" s="16"/>
      <c r="SHJ8" s="16"/>
      <c r="SHK8" s="16"/>
      <c r="SHL8" s="16"/>
      <c r="SHM8" s="16"/>
      <c r="SHN8" s="16"/>
      <c r="SHO8" s="16"/>
      <c r="SHP8" s="16"/>
      <c r="SHQ8" s="16"/>
      <c r="SHR8" s="16"/>
      <c r="SHS8" s="16"/>
      <c r="SHT8" s="16"/>
      <c r="SHU8" s="16"/>
      <c r="SHV8" s="16"/>
      <c r="SHW8" s="16"/>
      <c r="SHX8" s="16"/>
      <c r="SHY8" s="16"/>
      <c r="SHZ8" s="16"/>
      <c r="SIA8" s="16"/>
      <c r="SIB8" s="16"/>
      <c r="SIC8" s="16"/>
      <c r="SID8" s="16"/>
      <c r="SIE8" s="16"/>
      <c r="SIF8" s="16"/>
      <c r="SIG8" s="16"/>
      <c r="SIH8" s="16"/>
      <c r="SII8" s="16"/>
      <c r="SIJ8" s="16"/>
      <c r="SIK8" s="16"/>
      <c r="SIL8" s="16"/>
      <c r="SIM8" s="16"/>
      <c r="SIN8" s="16"/>
      <c r="SIO8" s="16"/>
      <c r="SIP8" s="16"/>
      <c r="SIQ8" s="16"/>
      <c r="SIR8" s="16"/>
      <c r="SIS8" s="16"/>
      <c r="SIT8" s="16"/>
      <c r="SIU8" s="16"/>
      <c r="SIV8" s="16"/>
      <c r="SIW8" s="16"/>
      <c r="SIX8" s="16"/>
      <c r="SIY8" s="16"/>
      <c r="SIZ8" s="16"/>
      <c r="SJA8" s="16"/>
      <c r="SJB8" s="16"/>
      <c r="SJC8" s="16"/>
      <c r="SJD8" s="16"/>
      <c r="SJE8" s="16"/>
      <c r="SJF8" s="16"/>
      <c r="SJG8" s="16"/>
      <c r="SJH8" s="16"/>
      <c r="SJI8" s="16"/>
      <c r="SJJ8" s="16"/>
      <c r="SJK8" s="16"/>
      <c r="SJL8" s="16"/>
      <c r="SJM8" s="16"/>
      <c r="SJN8" s="16"/>
      <c r="SJO8" s="16"/>
      <c r="SJP8" s="16"/>
      <c r="SJQ8" s="16"/>
      <c r="SJR8" s="16"/>
      <c r="SJS8" s="16"/>
      <c r="SJT8" s="16"/>
      <c r="SJU8" s="16"/>
      <c r="SJV8" s="16"/>
      <c r="SJW8" s="16"/>
      <c r="SJX8" s="16"/>
      <c r="SJY8" s="16"/>
      <c r="SJZ8" s="16"/>
      <c r="SKA8" s="16"/>
      <c r="SKB8" s="16"/>
      <c r="SKC8" s="16"/>
      <c r="SKD8" s="16"/>
      <c r="SKE8" s="16"/>
      <c r="SKF8" s="16"/>
      <c r="SKG8" s="16"/>
      <c r="SKH8" s="16"/>
      <c r="SKI8" s="16"/>
      <c r="SKJ8" s="16"/>
      <c r="SKK8" s="16"/>
      <c r="SKL8" s="16"/>
      <c r="SKM8" s="16"/>
      <c r="SKN8" s="16"/>
      <c r="SKO8" s="16"/>
      <c r="SKP8" s="16"/>
      <c r="SKQ8" s="16"/>
      <c r="SKR8" s="16"/>
      <c r="SKS8" s="16"/>
      <c r="SKT8" s="16"/>
      <c r="SKU8" s="16"/>
      <c r="SKV8" s="16"/>
      <c r="SKW8" s="16"/>
      <c r="SKX8" s="16"/>
      <c r="SKY8" s="16"/>
      <c r="SKZ8" s="16"/>
      <c r="SLA8" s="16"/>
      <c r="SLB8" s="16"/>
      <c r="SLC8" s="16"/>
      <c r="SLD8" s="16"/>
      <c r="SLE8" s="16"/>
      <c r="SLF8" s="16"/>
      <c r="SLG8" s="16"/>
      <c r="SLH8" s="16"/>
      <c r="SLI8" s="16"/>
      <c r="SLJ8" s="16"/>
      <c r="SLK8" s="16"/>
      <c r="SLL8" s="16"/>
      <c r="SLM8" s="16"/>
      <c r="SLN8" s="16"/>
      <c r="SLO8" s="16"/>
      <c r="SLP8" s="16"/>
      <c r="SLQ8" s="16"/>
      <c r="SLR8" s="16"/>
      <c r="SLS8" s="16"/>
      <c r="SLT8" s="16"/>
      <c r="SLU8" s="16"/>
      <c r="SLV8" s="16"/>
      <c r="SLW8" s="16"/>
      <c r="SLX8" s="16"/>
      <c r="SLY8" s="16"/>
      <c r="SLZ8" s="16"/>
      <c r="SMA8" s="16"/>
      <c r="SMB8" s="16"/>
      <c r="SMC8" s="16"/>
      <c r="SMD8" s="16"/>
      <c r="SME8" s="16"/>
      <c r="SMF8" s="16"/>
      <c r="SMG8" s="16"/>
      <c r="SMH8" s="16"/>
      <c r="SMI8" s="16"/>
      <c r="SMJ8" s="16"/>
      <c r="SMK8" s="16"/>
      <c r="SML8" s="16"/>
      <c r="SMM8" s="16"/>
      <c r="SMN8" s="16"/>
      <c r="SMO8" s="16"/>
      <c r="SMP8" s="16"/>
      <c r="SMQ8" s="16"/>
      <c r="SMR8" s="16"/>
      <c r="SMS8" s="16"/>
      <c r="SMT8" s="16"/>
      <c r="SMU8" s="16"/>
      <c r="SMV8" s="16"/>
      <c r="SMW8" s="16"/>
      <c r="SMX8" s="16"/>
      <c r="SMY8" s="16"/>
      <c r="SMZ8" s="16"/>
      <c r="SNA8" s="16"/>
      <c r="SNB8" s="16"/>
      <c r="SNC8" s="16"/>
      <c r="SND8" s="16"/>
      <c r="SNE8" s="16"/>
      <c r="SNF8" s="16"/>
      <c r="SNG8" s="16"/>
      <c r="SNH8" s="16"/>
      <c r="SNI8" s="16"/>
      <c r="SNJ8" s="16"/>
      <c r="SNK8" s="16"/>
      <c r="SNL8" s="16"/>
      <c r="SNM8" s="16"/>
      <c r="SNN8" s="16"/>
      <c r="SNO8" s="16"/>
      <c r="SNP8" s="16"/>
      <c r="SNQ8" s="16"/>
      <c r="SNR8" s="16"/>
      <c r="SNS8" s="16"/>
      <c r="SNT8" s="16"/>
      <c r="SNU8" s="16"/>
      <c r="SNV8" s="16"/>
      <c r="SNW8" s="16"/>
      <c r="SNX8" s="16"/>
      <c r="SNY8" s="16"/>
      <c r="SNZ8" s="16"/>
      <c r="SOA8" s="16"/>
      <c r="SOB8" s="16"/>
      <c r="SOC8" s="16"/>
      <c r="SOD8" s="16"/>
      <c r="SOE8" s="16"/>
      <c r="SOF8" s="16"/>
      <c r="SOG8" s="16"/>
      <c r="SOH8" s="16"/>
      <c r="SOI8" s="16"/>
      <c r="SOJ8" s="16"/>
      <c r="SOK8" s="16"/>
      <c r="SOL8" s="16"/>
      <c r="SOM8" s="16"/>
      <c r="SON8" s="16"/>
      <c r="SOO8" s="16"/>
      <c r="SOP8" s="16"/>
      <c r="SOQ8" s="16"/>
      <c r="SOR8" s="16"/>
      <c r="SOS8" s="16"/>
      <c r="SOT8" s="16"/>
      <c r="SOU8" s="16"/>
      <c r="SOV8" s="16"/>
      <c r="SOW8" s="16"/>
      <c r="SOX8" s="16"/>
      <c r="SOY8" s="16"/>
      <c r="SOZ8" s="16"/>
      <c r="SPA8" s="16"/>
      <c r="SPB8" s="16"/>
      <c r="SPC8" s="16"/>
      <c r="SPD8" s="16"/>
      <c r="SPE8" s="16"/>
      <c r="SPF8" s="16"/>
      <c r="SPG8" s="16"/>
      <c r="SPH8" s="16"/>
      <c r="SPI8" s="16"/>
      <c r="SPJ8" s="16"/>
      <c r="SPK8" s="16"/>
      <c r="SPL8" s="16"/>
      <c r="SPM8" s="16"/>
      <c r="SPN8" s="16"/>
      <c r="SPO8" s="16"/>
      <c r="SPP8" s="16"/>
      <c r="SPQ8" s="16"/>
      <c r="SPR8" s="16"/>
      <c r="SPS8" s="16"/>
      <c r="SPT8" s="16"/>
      <c r="SPU8" s="16"/>
      <c r="SPV8" s="16"/>
      <c r="SPW8" s="16"/>
      <c r="SPX8" s="16"/>
      <c r="SPY8" s="16"/>
      <c r="SPZ8" s="16"/>
      <c r="SQA8" s="16"/>
      <c r="SQB8" s="16"/>
      <c r="SQC8" s="16"/>
      <c r="SQD8" s="16"/>
      <c r="SQE8" s="16"/>
      <c r="SQF8" s="16"/>
      <c r="SQG8" s="16"/>
      <c r="SQH8" s="16"/>
      <c r="SQI8" s="16"/>
      <c r="SQJ8" s="16"/>
      <c r="SQK8" s="16"/>
      <c r="SQL8" s="16"/>
      <c r="SQM8" s="16"/>
      <c r="SQN8" s="16"/>
      <c r="SQO8" s="16"/>
      <c r="SQP8" s="16"/>
      <c r="SQQ8" s="16"/>
      <c r="SQR8" s="16"/>
      <c r="SQS8" s="16"/>
      <c r="SQT8" s="16"/>
      <c r="SQU8" s="16"/>
      <c r="SQV8" s="16"/>
      <c r="SQW8" s="16"/>
      <c r="SQX8" s="16"/>
      <c r="SQY8" s="16"/>
      <c r="SQZ8" s="16"/>
      <c r="SRA8" s="16"/>
      <c r="SRB8" s="16"/>
      <c r="SRC8" s="16"/>
      <c r="SRD8" s="16"/>
      <c r="SRE8" s="16"/>
      <c r="SRF8" s="16"/>
      <c r="SRG8" s="16"/>
      <c r="SRH8" s="16"/>
      <c r="SRI8" s="16"/>
      <c r="SRJ8" s="16"/>
      <c r="SRK8" s="16"/>
      <c r="SRL8" s="16"/>
      <c r="SRM8" s="16"/>
      <c r="SRN8" s="16"/>
      <c r="SRO8" s="16"/>
      <c r="SRP8" s="16"/>
      <c r="SRQ8" s="16"/>
      <c r="SRR8" s="16"/>
      <c r="SRS8" s="16"/>
      <c r="SRT8" s="16"/>
      <c r="SRU8" s="16"/>
      <c r="SRV8" s="16"/>
      <c r="SRW8" s="16"/>
      <c r="SRX8" s="16"/>
      <c r="SRY8" s="16"/>
      <c r="SRZ8" s="16"/>
      <c r="SSA8" s="16"/>
      <c r="SSB8" s="16"/>
      <c r="SSC8" s="16"/>
      <c r="SSD8" s="16"/>
      <c r="SSE8" s="16"/>
      <c r="SSF8" s="16"/>
      <c r="SSG8" s="16"/>
      <c r="SSH8" s="16"/>
      <c r="SSI8" s="16"/>
      <c r="SSJ8" s="16"/>
      <c r="SSK8" s="16"/>
      <c r="SSL8" s="16"/>
      <c r="SSM8" s="16"/>
      <c r="SSN8" s="16"/>
      <c r="SSO8" s="16"/>
      <c r="SSP8" s="16"/>
      <c r="SSQ8" s="16"/>
      <c r="SSR8" s="16"/>
      <c r="SSS8" s="16"/>
      <c r="SST8" s="16"/>
      <c r="SSU8" s="16"/>
      <c r="SSV8" s="16"/>
      <c r="SSW8" s="16"/>
      <c r="SSX8" s="16"/>
      <c r="SSY8" s="16"/>
      <c r="SSZ8" s="16"/>
      <c r="STA8" s="16"/>
      <c r="STB8" s="16"/>
      <c r="STC8" s="16"/>
      <c r="STD8" s="16"/>
      <c r="STE8" s="16"/>
      <c r="STF8" s="16"/>
      <c r="STG8" s="16"/>
      <c r="STH8" s="16"/>
      <c r="STI8" s="16"/>
      <c r="STJ8" s="16"/>
      <c r="STK8" s="16"/>
      <c r="STL8" s="16"/>
      <c r="STM8" s="16"/>
      <c r="STN8" s="16"/>
      <c r="STO8" s="16"/>
      <c r="STP8" s="16"/>
      <c r="STQ8" s="16"/>
      <c r="STR8" s="16"/>
      <c r="STS8" s="16"/>
      <c r="STT8" s="16"/>
      <c r="STU8" s="16"/>
      <c r="STV8" s="16"/>
      <c r="STW8" s="16"/>
      <c r="STX8" s="16"/>
      <c r="STY8" s="16"/>
      <c r="STZ8" s="16"/>
      <c r="SUA8" s="16"/>
      <c r="SUB8" s="16"/>
      <c r="SUC8" s="16"/>
      <c r="SUD8" s="16"/>
      <c r="SUE8" s="16"/>
      <c r="SUF8" s="16"/>
      <c r="SUG8" s="16"/>
      <c r="SUH8" s="16"/>
      <c r="SUI8" s="16"/>
      <c r="SUJ8" s="16"/>
      <c r="SUK8" s="16"/>
      <c r="SUL8" s="16"/>
      <c r="SUM8" s="16"/>
      <c r="SUN8" s="16"/>
      <c r="SUO8" s="16"/>
      <c r="SUP8" s="16"/>
      <c r="SUQ8" s="16"/>
      <c r="SUR8" s="16"/>
      <c r="SUS8" s="16"/>
      <c r="SUT8" s="16"/>
      <c r="SUU8" s="16"/>
      <c r="SUV8" s="16"/>
      <c r="SUW8" s="16"/>
      <c r="SUX8" s="16"/>
      <c r="SUY8" s="16"/>
      <c r="SUZ8" s="16"/>
      <c r="SVA8" s="16"/>
      <c r="SVB8" s="16"/>
      <c r="SVC8" s="16"/>
      <c r="SVD8" s="16"/>
      <c r="SVE8" s="16"/>
      <c r="SVF8" s="16"/>
      <c r="SVG8" s="16"/>
      <c r="SVH8" s="16"/>
      <c r="SVI8" s="16"/>
      <c r="SVJ8" s="16"/>
      <c r="SVK8" s="16"/>
      <c r="SVL8" s="16"/>
      <c r="SVM8" s="16"/>
      <c r="SVN8" s="16"/>
      <c r="SVO8" s="16"/>
      <c r="SVP8" s="16"/>
      <c r="SVQ8" s="16"/>
      <c r="SVR8" s="16"/>
      <c r="SVS8" s="16"/>
      <c r="SVT8" s="16"/>
      <c r="SVU8" s="16"/>
      <c r="SVV8" s="16"/>
      <c r="SVW8" s="16"/>
      <c r="SVX8" s="16"/>
      <c r="SVY8" s="16"/>
      <c r="SVZ8" s="16"/>
      <c r="SWA8" s="16"/>
      <c r="SWB8" s="16"/>
      <c r="SWC8" s="16"/>
      <c r="SWD8" s="16"/>
      <c r="SWE8" s="16"/>
      <c r="SWF8" s="16"/>
      <c r="SWG8" s="16"/>
      <c r="SWH8" s="16"/>
      <c r="SWI8" s="16"/>
      <c r="SWJ8" s="16"/>
      <c r="SWK8" s="16"/>
      <c r="SWL8" s="16"/>
      <c r="SWM8" s="16"/>
      <c r="SWN8" s="16"/>
      <c r="SWO8" s="16"/>
      <c r="SWP8" s="16"/>
      <c r="SWQ8" s="16"/>
      <c r="SWR8" s="16"/>
      <c r="SWS8" s="16"/>
      <c r="SWT8" s="16"/>
      <c r="SWU8" s="16"/>
      <c r="SWV8" s="16"/>
      <c r="SWW8" s="16"/>
      <c r="SWX8" s="16"/>
      <c r="SWY8" s="16"/>
      <c r="SWZ8" s="16"/>
      <c r="SXA8" s="16"/>
      <c r="SXB8" s="16"/>
      <c r="SXC8" s="16"/>
      <c r="SXD8" s="16"/>
      <c r="SXE8" s="16"/>
      <c r="SXF8" s="16"/>
      <c r="SXG8" s="16"/>
      <c r="SXH8" s="16"/>
      <c r="SXI8" s="16"/>
      <c r="SXJ8" s="16"/>
      <c r="SXK8" s="16"/>
      <c r="SXL8" s="16"/>
      <c r="SXM8" s="16"/>
      <c r="SXN8" s="16"/>
      <c r="SXO8" s="16"/>
      <c r="SXP8" s="16"/>
      <c r="SXQ8" s="16"/>
      <c r="SXR8" s="16"/>
      <c r="SXS8" s="16"/>
      <c r="SXT8" s="16"/>
      <c r="SXU8" s="16"/>
      <c r="SXV8" s="16"/>
      <c r="SXW8" s="16"/>
      <c r="SXX8" s="16"/>
      <c r="SXY8" s="16"/>
      <c r="SXZ8" s="16"/>
      <c r="SYA8" s="16"/>
      <c r="SYB8" s="16"/>
      <c r="SYC8" s="16"/>
      <c r="SYD8" s="16"/>
      <c r="SYE8" s="16"/>
      <c r="SYF8" s="16"/>
      <c r="SYG8" s="16"/>
      <c r="SYH8" s="16"/>
      <c r="SYI8" s="16"/>
      <c r="SYJ8" s="16"/>
      <c r="SYK8" s="16"/>
      <c r="SYL8" s="16"/>
      <c r="SYM8" s="16"/>
      <c r="SYN8" s="16"/>
      <c r="SYO8" s="16"/>
      <c r="SYP8" s="16"/>
      <c r="SYQ8" s="16"/>
      <c r="SYR8" s="16"/>
      <c r="SYS8" s="16"/>
      <c r="SYT8" s="16"/>
      <c r="SYU8" s="16"/>
      <c r="SYV8" s="16"/>
      <c r="SYW8" s="16"/>
      <c r="SYX8" s="16"/>
      <c r="SYY8" s="16"/>
      <c r="SYZ8" s="16"/>
      <c r="SZA8" s="16"/>
      <c r="SZB8" s="16"/>
      <c r="SZC8" s="16"/>
      <c r="SZD8" s="16"/>
      <c r="SZE8" s="16"/>
      <c r="SZF8" s="16"/>
      <c r="SZG8" s="16"/>
      <c r="SZH8" s="16"/>
      <c r="SZI8" s="16"/>
      <c r="SZJ8" s="16"/>
      <c r="SZK8" s="16"/>
      <c r="SZL8" s="16"/>
      <c r="SZM8" s="16"/>
      <c r="SZN8" s="16"/>
      <c r="SZO8" s="16"/>
      <c r="SZP8" s="16"/>
      <c r="SZQ8" s="16"/>
      <c r="SZR8" s="16"/>
      <c r="SZS8" s="16"/>
      <c r="SZT8" s="16"/>
      <c r="SZU8" s="16"/>
      <c r="SZV8" s="16"/>
      <c r="SZW8" s="16"/>
      <c r="SZX8" s="16"/>
      <c r="SZY8" s="16"/>
      <c r="SZZ8" s="16"/>
      <c r="TAA8" s="16"/>
      <c r="TAB8" s="16"/>
      <c r="TAC8" s="16"/>
      <c r="TAD8" s="16"/>
      <c r="TAE8" s="16"/>
      <c r="TAF8" s="16"/>
      <c r="TAG8" s="16"/>
      <c r="TAH8" s="16"/>
      <c r="TAI8" s="16"/>
      <c r="TAJ8" s="16"/>
      <c r="TAK8" s="16"/>
      <c r="TAL8" s="16"/>
      <c r="TAM8" s="16"/>
      <c r="TAN8" s="16"/>
      <c r="TAO8" s="16"/>
      <c r="TAP8" s="16"/>
      <c r="TAQ8" s="16"/>
      <c r="TAR8" s="16"/>
      <c r="TAS8" s="16"/>
      <c r="TAT8" s="16"/>
      <c r="TAU8" s="16"/>
      <c r="TAV8" s="16"/>
      <c r="TAW8" s="16"/>
      <c r="TAX8" s="16"/>
      <c r="TAY8" s="16"/>
      <c r="TAZ8" s="16"/>
      <c r="TBA8" s="16"/>
      <c r="TBB8" s="16"/>
      <c r="TBC8" s="16"/>
      <c r="TBD8" s="16"/>
      <c r="TBE8" s="16"/>
      <c r="TBF8" s="16"/>
      <c r="TBG8" s="16"/>
      <c r="TBH8" s="16"/>
      <c r="TBI8" s="16"/>
      <c r="TBJ8" s="16"/>
      <c r="TBK8" s="16"/>
      <c r="TBL8" s="16"/>
      <c r="TBM8" s="16"/>
      <c r="TBN8" s="16"/>
      <c r="TBO8" s="16"/>
      <c r="TBP8" s="16"/>
      <c r="TBQ8" s="16"/>
      <c r="TBR8" s="16"/>
      <c r="TBS8" s="16"/>
      <c r="TBT8" s="16"/>
      <c r="TBU8" s="16"/>
      <c r="TBV8" s="16"/>
      <c r="TBW8" s="16"/>
      <c r="TBX8" s="16"/>
      <c r="TBY8" s="16"/>
      <c r="TBZ8" s="16"/>
      <c r="TCA8" s="16"/>
      <c r="TCB8" s="16"/>
      <c r="TCC8" s="16"/>
      <c r="TCD8" s="16"/>
      <c r="TCE8" s="16"/>
      <c r="TCF8" s="16"/>
      <c r="TCG8" s="16"/>
      <c r="TCH8" s="16"/>
      <c r="TCI8" s="16"/>
      <c r="TCJ8" s="16"/>
      <c r="TCK8" s="16"/>
      <c r="TCL8" s="16"/>
      <c r="TCM8" s="16"/>
      <c r="TCN8" s="16"/>
      <c r="TCO8" s="16"/>
      <c r="TCP8" s="16"/>
      <c r="TCQ8" s="16"/>
      <c r="TCR8" s="16"/>
      <c r="TCS8" s="16"/>
      <c r="TCT8" s="16"/>
      <c r="TCU8" s="16"/>
      <c r="TCV8" s="16"/>
      <c r="TCW8" s="16"/>
      <c r="TCX8" s="16"/>
      <c r="TCY8" s="16"/>
      <c r="TCZ8" s="16"/>
      <c r="TDA8" s="16"/>
      <c r="TDB8" s="16"/>
      <c r="TDC8" s="16"/>
      <c r="TDD8" s="16"/>
      <c r="TDE8" s="16"/>
      <c r="TDF8" s="16"/>
      <c r="TDG8" s="16"/>
      <c r="TDH8" s="16"/>
      <c r="TDI8" s="16"/>
      <c r="TDJ8" s="16"/>
      <c r="TDK8" s="16"/>
      <c r="TDL8" s="16"/>
      <c r="TDM8" s="16"/>
      <c r="TDN8" s="16"/>
      <c r="TDO8" s="16"/>
      <c r="TDP8" s="16"/>
      <c r="TDQ8" s="16"/>
      <c r="TDR8" s="16"/>
      <c r="TDS8" s="16"/>
      <c r="TDT8" s="16"/>
      <c r="TDU8" s="16"/>
      <c r="TDV8" s="16"/>
      <c r="TDW8" s="16"/>
      <c r="TDX8" s="16"/>
      <c r="TDY8" s="16"/>
      <c r="TDZ8" s="16"/>
      <c r="TEA8" s="16"/>
      <c r="TEB8" s="16"/>
      <c r="TEC8" s="16"/>
      <c r="TED8" s="16"/>
      <c r="TEE8" s="16"/>
      <c r="TEF8" s="16"/>
      <c r="TEG8" s="16"/>
      <c r="TEH8" s="16"/>
      <c r="TEI8" s="16"/>
      <c r="TEJ8" s="16"/>
      <c r="TEK8" s="16"/>
      <c r="TEL8" s="16"/>
      <c r="TEM8" s="16"/>
      <c r="TEN8" s="16"/>
      <c r="TEO8" s="16"/>
      <c r="TEP8" s="16"/>
      <c r="TEQ8" s="16"/>
      <c r="TER8" s="16"/>
      <c r="TES8" s="16"/>
      <c r="TET8" s="16"/>
      <c r="TEU8" s="16"/>
      <c r="TEV8" s="16"/>
      <c r="TEW8" s="16"/>
      <c r="TEX8" s="16"/>
      <c r="TEY8" s="16"/>
      <c r="TEZ8" s="16"/>
      <c r="TFA8" s="16"/>
      <c r="TFB8" s="16"/>
      <c r="TFC8" s="16"/>
      <c r="TFD8" s="16"/>
      <c r="TFE8" s="16"/>
      <c r="TFF8" s="16"/>
      <c r="TFG8" s="16"/>
      <c r="TFH8" s="16"/>
      <c r="TFI8" s="16"/>
      <c r="TFJ8" s="16"/>
      <c r="TFK8" s="16"/>
      <c r="TFL8" s="16"/>
      <c r="TFM8" s="16"/>
      <c r="TFN8" s="16"/>
      <c r="TFO8" s="16"/>
      <c r="TFP8" s="16"/>
      <c r="TFQ8" s="16"/>
      <c r="TFR8" s="16"/>
      <c r="TFS8" s="16"/>
      <c r="TFT8" s="16"/>
      <c r="TFU8" s="16"/>
      <c r="TFV8" s="16"/>
      <c r="TFW8" s="16"/>
      <c r="TFX8" s="16"/>
      <c r="TFY8" s="16"/>
      <c r="TFZ8" s="16"/>
      <c r="TGA8" s="16"/>
      <c r="TGB8" s="16"/>
      <c r="TGC8" s="16"/>
      <c r="TGD8" s="16"/>
      <c r="TGE8" s="16"/>
      <c r="TGF8" s="16"/>
      <c r="TGG8" s="16"/>
      <c r="TGH8" s="16"/>
      <c r="TGI8" s="16"/>
      <c r="TGJ8" s="16"/>
      <c r="TGK8" s="16"/>
      <c r="TGL8" s="16"/>
      <c r="TGM8" s="16"/>
      <c r="TGN8" s="16"/>
      <c r="TGO8" s="16"/>
      <c r="TGP8" s="16"/>
      <c r="TGQ8" s="16"/>
      <c r="TGR8" s="16"/>
      <c r="TGS8" s="16"/>
      <c r="TGT8" s="16"/>
      <c r="TGU8" s="16"/>
      <c r="TGV8" s="16"/>
      <c r="TGW8" s="16"/>
      <c r="TGX8" s="16"/>
      <c r="TGY8" s="16"/>
      <c r="TGZ8" s="16"/>
      <c r="THA8" s="16"/>
      <c r="THB8" s="16"/>
      <c r="THC8" s="16"/>
      <c r="THD8" s="16"/>
      <c r="THE8" s="16"/>
      <c r="THF8" s="16"/>
      <c r="THG8" s="16"/>
      <c r="THH8" s="16"/>
      <c r="THI8" s="16"/>
      <c r="THJ8" s="16"/>
      <c r="THK8" s="16"/>
      <c r="THL8" s="16"/>
      <c r="THM8" s="16"/>
      <c r="THN8" s="16"/>
      <c r="THO8" s="16"/>
      <c r="THP8" s="16"/>
      <c r="THQ8" s="16"/>
      <c r="THR8" s="16"/>
      <c r="THS8" s="16"/>
      <c r="THT8" s="16"/>
      <c r="THU8" s="16"/>
      <c r="THV8" s="16"/>
      <c r="THW8" s="16"/>
      <c r="THX8" s="16"/>
      <c r="THY8" s="16"/>
      <c r="THZ8" s="16"/>
      <c r="TIA8" s="16"/>
      <c r="TIB8" s="16"/>
      <c r="TIC8" s="16"/>
      <c r="TID8" s="16"/>
      <c r="TIE8" s="16"/>
      <c r="TIF8" s="16"/>
      <c r="TIG8" s="16"/>
      <c r="TIH8" s="16"/>
      <c r="TII8" s="16"/>
      <c r="TIJ8" s="16"/>
      <c r="TIK8" s="16"/>
      <c r="TIL8" s="16"/>
      <c r="TIM8" s="16"/>
      <c r="TIN8" s="16"/>
      <c r="TIO8" s="16"/>
      <c r="TIP8" s="16"/>
      <c r="TIQ8" s="16"/>
      <c r="TIR8" s="16"/>
      <c r="TIS8" s="16"/>
      <c r="TIT8" s="16"/>
      <c r="TIU8" s="16"/>
      <c r="TIV8" s="16"/>
      <c r="TIW8" s="16"/>
      <c r="TIX8" s="16"/>
      <c r="TIY8" s="16"/>
      <c r="TIZ8" s="16"/>
      <c r="TJA8" s="16"/>
      <c r="TJB8" s="16"/>
      <c r="TJC8" s="16"/>
      <c r="TJD8" s="16"/>
      <c r="TJE8" s="16"/>
      <c r="TJF8" s="16"/>
      <c r="TJG8" s="16"/>
      <c r="TJH8" s="16"/>
      <c r="TJI8" s="16"/>
      <c r="TJJ8" s="16"/>
      <c r="TJK8" s="16"/>
      <c r="TJL8" s="16"/>
      <c r="TJM8" s="16"/>
      <c r="TJN8" s="16"/>
      <c r="TJO8" s="16"/>
      <c r="TJP8" s="16"/>
      <c r="TJQ8" s="16"/>
      <c r="TJR8" s="16"/>
      <c r="TJS8" s="16"/>
      <c r="TJT8" s="16"/>
      <c r="TJU8" s="16"/>
      <c r="TJV8" s="16"/>
      <c r="TJW8" s="16"/>
      <c r="TJX8" s="16"/>
      <c r="TJY8" s="16"/>
      <c r="TJZ8" s="16"/>
      <c r="TKA8" s="16"/>
      <c r="TKB8" s="16"/>
      <c r="TKC8" s="16"/>
      <c r="TKD8" s="16"/>
      <c r="TKE8" s="16"/>
      <c r="TKF8" s="16"/>
      <c r="TKG8" s="16"/>
      <c r="TKH8" s="16"/>
      <c r="TKI8" s="16"/>
      <c r="TKJ8" s="16"/>
      <c r="TKK8" s="16"/>
      <c r="TKL8" s="16"/>
      <c r="TKM8" s="16"/>
      <c r="TKN8" s="16"/>
      <c r="TKO8" s="16"/>
      <c r="TKP8" s="16"/>
      <c r="TKQ8" s="16"/>
      <c r="TKR8" s="16"/>
      <c r="TKS8" s="16"/>
      <c r="TKT8" s="16"/>
      <c r="TKU8" s="16"/>
      <c r="TKV8" s="16"/>
      <c r="TKW8" s="16"/>
      <c r="TKX8" s="16"/>
      <c r="TKY8" s="16"/>
      <c r="TKZ8" s="16"/>
      <c r="TLA8" s="16"/>
      <c r="TLB8" s="16"/>
      <c r="TLC8" s="16"/>
      <c r="TLD8" s="16"/>
      <c r="TLE8" s="16"/>
      <c r="TLF8" s="16"/>
      <c r="TLG8" s="16"/>
      <c r="TLH8" s="16"/>
      <c r="TLI8" s="16"/>
      <c r="TLJ8" s="16"/>
      <c r="TLK8" s="16"/>
      <c r="TLL8" s="16"/>
      <c r="TLM8" s="16"/>
      <c r="TLN8" s="16"/>
      <c r="TLO8" s="16"/>
      <c r="TLP8" s="16"/>
      <c r="TLQ8" s="16"/>
      <c r="TLR8" s="16"/>
      <c r="TLS8" s="16"/>
      <c r="TLT8" s="16"/>
      <c r="TLU8" s="16"/>
      <c r="TLV8" s="16"/>
      <c r="TLW8" s="16"/>
      <c r="TLX8" s="16"/>
      <c r="TLY8" s="16"/>
      <c r="TLZ8" s="16"/>
      <c r="TMA8" s="16"/>
      <c r="TMB8" s="16"/>
      <c r="TMC8" s="16"/>
      <c r="TMD8" s="16"/>
      <c r="TME8" s="16"/>
      <c r="TMF8" s="16"/>
      <c r="TMG8" s="16"/>
      <c r="TMH8" s="16"/>
      <c r="TMI8" s="16"/>
      <c r="TMJ8" s="16"/>
      <c r="TMK8" s="16"/>
      <c r="TML8" s="16"/>
      <c r="TMM8" s="16"/>
      <c r="TMN8" s="16"/>
      <c r="TMO8" s="16"/>
      <c r="TMP8" s="16"/>
      <c r="TMQ8" s="16"/>
      <c r="TMR8" s="16"/>
      <c r="TMS8" s="16"/>
      <c r="TMT8" s="16"/>
      <c r="TMU8" s="16"/>
      <c r="TMV8" s="16"/>
      <c r="TMW8" s="16"/>
      <c r="TMX8" s="16"/>
      <c r="TMY8" s="16"/>
      <c r="TMZ8" s="16"/>
      <c r="TNA8" s="16"/>
      <c r="TNB8" s="16"/>
      <c r="TNC8" s="16"/>
      <c r="TND8" s="16"/>
      <c r="TNE8" s="16"/>
      <c r="TNF8" s="16"/>
      <c r="TNG8" s="16"/>
      <c r="TNH8" s="16"/>
      <c r="TNI8" s="16"/>
      <c r="TNJ8" s="16"/>
      <c r="TNK8" s="16"/>
      <c r="TNL8" s="16"/>
      <c r="TNM8" s="16"/>
      <c r="TNN8" s="16"/>
      <c r="TNO8" s="16"/>
      <c r="TNP8" s="16"/>
      <c r="TNQ8" s="16"/>
      <c r="TNR8" s="16"/>
      <c r="TNS8" s="16"/>
      <c r="TNT8" s="16"/>
      <c r="TNU8" s="16"/>
      <c r="TNV8" s="16"/>
      <c r="TNW8" s="16"/>
      <c r="TNX8" s="16"/>
      <c r="TNY8" s="16"/>
      <c r="TNZ8" s="16"/>
      <c r="TOA8" s="16"/>
      <c r="TOB8" s="16"/>
      <c r="TOC8" s="16"/>
      <c r="TOD8" s="16"/>
      <c r="TOE8" s="16"/>
      <c r="TOF8" s="16"/>
      <c r="TOG8" s="16"/>
      <c r="TOH8" s="16"/>
      <c r="TOI8" s="16"/>
      <c r="TOJ8" s="16"/>
      <c r="TOK8" s="16"/>
      <c r="TOL8" s="16"/>
      <c r="TOM8" s="16"/>
      <c r="TON8" s="16"/>
      <c r="TOO8" s="16"/>
      <c r="TOP8" s="16"/>
      <c r="TOQ8" s="16"/>
      <c r="TOR8" s="16"/>
      <c r="TOS8" s="16"/>
      <c r="TOT8" s="16"/>
      <c r="TOU8" s="16"/>
      <c r="TOV8" s="16"/>
      <c r="TOW8" s="16"/>
      <c r="TOX8" s="16"/>
      <c r="TOY8" s="16"/>
      <c r="TOZ8" s="16"/>
      <c r="TPA8" s="16"/>
      <c r="TPB8" s="16"/>
      <c r="TPC8" s="16"/>
      <c r="TPD8" s="16"/>
      <c r="TPE8" s="16"/>
      <c r="TPF8" s="16"/>
      <c r="TPG8" s="16"/>
      <c r="TPH8" s="16"/>
      <c r="TPI8" s="16"/>
      <c r="TPJ8" s="16"/>
      <c r="TPK8" s="16"/>
      <c r="TPL8" s="16"/>
      <c r="TPM8" s="16"/>
      <c r="TPN8" s="16"/>
      <c r="TPO8" s="16"/>
      <c r="TPP8" s="16"/>
      <c r="TPQ8" s="16"/>
      <c r="TPR8" s="16"/>
      <c r="TPS8" s="16"/>
      <c r="TPT8" s="16"/>
      <c r="TPU8" s="16"/>
      <c r="TPV8" s="16"/>
      <c r="TPW8" s="16"/>
      <c r="TPX8" s="16"/>
      <c r="TPY8" s="16"/>
      <c r="TPZ8" s="16"/>
      <c r="TQA8" s="16"/>
      <c r="TQB8" s="16"/>
      <c r="TQC8" s="16"/>
      <c r="TQD8" s="16"/>
      <c r="TQE8" s="16"/>
      <c r="TQF8" s="16"/>
      <c r="TQG8" s="16"/>
      <c r="TQH8" s="16"/>
      <c r="TQI8" s="16"/>
      <c r="TQJ8" s="16"/>
      <c r="TQK8" s="16"/>
      <c r="TQL8" s="16"/>
      <c r="TQM8" s="16"/>
      <c r="TQN8" s="16"/>
      <c r="TQO8" s="16"/>
      <c r="TQP8" s="16"/>
      <c r="TQQ8" s="16"/>
      <c r="TQR8" s="16"/>
      <c r="TQS8" s="16"/>
      <c r="TQT8" s="16"/>
      <c r="TQU8" s="16"/>
      <c r="TQV8" s="16"/>
      <c r="TQW8" s="16"/>
      <c r="TQX8" s="16"/>
      <c r="TQY8" s="16"/>
      <c r="TQZ8" s="16"/>
      <c r="TRA8" s="16"/>
      <c r="TRB8" s="16"/>
      <c r="TRC8" s="16"/>
      <c r="TRD8" s="16"/>
      <c r="TRE8" s="16"/>
      <c r="TRF8" s="16"/>
      <c r="TRG8" s="16"/>
      <c r="TRH8" s="16"/>
      <c r="TRI8" s="16"/>
      <c r="TRJ8" s="16"/>
      <c r="TRK8" s="16"/>
      <c r="TRL8" s="16"/>
      <c r="TRM8" s="16"/>
      <c r="TRN8" s="16"/>
      <c r="TRO8" s="16"/>
      <c r="TRP8" s="16"/>
      <c r="TRQ8" s="16"/>
      <c r="TRR8" s="16"/>
      <c r="TRS8" s="16"/>
      <c r="TRT8" s="16"/>
      <c r="TRU8" s="16"/>
      <c r="TRV8" s="16"/>
      <c r="TRW8" s="16"/>
      <c r="TRX8" s="16"/>
      <c r="TRY8" s="16"/>
      <c r="TRZ8" s="16"/>
      <c r="TSA8" s="16"/>
      <c r="TSB8" s="16"/>
      <c r="TSC8" s="16"/>
      <c r="TSD8" s="16"/>
      <c r="TSE8" s="16"/>
      <c r="TSF8" s="16"/>
      <c r="TSG8" s="16"/>
      <c r="TSH8" s="16"/>
      <c r="TSI8" s="16"/>
      <c r="TSJ8" s="16"/>
      <c r="TSK8" s="16"/>
      <c r="TSL8" s="16"/>
      <c r="TSM8" s="16"/>
      <c r="TSN8" s="16"/>
      <c r="TSO8" s="16"/>
      <c r="TSP8" s="16"/>
      <c r="TSQ8" s="16"/>
      <c r="TSR8" s="16"/>
      <c r="TSS8" s="16"/>
      <c r="TST8" s="16"/>
      <c r="TSU8" s="16"/>
      <c r="TSV8" s="16"/>
      <c r="TSW8" s="16"/>
      <c r="TSX8" s="16"/>
      <c r="TSY8" s="16"/>
      <c r="TSZ8" s="16"/>
      <c r="TTA8" s="16"/>
      <c r="TTB8" s="16"/>
      <c r="TTC8" s="16"/>
      <c r="TTD8" s="16"/>
      <c r="TTE8" s="16"/>
      <c r="TTF8" s="16"/>
      <c r="TTG8" s="16"/>
      <c r="TTH8" s="16"/>
      <c r="TTI8" s="16"/>
      <c r="TTJ8" s="16"/>
      <c r="TTK8" s="16"/>
      <c r="TTL8" s="16"/>
      <c r="TTM8" s="16"/>
      <c r="TTN8" s="16"/>
      <c r="TTO8" s="16"/>
      <c r="TTP8" s="16"/>
      <c r="TTQ8" s="16"/>
      <c r="TTR8" s="16"/>
      <c r="TTS8" s="16"/>
      <c r="TTT8" s="16"/>
      <c r="TTU8" s="16"/>
      <c r="TTV8" s="16"/>
      <c r="TTW8" s="16"/>
      <c r="TTX8" s="16"/>
      <c r="TTY8" s="16"/>
      <c r="TTZ8" s="16"/>
      <c r="TUA8" s="16"/>
      <c r="TUB8" s="16"/>
      <c r="TUC8" s="16"/>
      <c r="TUD8" s="16"/>
      <c r="TUE8" s="16"/>
      <c r="TUF8" s="16"/>
      <c r="TUG8" s="16"/>
      <c r="TUH8" s="16"/>
      <c r="TUI8" s="16"/>
      <c r="TUJ8" s="16"/>
      <c r="TUK8" s="16"/>
      <c r="TUL8" s="16"/>
      <c r="TUM8" s="16"/>
      <c r="TUN8" s="16"/>
      <c r="TUO8" s="16"/>
      <c r="TUP8" s="16"/>
      <c r="TUQ8" s="16"/>
      <c r="TUR8" s="16"/>
      <c r="TUS8" s="16"/>
      <c r="TUT8" s="16"/>
      <c r="TUU8" s="16"/>
      <c r="TUV8" s="16"/>
      <c r="TUW8" s="16"/>
      <c r="TUX8" s="16"/>
      <c r="TUY8" s="16"/>
      <c r="TUZ8" s="16"/>
      <c r="TVA8" s="16"/>
      <c r="TVB8" s="16"/>
      <c r="TVC8" s="16"/>
      <c r="TVD8" s="16"/>
      <c r="TVE8" s="16"/>
      <c r="TVF8" s="16"/>
      <c r="TVG8" s="16"/>
      <c r="TVH8" s="16"/>
      <c r="TVI8" s="16"/>
      <c r="TVJ8" s="16"/>
      <c r="TVK8" s="16"/>
      <c r="TVL8" s="16"/>
      <c r="TVM8" s="16"/>
      <c r="TVN8" s="16"/>
      <c r="TVO8" s="16"/>
      <c r="TVP8" s="16"/>
      <c r="TVQ8" s="16"/>
      <c r="TVR8" s="16"/>
      <c r="TVS8" s="16"/>
      <c r="TVT8" s="16"/>
      <c r="TVU8" s="16"/>
      <c r="TVV8" s="16"/>
      <c r="TVW8" s="16"/>
      <c r="TVX8" s="16"/>
      <c r="TVY8" s="16"/>
      <c r="TVZ8" s="16"/>
      <c r="TWA8" s="16"/>
      <c r="TWB8" s="16"/>
      <c r="TWC8" s="16"/>
      <c r="TWD8" s="16"/>
      <c r="TWE8" s="16"/>
      <c r="TWF8" s="16"/>
      <c r="TWG8" s="16"/>
      <c r="TWH8" s="16"/>
      <c r="TWI8" s="16"/>
      <c r="TWJ8" s="16"/>
      <c r="TWK8" s="16"/>
      <c r="TWL8" s="16"/>
      <c r="TWM8" s="16"/>
      <c r="TWN8" s="16"/>
      <c r="TWO8" s="16"/>
      <c r="TWP8" s="16"/>
      <c r="TWQ8" s="16"/>
      <c r="TWR8" s="16"/>
      <c r="TWS8" s="16"/>
      <c r="TWT8" s="16"/>
      <c r="TWU8" s="16"/>
      <c r="TWV8" s="16"/>
      <c r="TWW8" s="16"/>
      <c r="TWX8" s="16"/>
      <c r="TWY8" s="16"/>
      <c r="TWZ8" s="16"/>
      <c r="TXA8" s="16"/>
      <c r="TXB8" s="16"/>
      <c r="TXC8" s="16"/>
      <c r="TXD8" s="16"/>
      <c r="TXE8" s="16"/>
      <c r="TXF8" s="16"/>
      <c r="TXG8" s="16"/>
      <c r="TXH8" s="16"/>
      <c r="TXI8" s="16"/>
      <c r="TXJ8" s="16"/>
      <c r="TXK8" s="16"/>
      <c r="TXL8" s="16"/>
      <c r="TXM8" s="16"/>
      <c r="TXN8" s="16"/>
      <c r="TXO8" s="16"/>
      <c r="TXP8" s="16"/>
      <c r="TXQ8" s="16"/>
      <c r="TXR8" s="16"/>
      <c r="TXS8" s="16"/>
      <c r="TXT8" s="16"/>
      <c r="TXU8" s="16"/>
      <c r="TXV8" s="16"/>
      <c r="TXW8" s="16"/>
      <c r="TXX8" s="16"/>
      <c r="TXY8" s="16"/>
      <c r="TXZ8" s="16"/>
      <c r="TYA8" s="16"/>
      <c r="TYB8" s="16"/>
      <c r="TYC8" s="16"/>
      <c r="TYD8" s="16"/>
      <c r="TYE8" s="16"/>
      <c r="TYF8" s="16"/>
      <c r="TYG8" s="16"/>
      <c r="TYH8" s="16"/>
      <c r="TYI8" s="16"/>
      <c r="TYJ8" s="16"/>
      <c r="TYK8" s="16"/>
      <c r="TYL8" s="16"/>
      <c r="TYM8" s="16"/>
      <c r="TYN8" s="16"/>
      <c r="TYO8" s="16"/>
      <c r="TYP8" s="16"/>
      <c r="TYQ8" s="16"/>
      <c r="TYR8" s="16"/>
      <c r="TYS8" s="16"/>
      <c r="TYT8" s="16"/>
      <c r="TYU8" s="16"/>
      <c r="TYV8" s="16"/>
      <c r="TYW8" s="16"/>
      <c r="TYX8" s="16"/>
      <c r="TYY8" s="16"/>
      <c r="TYZ8" s="16"/>
      <c r="TZA8" s="16"/>
      <c r="TZB8" s="16"/>
      <c r="TZC8" s="16"/>
      <c r="TZD8" s="16"/>
      <c r="TZE8" s="16"/>
      <c r="TZF8" s="16"/>
      <c r="TZG8" s="16"/>
      <c r="TZH8" s="16"/>
      <c r="TZI8" s="16"/>
      <c r="TZJ8" s="16"/>
      <c r="TZK8" s="16"/>
      <c r="TZL8" s="16"/>
      <c r="TZM8" s="16"/>
      <c r="TZN8" s="16"/>
      <c r="TZO8" s="16"/>
      <c r="TZP8" s="16"/>
      <c r="TZQ8" s="16"/>
      <c r="TZR8" s="16"/>
      <c r="TZS8" s="16"/>
      <c r="TZT8" s="16"/>
      <c r="TZU8" s="16"/>
      <c r="TZV8" s="16"/>
      <c r="TZW8" s="16"/>
      <c r="TZX8" s="16"/>
      <c r="TZY8" s="16"/>
      <c r="TZZ8" s="16"/>
      <c r="UAA8" s="16"/>
      <c r="UAB8" s="16"/>
      <c r="UAC8" s="16"/>
      <c r="UAD8" s="16"/>
      <c r="UAE8" s="16"/>
      <c r="UAF8" s="16"/>
      <c r="UAG8" s="16"/>
      <c r="UAH8" s="16"/>
      <c r="UAI8" s="16"/>
      <c r="UAJ8" s="16"/>
      <c r="UAK8" s="16"/>
      <c r="UAL8" s="16"/>
      <c r="UAM8" s="16"/>
      <c r="UAN8" s="16"/>
      <c r="UAO8" s="16"/>
      <c r="UAP8" s="16"/>
      <c r="UAQ8" s="16"/>
      <c r="UAR8" s="16"/>
      <c r="UAS8" s="16"/>
      <c r="UAT8" s="16"/>
      <c r="UAU8" s="16"/>
      <c r="UAV8" s="16"/>
      <c r="UAW8" s="16"/>
      <c r="UAX8" s="16"/>
      <c r="UAY8" s="16"/>
      <c r="UAZ8" s="16"/>
      <c r="UBA8" s="16"/>
      <c r="UBB8" s="16"/>
      <c r="UBC8" s="16"/>
      <c r="UBD8" s="16"/>
      <c r="UBE8" s="16"/>
      <c r="UBF8" s="16"/>
      <c r="UBG8" s="16"/>
      <c r="UBH8" s="16"/>
      <c r="UBI8" s="16"/>
      <c r="UBJ8" s="16"/>
      <c r="UBK8" s="16"/>
      <c r="UBL8" s="16"/>
      <c r="UBM8" s="16"/>
      <c r="UBN8" s="16"/>
      <c r="UBO8" s="16"/>
      <c r="UBP8" s="16"/>
      <c r="UBQ8" s="16"/>
      <c r="UBR8" s="16"/>
      <c r="UBS8" s="16"/>
      <c r="UBT8" s="16"/>
      <c r="UBU8" s="16"/>
      <c r="UBV8" s="16"/>
      <c r="UBW8" s="16"/>
      <c r="UBX8" s="16"/>
      <c r="UBY8" s="16"/>
      <c r="UBZ8" s="16"/>
      <c r="UCA8" s="16"/>
      <c r="UCB8" s="16"/>
      <c r="UCC8" s="16"/>
      <c r="UCD8" s="16"/>
      <c r="UCE8" s="16"/>
      <c r="UCF8" s="16"/>
      <c r="UCG8" s="16"/>
      <c r="UCH8" s="16"/>
      <c r="UCI8" s="16"/>
      <c r="UCJ8" s="16"/>
      <c r="UCK8" s="16"/>
      <c r="UCL8" s="16"/>
      <c r="UCM8" s="16"/>
      <c r="UCN8" s="16"/>
      <c r="UCO8" s="16"/>
      <c r="UCP8" s="16"/>
      <c r="UCQ8" s="16"/>
      <c r="UCR8" s="16"/>
      <c r="UCS8" s="16"/>
      <c r="UCT8" s="16"/>
      <c r="UCU8" s="16"/>
      <c r="UCV8" s="16"/>
      <c r="UCW8" s="16"/>
      <c r="UCX8" s="16"/>
      <c r="UCY8" s="16"/>
      <c r="UCZ8" s="16"/>
      <c r="UDA8" s="16"/>
      <c r="UDB8" s="16"/>
      <c r="UDC8" s="16"/>
      <c r="UDD8" s="16"/>
      <c r="UDE8" s="16"/>
      <c r="UDF8" s="16"/>
      <c r="UDG8" s="16"/>
      <c r="UDH8" s="16"/>
      <c r="UDI8" s="16"/>
      <c r="UDJ8" s="16"/>
      <c r="UDK8" s="16"/>
      <c r="UDL8" s="16"/>
      <c r="UDM8" s="16"/>
      <c r="UDN8" s="16"/>
      <c r="UDO8" s="16"/>
      <c r="UDP8" s="16"/>
      <c r="UDQ8" s="16"/>
      <c r="UDR8" s="16"/>
      <c r="UDS8" s="16"/>
      <c r="UDT8" s="16"/>
      <c r="UDU8" s="16"/>
      <c r="UDV8" s="16"/>
      <c r="UDW8" s="16"/>
      <c r="UDX8" s="16"/>
      <c r="UDY8" s="16"/>
      <c r="UDZ8" s="16"/>
      <c r="UEA8" s="16"/>
      <c r="UEB8" s="16"/>
      <c r="UEC8" s="16"/>
      <c r="UED8" s="16"/>
      <c r="UEE8" s="16"/>
      <c r="UEF8" s="16"/>
      <c r="UEG8" s="16"/>
      <c r="UEH8" s="16"/>
      <c r="UEI8" s="16"/>
      <c r="UEJ8" s="16"/>
      <c r="UEK8" s="16"/>
      <c r="UEL8" s="16"/>
      <c r="UEM8" s="16"/>
      <c r="UEN8" s="16"/>
      <c r="UEO8" s="16"/>
      <c r="UEP8" s="16"/>
      <c r="UEQ8" s="16"/>
      <c r="UER8" s="16"/>
      <c r="UES8" s="16"/>
      <c r="UET8" s="16"/>
      <c r="UEU8" s="16"/>
      <c r="UEV8" s="16"/>
      <c r="UEW8" s="16"/>
      <c r="UEX8" s="16"/>
      <c r="UEY8" s="16"/>
      <c r="UEZ8" s="16"/>
      <c r="UFA8" s="16"/>
      <c r="UFB8" s="16"/>
      <c r="UFC8" s="16"/>
      <c r="UFD8" s="16"/>
      <c r="UFE8" s="16"/>
      <c r="UFF8" s="16"/>
      <c r="UFG8" s="16"/>
      <c r="UFH8" s="16"/>
      <c r="UFI8" s="16"/>
      <c r="UFJ8" s="16"/>
      <c r="UFK8" s="16"/>
      <c r="UFL8" s="16"/>
      <c r="UFM8" s="16"/>
      <c r="UFN8" s="16"/>
      <c r="UFO8" s="16"/>
      <c r="UFP8" s="16"/>
      <c r="UFQ8" s="16"/>
      <c r="UFR8" s="16"/>
      <c r="UFS8" s="16"/>
      <c r="UFT8" s="16"/>
      <c r="UFU8" s="16"/>
      <c r="UFV8" s="16"/>
      <c r="UFW8" s="16"/>
      <c r="UFX8" s="16"/>
      <c r="UFY8" s="16"/>
      <c r="UFZ8" s="16"/>
      <c r="UGA8" s="16"/>
      <c r="UGB8" s="16"/>
      <c r="UGC8" s="16"/>
      <c r="UGD8" s="16"/>
      <c r="UGE8" s="16"/>
      <c r="UGF8" s="16"/>
      <c r="UGG8" s="16"/>
      <c r="UGH8" s="16"/>
      <c r="UGI8" s="16"/>
      <c r="UGJ8" s="16"/>
      <c r="UGK8" s="16"/>
      <c r="UGL8" s="16"/>
      <c r="UGM8" s="16"/>
      <c r="UGN8" s="16"/>
      <c r="UGO8" s="16"/>
      <c r="UGP8" s="16"/>
      <c r="UGQ8" s="16"/>
      <c r="UGR8" s="16"/>
      <c r="UGS8" s="16"/>
      <c r="UGT8" s="16"/>
      <c r="UGU8" s="16"/>
      <c r="UGV8" s="16"/>
      <c r="UGW8" s="16"/>
      <c r="UGX8" s="16"/>
      <c r="UGY8" s="16"/>
      <c r="UGZ8" s="16"/>
      <c r="UHA8" s="16"/>
      <c r="UHB8" s="16"/>
      <c r="UHC8" s="16"/>
      <c r="UHD8" s="16"/>
      <c r="UHE8" s="16"/>
      <c r="UHF8" s="16"/>
      <c r="UHG8" s="16"/>
      <c r="UHH8" s="16"/>
      <c r="UHI8" s="16"/>
      <c r="UHJ8" s="16"/>
      <c r="UHK8" s="16"/>
      <c r="UHL8" s="16"/>
      <c r="UHM8" s="16"/>
      <c r="UHN8" s="16"/>
      <c r="UHO8" s="16"/>
      <c r="UHP8" s="16"/>
      <c r="UHQ8" s="16"/>
      <c r="UHR8" s="16"/>
      <c r="UHS8" s="16"/>
      <c r="UHT8" s="16"/>
      <c r="UHU8" s="16"/>
      <c r="UHV8" s="16"/>
      <c r="UHW8" s="16"/>
      <c r="UHX8" s="16"/>
      <c r="UHY8" s="16"/>
      <c r="UHZ8" s="16"/>
      <c r="UIA8" s="16"/>
      <c r="UIB8" s="16"/>
      <c r="UIC8" s="16"/>
      <c r="UID8" s="16"/>
      <c r="UIE8" s="16"/>
      <c r="UIF8" s="16"/>
      <c r="UIG8" s="16"/>
      <c r="UIH8" s="16"/>
      <c r="UII8" s="16"/>
      <c r="UIJ8" s="16"/>
      <c r="UIK8" s="16"/>
      <c r="UIL8" s="16"/>
      <c r="UIM8" s="16"/>
      <c r="UIN8" s="16"/>
      <c r="UIO8" s="16"/>
      <c r="UIP8" s="16"/>
      <c r="UIQ8" s="16"/>
      <c r="UIR8" s="16"/>
      <c r="UIS8" s="16"/>
      <c r="UIT8" s="16"/>
      <c r="UIU8" s="16"/>
      <c r="UIV8" s="16"/>
      <c r="UIW8" s="16"/>
      <c r="UIX8" s="16"/>
      <c r="UIY8" s="16"/>
      <c r="UIZ8" s="16"/>
      <c r="UJA8" s="16"/>
      <c r="UJB8" s="16"/>
      <c r="UJC8" s="16"/>
      <c r="UJD8" s="16"/>
      <c r="UJE8" s="16"/>
      <c r="UJF8" s="16"/>
      <c r="UJG8" s="16"/>
      <c r="UJH8" s="16"/>
      <c r="UJI8" s="16"/>
      <c r="UJJ8" s="16"/>
      <c r="UJK8" s="16"/>
      <c r="UJL8" s="16"/>
      <c r="UJM8" s="16"/>
      <c r="UJN8" s="16"/>
      <c r="UJO8" s="16"/>
      <c r="UJP8" s="16"/>
      <c r="UJQ8" s="16"/>
      <c r="UJR8" s="16"/>
      <c r="UJS8" s="16"/>
      <c r="UJT8" s="16"/>
      <c r="UJU8" s="16"/>
      <c r="UJV8" s="16"/>
      <c r="UJW8" s="16"/>
      <c r="UJX8" s="16"/>
      <c r="UJY8" s="16"/>
      <c r="UJZ8" s="16"/>
      <c r="UKA8" s="16"/>
      <c r="UKB8" s="16"/>
      <c r="UKC8" s="16"/>
      <c r="UKD8" s="16"/>
      <c r="UKE8" s="16"/>
      <c r="UKF8" s="16"/>
      <c r="UKG8" s="16"/>
      <c r="UKH8" s="16"/>
      <c r="UKI8" s="16"/>
      <c r="UKJ8" s="16"/>
      <c r="UKK8" s="16"/>
      <c r="UKL8" s="16"/>
      <c r="UKM8" s="16"/>
      <c r="UKN8" s="16"/>
      <c r="UKO8" s="16"/>
      <c r="UKP8" s="16"/>
      <c r="UKQ8" s="16"/>
      <c r="UKR8" s="16"/>
      <c r="UKS8" s="16"/>
      <c r="UKT8" s="16"/>
      <c r="UKU8" s="16"/>
      <c r="UKV8" s="16"/>
      <c r="UKW8" s="16"/>
      <c r="UKX8" s="16"/>
      <c r="UKY8" s="16"/>
      <c r="UKZ8" s="16"/>
      <c r="ULA8" s="16"/>
      <c r="ULB8" s="16"/>
      <c r="ULC8" s="16"/>
      <c r="ULD8" s="16"/>
      <c r="ULE8" s="16"/>
      <c r="ULF8" s="16"/>
      <c r="ULG8" s="16"/>
      <c r="ULH8" s="16"/>
      <c r="ULI8" s="16"/>
      <c r="ULJ8" s="16"/>
      <c r="ULK8" s="16"/>
      <c r="ULL8" s="16"/>
      <c r="ULM8" s="16"/>
      <c r="ULN8" s="16"/>
      <c r="ULO8" s="16"/>
      <c r="ULP8" s="16"/>
      <c r="ULQ8" s="16"/>
      <c r="ULR8" s="16"/>
      <c r="ULS8" s="16"/>
      <c r="ULT8" s="16"/>
      <c r="ULU8" s="16"/>
      <c r="ULV8" s="16"/>
      <c r="ULW8" s="16"/>
      <c r="ULX8" s="16"/>
      <c r="ULY8" s="16"/>
      <c r="ULZ8" s="16"/>
      <c r="UMA8" s="16"/>
      <c r="UMB8" s="16"/>
      <c r="UMC8" s="16"/>
      <c r="UMD8" s="16"/>
      <c r="UME8" s="16"/>
      <c r="UMF8" s="16"/>
      <c r="UMG8" s="16"/>
      <c r="UMH8" s="16"/>
      <c r="UMI8" s="16"/>
      <c r="UMJ8" s="16"/>
      <c r="UMK8" s="16"/>
      <c r="UML8" s="16"/>
      <c r="UMM8" s="16"/>
      <c r="UMN8" s="16"/>
      <c r="UMO8" s="16"/>
      <c r="UMP8" s="16"/>
      <c r="UMQ8" s="16"/>
      <c r="UMR8" s="16"/>
      <c r="UMS8" s="16"/>
      <c r="UMT8" s="16"/>
      <c r="UMU8" s="16"/>
      <c r="UMV8" s="16"/>
      <c r="UMW8" s="16"/>
      <c r="UMX8" s="16"/>
      <c r="UMY8" s="16"/>
      <c r="UMZ8" s="16"/>
      <c r="UNA8" s="16"/>
      <c r="UNB8" s="16"/>
      <c r="UNC8" s="16"/>
      <c r="UND8" s="16"/>
      <c r="UNE8" s="16"/>
      <c r="UNF8" s="16"/>
      <c r="UNG8" s="16"/>
      <c r="UNH8" s="16"/>
      <c r="UNI8" s="16"/>
      <c r="UNJ8" s="16"/>
      <c r="UNK8" s="16"/>
      <c r="UNL8" s="16"/>
      <c r="UNM8" s="16"/>
      <c r="UNN8" s="16"/>
      <c r="UNO8" s="16"/>
      <c r="UNP8" s="16"/>
      <c r="UNQ8" s="16"/>
      <c r="UNR8" s="16"/>
      <c r="UNS8" s="16"/>
      <c r="UNT8" s="16"/>
      <c r="UNU8" s="16"/>
      <c r="UNV8" s="16"/>
      <c r="UNW8" s="16"/>
      <c r="UNX8" s="16"/>
      <c r="UNY8" s="16"/>
      <c r="UNZ8" s="16"/>
      <c r="UOA8" s="16"/>
      <c r="UOB8" s="16"/>
      <c r="UOC8" s="16"/>
      <c r="UOD8" s="16"/>
      <c r="UOE8" s="16"/>
      <c r="UOF8" s="16"/>
      <c r="UOG8" s="16"/>
      <c r="UOH8" s="16"/>
      <c r="UOI8" s="16"/>
      <c r="UOJ8" s="16"/>
      <c r="UOK8" s="16"/>
      <c r="UOL8" s="16"/>
      <c r="UOM8" s="16"/>
      <c r="UON8" s="16"/>
      <c r="UOO8" s="16"/>
      <c r="UOP8" s="16"/>
      <c r="UOQ8" s="16"/>
      <c r="UOR8" s="16"/>
      <c r="UOS8" s="16"/>
      <c r="UOT8" s="16"/>
      <c r="UOU8" s="16"/>
      <c r="UOV8" s="16"/>
      <c r="UOW8" s="16"/>
      <c r="UOX8" s="16"/>
      <c r="UOY8" s="16"/>
      <c r="UOZ8" s="16"/>
      <c r="UPA8" s="16"/>
      <c r="UPB8" s="16"/>
      <c r="UPC8" s="16"/>
      <c r="UPD8" s="16"/>
      <c r="UPE8" s="16"/>
      <c r="UPF8" s="16"/>
      <c r="UPG8" s="16"/>
      <c r="UPH8" s="16"/>
      <c r="UPI8" s="16"/>
      <c r="UPJ8" s="16"/>
      <c r="UPK8" s="16"/>
      <c r="UPL8" s="16"/>
      <c r="UPM8" s="16"/>
      <c r="UPN8" s="16"/>
      <c r="UPO8" s="16"/>
      <c r="UPP8" s="16"/>
      <c r="UPQ8" s="16"/>
      <c r="UPR8" s="16"/>
      <c r="UPS8" s="16"/>
      <c r="UPT8" s="16"/>
      <c r="UPU8" s="16"/>
      <c r="UPV8" s="16"/>
      <c r="UPW8" s="16"/>
      <c r="UPX8" s="16"/>
      <c r="UPY8" s="16"/>
      <c r="UPZ8" s="16"/>
      <c r="UQA8" s="16"/>
      <c r="UQB8" s="16"/>
      <c r="UQC8" s="16"/>
      <c r="UQD8" s="16"/>
      <c r="UQE8" s="16"/>
      <c r="UQF8" s="16"/>
      <c r="UQG8" s="16"/>
      <c r="UQH8" s="16"/>
      <c r="UQI8" s="16"/>
      <c r="UQJ8" s="16"/>
      <c r="UQK8" s="16"/>
      <c r="UQL8" s="16"/>
      <c r="UQM8" s="16"/>
      <c r="UQN8" s="16"/>
      <c r="UQO8" s="16"/>
      <c r="UQP8" s="16"/>
      <c r="UQQ8" s="16"/>
      <c r="UQR8" s="16"/>
      <c r="UQS8" s="16"/>
      <c r="UQT8" s="16"/>
      <c r="UQU8" s="16"/>
      <c r="UQV8" s="16"/>
      <c r="UQW8" s="16"/>
      <c r="UQX8" s="16"/>
      <c r="UQY8" s="16"/>
      <c r="UQZ8" s="16"/>
      <c r="URA8" s="16"/>
      <c r="URB8" s="16"/>
      <c r="URC8" s="16"/>
      <c r="URD8" s="16"/>
      <c r="URE8" s="16"/>
      <c r="URF8" s="16"/>
      <c r="URG8" s="16"/>
      <c r="URH8" s="16"/>
      <c r="URI8" s="16"/>
      <c r="URJ8" s="16"/>
      <c r="URK8" s="16"/>
      <c r="URL8" s="16"/>
      <c r="URM8" s="16"/>
      <c r="URN8" s="16"/>
      <c r="URO8" s="16"/>
      <c r="URP8" s="16"/>
      <c r="URQ8" s="16"/>
      <c r="URR8" s="16"/>
      <c r="URS8" s="16"/>
      <c r="URT8" s="16"/>
      <c r="URU8" s="16"/>
      <c r="URV8" s="16"/>
      <c r="URW8" s="16"/>
      <c r="URX8" s="16"/>
      <c r="URY8" s="16"/>
      <c r="URZ8" s="16"/>
      <c r="USA8" s="16"/>
      <c r="USB8" s="16"/>
      <c r="USC8" s="16"/>
      <c r="USD8" s="16"/>
      <c r="USE8" s="16"/>
      <c r="USF8" s="16"/>
      <c r="USG8" s="16"/>
      <c r="USH8" s="16"/>
      <c r="USI8" s="16"/>
      <c r="USJ8" s="16"/>
      <c r="USK8" s="16"/>
      <c r="USL8" s="16"/>
      <c r="USM8" s="16"/>
      <c r="USN8" s="16"/>
      <c r="USO8" s="16"/>
      <c r="USP8" s="16"/>
      <c r="USQ8" s="16"/>
      <c r="USR8" s="16"/>
      <c r="USS8" s="16"/>
      <c r="UST8" s="16"/>
      <c r="USU8" s="16"/>
      <c r="USV8" s="16"/>
      <c r="USW8" s="16"/>
      <c r="USX8" s="16"/>
      <c r="USY8" s="16"/>
      <c r="USZ8" s="16"/>
      <c r="UTA8" s="16"/>
      <c r="UTB8" s="16"/>
      <c r="UTC8" s="16"/>
      <c r="UTD8" s="16"/>
      <c r="UTE8" s="16"/>
      <c r="UTF8" s="16"/>
      <c r="UTG8" s="16"/>
      <c r="UTH8" s="16"/>
      <c r="UTI8" s="16"/>
      <c r="UTJ8" s="16"/>
      <c r="UTK8" s="16"/>
      <c r="UTL8" s="16"/>
      <c r="UTM8" s="16"/>
      <c r="UTN8" s="16"/>
      <c r="UTO8" s="16"/>
      <c r="UTP8" s="16"/>
      <c r="UTQ8" s="16"/>
      <c r="UTR8" s="16"/>
      <c r="UTS8" s="16"/>
      <c r="UTT8" s="16"/>
      <c r="UTU8" s="16"/>
      <c r="UTV8" s="16"/>
      <c r="UTW8" s="16"/>
      <c r="UTX8" s="16"/>
      <c r="UTY8" s="16"/>
      <c r="UTZ8" s="16"/>
      <c r="UUA8" s="16"/>
      <c r="UUB8" s="16"/>
      <c r="UUC8" s="16"/>
      <c r="UUD8" s="16"/>
      <c r="UUE8" s="16"/>
      <c r="UUF8" s="16"/>
      <c r="UUG8" s="16"/>
      <c r="UUH8" s="16"/>
      <c r="UUI8" s="16"/>
      <c r="UUJ8" s="16"/>
      <c r="UUK8" s="16"/>
      <c r="UUL8" s="16"/>
      <c r="UUM8" s="16"/>
      <c r="UUN8" s="16"/>
      <c r="UUO8" s="16"/>
      <c r="UUP8" s="16"/>
      <c r="UUQ8" s="16"/>
      <c r="UUR8" s="16"/>
      <c r="UUS8" s="16"/>
      <c r="UUT8" s="16"/>
      <c r="UUU8" s="16"/>
      <c r="UUV8" s="16"/>
      <c r="UUW8" s="16"/>
      <c r="UUX8" s="16"/>
      <c r="UUY8" s="16"/>
      <c r="UUZ8" s="16"/>
      <c r="UVA8" s="16"/>
      <c r="UVB8" s="16"/>
      <c r="UVC8" s="16"/>
      <c r="UVD8" s="16"/>
      <c r="UVE8" s="16"/>
      <c r="UVF8" s="16"/>
      <c r="UVG8" s="16"/>
      <c r="UVH8" s="16"/>
      <c r="UVI8" s="16"/>
      <c r="UVJ8" s="16"/>
      <c r="UVK8" s="16"/>
      <c r="UVL8" s="16"/>
      <c r="UVM8" s="16"/>
      <c r="UVN8" s="16"/>
      <c r="UVO8" s="16"/>
      <c r="UVP8" s="16"/>
      <c r="UVQ8" s="16"/>
      <c r="UVR8" s="16"/>
      <c r="UVS8" s="16"/>
      <c r="UVT8" s="16"/>
      <c r="UVU8" s="16"/>
      <c r="UVV8" s="16"/>
      <c r="UVW8" s="16"/>
      <c r="UVX8" s="16"/>
      <c r="UVY8" s="16"/>
      <c r="UVZ8" s="16"/>
      <c r="UWA8" s="16"/>
      <c r="UWB8" s="16"/>
      <c r="UWC8" s="16"/>
      <c r="UWD8" s="16"/>
      <c r="UWE8" s="16"/>
      <c r="UWF8" s="16"/>
      <c r="UWG8" s="16"/>
      <c r="UWH8" s="16"/>
      <c r="UWI8" s="16"/>
      <c r="UWJ8" s="16"/>
      <c r="UWK8" s="16"/>
      <c r="UWL8" s="16"/>
      <c r="UWM8" s="16"/>
      <c r="UWN8" s="16"/>
      <c r="UWO8" s="16"/>
      <c r="UWP8" s="16"/>
      <c r="UWQ8" s="16"/>
      <c r="UWR8" s="16"/>
      <c r="UWS8" s="16"/>
      <c r="UWT8" s="16"/>
      <c r="UWU8" s="16"/>
      <c r="UWV8" s="16"/>
      <c r="UWW8" s="16"/>
      <c r="UWX8" s="16"/>
      <c r="UWY8" s="16"/>
      <c r="UWZ8" s="16"/>
      <c r="UXA8" s="16"/>
      <c r="UXB8" s="16"/>
      <c r="UXC8" s="16"/>
      <c r="UXD8" s="16"/>
      <c r="UXE8" s="16"/>
      <c r="UXF8" s="16"/>
      <c r="UXG8" s="16"/>
      <c r="UXH8" s="16"/>
      <c r="UXI8" s="16"/>
      <c r="UXJ8" s="16"/>
      <c r="UXK8" s="16"/>
      <c r="UXL8" s="16"/>
      <c r="UXM8" s="16"/>
      <c r="UXN8" s="16"/>
      <c r="UXO8" s="16"/>
      <c r="UXP8" s="16"/>
      <c r="UXQ8" s="16"/>
      <c r="UXR8" s="16"/>
      <c r="UXS8" s="16"/>
      <c r="UXT8" s="16"/>
      <c r="UXU8" s="16"/>
      <c r="UXV8" s="16"/>
      <c r="UXW8" s="16"/>
      <c r="UXX8" s="16"/>
      <c r="UXY8" s="16"/>
      <c r="UXZ8" s="16"/>
      <c r="UYA8" s="16"/>
      <c r="UYB8" s="16"/>
      <c r="UYC8" s="16"/>
      <c r="UYD8" s="16"/>
      <c r="UYE8" s="16"/>
      <c r="UYF8" s="16"/>
      <c r="UYG8" s="16"/>
      <c r="UYH8" s="16"/>
      <c r="UYI8" s="16"/>
      <c r="UYJ8" s="16"/>
      <c r="UYK8" s="16"/>
      <c r="UYL8" s="16"/>
      <c r="UYM8" s="16"/>
      <c r="UYN8" s="16"/>
      <c r="UYO8" s="16"/>
      <c r="UYP8" s="16"/>
      <c r="UYQ8" s="16"/>
      <c r="UYR8" s="16"/>
      <c r="UYS8" s="16"/>
      <c r="UYT8" s="16"/>
      <c r="UYU8" s="16"/>
      <c r="UYV8" s="16"/>
      <c r="UYW8" s="16"/>
      <c r="UYX8" s="16"/>
      <c r="UYY8" s="16"/>
      <c r="UYZ8" s="16"/>
      <c r="UZA8" s="16"/>
      <c r="UZB8" s="16"/>
      <c r="UZC8" s="16"/>
      <c r="UZD8" s="16"/>
      <c r="UZE8" s="16"/>
      <c r="UZF8" s="16"/>
      <c r="UZG8" s="16"/>
      <c r="UZH8" s="16"/>
      <c r="UZI8" s="16"/>
      <c r="UZJ8" s="16"/>
      <c r="UZK8" s="16"/>
      <c r="UZL8" s="16"/>
      <c r="UZM8" s="16"/>
      <c r="UZN8" s="16"/>
      <c r="UZO8" s="16"/>
      <c r="UZP8" s="16"/>
      <c r="UZQ8" s="16"/>
      <c r="UZR8" s="16"/>
      <c r="UZS8" s="16"/>
      <c r="UZT8" s="16"/>
      <c r="UZU8" s="16"/>
      <c r="UZV8" s="16"/>
      <c r="UZW8" s="16"/>
      <c r="UZX8" s="16"/>
      <c r="UZY8" s="16"/>
      <c r="UZZ8" s="16"/>
      <c r="VAA8" s="16"/>
      <c r="VAB8" s="16"/>
      <c r="VAC8" s="16"/>
      <c r="VAD8" s="16"/>
      <c r="VAE8" s="16"/>
      <c r="VAF8" s="16"/>
      <c r="VAG8" s="16"/>
      <c r="VAH8" s="16"/>
      <c r="VAI8" s="16"/>
      <c r="VAJ8" s="16"/>
      <c r="VAK8" s="16"/>
      <c r="VAL8" s="16"/>
      <c r="VAM8" s="16"/>
      <c r="VAN8" s="16"/>
      <c r="VAO8" s="16"/>
      <c r="VAP8" s="16"/>
      <c r="VAQ8" s="16"/>
      <c r="VAR8" s="16"/>
      <c r="VAS8" s="16"/>
      <c r="VAT8" s="16"/>
      <c r="VAU8" s="16"/>
      <c r="VAV8" s="16"/>
      <c r="VAW8" s="16"/>
      <c r="VAX8" s="16"/>
      <c r="VAY8" s="16"/>
      <c r="VAZ8" s="16"/>
      <c r="VBA8" s="16"/>
      <c r="VBB8" s="16"/>
      <c r="VBC8" s="16"/>
      <c r="VBD8" s="16"/>
      <c r="VBE8" s="16"/>
      <c r="VBF8" s="16"/>
      <c r="VBG8" s="16"/>
      <c r="VBH8" s="16"/>
      <c r="VBI8" s="16"/>
      <c r="VBJ8" s="16"/>
      <c r="VBK8" s="16"/>
      <c r="VBL8" s="16"/>
      <c r="VBM8" s="16"/>
      <c r="VBN8" s="16"/>
      <c r="VBO8" s="16"/>
      <c r="VBP8" s="16"/>
      <c r="VBQ8" s="16"/>
      <c r="VBR8" s="16"/>
      <c r="VBS8" s="16"/>
      <c r="VBT8" s="16"/>
      <c r="VBU8" s="16"/>
      <c r="VBV8" s="16"/>
      <c r="VBW8" s="16"/>
      <c r="VBX8" s="16"/>
      <c r="VBY8" s="16"/>
      <c r="VBZ8" s="16"/>
      <c r="VCA8" s="16"/>
      <c r="VCB8" s="16"/>
      <c r="VCC8" s="16"/>
      <c r="VCD8" s="16"/>
      <c r="VCE8" s="16"/>
      <c r="VCF8" s="16"/>
      <c r="VCG8" s="16"/>
      <c r="VCH8" s="16"/>
      <c r="VCI8" s="16"/>
      <c r="VCJ8" s="16"/>
      <c r="VCK8" s="16"/>
      <c r="VCL8" s="16"/>
      <c r="VCM8" s="16"/>
      <c r="VCN8" s="16"/>
      <c r="VCO8" s="16"/>
      <c r="VCP8" s="16"/>
      <c r="VCQ8" s="16"/>
      <c r="VCR8" s="16"/>
      <c r="VCS8" s="16"/>
      <c r="VCT8" s="16"/>
      <c r="VCU8" s="16"/>
      <c r="VCV8" s="16"/>
      <c r="VCW8" s="16"/>
      <c r="VCX8" s="16"/>
      <c r="VCY8" s="16"/>
      <c r="VCZ8" s="16"/>
      <c r="VDA8" s="16"/>
      <c r="VDB8" s="16"/>
      <c r="VDC8" s="16"/>
      <c r="VDD8" s="16"/>
      <c r="VDE8" s="16"/>
      <c r="VDF8" s="16"/>
      <c r="VDG8" s="16"/>
      <c r="VDH8" s="16"/>
      <c r="VDI8" s="16"/>
      <c r="VDJ8" s="16"/>
      <c r="VDK8" s="16"/>
      <c r="VDL8" s="16"/>
      <c r="VDM8" s="16"/>
      <c r="VDN8" s="16"/>
      <c r="VDO8" s="16"/>
      <c r="VDP8" s="16"/>
      <c r="VDQ8" s="16"/>
      <c r="VDR8" s="16"/>
      <c r="VDS8" s="16"/>
      <c r="VDT8" s="16"/>
      <c r="VDU8" s="16"/>
      <c r="VDV8" s="16"/>
      <c r="VDW8" s="16"/>
      <c r="VDX8" s="16"/>
      <c r="VDY8" s="16"/>
      <c r="VDZ8" s="16"/>
      <c r="VEA8" s="16"/>
      <c r="VEB8" s="16"/>
      <c r="VEC8" s="16"/>
      <c r="VED8" s="16"/>
      <c r="VEE8" s="16"/>
      <c r="VEF8" s="16"/>
      <c r="VEG8" s="16"/>
      <c r="VEH8" s="16"/>
      <c r="VEI8" s="16"/>
      <c r="VEJ8" s="16"/>
      <c r="VEK8" s="16"/>
      <c r="VEL8" s="16"/>
      <c r="VEM8" s="16"/>
      <c r="VEN8" s="16"/>
      <c r="VEO8" s="16"/>
      <c r="VEP8" s="16"/>
      <c r="VEQ8" s="16"/>
      <c r="VER8" s="16"/>
      <c r="VES8" s="16"/>
      <c r="VET8" s="16"/>
      <c r="VEU8" s="16"/>
      <c r="VEV8" s="16"/>
      <c r="VEW8" s="16"/>
      <c r="VEX8" s="16"/>
      <c r="VEY8" s="16"/>
      <c r="VEZ8" s="16"/>
      <c r="VFA8" s="16"/>
      <c r="VFB8" s="16"/>
      <c r="VFC8" s="16"/>
      <c r="VFD8" s="16"/>
      <c r="VFE8" s="16"/>
      <c r="VFF8" s="16"/>
      <c r="VFG8" s="16"/>
      <c r="VFH8" s="16"/>
      <c r="VFI8" s="16"/>
      <c r="VFJ8" s="16"/>
      <c r="VFK8" s="16"/>
      <c r="VFL8" s="16"/>
      <c r="VFM8" s="16"/>
      <c r="VFN8" s="16"/>
      <c r="VFO8" s="16"/>
      <c r="VFP8" s="16"/>
      <c r="VFQ8" s="16"/>
      <c r="VFR8" s="16"/>
      <c r="VFS8" s="16"/>
      <c r="VFT8" s="16"/>
      <c r="VFU8" s="16"/>
      <c r="VFV8" s="16"/>
      <c r="VFW8" s="16"/>
      <c r="VFX8" s="16"/>
      <c r="VFY8" s="16"/>
      <c r="VFZ8" s="16"/>
      <c r="VGA8" s="16"/>
      <c r="VGB8" s="16"/>
      <c r="VGC8" s="16"/>
      <c r="VGD8" s="16"/>
      <c r="VGE8" s="16"/>
      <c r="VGF8" s="16"/>
      <c r="VGG8" s="16"/>
      <c r="VGH8" s="16"/>
      <c r="VGI8" s="16"/>
      <c r="VGJ8" s="16"/>
      <c r="VGK8" s="16"/>
      <c r="VGL8" s="16"/>
      <c r="VGM8" s="16"/>
      <c r="VGN8" s="16"/>
      <c r="VGO8" s="16"/>
      <c r="VGP8" s="16"/>
      <c r="VGQ8" s="16"/>
      <c r="VGR8" s="16"/>
      <c r="VGS8" s="16"/>
      <c r="VGT8" s="16"/>
      <c r="VGU8" s="16"/>
      <c r="VGV8" s="16"/>
      <c r="VGW8" s="16"/>
      <c r="VGX8" s="16"/>
      <c r="VGY8" s="16"/>
      <c r="VGZ8" s="16"/>
      <c r="VHA8" s="16"/>
      <c r="VHB8" s="16"/>
      <c r="VHC8" s="16"/>
      <c r="VHD8" s="16"/>
      <c r="VHE8" s="16"/>
      <c r="VHF8" s="16"/>
      <c r="VHG8" s="16"/>
      <c r="VHH8" s="16"/>
      <c r="VHI8" s="16"/>
      <c r="VHJ8" s="16"/>
      <c r="VHK8" s="16"/>
      <c r="VHL8" s="16"/>
      <c r="VHM8" s="16"/>
      <c r="VHN8" s="16"/>
      <c r="VHO8" s="16"/>
      <c r="VHP8" s="16"/>
      <c r="VHQ8" s="16"/>
      <c r="VHR8" s="16"/>
      <c r="VHS8" s="16"/>
      <c r="VHT8" s="16"/>
      <c r="VHU8" s="16"/>
      <c r="VHV8" s="16"/>
      <c r="VHW8" s="16"/>
      <c r="VHX8" s="16"/>
      <c r="VHY8" s="16"/>
      <c r="VHZ8" s="16"/>
      <c r="VIA8" s="16"/>
      <c r="VIB8" s="16"/>
      <c r="VIC8" s="16"/>
      <c r="VID8" s="16"/>
      <c r="VIE8" s="16"/>
      <c r="VIF8" s="16"/>
      <c r="VIG8" s="16"/>
      <c r="VIH8" s="16"/>
      <c r="VII8" s="16"/>
      <c r="VIJ8" s="16"/>
      <c r="VIK8" s="16"/>
      <c r="VIL8" s="16"/>
      <c r="VIM8" s="16"/>
      <c r="VIN8" s="16"/>
      <c r="VIO8" s="16"/>
      <c r="VIP8" s="16"/>
      <c r="VIQ8" s="16"/>
      <c r="VIR8" s="16"/>
      <c r="VIS8" s="16"/>
      <c r="VIT8" s="16"/>
      <c r="VIU8" s="16"/>
      <c r="VIV8" s="16"/>
      <c r="VIW8" s="16"/>
      <c r="VIX8" s="16"/>
      <c r="VIY8" s="16"/>
      <c r="VIZ8" s="16"/>
      <c r="VJA8" s="16"/>
      <c r="VJB8" s="16"/>
      <c r="VJC8" s="16"/>
      <c r="VJD8" s="16"/>
      <c r="VJE8" s="16"/>
      <c r="VJF8" s="16"/>
      <c r="VJG8" s="16"/>
      <c r="VJH8" s="16"/>
      <c r="VJI8" s="16"/>
      <c r="VJJ8" s="16"/>
      <c r="VJK8" s="16"/>
      <c r="VJL8" s="16"/>
      <c r="VJM8" s="16"/>
      <c r="VJN8" s="16"/>
      <c r="VJO8" s="16"/>
      <c r="VJP8" s="16"/>
      <c r="VJQ8" s="16"/>
      <c r="VJR8" s="16"/>
      <c r="VJS8" s="16"/>
      <c r="VJT8" s="16"/>
      <c r="VJU8" s="16"/>
      <c r="VJV8" s="16"/>
      <c r="VJW8" s="16"/>
      <c r="VJX8" s="16"/>
      <c r="VJY8" s="16"/>
      <c r="VJZ8" s="16"/>
      <c r="VKA8" s="16"/>
      <c r="VKB8" s="16"/>
      <c r="VKC8" s="16"/>
      <c r="VKD8" s="16"/>
      <c r="VKE8" s="16"/>
      <c r="VKF8" s="16"/>
      <c r="VKG8" s="16"/>
      <c r="VKH8" s="16"/>
      <c r="VKI8" s="16"/>
      <c r="VKJ8" s="16"/>
      <c r="VKK8" s="16"/>
      <c r="VKL8" s="16"/>
      <c r="VKM8" s="16"/>
      <c r="VKN8" s="16"/>
      <c r="VKO8" s="16"/>
      <c r="VKP8" s="16"/>
      <c r="VKQ8" s="16"/>
      <c r="VKR8" s="16"/>
      <c r="VKS8" s="16"/>
      <c r="VKT8" s="16"/>
      <c r="VKU8" s="16"/>
      <c r="VKV8" s="16"/>
      <c r="VKW8" s="16"/>
      <c r="VKX8" s="16"/>
      <c r="VKY8" s="16"/>
      <c r="VKZ8" s="16"/>
      <c r="VLA8" s="16"/>
      <c r="VLB8" s="16"/>
      <c r="VLC8" s="16"/>
      <c r="VLD8" s="16"/>
      <c r="VLE8" s="16"/>
      <c r="VLF8" s="16"/>
      <c r="VLG8" s="16"/>
      <c r="VLH8" s="16"/>
      <c r="VLI8" s="16"/>
      <c r="VLJ8" s="16"/>
      <c r="VLK8" s="16"/>
      <c r="VLL8" s="16"/>
      <c r="VLM8" s="16"/>
      <c r="VLN8" s="16"/>
      <c r="VLO8" s="16"/>
      <c r="VLP8" s="16"/>
      <c r="VLQ8" s="16"/>
      <c r="VLR8" s="16"/>
      <c r="VLS8" s="16"/>
      <c r="VLT8" s="16"/>
      <c r="VLU8" s="16"/>
      <c r="VLV8" s="16"/>
      <c r="VLW8" s="16"/>
      <c r="VLX8" s="16"/>
      <c r="VLY8" s="16"/>
      <c r="VLZ8" s="16"/>
      <c r="VMA8" s="16"/>
      <c r="VMB8" s="16"/>
      <c r="VMC8" s="16"/>
      <c r="VMD8" s="16"/>
      <c r="VME8" s="16"/>
      <c r="VMF8" s="16"/>
      <c r="VMG8" s="16"/>
      <c r="VMH8" s="16"/>
      <c r="VMI8" s="16"/>
      <c r="VMJ8" s="16"/>
      <c r="VMK8" s="16"/>
      <c r="VML8" s="16"/>
      <c r="VMM8" s="16"/>
      <c r="VMN8" s="16"/>
      <c r="VMO8" s="16"/>
      <c r="VMP8" s="16"/>
      <c r="VMQ8" s="16"/>
      <c r="VMR8" s="16"/>
      <c r="VMS8" s="16"/>
      <c r="VMT8" s="16"/>
      <c r="VMU8" s="16"/>
      <c r="VMV8" s="16"/>
      <c r="VMW8" s="16"/>
      <c r="VMX8" s="16"/>
      <c r="VMY8" s="16"/>
      <c r="VMZ8" s="16"/>
      <c r="VNA8" s="16"/>
      <c r="VNB8" s="16"/>
      <c r="VNC8" s="16"/>
      <c r="VND8" s="16"/>
      <c r="VNE8" s="16"/>
      <c r="VNF8" s="16"/>
      <c r="VNG8" s="16"/>
      <c r="VNH8" s="16"/>
      <c r="VNI8" s="16"/>
      <c r="VNJ8" s="16"/>
      <c r="VNK8" s="16"/>
      <c r="VNL8" s="16"/>
      <c r="VNM8" s="16"/>
      <c r="VNN8" s="16"/>
      <c r="VNO8" s="16"/>
      <c r="VNP8" s="16"/>
      <c r="VNQ8" s="16"/>
      <c r="VNR8" s="16"/>
      <c r="VNS8" s="16"/>
      <c r="VNT8" s="16"/>
      <c r="VNU8" s="16"/>
      <c r="VNV8" s="16"/>
      <c r="VNW8" s="16"/>
      <c r="VNX8" s="16"/>
      <c r="VNY8" s="16"/>
      <c r="VNZ8" s="16"/>
      <c r="VOA8" s="16"/>
      <c r="VOB8" s="16"/>
      <c r="VOC8" s="16"/>
      <c r="VOD8" s="16"/>
      <c r="VOE8" s="16"/>
      <c r="VOF8" s="16"/>
      <c r="VOG8" s="16"/>
      <c r="VOH8" s="16"/>
      <c r="VOI8" s="16"/>
      <c r="VOJ8" s="16"/>
      <c r="VOK8" s="16"/>
      <c r="VOL8" s="16"/>
      <c r="VOM8" s="16"/>
      <c r="VON8" s="16"/>
      <c r="VOO8" s="16"/>
      <c r="VOP8" s="16"/>
      <c r="VOQ8" s="16"/>
      <c r="VOR8" s="16"/>
      <c r="VOS8" s="16"/>
      <c r="VOT8" s="16"/>
      <c r="VOU8" s="16"/>
      <c r="VOV8" s="16"/>
      <c r="VOW8" s="16"/>
      <c r="VOX8" s="16"/>
      <c r="VOY8" s="16"/>
      <c r="VOZ8" s="16"/>
      <c r="VPA8" s="16"/>
      <c r="VPB8" s="16"/>
      <c r="VPC8" s="16"/>
      <c r="VPD8" s="16"/>
      <c r="VPE8" s="16"/>
      <c r="VPF8" s="16"/>
      <c r="VPG8" s="16"/>
      <c r="VPH8" s="16"/>
      <c r="VPI8" s="16"/>
      <c r="VPJ8" s="16"/>
      <c r="VPK8" s="16"/>
      <c r="VPL8" s="16"/>
      <c r="VPM8" s="16"/>
      <c r="VPN8" s="16"/>
      <c r="VPO8" s="16"/>
      <c r="VPP8" s="16"/>
      <c r="VPQ8" s="16"/>
      <c r="VPR8" s="16"/>
      <c r="VPS8" s="16"/>
      <c r="VPT8" s="16"/>
      <c r="VPU8" s="16"/>
      <c r="VPV8" s="16"/>
      <c r="VPW8" s="16"/>
      <c r="VPX8" s="16"/>
      <c r="VPY8" s="16"/>
      <c r="VPZ8" s="16"/>
      <c r="VQA8" s="16"/>
      <c r="VQB8" s="16"/>
      <c r="VQC8" s="16"/>
      <c r="VQD8" s="16"/>
      <c r="VQE8" s="16"/>
      <c r="VQF8" s="16"/>
      <c r="VQG8" s="16"/>
      <c r="VQH8" s="16"/>
      <c r="VQI8" s="16"/>
      <c r="VQJ8" s="16"/>
      <c r="VQK8" s="16"/>
      <c r="VQL8" s="16"/>
      <c r="VQM8" s="16"/>
      <c r="VQN8" s="16"/>
      <c r="VQO8" s="16"/>
      <c r="VQP8" s="16"/>
      <c r="VQQ8" s="16"/>
      <c r="VQR8" s="16"/>
      <c r="VQS8" s="16"/>
      <c r="VQT8" s="16"/>
      <c r="VQU8" s="16"/>
      <c r="VQV8" s="16"/>
      <c r="VQW8" s="16"/>
      <c r="VQX8" s="16"/>
      <c r="VQY8" s="16"/>
      <c r="VQZ8" s="16"/>
      <c r="VRA8" s="16"/>
      <c r="VRB8" s="16"/>
      <c r="VRC8" s="16"/>
      <c r="VRD8" s="16"/>
      <c r="VRE8" s="16"/>
      <c r="VRF8" s="16"/>
      <c r="VRG8" s="16"/>
      <c r="VRH8" s="16"/>
      <c r="VRI8" s="16"/>
      <c r="VRJ8" s="16"/>
      <c r="VRK8" s="16"/>
      <c r="VRL8" s="16"/>
      <c r="VRM8" s="16"/>
      <c r="VRN8" s="16"/>
      <c r="VRO8" s="16"/>
      <c r="VRP8" s="16"/>
      <c r="VRQ8" s="16"/>
      <c r="VRR8" s="16"/>
      <c r="VRS8" s="16"/>
      <c r="VRT8" s="16"/>
      <c r="VRU8" s="16"/>
      <c r="VRV8" s="16"/>
      <c r="VRW8" s="16"/>
      <c r="VRX8" s="16"/>
      <c r="VRY8" s="16"/>
      <c r="VRZ8" s="16"/>
      <c r="VSA8" s="16"/>
      <c r="VSB8" s="16"/>
      <c r="VSC8" s="16"/>
      <c r="VSD8" s="16"/>
      <c r="VSE8" s="16"/>
      <c r="VSF8" s="16"/>
      <c r="VSG8" s="16"/>
      <c r="VSH8" s="16"/>
      <c r="VSI8" s="16"/>
      <c r="VSJ8" s="16"/>
      <c r="VSK8" s="16"/>
      <c r="VSL8" s="16"/>
      <c r="VSM8" s="16"/>
      <c r="VSN8" s="16"/>
      <c r="VSO8" s="16"/>
      <c r="VSP8" s="16"/>
      <c r="VSQ8" s="16"/>
      <c r="VSR8" s="16"/>
      <c r="VSS8" s="16"/>
      <c r="VST8" s="16"/>
      <c r="VSU8" s="16"/>
      <c r="VSV8" s="16"/>
      <c r="VSW8" s="16"/>
      <c r="VSX8" s="16"/>
      <c r="VSY8" s="16"/>
      <c r="VSZ8" s="16"/>
      <c r="VTA8" s="16"/>
      <c r="VTB8" s="16"/>
      <c r="VTC8" s="16"/>
      <c r="VTD8" s="16"/>
      <c r="VTE8" s="16"/>
      <c r="VTF8" s="16"/>
      <c r="VTG8" s="16"/>
      <c r="VTH8" s="16"/>
      <c r="VTI8" s="16"/>
      <c r="VTJ8" s="16"/>
      <c r="VTK8" s="16"/>
      <c r="VTL8" s="16"/>
      <c r="VTM8" s="16"/>
      <c r="VTN8" s="16"/>
      <c r="VTO8" s="16"/>
      <c r="VTP8" s="16"/>
      <c r="VTQ8" s="16"/>
      <c r="VTR8" s="16"/>
      <c r="VTS8" s="16"/>
      <c r="VTT8" s="16"/>
      <c r="VTU8" s="16"/>
      <c r="VTV8" s="16"/>
      <c r="VTW8" s="16"/>
      <c r="VTX8" s="16"/>
      <c r="VTY8" s="16"/>
      <c r="VTZ8" s="16"/>
      <c r="VUA8" s="16"/>
      <c r="VUB8" s="16"/>
      <c r="VUC8" s="16"/>
      <c r="VUD8" s="16"/>
      <c r="VUE8" s="16"/>
      <c r="VUF8" s="16"/>
      <c r="VUG8" s="16"/>
      <c r="VUH8" s="16"/>
      <c r="VUI8" s="16"/>
      <c r="VUJ8" s="16"/>
      <c r="VUK8" s="16"/>
      <c r="VUL8" s="16"/>
      <c r="VUM8" s="16"/>
      <c r="VUN8" s="16"/>
      <c r="VUO8" s="16"/>
      <c r="VUP8" s="16"/>
      <c r="VUQ8" s="16"/>
      <c r="VUR8" s="16"/>
      <c r="VUS8" s="16"/>
      <c r="VUT8" s="16"/>
      <c r="VUU8" s="16"/>
      <c r="VUV8" s="16"/>
      <c r="VUW8" s="16"/>
      <c r="VUX8" s="16"/>
      <c r="VUY8" s="16"/>
      <c r="VUZ8" s="16"/>
      <c r="VVA8" s="16"/>
      <c r="VVB8" s="16"/>
      <c r="VVC8" s="16"/>
      <c r="VVD8" s="16"/>
      <c r="VVE8" s="16"/>
      <c r="VVF8" s="16"/>
      <c r="VVG8" s="16"/>
      <c r="VVH8" s="16"/>
      <c r="VVI8" s="16"/>
      <c r="VVJ8" s="16"/>
      <c r="VVK8" s="16"/>
      <c r="VVL8" s="16"/>
      <c r="VVM8" s="16"/>
      <c r="VVN8" s="16"/>
      <c r="VVO8" s="16"/>
      <c r="VVP8" s="16"/>
      <c r="VVQ8" s="16"/>
      <c r="VVR8" s="16"/>
      <c r="VVS8" s="16"/>
      <c r="VVT8" s="16"/>
      <c r="VVU8" s="16"/>
      <c r="VVV8" s="16"/>
      <c r="VVW8" s="16"/>
      <c r="VVX8" s="16"/>
      <c r="VVY8" s="16"/>
      <c r="VVZ8" s="16"/>
      <c r="VWA8" s="16"/>
      <c r="VWB8" s="16"/>
      <c r="VWC8" s="16"/>
      <c r="VWD8" s="16"/>
      <c r="VWE8" s="16"/>
      <c r="VWF8" s="16"/>
      <c r="VWG8" s="16"/>
      <c r="VWH8" s="16"/>
      <c r="VWI8" s="16"/>
      <c r="VWJ8" s="16"/>
      <c r="VWK8" s="16"/>
      <c r="VWL8" s="16"/>
      <c r="VWM8" s="16"/>
      <c r="VWN8" s="16"/>
      <c r="VWO8" s="16"/>
      <c r="VWP8" s="16"/>
      <c r="VWQ8" s="16"/>
      <c r="VWR8" s="16"/>
      <c r="VWS8" s="16"/>
      <c r="VWT8" s="16"/>
      <c r="VWU8" s="16"/>
      <c r="VWV8" s="16"/>
      <c r="VWW8" s="16"/>
      <c r="VWX8" s="16"/>
      <c r="VWY8" s="16"/>
      <c r="VWZ8" s="16"/>
      <c r="VXA8" s="16"/>
      <c r="VXB8" s="16"/>
      <c r="VXC8" s="16"/>
      <c r="VXD8" s="16"/>
      <c r="VXE8" s="16"/>
      <c r="VXF8" s="16"/>
      <c r="VXG8" s="16"/>
      <c r="VXH8" s="16"/>
      <c r="VXI8" s="16"/>
      <c r="VXJ8" s="16"/>
      <c r="VXK8" s="16"/>
      <c r="VXL8" s="16"/>
      <c r="VXM8" s="16"/>
      <c r="VXN8" s="16"/>
      <c r="VXO8" s="16"/>
      <c r="VXP8" s="16"/>
      <c r="VXQ8" s="16"/>
      <c r="VXR8" s="16"/>
      <c r="VXS8" s="16"/>
      <c r="VXT8" s="16"/>
      <c r="VXU8" s="16"/>
      <c r="VXV8" s="16"/>
      <c r="VXW8" s="16"/>
      <c r="VXX8" s="16"/>
      <c r="VXY8" s="16"/>
      <c r="VXZ8" s="16"/>
      <c r="VYA8" s="16"/>
      <c r="VYB8" s="16"/>
      <c r="VYC8" s="16"/>
      <c r="VYD8" s="16"/>
      <c r="VYE8" s="16"/>
      <c r="VYF8" s="16"/>
      <c r="VYG8" s="16"/>
      <c r="VYH8" s="16"/>
      <c r="VYI8" s="16"/>
      <c r="VYJ8" s="16"/>
      <c r="VYK8" s="16"/>
      <c r="VYL8" s="16"/>
      <c r="VYM8" s="16"/>
      <c r="VYN8" s="16"/>
      <c r="VYO8" s="16"/>
      <c r="VYP8" s="16"/>
      <c r="VYQ8" s="16"/>
      <c r="VYR8" s="16"/>
      <c r="VYS8" s="16"/>
      <c r="VYT8" s="16"/>
      <c r="VYU8" s="16"/>
      <c r="VYV8" s="16"/>
      <c r="VYW8" s="16"/>
      <c r="VYX8" s="16"/>
      <c r="VYY8" s="16"/>
      <c r="VYZ8" s="16"/>
      <c r="VZA8" s="16"/>
      <c r="VZB8" s="16"/>
      <c r="VZC8" s="16"/>
      <c r="VZD8" s="16"/>
      <c r="VZE8" s="16"/>
      <c r="VZF8" s="16"/>
      <c r="VZG8" s="16"/>
      <c r="VZH8" s="16"/>
      <c r="VZI8" s="16"/>
      <c r="VZJ8" s="16"/>
      <c r="VZK8" s="16"/>
      <c r="VZL8" s="16"/>
      <c r="VZM8" s="16"/>
      <c r="VZN8" s="16"/>
      <c r="VZO8" s="16"/>
      <c r="VZP8" s="16"/>
      <c r="VZQ8" s="16"/>
      <c r="VZR8" s="16"/>
      <c r="VZS8" s="16"/>
      <c r="VZT8" s="16"/>
      <c r="VZU8" s="16"/>
      <c r="VZV8" s="16"/>
      <c r="VZW8" s="16"/>
      <c r="VZX8" s="16"/>
      <c r="VZY8" s="16"/>
      <c r="VZZ8" s="16"/>
      <c r="WAA8" s="16"/>
      <c r="WAB8" s="16"/>
      <c r="WAC8" s="16"/>
      <c r="WAD8" s="16"/>
      <c r="WAE8" s="16"/>
      <c r="WAF8" s="16"/>
      <c r="WAG8" s="16"/>
      <c r="WAH8" s="16"/>
      <c r="WAI8" s="16"/>
      <c r="WAJ8" s="16"/>
      <c r="WAK8" s="16"/>
      <c r="WAL8" s="16"/>
      <c r="WAM8" s="16"/>
      <c r="WAN8" s="16"/>
      <c r="WAO8" s="16"/>
      <c r="WAP8" s="16"/>
      <c r="WAQ8" s="16"/>
      <c r="WAR8" s="16"/>
      <c r="WAS8" s="16"/>
      <c r="WAT8" s="16"/>
      <c r="WAU8" s="16"/>
      <c r="WAV8" s="16"/>
      <c r="WAW8" s="16"/>
      <c r="WAX8" s="16"/>
      <c r="WAY8" s="16"/>
      <c r="WAZ8" s="16"/>
      <c r="WBA8" s="16"/>
      <c r="WBB8" s="16"/>
      <c r="WBC8" s="16"/>
      <c r="WBD8" s="16"/>
      <c r="WBE8" s="16"/>
      <c r="WBF8" s="16"/>
      <c r="WBG8" s="16"/>
      <c r="WBH8" s="16"/>
      <c r="WBI8" s="16"/>
      <c r="WBJ8" s="16"/>
      <c r="WBK8" s="16"/>
      <c r="WBL8" s="16"/>
      <c r="WBM8" s="16"/>
      <c r="WBN8" s="16"/>
      <c r="WBO8" s="16"/>
      <c r="WBP8" s="16"/>
      <c r="WBQ8" s="16"/>
      <c r="WBR8" s="16"/>
      <c r="WBS8" s="16"/>
      <c r="WBT8" s="16"/>
      <c r="WBU8" s="16"/>
      <c r="WBV8" s="16"/>
      <c r="WBW8" s="16"/>
      <c r="WBX8" s="16"/>
      <c r="WBY8" s="16"/>
      <c r="WBZ8" s="16"/>
      <c r="WCA8" s="16"/>
      <c r="WCB8" s="16"/>
      <c r="WCC8" s="16"/>
      <c r="WCD8" s="16"/>
      <c r="WCE8" s="16"/>
      <c r="WCF8" s="16"/>
      <c r="WCG8" s="16"/>
      <c r="WCH8" s="16"/>
      <c r="WCI8" s="16"/>
      <c r="WCJ8" s="16"/>
      <c r="WCK8" s="16"/>
      <c r="WCL8" s="16"/>
      <c r="WCM8" s="16"/>
      <c r="WCN8" s="16"/>
      <c r="WCO8" s="16"/>
      <c r="WCP8" s="16"/>
      <c r="WCQ8" s="16"/>
      <c r="WCR8" s="16"/>
      <c r="WCS8" s="16"/>
      <c r="WCT8" s="16"/>
      <c r="WCU8" s="16"/>
      <c r="WCV8" s="16"/>
      <c r="WCW8" s="16"/>
      <c r="WCX8" s="16"/>
      <c r="WCY8" s="16"/>
      <c r="WCZ8" s="16"/>
      <c r="WDA8" s="16"/>
      <c r="WDB8" s="16"/>
      <c r="WDC8" s="16"/>
      <c r="WDD8" s="16"/>
      <c r="WDE8" s="16"/>
      <c r="WDF8" s="16"/>
      <c r="WDG8" s="16"/>
      <c r="WDH8" s="16"/>
      <c r="WDI8" s="16"/>
      <c r="WDJ8" s="16"/>
      <c r="WDK8" s="16"/>
      <c r="WDL8" s="16"/>
      <c r="WDM8" s="16"/>
      <c r="WDN8" s="16"/>
      <c r="WDO8" s="16"/>
      <c r="WDP8" s="16"/>
      <c r="WDQ8" s="16"/>
      <c r="WDR8" s="16"/>
      <c r="WDS8" s="16"/>
      <c r="WDT8" s="16"/>
      <c r="WDU8" s="16"/>
      <c r="WDV8" s="16"/>
      <c r="WDW8" s="16"/>
      <c r="WDX8" s="16"/>
      <c r="WDY8" s="16"/>
      <c r="WDZ8" s="16"/>
      <c r="WEA8" s="16"/>
      <c r="WEB8" s="16"/>
      <c r="WEC8" s="16"/>
      <c r="WED8" s="16"/>
      <c r="WEE8" s="16"/>
      <c r="WEF8" s="16"/>
      <c r="WEG8" s="16"/>
      <c r="WEH8" s="16"/>
      <c r="WEI8" s="16"/>
      <c r="WEJ8" s="16"/>
      <c r="WEK8" s="16"/>
      <c r="WEL8" s="16"/>
      <c r="WEM8" s="16"/>
      <c r="WEN8" s="16"/>
      <c r="WEO8" s="16"/>
      <c r="WEP8" s="16"/>
      <c r="WEQ8" s="16"/>
      <c r="WER8" s="16"/>
      <c r="WES8" s="16"/>
      <c r="WET8" s="16"/>
      <c r="WEU8" s="16"/>
      <c r="WEV8" s="16"/>
      <c r="WEW8" s="16"/>
      <c r="WEX8" s="16"/>
      <c r="WEY8" s="16"/>
      <c r="WEZ8" s="16"/>
      <c r="WFA8" s="16"/>
      <c r="WFB8" s="16"/>
      <c r="WFC8" s="16"/>
      <c r="WFD8" s="16"/>
      <c r="WFE8" s="16"/>
      <c r="WFF8" s="16"/>
      <c r="WFG8" s="16"/>
      <c r="WFH8" s="16"/>
      <c r="WFI8" s="16"/>
      <c r="WFJ8" s="16"/>
      <c r="WFK8" s="16"/>
      <c r="WFL8" s="16"/>
      <c r="WFM8" s="16"/>
      <c r="WFN8" s="16"/>
      <c r="WFO8" s="16"/>
      <c r="WFP8" s="16"/>
      <c r="WFQ8" s="16"/>
      <c r="WFR8" s="16"/>
      <c r="WFS8" s="16"/>
      <c r="WFT8" s="16"/>
      <c r="WFU8" s="16"/>
      <c r="WFV8" s="16"/>
      <c r="WFW8" s="16"/>
      <c r="WFX8" s="16"/>
      <c r="WFY8" s="16"/>
      <c r="WFZ8" s="16"/>
      <c r="WGA8" s="16"/>
      <c r="WGB8" s="16"/>
      <c r="WGC8" s="16"/>
      <c r="WGD8" s="16"/>
      <c r="WGE8" s="16"/>
      <c r="WGF8" s="16"/>
      <c r="WGG8" s="16"/>
      <c r="WGH8" s="16"/>
      <c r="WGI8" s="16"/>
      <c r="WGJ8" s="16"/>
      <c r="WGK8" s="16"/>
      <c r="WGL8" s="16"/>
      <c r="WGM8" s="16"/>
      <c r="WGN8" s="16"/>
      <c r="WGO8" s="16"/>
      <c r="WGP8" s="16"/>
      <c r="WGQ8" s="16"/>
      <c r="WGR8" s="16"/>
      <c r="WGS8" s="16"/>
      <c r="WGT8" s="16"/>
      <c r="WGU8" s="16"/>
      <c r="WGV8" s="16"/>
      <c r="WGW8" s="16"/>
      <c r="WGX8" s="16"/>
      <c r="WGY8" s="16"/>
      <c r="WGZ8" s="16"/>
      <c r="WHA8" s="16"/>
      <c r="WHB8" s="16"/>
      <c r="WHC8" s="16"/>
      <c r="WHD8" s="16"/>
      <c r="WHE8" s="16"/>
      <c r="WHF8" s="16"/>
      <c r="WHG8" s="16"/>
      <c r="WHH8" s="16"/>
      <c r="WHI8" s="16"/>
      <c r="WHJ8" s="16"/>
      <c r="WHK8" s="16"/>
      <c r="WHL8" s="16"/>
      <c r="WHM8" s="16"/>
      <c r="WHN8" s="16"/>
      <c r="WHO8" s="16"/>
      <c r="WHP8" s="16"/>
      <c r="WHQ8" s="16"/>
      <c r="WHR8" s="16"/>
      <c r="WHS8" s="16"/>
      <c r="WHT8" s="16"/>
      <c r="WHU8" s="16"/>
      <c r="WHV8" s="16"/>
      <c r="WHW8" s="16"/>
      <c r="WHX8" s="16"/>
      <c r="WHY8" s="16"/>
      <c r="WHZ8" s="16"/>
      <c r="WIA8" s="16"/>
      <c r="WIB8" s="16"/>
      <c r="WIC8" s="16"/>
      <c r="WID8" s="16"/>
      <c r="WIE8" s="16"/>
      <c r="WIF8" s="16"/>
      <c r="WIG8" s="16"/>
      <c r="WIH8" s="16"/>
      <c r="WII8" s="16"/>
      <c r="WIJ8" s="16"/>
      <c r="WIK8" s="16"/>
      <c r="WIL8" s="16"/>
      <c r="WIM8" s="16"/>
      <c r="WIN8" s="16"/>
      <c r="WIO8" s="16"/>
      <c r="WIP8" s="16"/>
      <c r="WIQ8" s="16"/>
      <c r="WIR8" s="16"/>
      <c r="WIS8" s="16"/>
      <c r="WIT8" s="16"/>
      <c r="WIU8" s="16"/>
      <c r="WIV8" s="16"/>
      <c r="WIW8" s="16"/>
      <c r="WIX8" s="16"/>
      <c r="WIY8" s="16"/>
      <c r="WIZ8" s="16"/>
      <c r="WJA8" s="16"/>
      <c r="WJB8" s="16"/>
      <c r="WJC8" s="16"/>
      <c r="WJD8" s="16"/>
      <c r="WJE8" s="16"/>
      <c r="WJF8" s="16"/>
      <c r="WJG8" s="16"/>
      <c r="WJH8" s="16"/>
      <c r="WJI8" s="16"/>
      <c r="WJJ8" s="16"/>
      <c r="WJK8" s="16"/>
      <c r="WJL8" s="16"/>
      <c r="WJM8" s="16"/>
      <c r="WJN8" s="16"/>
      <c r="WJO8" s="16"/>
      <c r="WJP8" s="16"/>
      <c r="WJQ8" s="16"/>
      <c r="WJR8" s="16"/>
      <c r="WJS8" s="16"/>
      <c r="WJT8" s="16"/>
      <c r="WJU8" s="16"/>
      <c r="WJV8" s="16"/>
      <c r="WJW8" s="16"/>
      <c r="WJX8" s="16"/>
      <c r="WJY8" s="16"/>
      <c r="WJZ8" s="16"/>
      <c r="WKA8" s="16"/>
      <c r="WKB8" s="16"/>
      <c r="WKC8" s="16"/>
      <c r="WKD8" s="16"/>
      <c r="WKE8" s="16"/>
      <c r="WKF8" s="16"/>
      <c r="WKG8" s="16"/>
      <c r="WKH8" s="16"/>
      <c r="WKI8" s="16"/>
      <c r="WKJ8" s="16"/>
      <c r="WKK8" s="16"/>
      <c r="WKL8" s="16"/>
      <c r="WKM8" s="16"/>
      <c r="WKN8" s="16"/>
      <c r="WKO8" s="16"/>
      <c r="WKP8" s="16"/>
      <c r="WKQ8" s="16"/>
      <c r="WKR8" s="16"/>
      <c r="WKS8" s="16"/>
      <c r="WKT8" s="16"/>
      <c r="WKU8" s="16"/>
      <c r="WKV8" s="16"/>
      <c r="WKW8" s="16"/>
      <c r="WKX8" s="16"/>
      <c r="WKY8" s="16"/>
      <c r="WKZ8" s="16"/>
      <c r="WLA8" s="16"/>
      <c r="WLB8" s="16"/>
      <c r="WLC8" s="16"/>
      <c r="WLD8" s="16"/>
      <c r="WLE8" s="16"/>
      <c r="WLF8" s="16"/>
      <c r="WLG8" s="16"/>
      <c r="WLH8" s="16"/>
      <c r="WLI8" s="16"/>
      <c r="WLJ8" s="16"/>
      <c r="WLK8" s="16"/>
      <c r="WLL8" s="16"/>
      <c r="WLM8" s="16"/>
      <c r="WLN8" s="16"/>
      <c r="WLO8" s="16"/>
      <c r="WLP8" s="16"/>
      <c r="WLQ8" s="16"/>
      <c r="WLR8" s="16"/>
      <c r="WLS8" s="16"/>
      <c r="WLT8" s="16"/>
      <c r="WLU8" s="16"/>
      <c r="WLV8" s="16"/>
      <c r="WLW8" s="16"/>
      <c r="WLX8" s="16"/>
      <c r="WLY8" s="16"/>
      <c r="WLZ8" s="16"/>
      <c r="WMA8" s="16"/>
      <c r="WMB8" s="16"/>
      <c r="WMC8" s="16"/>
      <c r="WMD8" s="16"/>
      <c r="WME8" s="16"/>
      <c r="WMF8" s="16"/>
      <c r="WMG8" s="16"/>
      <c r="WMH8" s="16"/>
      <c r="WMI8" s="16"/>
      <c r="WMJ8" s="16"/>
      <c r="WMK8" s="16"/>
      <c r="WML8" s="16"/>
      <c r="WMM8" s="16"/>
      <c r="WMN8" s="16"/>
      <c r="WMO8" s="16"/>
      <c r="WMP8" s="16"/>
      <c r="WMQ8" s="16"/>
      <c r="WMR8" s="16"/>
      <c r="WMS8" s="16"/>
      <c r="WMT8" s="16"/>
      <c r="WMU8" s="16"/>
      <c r="WMV8" s="16"/>
      <c r="WMW8" s="16"/>
      <c r="WMX8" s="16"/>
      <c r="WMY8" s="16"/>
      <c r="WMZ8" s="16"/>
      <c r="WNA8" s="16"/>
      <c r="WNB8" s="16"/>
      <c r="WNC8" s="16"/>
      <c r="WND8" s="16"/>
      <c r="WNE8" s="16"/>
      <c r="WNF8" s="16"/>
      <c r="WNG8" s="16"/>
      <c r="WNH8" s="16"/>
      <c r="WNI8" s="16"/>
      <c r="WNJ8" s="16"/>
      <c r="WNK8" s="16"/>
      <c r="WNL8" s="16"/>
      <c r="WNM8" s="16"/>
      <c r="WNN8" s="16"/>
      <c r="WNO8" s="16"/>
      <c r="WNP8" s="16"/>
      <c r="WNQ8" s="16"/>
      <c r="WNR8" s="16"/>
      <c r="WNS8" s="16"/>
      <c r="WNT8" s="16"/>
      <c r="WNU8" s="16"/>
      <c r="WNV8" s="16"/>
      <c r="WNW8" s="16"/>
      <c r="WNX8" s="16"/>
      <c r="WNY8" s="16"/>
      <c r="WNZ8" s="16"/>
      <c r="WOA8" s="16"/>
      <c r="WOB8" s="16"/>
      <c r="WOC8" s="16"/>
      <c r="WOD8" s="16"/>
      <c r="WOE8" s="16"/>
      <c r="WOF8" s="16"/>
      <c r="WOG8" s="16"/>
      <c r="WOH8" s="16"/>
      <c r="WOI8" s="16"/>
      <c r="WOJ8" s="16"/>
      <c r="WOK8" s="16"/>
      <c r="WOL8" s="16"/>
      <c r="WOM8" s="16"/>
      <c r="WON8" s="16"/>
      <c r="WOO8" s="16"/>
      <c r="WOP8" s="16"/>
      <c r="WOQ8" s="16"/>
      <c r="WOR8" s="16"/>
      <c r="WOS8" s="16"/>
      <c r="WOT8" s="16"/>
      <c r="WOU8" s="16"/>
      <c r="WOV8" s="16"/>
      <c r="WOW8" s="16"/>
      <c r="WOX8" s="16"/>
      <c r="WOY8" s="16"/>
      <c r="WOZ8" s="16"/>
      <c r="WPA8" s="16"/>
      <c r="WPB8" s="16"/>
      <c r="WPC8" s="16"/>
      <c r="WPD8" s="16"/>
      <c r="WPE8" s="16"/>
      <c r="WPF8" s="16"/>
      <c r="WPG8" s="16"/>
      <c r="WPH8" s="16"/>
      <c r="WPI8" s="16"/>
      <c r="WPJ8" s="16"/>
      <c r="WPK8" s="16"/>
      <c r="WPL8" s="16"/>
      <c r="WPM8" s="16"/>
      <c r="WPN8" s="16"/>
      <c r="WPO8" s="16"/>
      <c r="WPP8" s="16"/>
      <c r="WPQ8" s="16"/>
      <c r="WPR8" s="16"/>
      <c r="WPS8" s="16"/>
      <c r="WPT8" s="16"/>
      <c r="WPU8" s="16"/>
      <c r="WPV8" s="16"/>
      <c r="WPW8" s="16"/>
      <c r="WPX8" s="16"/>
      <c r="WPY8" s="16"/>
      <c r="WPZ8" s="16"/>
      <c r="WQA8" s="16"/>
      <c r="WQB8" s="16"/>
      <c r="WQC8" s="16"/>
      <c r="WQD8" s="16"/>
      <c r="WQE8" s="16"/>
      <c r="WQF8" s="16"/>
      <c r="WQG8" s="16"/>
      <c r="WQH8" s="16"/>
      <c r="WQI8" s="16"/>
      <c r="WQJ8" s="16"/>
      <c r="WQK8" s="16"/>
      <c r="WQL8" s="16"/>
      <c r="WQM8" s="16"/>
      <c r="WQN8" s="16"/>
      <c r="WQO8" s="16"/>
      <c r="WQP8" s="16"/>
      <c r="WQQ8" s="16"/>
      <c r="WQR8" s="16"/>
      <c r="WQS8" s="16"/>
      <c r="WQT8" s="16"/>
      <c r="WQU8" s="16"/>
      <c r="WQV8" s="16"/>
      <c r="WQW8" s="16"/>
      <c r="WQX8" s="16"/>
      <c r="WQY8" s="16"/>
      <c r="WQZ8" s="16"/>
      <c r="WRA8" s="16"/>
      <c r="WRB8" s="16"/>
      <c r="WRC8" s="16"/>
      <c r="WRD8" s="16"/>
      <c r="WRE8" s="16"/>
      <c r="WRF8" s="16"/>
      <c r="WRG8" s="16"/>
      <c r="WRH8" s="16"/>
      <c r="WRI8" s="16"/>
      <c r="WRJ8" s="16"/>
      <c r="WRK8" s="16"/>
      <c r="WRL8" s="16"/>
      <c r="WRM8" s="16"/>
      <c r="WRN8" s="16"/>
      <c r="WRO8" s="16"/>
      <c r="WRP8" s="16"/>
      <c r="WRQ8" s="16"/>
      <c r="WRR8" s="16"/>
      <c r="WRS8" s="16"/>
      <c r="WRT8" s="16"/>
      <c r="WRU8" s="16"/>
      <c r="WRV8" s="16"/>
      <c r="WRW8" s="16"/>
      <c r="WRX8" s="16"/>
      <c r="WRY8" s="16"/>
      <c r="WRZ8" s="16"/>
      <c r="WSA8" s="16"/>
      <c r="WSB8" s="16"/>
      <c r="WSC8" s="16"/>
      <c r="WSD8" s="16"/>
      <c r="WSE8" s="16"/>
      <c r="WSF8" s="16"/>
      <c r="WSG8" s="16"/>
      <c r="WSH8" s="16"/>
      <c r="WSI8" s="16"/>
      <c r="WSJ8" s="16"/>
      <c r="WSK8" s="16"/>
      <c r="WSL8" s="16"/>
      <c r="WSM8" s="16"/>
      <c r="WSN8" s="16"/>
      <c r="WSO8" s="16"/>
      <c r="WSP8" s="16"/>
      <c r="WSQ8" s="16"/>
      <c r="WSR8" s="16"/>
      <c r="WSS8" s="16"/>
      <c r="WST8" s="16"/>
      <c r="WSU8" s="16"/>
      <c r="WSV8" s="16"/>
      <c r="WSW8" s="16"/>
      <c r="WSX8" s="16"/>
      <c r="WSY8" s="16"/>
      <c r="WSZ8" s="16"/>
      <c r="WTA8" s="16"/>
      <c r="WTB8" s="16"/>
      <c r="WTC8" s="16"/>
      <c r="WTD8" s="16"/>
      <c r="WTE8" s="16"/>
      <c r="WTF8" s="16"/>
      <c r="WTG8" s="16"/>
      <c r="WTH8" s="16"/>
      <c r="WTI8" s="16"/>
      <c r="WTJ8" s="16"/>
      <c r="WTK8" s="16"/>
      <c r="WTL8" s="16"/>
      <c r="WTM8" s="16"/>
      <c r="WTN8" s="16"/>
      <c r="WTO8" s="16"/>
      <c r="WTP8" s="16"/>
      <c r="WTQ8" s="16"/>
      <c r="WTR8" s="16"/>
      <c r="WTS8" s="16"/>
      <c r="WTT8" s="16"/>
      <c r="WTU8" s="16"/>
      <c r="WTV8" s="16"/>
      <c r="WTW8" s="16"/>
      <c r="WTX8" s="16"/>
      <c r="WTY8" s="16"/>
      <c r="WTZ8" s="16"/>
      <c r="WUA8" s="16"/>
      <c r="WUB8" s="16"/>
      <c r="WUC8" s="16"/>
      <c r="WUD8" s="16"/>
      <c r="WUE8" s="16"/>
      <c r="WUF8" s="16"/>
      <c r="WUG8" s="16"/>
      <c r="WUH8" s="16"/>
      <c r="WUI8" s="16"/>
      <c r="WUJ8" s="16"/>
      <c r="WUK8" s="16"/>
      <c r="WUL8" s="16"/>
      <c r="WUM8" s="16"/>
      <c r="WUN8" s="16"/>
      <c r="WUO8" s="16"/>
      <c r="WUP8" s="16"/>
      <c r="WUQ8" s="16"/>
      <c r="WUR8" s="16"/>
      <c r="WUS8" s="16"/>
      <c r="WUT8" s="16"/>
      <c r="WUU8" s="16"/>
      <c r="WUV8" s="16"/>
      <c r="WUW8" s="16"/>
      <c r="WUX8" s="16"/>
      <c r="WUY8" s="16"/>
      <c r="WUZ8" s="16"/>
      <c r="WVA8" s="16"/>
      <c r="WVB8" s="16"/>
      <c r="WVC8" s="16"/>
      <c r="WVD8" s="16"/>
      <c r="WVE8" s="16"/>
      <c r="WVF8" s="16"/>
      <c r="WVG8" s="16"/>
      <c r="WVH8" s="16"/>
      <c r="WVI8" s="16"/>
      <c r="WVJ8" s="16"/>
      <c r="WVK8" s="16"/>
      <c r="WVL8" s="16"/>
      <c r="WVM8" s="16"/>
      <c r="WVN8" s="16"/>
      <c r="WVO8" s="16"/>
      <c r="WVP8" s="16"/>
      <c r="WVQ8" s="16"/>
      <c r="WVR8" s="16"/>
      <c r="WVS8" s="16"/>
      <c r="WVT8" s="16"/>
      <c r="WVU8" s="16"/>
      <c r="WVV8" s="16"/>
      <c r="WVW8" s="16"/>
      <c r="WVX8" s="16"/>
      <c r="WVY8" s="16"/>
      <c r="WVZ8" s="16"/>
      <c r="WWA8" s="16"/>
      <c r="WWB8" s="16"/>
      <c r="WWC8" s="16"/>
      <c r="WWD8" s="16"/>
      <c r="WWE8" s="16"/>
      <c r="WWF8" s="16"/>
      <c r="WWG8" s="16"/>
      <c r="WWH8" s="16"/>
      <c r="WWI8" s="16"/>
      <c r="WWJ8" s="16"/>
      <c r="WWK8" s="16"/>
      <c r="WWL8" s="16"/>
      <c r="WWM8" s="16"/>
      <c r="WWN8" s="16"/>
      <c r="WWO8" s="16"/>
      <c r="WWP8" s="16"/>
      <c r="WWQ8" s="16"/>
      <c r="WWR8" s="16"/>
      <c r="WWS8" s="16"/>
      <c r="WWT8" s="16"/>
      <c r="WWU8" s="16"/>
      <c r="WWV8" s="16"/>
      <c r="WWW8" s="16"/>
      <c r="WWX8" s="16"/>
      <c r="WWY8" s="16"/>
      <c r="WWZ8" s="16"/>
      <c r="WXA8" s="16"/>
      <c r="WXB8" s="16"/>
      <c r="WXC8" s="16"/>
      <c r="WXD8" s="16"/>
      <c r="WXE8" s="16"/>
      <c r="WXF8" s="16"/>
      <c r="WXG8" s="16"/>
      <c r="WXH8" s="16"/>
      <c r="WXI8" s="16"/>
      <c r="WXJ8" s="16"/>
      <c r="WXK8" s="16"/>
      <c r="WXL8" s="16"/>
      <c r="WXM8" s="16"/>
      <c r="WXN8" s="16"/>
      <c r="WXO8" s="16"/>
      <c r="WXP8" s="16"/>
      <c r="WXQ8" s="16"/>
      <c r="WXR8" s="16"/>
      <c r="WXS8" s="16"/>
      <c r="WXT8" s="16"/>
      <c r="WXU8" s="16"/>
      <c r="WXV8" s="16"/>
      <c r="WXW8" s="16"/>
      <c r="WXX8" s="16"/>
      <c r="WXY8" s="16"/>
      <c r="WXZ8" s="16"/>
      <c r="WYA8" s="16"/>
      <c r="WYB8" s="16"/>
      <c r="WYC8" s="16"/>
      <c r="WYD8" s="16"/>
      <c r="WYE8" s="16"/>
      <c r="WYF8" s="16"/>
      <c r="WYG8" s="16"/>
      <c r="WYH8" s="16"/>
      <c r="WYI8" s="16"/>
      <c r="WYJ8" s="16"/>
      <c r="WYK8" s="16"/>
      <c r="WYL8" s="16"/>
      <c r="WYM8" s="16"/>
      <c r="WYN8" s="16"/>
      <c r="WYO8" s="16"/>
      <c r="WYP8" s="16"/>
      <c r="WYQ8" s="16"/>
      <c r="WYR8" s="16"/>
      <c r="WYS8" s="16"/>
      <c r="WYT8" s="16"/>
      <c r="WYU8" s="16"/>
      <c r="WYV8" s="16"/>
      <c r="WYW8" s="16"/>
      <c r="WYX8" s="16"/>
      <c r="WYY8" s="16"/>
      <c r="WYZ8" s="16"/>
      <c r="WZA8" s="16"/>
      <c r="WZB8" s="16"/>
      <c r="WZC8" s="16"/>
      <c r="WZD8" s="16"/>
      <c r="WZE8" s="16"/>
      <c r="WZF8" s="16"/>
      <c r="WZG8" s="16"/>
      <c r="WZH8" s="16"/>
      <c r="WZI8" s="16"/>
      <c r="WZJ8" s="16"/>
      <c r="WZK8" s="16"/>
      <c r="WZL8" s="16"/>
      <c r="WZM8" s="16"/>
      <c r="WZN8" s="16"/>
      <c r="WZO8" s="16"/>
      <c r="WZP8" s="16"/>
      <c r="WZQ8" s="16"/>
      <c r="WZR8" s="16"/>
      <c r="WZS8" s="16"/>
      <c r="WZT8" s="16"/>
      <c r="WZU8" s="16"/>
      <c r="WZV8" s="16"/>
      <c r="WZW8" s="16"/>
      <c r="WZX8" s="16"/>
      <c r="WZY8" s="16"/>
      <c r="WZZ8" s="16"/>
      <c r="XAA8" s="16"/>
      <c r="XAB8" s="16"/>
      <c r="XAC8" s="16"/>
      <c r="XAD8" s="16"/>
      <c r="XAE8" s="16"/>
      <c r="XAF8" s="16"/>
      <c r="XAG8" s="16"/>
      <c r="XAH8" s="16"/>
      <c r="XAI8" s="16"/>
      <c r="XAJ8" s="16"/>
      <c r="XAK8" s="16"/>
      <c r="XAL8" s="16"/>
      <c r="XAM8" s="16"/>
      <c r="XAN8" s="16"/>
      <c r="XAO8" s="16"/>
      <c r="XAP8" s="16"/>
      <c r="XAQ8" s="16"/>
      <c r="XAR8" s="16"/>
      <c r="XAS8" s="16"/>
      <c r="XAT8" s="16"/>
      <c r="XAU8" s="16"/>
      <c r="XAV8" s="16"/>
      <c r="XAW8" s="16"/>
      <c r="XAX8" s="16"/>
      <c r="XAY8" s="16"/>
      <c r="XAZ8" s="16"/>
      <c r="XBA8" s="16"/>
      <c r="XBB8" s="16"/>
      <c r="XBC8" s="16"/>
      <c r="XBD8" s="16"/>
      <c r="XBE8" s="16"/>
      <c r="XBF8" s="16"/>
      <c r="XBG8" s="16"/>
      <c r="XBH8" s="16"/>
      <c r="XBI8" s="16"/>
      <c r="XBJ8" s="16"/>
      <c r="XBK8" s="16"/>
      <c r="XBL8" s="16"/>
      <c r="XBM8" s="16"/>
      <c r="XBN8" s="16"/>
      <c r="XBO8" s="16"/>
      <c r="XBP8" s="16"/>
      <c r="XBQ8" s="16"/>
      <c r="XBR8" s="16"/>
      <c r="XBS8" s="16"/>
      <c r="XBT8" s="16"/>
      <c r="XBU8" s="16"/>
      <c r="XBV8" s="16"/>
      <c r="XBW8" s="16"/>
      <c r="XBX8" s="16"/>
      <c r="XBY8" s="16"/>
      <c r="XBZ8" s="16"/>
      <c r="XCA8" s="16"/>
      <c r="XCB8" s="16"/>
      <c r="XCC8" s="16"/>
      <c r="XCD8" s="16"/>
      <c r="XCE8" s="16"/>
      <c r="XCF8" s="16"/>
      <c r="XCG8" s="16"/>
      <c r="XCH8" s="16"/>
      <c r="XCI8" s="16"/>
      <c r="XCJ8" s="16"/>
      <c r="XCK8" s="16"/>
      <c r="XCL8" s="16"/>
      <c r="XCM8" s="16"/>
      <c r="XCN8" s="16"/>
      <c r="XCO8" s="16"/>
      <c r="XCP8" s="16"/>
      <c r="XCQ8" s="16"/>
      <c r="XCR8" s="16"/>
      <c r="XCS8" s="16"/>
      <c r="XCT8" s="16"/>
      <c r="XCU8" s="16"/>
      <c r="XCV8" s="16"/>
      <c r="XCW8" s="16"/>
      <c r="XCX8" s="16"/>
      <c r="XCY8" s="16"/>
      <c r="XCZ8" s="16"/>
      <c r="XDA8" s="16"/>
      <c r="XDB8" s="16"/>
      <c r="XDC8" s="16"/>
      <c r="XDD8" s="16"/>
      <c r="XDE8" s="16"/>
      <c r="XDF8" s="16"/>
      <c r="XDG8" s="16"/>
      <c r="XDH8" s="16"/>
      <c r="XDI8" s="16"/>
      <c r="XDJ8" s="16"/>
      <c r="XDK8" s="16"/>
      <c r="XDL8" s="16"/>
      <c r="XDM8" s="16"/>
      <c r="XDN8" s="16"/>
      <c r="XDO8" s="16"/>
      <c r="XDP8" s="16"/>
      <c r="XDQ8" s="16"/>
      <c r="XDR8" s="16"/>
      <c r="XDS8" s="16"/>
      <c r="XDT8" s="16"/>
      <c r="XDU8" s="16"/>
      <c r="XDV8" s="16"/>
      <c r="XDW8" s="16"/>
      <c r="XDX8" s="16"/>
      <c r="XDY8" s="16"/>
      <c r="XDZ8" s="16"/>
      <c r="XEA8" s="16"/>
      <c r="XEB8" s="16"/>
      <c r="XEC8" s="16"/>
      <c r="XED8" s="16"/>
      <c r="XEE8" s="16"/>
      <c r="XEF8" s="16"/>
      <c r="XEG8" s="16"/>
      <c r="XEH8" s="16"/>
      <c r="XEI8" s="16"/>
      <c r="XEJ8" s="16"/>
      <c r="XEK8" s="16"/>
      <c r="XEL8" s="16"/>
      <c r="XEM8" s="16"/>
      <c r="XEN8" s="16"/>
      <c r="XEO8" s="16"/>
      <c r="XEP8" s="16"/>
      <c r="XEQ8" s="16"/>
      <c r="XER8" s="16"/>
      <c r="XES8" s="16"/>
      <c r="XET8" s="16"/>
      <c r="XEU8" s="16"/>
      <c r="XEV8" s="16"/>
      <c r="XEW8" s="16"/>
      <c r="XEX8" s="16"/>
      <c r="XEY8" s="16"/>
      <c r="XEZ8" s="16"/>
      <c r="XFA8" s="16"/>
      <c r="XFB8" s="16"/>
      <c r="XFC8" s="16"/>
      <c r="XFD8" s="16"/>
    </row>
    <row r="9" spans="1:16384" ht="37.950000000000003" customHeight="1" x14ac:dyDescent="0.3">
      <c r="B9" s="6"/>
      <c r="C9" s="18" t="s">
        <v>5</v>
      </c>
      <c r="D9" s="19"/>
      <c r="E9" s="20"/>
      <c r="F9" s="21">
        <v>5</v>
      </c>
      <c r="G9" s="24"/>
      <c r="H9" s="25"/>
    </row>
    <row r="10" spans="1:16384" ht="37.950000000000003" customHeight="1" x14ac:dyDescent="0.3">
      <c r="B10" s="6"/>
      <c r="C10" s="18" t="s">
        <v>6</v>
      </c>
      <c r="D10" s="19"/>
      <c r="E10" s="20"/>
      <c r="F10" s="21">
        <v>11</v>
      </c>
      <c r="G10" s="24"/>
      <c r="H10" s="25"/>
    </row>
    <row r="11" spans="1:16384" ht="37.950000000000003" customHeight="1" x14ac:dyDescent="0.3">
      <c r="B11" s="6"/>
      <c r="C11" s="18" t="s">
        <v>7</v>
      </c>
      <c r="D11" s="19"/>
      <c r="E11" s="20"/>
      <c r="F11" s="21">
        <v>36</v>
      </c>
      <c r="G11" s="24"/>
      <c r="H11" s="25"/>
    </row>
    <row r="12" spans="1:16384" ht="37.950000000000003" customHeight="1" x14ac:dyDescent="0.3">
      <c r="B12" s="6"/>
      <c r="C12" s="18" t="s">
        <v>8</v>
      </c>
      <c r="D12" s="19"/>
      <c r="E12" s="20"/>
      <c r="F12" s="21">
        <v>158</v>
      </c>
      <c r="G12" s="24"/>
      <c r="H12" s="25"/>
    </row>
    <row r="13" spans="1:16384" ht="37.950000000000003" customHeight="1" x14ac:dyDescent="0.3">
      <c r="B13" s="6"/>
      <c r="C13" s="18" t="s">
        <v>9</v>
      </c>
      <c r="D13" s="19"/>
      <c r="E13" s="20"/>
      <c r="F13" s="21">
        <v>238</v>
      </c>
      <c r="G13" s="24"/>
      <c r="H13" s="25"/>
    </row>
    <row r="14" spans="1:16384" ht="37.950000000000003" customHeight="1" x14ac:dyDescent="0.3">
      <c r="B14" s="6"/>
      <c r="C14" s="18" t="s">
        <v>10</v>
      </c>
      <c r="D14" s="19"/>
      <c r="E14" s="20"/>
      <c r="F14" s="21">
        <v>268</v>
      </c>
      <c r="G14" s="24"/>
      <c r="H14" s="25"/>
    </row>
    <row r="15" spans="1:16384" ht="37.950000000000003" customHeight="1" x14ac:dyDescent="0.3">
      <c r="B15" s="6"/>
      <c r="C15" s="18" t="s">
        <v>11</v>
      </c>
      <c r="D15" s="19"/>
      <c r="E15" s="20"/>
      <c r="F15" s="21">
        <v>299</v>
      </c>
      <c r="G15" s="24"/>
      <c r="H15" s="25"/>
    </row>
    <row r="16" spans="1:16384" ht="37.950000000000003" customHeight="1" x14ac:dyDescent="0.3">
      <c r="B16" s="6"/>
      <c r="C16" s="18" t="s">
        <v>12</v>
      </c>
      <c r="D16" s="19"/>
      <c r="E16" s="20"/>
      <c r="F16" s="21">
        <v>339</v>
      </c>
      <c r="G16" s="24"/>
      <c r="H16" s="25"/>
    </row>
    <row r="17" spans="2:8" ht="37.950000000000003" customHeight="1" x14ac:dyDescent="0.3">
      <c r="B17" s="6"/>
      <c r="C17" s="18" t="s">
        <v>13</v>
      </c>
      <c r="D17" s="19"/>
      <c r="E17" s="20"/>
      <c r="F17" s="21">
        <v>488</v>
      </c>
      <c r="G17" s="24"/>
      <c r="H17" s="25"/>
    </row>
    <row r="18" spans="2:8" x14ac:dyDescent="0.3">
      <c r="B18" s="6"/>
      <c r="C18" s="24"/>
      <c r="D18" s="24"/>
      <c r="E18" s="24"/>
      <c r="F18" s="24"/>
      <c r="G18" s="24"/>
      <c r="H18" s="25"/>
    </row>
    <row r="19" spans="2:8" x14ac:dyDescent="0.3">
      <c r="B19" s="6"/>
      <c r="C19" s="24"/>
      <c r="D19" s="24"/>
      <c r="E19" s="24"/>
      <c r="F19" s="24"/>
      <c r="G19" s="24"/>
      <c r="H19" s="25"/>
    </row>
    <row r="20" spans="2:8" x14ac:dyDescent="0.3">
      <c r="B20" s="6"/>
      <c r="C20" s="24"/>
      <c r="D20" s="24"/>
      <c r="E20" s="24"/>
      <c r="F20" s="24"/>
      <c r="G20" s="24"/>
      <c r="H20" s="25"/>
    </row>
    <row r="21" spans="2:8" ht="15" thickBot="1" x14ac:dyDescent="0.35">
      <c r="B21" s="26"/>
      <c r="C21" s="27"/>
      <c r="D21" s="27"/>
      <c r="E21" s="27"/>
      <c r="F21" s="27"/>
      <c r="G21" s="27"/>
      <c r="H21" s="28"/>
    </row>
  </sheetData>
  <mergeCells count="13">
    <mergeCell ref="C17:E17"/>
    <mergeCell ref="C11:E11"/>
    <mergeCell ref="C12:E12"/>
    <mergeCell ref="C13:E13"/>
    <mergeCell ref="C14:E14"/>
    <mergeCell ref="C15:E15"/>
    <mergeCell ref="C16:E16"/>
    <mergeCell ref="C3:H3"/>
    <mergeCell ref="D5:E5"/>
    <mergeCell ref="D6:E6"/>
    <mergeCell ref="C8:E8"/>
    <mergeCell ref="C9:E9"/>
    <mergeCell ref="C10:E10"/>
  </mergeCells>
  <conditionalFormatting sqref="D5:E5">
    <cfRule type="cellIs" dxfId="3" priority="2" stopIfTrue="1" operator="equal">
      <formula>0</formula>
    </cfRule>
  </conditionalFormatting>
  <conditionalFormatting sqref="D6:E6">
    <cfRule type="cellIs" dxfId="2" priority="1" stopIfTrue="1" operator="equal">
      <formula>0</formula>
    </cfRule>
  </conditionalFormatting>
  <hyperlinks>
    <hyperlink ref="C10" location="BR!A1" display="Brake System"/>
    <hyperlink ref="C11" location="EN!A1" display="Engine and Drivetrain "/>
    <hyperlink ref="C12" location="FR!A1" display="Frame &amp; Body "/>
    <hyperlink ref="C13" location="EL!A1" display="Electrical"/>
    <hyperlink ref="C14" location="MS!A1" display="Miscellaneous, Finish and Assembly "/>
    <hyperlink ref="C15" location="ST!A1" display="Steering System "/>
    <hyperlink ref="C16" location="SU!A1" display="Suspension System "/>
    <hyperlink ref="C17" location="WT!A1" display="Wheels, Wheel Bearings and Tires "/>
    <hyperlink ref="C9" location="BOM!A1" display="BOM"/>
    <hyperlink ref="A8" location="'Cost Summary'!A1" display="'Cost Summary'!A1"/>
    <hyperlink ref="B8" location="'Cost Summary'!A1" display="'Cost Summary'!A1"/>
    <hyperlink ref="G8" location="'Cost Summary'!A1" display="'Cost Summary'!A1"/>
    <hyperlink ref="H8" location="'Cost Summary'!A1" display="'Cost Summary'!A1"/>
    <hyperlink ref="I8" location="'Cost Summary'!A1" display="'Cost Summary'!A1"/>
    <hyperlink ref="J8" location="'Cost Summary'!A1" display="'Cost Summary'!A1"/>
    <hyperlink ref="K8" location="'Cost Summary'!A1" display="'Cost Summary'!A1"/>
    <hyperlink ref="L8" location="'Cost Summary'!A1" display="'Cost Summary'!A1"/>
    <hyperlink ref="M8" location="'Cost Summary'!A1" display="'Cost Summary'!A1"/>
    <hyperlink ref="N8" location="'Cost Summary'!A1" display="'Cost Summary'!A1"/>
    <hyperlink ref="O8" location="'Cost Summary'!A1" display="'Cost Summary'!A1"/>
    <hyperlink ref="P8" location="'Cost Summary'!A1" display="'Cost Summary'!A1"/>
    <hyperlink ref="Q8" location="'Cost Summary'!A1" display="'Cost Summary'!A1"/>
    <hyperlink ref="R8" location="'Cost Summary'!A1" display="'Cost Summary'!A1"/>
    <hyperlink ref="S8" location="'Cost Summary'!A1" display="'Cost Summary'!A1"/>
    <hyperlink ref="T8" location="'Cost Summary'!A1" display="'Cost Summary'!A1"/>
    <hyperlink ref="U8" location="'Cost Summary'!A1" display="'Cost Summary'!A1"/>
    <hyperlink ref="V8" location="'Cost Summary'!A1" display="'Cost Summary'!A1"/>
    <hyperlink ref="W8" location="'Cost Summary'!A1" display="'Cost Summary'!A1"/>
    <hyperlink ref="X8" location="'Cost Summary'!A1" display="'Cost Summary'!A1"/>
    <hyperlink ref="Y8" location="'Cost Summary'!A1" display="'Cost Summary'!A1"/>
    <hyperlink ref="Z8" location="'Cost Summary'!A1" display="'Cost Summary'!A1"/>
    <hyperlink ref="AA8" location="'Cost Summary'!A1" display="'Cost Summary'!A1"/>
    <hyperlink ref="AB8" location="'Cost Summary'!A1" display="'Cost Summary'!A1"/>
    <hyperlink ref="AC8" location="'Cost Summary'!A1" display="'Cost Summary'!A1"/>
    <hyperlink ref="AD8" location="'Cost Summary'!A1" display="'Cost Summary'!A1"/>
    <hyperlink ref="AE8" location="'Cost Summary'!A1" display="'Cost Summary'!A1"/>
    <hyperlink ref="AF8" location="'Cost Summary'!A1" display="'Cost Summary'!A1"/>
    <hyperlink ref="AG8" location="'Cost Summary'!A1" display="'Cost Summary'!A1"/>
    <hyperlink ref="AH8" location="'Cost Summary'!A1" display="'Cost Summary'!A1"/>
    <hyperlink ref="AI8" location="'Cost Summary'!A1" display="'Cost Summary'!A1"/>
    <hyperlink ref="AJ8" location="'Cost Summary'!A1" display="'Cost Summary'!A1"/>
    <hyperlink ref="AK8" location="'Cost Summary'!A1" display="'Cost Summary'!A1"/>
    <hyperlink ref="AL8" location="'Cost Summary'!A1" display="'Cost Summary'!A1"/>
    <hyperlink ref="AM8" location="'Cost Summary'!A1" display="'Cost Summary'!A1"/>
    <hyperlink ref="AN8" location="'Cost Summary'!A1" display="'Cost Summary'!A1"/>
    <hyperlink ref="AO8" location="'Cost Summary'!A1" display="'Cost Summary'!A1"/>
    <hyperlink ref="AP8" location="'Cost Summary'!A1" display="'Cost Summary'!A1"/>
    <hyperlink ref="AQ8" location="'Cost Summary'!A1" display="'Cost Summary'!A1"/>
    <hyperlink ref="AR8" location="'Cost Summary'!A1" display="'Cost Summary'!A1"/>
    <hyperlink ref="AS8" location="'Cost Summary'!A1" display="'Cost Summary'!A1"/>
    <hyperlink ref="AT8" location="'Cost Summary'!A1" display="'Cost Summary'!A1"/>
    <hyperlink ref="AU8" location="'Cost Summary'!A1" display="'Cost Summary'!A1"/>
    <hyperlink ref="AV8" location="'Cost Summary'!A1" display="'Cost Summary'!A1"/>
    <hyperlink ref="AW8" location="'Cost Summary'!A1" display="'Cost Summary'!A1"/>
    <hyperlink ref="AX8" location="'Cost Summary'!A1" display="'Cost Summary'!A1"/>
    <hyperlink ref="AY8" location="'Cost Summary'!A1" display="'Cost Summary'!A1"/>
    <hyperlink ref="AZ8" location="'Cost Summary'!A1" display="'Cost Summary'!A1"/>
    <hyperlink ref="BA8" location="'Cost Summary'!A1" display="'Cost Summary'!A1"/>
    <hyperlink ref="BB8" location="'Cost Summary'!A1" display="'Cost Summary'!A1"/>
    <hyperlink ref="BC8" location="'Cost Summary'!A1" display="'Cost Summary'!A1"/>
    <hyperlink ref="BD8" location="'Cost Summary'!A1" display="'Cost Summary'!A1"/>
    <hyperlink ref="BE8" location="'Cost Summary'!A1" display="'Cost Summary'!A1"/>
    <hyperlink ref="BF8" location="'Cost Summary'!A1" display="'Cost Summary'!A1"/>
    <hyperlink ref="BG8" location="'Cost Summary'!A1" display="'Cost Summary'!A1"/>
    <hyperlink ref="BH8" location="'Cost Summary'!A1" display="'Cost Summary'!A1"/>
    <hyperlink ref="BI8" location="'Cost Summary'!A1" display="'Cost Summary'!A1"/>
    <hyperlink ref="BJ8" location="'Cost Summary'!A1" display="'Cost Summary'!A1"/>
    <hyperlink ref="BK8" location="'Cost Summary'!A1" display="'Cost Summary'!A1"/>
    <hyperlink ref="BL8" location="'Cost Summary'!A1" display="'Cost Summary'!A1"/>
    <hyperlink ref="BM8" location="'Cost Summary'!A1" display="'Cost Summary'!A1"/>
    <hyperlink ref="BN8" location="'Cost Summary'!A1" display="'Cost Summary'!A1"/>
    <hyperlink ref="BO8" location="'Cost Summary'!A1" display="'Cost Summary'!A1"/>
    <hyperlink ref="BP8" location="'Cost Summary'!A1" display="'Cost Summary'!A1"/>
    <hyperlink ref="BQ8" location="'Cost Summary'!A1" display="'Cost Summary'!A1"/>
    <hyperlink ref="BR8" location="'Cost Summary'!A1" display="'Cost Summary'!A1"/>
    <hyperlink ref="BS8" location="'Cost Summary'!A1" display="'Cost Summary'!A1"/>
    <hyperlink ref="BT8" location="'Cost Summary'!A1" display="'Cost Summary'!A1"/>
    <hyperlink ref="BU8" location="'Cost Summary'!A1" display="'Cost Summary'!A1"/>
    <hyperlink ref="BV8" location="'Cost Summary'!A1" display="'Cost Summary'!A1"/>
    <hyperlink ref="BW8" location="'Cost Summary'!A1" display="'Cost Summary'!A1"/>
    <hyperlink ref="BX8" location="'Cost Summary'!A1" display="'Cost Summary'!A1"/>
    <hyperlink ref="BY8" location="'Cost Summary'!A1" display="'Cost Summary'!A1"/>
    <hyperlink ref="BZ8" location="'Cost Summary'!A1" display="'Cost Summary'!A1"/>
    <hyperlink ref="CA8" location="'Cost Summary'!A1" display="'Cost Summary'!A1"/>
    <hyperlink ref="CB8" location="'Cost Summary'!A1" display="'Cost Summary'!A1"/>
    <hyperlink ref="CC8" location="'Cost Summary'!A1" display="'Cost Summary'!A1"/>
    <hyperlink ref="CD8" location="'Cost Summary'!A1" display="'Cost Summary'!A1"/>
    <hyperlink ref="CE8" location="'Cost Summary'!A1" display="'Cost Summary'!A1"/>
    <hyperlink ref="CF8" location="'Cost Summary'!A1" display="'Cost Summary'!A1"/>
    <hyperlink ref="CG8" location="'Cost Summary'!A1" display="'Cost Summary'!A1"/>
    <hyperlink ref="CH8" location="'Cost Summary'!A1" display="'Cost Summary'!A1"/>
    <hyperlink ref="CI8" location="'Cost Summary'!A1" display="'Cost Summary'!A1"/>
    <hyperlink ref="CJ8" location="'Cost Summary'!A1" display="'Cost Summary'!A1"/>
    <hyperlink ref="CK8" location="'Cost Summary'!A1" display="'Cost Summary'!A1"/>
    <hyperlink ref="CL8" location="'Cost Summary'!A1" display="'Cost Summary'!A1"/>
    <hyperlink ref="CM8" location="'Cost Summary'!A1" display="'Cost Summary'!A1"/>
    <hyperlink ref="CN8" location="'Cost Summary'!A1" display="'Cost Summary'!A1"/>
    <hyperlink ref="CO8" location="'Cost Summary'!A1" display="'Cost Summary'!A1"/>
    <hyperlink ref="CP8" location="'Cost Summary'!A1" display="'Cost Summary'!A1"/>
    <hyperlink ref="CQ8" location="'Cost Summary'!A1" display="'Cost Summary'!A1"/>
    <hyperlink ref="CR8" location="'Cost Summary'!A1" display="'Cost Summary'!A1"/>
    <hyperlink ref="CS8" location="'Cost Summary'!A1" display="'Cost Summary'!A1"/>
    <hyperlink ref="CT8" location="'Cost Summary'!A1" display="'Cost Summary'!A1"/>
    <hyperlink ref="CU8" location="'Cost Summary'!A1" display="'Cost Summary'!A1"/>
    <hyperlink ref="CV8" location="'Cost Summary'!A1" display="'Cost Summary'!A1"/>
    <hyperlink ref="CW8" location="'Cost Summary'!A1" display="'Cost Summary'!A1"/>
    <hyperlink ref="CX8" location="'Cost Summary'!A1" display="'Cost Summary'!A1"/>
    <hyperlink ref="CY8" location="'Cost Summary'!A1" display="'Cost Summary'!A1"/>
    <hyperlink ref="CZ8" location="'Cost Summary'!A1" display="'Cost Summary'!A1"/>
    <hyperlink ref="DA8" location="'Cost Summary'!A1" display="'Cost Summary'!A1"/>
    <hyperlink ref="DB8" location="'Cost Summary'!A1" display="'Cost Summary'!A1"/>
    <hyperlink ref="DC8" location="'Cost Summary'!A1" display="'Cost Summary'!A1"/>
    <hyperlink ref="DD8" location="'Cost Summary'!A1" display="'Cost Summary'!A1"/>
    <hyperlink ref="DE8" location="'Cost Summary'!A1" display="'Cost Summary'!A1"/>
    <hyperlink ref="DF8" location="'Cost Summary'!A1" display="'Cost Summary'!A1"/>
    <hyperlink ref="DG8" location="'Cost Summary'!A1" display="'Cost Summary'!A1"/>
    <hyperlink ref="DH8" location="'Cost Summary'!A1" display="'Cost Summary'!A1"/>
    <hyperlink ref="DI8" location="'Cost Summary'!A1" display="'Cost Summary'!A1"/>
    <hyperlink ref="DJ8" location="'Cost Summary'!A1" display="'Cost Summary'!A1"/>
    <hyperlink ref="DK8" location="'Cost Summary'!A1" display="'Cost Summary'!A1"/>
    <hyperlink ref="DL8" location="'Cost Summary'!A1" display="'Cost Summary'!A1"/>
    <hyperlink ref="DM8" location="'Cost Summary'!A1" display="'Cost Summary'!A1"/>
    <hyperlink ref="DN8" location="'Cost Summary'!A1" display="'Cost Summary'!A1"/>
    <hyperlink ref="DO8" location="'Cost Summary'!A1" display="'Cost Summary'!A1"/>
    <hyperlink ref="DP8" location="'Cost Summary'!A1" display="'Cost Summary'!A1"/>
    <hyperlink ref="DQ8" location="'Cost Summary'!A1" display="'Cost Summary'!A1"/>
    <hyperlink ref="DR8" location="'Cost Summary'!A1" display="'Cost Summary'!A1"/>
    <hyperlink ref="DS8" location="'Cost Summary'!A1" display="'Cost Summary'!A1"/>
    <hyperlink ref="DT8" location="'Cost Summary'!A1" display="'Cost Summary'!A1"/>
    <hyperlink ref="DU8" location="'Cost Summary'!A1" display="'Cost Summary'!A1"/>
    <hyperlink ref="DV8" location="'Cost Summary'!A1" display="'Cost Summary'!A1"/>
    <hyperlink ref="DW8" location="'Cost Summary'!A1" display="'Cost Summary'!A1"/>
    <hyperlink ref="DX8" location="'Cost Summary'!A1" display="'Cost Summary'!A1"/>
    <hyperlink ref="DY8" location="'Cost Summary'!A1" display="'Cost Summary'!A1"/>
    <hyperlink ref="DZ8" location="'Cost Summary'!A1" display="'Cost Summary'!A1"/>
    <hyperlink ref="EA8" location="'Cost Summary'!A1" display="'Cost Summary'!A1"/>
    <hyperlink ref="EB8" location="'Cost Summary'!A1" display="'Cost Summary'!A1"/>
    <hyperlink ref="EC8" location="'Cost Summary'!A1" display="'Cost Summary'!A1"/>
    <hyperlink ref="ED8" location="'Cost Summary'!A1" display="'Cost Summary'!A1"/>
    <hyperlink ref="EE8" location="'Cost Summary'!A1" display="'Cost Summary'!A1"/>
    <hyperlink ref="EF8" location="'Cost Summary'!A1" display="'Cost Summary'!A1"/>
    <hyperlink ref="EG8" location="'Cost Summary'!A1" display="'Cost Summary'!A1"/>
    <hyperlink ref="EH8" location="'Cost Summary'!A1" display="'Cost Summary'!A1"/>
    <hyperlink ref="EI8" location="'Cost Summary'!A1" display="'Cost Summary'!A1"/>
    <hyperlink ref="EJ8" location="'Cost Summary'!A1" display="'Cost Summary'!A1"/>
    <hyperlink ref="EK8" location="'Cost Summary'!A1" display="'Cost Summary'!A1"/>
    <hyperlink ref="EL8" location="'Cost Summary'!A1" display="'Cost Summary'!A1"/>
    <hyperlink ref="EM8" location="'Cost Summary'!A1" display="'Cost Summary'!A1"/>
    <hyperlink ref="EN8" location="'Cost Summary'!A1" display="'Cost Summary'!A1"/>
    <hyperlink ref="EO8" location="'Cost Summary'!A1" display="'Cost Summary'!A1"/>
    <hyperlink ref="EP8" location="'Cost Summary'!A1" display="'Cost Summary'!A1"/>
    <hyperlink ref="EQ8" location="'Cost Summary'!A1" display="'Cost Summary'!A1"/>
    <hyperlink ref="ER8" location="'Cost Summary'!A1" display="'Cost Summary'!A1"/>
    <hyperlink ref="ES8" location="'Cost Summary'!A1" display="'Cost Summary'!A1"/>
    <hyperlink ref="ET8" location="'Cost Summary'!A1" display="'Cost Summary'!A1"/>
    <hyperlink ref="EU8" location="'Cost Summary'!A1" display="'Cost Summary'!A1"/>
    <hyperlink ref="EV8" location="'Cost Summary'!A1" display="'Cost Summary'!A1"/>
    <hyperlink ref="EW8" location="'Cost Summary'!A1" display="'Cost Summary'!A1"/>
    <hyperlink ref="EX8" location="'Cost Summary'!A1" display="'Cost Summary'!A1"/>
    <hyperlink ref="EY8" location="'Cost Summary'!A1" display="'Cost Summary'!A1"/>
    <hyperlink ref="EZ8" location="'Cost Summary'!A1" display="'Cost Summary'!A1"/>
    <hyperlink ref="FA8" location="'Cost Summary'!A1" display="'Cost Summary'!A1"/>
    <hyperlink ref="FB8" location="'Cost Summary'!A1" display="'Cost Summary'!A1"/>
    <hyperlink ref="FC8" location="'Cost Summary'!A1" display="'Cost Summary'!A1"/>
    <hyperlink ref="FD8" location="'Cost Summary'!A1" display="'Cost Summary'!A1"/>
    <hyperlink ref="FE8" location="'Cost Summary'!A1" display="'Cost Summary'!A1"/>
    <hyperlink ref="FF8" location="'Cost Summary'!A1" display="'Cost Summary'!A1"/>
    <hyperlink ref="FG8" location="'Cost Summary'!A1" display="'Cost Summary'!A1"/>
    <hyperlink ref="FH8" location="'Cost Summary'!A1" display="'Cost Summary'!A1"/>
    <hyperlink ref="FI8" location="'Cost Summary'!A1" display="'Cost Summary'!A1"/>
    <hyperlink ref="FJ8" location="'Cost Summary'!A1" display="'Cost Summary'!A1"/>
    <hyperlink ref="FK8" location="'Cost Summary'!A1" display="'Cost Summary'!A1"/>
    <hyperlink ref="FL8" location="'Cost Summary'!A1" display="'Cost Summary'!A1"/>
    <hyperlink ref="FM8" location="'Cost Summary'!A1" display="'Cost Summary'!A1"/>
    <hyperlink ref="FN8" location="'Cost Summary'!A1" display="'Cost Summary'!A1"/>
    <hyperlink ref="FO8" location="'Cost Summary'!A1" display="'Cost Summary'!A1"/>
    <hyperlink ref="FP8" location="'Cost Summary'!A1" display="'Cost Summary'!A1"/>
    <hyperlink ref="FQ8" location="'Cost Summary'!A1" display="'Cost Summary'!A1"/>
    <hyperlink ref="FR8" location="'Cost Summary'!A1" display="'Cost Summary'!A1"/>
    <hyperlink ref="FS8" location="'Cost Summary'!A1" display="'Cost Summary'!A1"/>
    <hyperlink ref="FT8" location="'Cost Summary'!A1" display="'Cost Summary'!A1"/>
    <hyperlink ref="FU8" location="'Cost Summary'!A1" display="'Cost Summary'!A1"/>
    <hyperlink ref="FV8" location="'Cost Summary'!A1" display="'Cost Summary'!A1"/>
    <hyperlink ref="FW8" location="'Cost Summary'!A1" display="'Cost Summary'!A1"/>
    <hyperlink ref="FX8" location="'Cost Summary'!A1" display="'Cost Summary'!A1"/>
    <hyperlink ref="FY8" location="'Cost Summary'!A1" display="'Cost Summary'!A1"/>
    <hyperlink ref="FZ8" location="'Cost Summary'!A1" display="'Cost Summary'!A1"/>
    <hyperlink ref="GA8" location="'Cost Summary'!A1" display="'Cost Summary'!A1"/>
    <hyperlink ref="GB8" location="'Cost Summary'!A1" display="'Cost Summary'!A1"/>
    <hyperlink ref="GC8" location="'Cost Summary'!A1" display="'Cost Summary'!A1"/>
    <hyperlink ref="GD8" location="'Cost Summary'!A1" display="'Cost Summary'!A1"/>
    <hyperlink ref="GE8" location="'Cost Summary'!A1" display="'Cost Summary'!A1"/>
    <hyperlink ref="GF8" location="'Cost Summary'!A1" display="'Cost Summary'!A1"/>
    <hyperlink ref="GG8" location="'Cost Summary'!A1" display="'Cost Summary'!A1"/>
    <hyperlink ref="GH8" location="'Cost Summary'!A1" display="'Cost Summary'!A1"/>
    <hyperlink ref="GI8" location="'Cost Summary'!A1" display="'Cost Summary'!A1"/>
    <hyperlink ref="GJ8" location="'Cost Summary'!A1" display="'Cost Summary'!A1"/>
    <hyperlink ref="GK8" location="'Cost Summary'!A1" display="'Cost Summary'!A1"/>
    <hyperlink ref="GL8" location="'Cost Summary'!A1" display="'Cost Summary'!A1"/>
    <hyperlink ref="GM8" location="'Cost Summary'!A1" display="'Cost Summary'!A1"/>
    <hyperlink ref="GN8" location="'Cost Summary'!A1" display="'Cost Summary'!A1"/>
    <hyperlink ref="GO8" location="'Cost Summary'!A1" display="'Cost Summary'!A1"/>
    <hyperlink ref="GP8" location="'Cost Summary'!A1" display="'Cost Summary'!A1"/>
    <hyperlink ref="GQ8" location="'Cost Summary'!A1" display="'Cost Summary'!A1"/>
    <hyperlink ref="GR8" location="'Cost Summary'!A1" display="'Cost Summary'!A1"/>
    <hyperlink ref="GS8" location="'Cost Summary'!A1" display="'Cost Summary'!A1"/>
    <hyperlink ref="GT8" location="'Cost Summary'!A1" display="'Cost Summary'!A1"/>
    <hyperlink ref="GU8" location="'Cost Summary'!A1" display="'Cost Summary'!A1"/>
    <hyperlink ref="GV8" location="'Cost Summary'!A1" display="'Cost Summary'!A1"/>
    <hyperlink ref="GW8" location="'Cost Summary'!A1" display="'Cost Summary'!A1"/>
    <hyperlink ref="GX8" location="'Cost Summary'!A1" display="'Cost Summary'!A1"/>
    <hyperlink ref="GY8" location="'Cost Summary'!A1" display="'Cost Summary'!A1"/>
    <hyperlink ref="GZ8" location="'Cost Summary'!A1" display="'Cost Summary'!A1"/>
    <hyperlink ref="HA8" location="'Cost Summary'!A1" display="'Cost Summary'!A1"/>
    <hyperlink ref="HB8" location="'Cost Summary'!A1" display="'Cost Summary'!A1"/>
    <hyperlink ref="HC8" location="'Cost Summary'!A1" display="'Cost Summary'!A1"/>
    <hyperlink ref="HD8" location="'Cost Summary'!A1" display="'Cost Summary'!A1"/>
    <hyperlink ref="HE8" location="'Cost Summary'!A1" display="'Cost Summary'!A1"/>
    <hyperlink ref="HF8" location="'Cost Summary'!A1" display="'Cost Summary'!A1"/>
    <hyperlink ref="HG8" location="'Cost Summary'!A1" display="'Cost Summary'!A1"/>
    <hyperlink ref="HH8" location="'Cost Summary'!A1" display="'Cost Summary'!A1"/>
    <hyperlink ref="HI8" location="'Cost Summary'!A1" display="'Cost Summary'!A1"/>
    <hyperlink ref="HJ8" location="'Cost Summary'!A1" display="'Cost Summary'!A1"/>
    <hyperlink ref="HK8" location="'Cost Summary'!A1" display="'Cost Summary'!A1"/>
    <hyperlink ref="HL8" location="'Cost Summary'!A1" display="'Cost Summary'!A1"/>
    <hyperlink ref="HM8" location="'Cost Summary'!A1" display="'Cost Summary'!A1"/>
    <hyperlink ref="HN8" location="'Cost Summary'!A1" display="'Cost Summary'!A1"/>
    <hyperlink ref="HO8" location="'Cost Summary'!A1" display="'Cost Summary'!A1"/>
    <hyperlink ref="HP8" location="'Cost Summary'!A1" display="'Cost Summary'!A1"/>
    <hyperlink ref="HQ8" location="'Cost Summary'!A1" display="'Cost Summary'!A1"/>
    <hyperlink ref="HR8" location="'Cost Summary'!A1" display="'Cost Summary'!A1"/>
    <hyperlink ref="HS8" location="'Cost Summary'!A1" display="'Cost Summary'!A1"/>
    <hyperlink ref="HT8" location="'Cost Summary'!A1" display="'Cost Summary'!A1"/>
    <hyperlink ref="HU8" location="'Cost Summary'!A1" display="'Cost Summary'!A1"/>
    <hyperlink ref="HV8" location="'Cost Summary'!A1" display="'Cost Summary'!A1"/>
    <hyperlink ref="HW8" location="'Cost Summary'!A1" display="'Cost Summary'!A1"/>
    <hyperlink ref="HX8" location="'Cost Summary'!A1" display="'Cost Summary'!A1"/>
    <hyperlink ref="HY8" location="'Cost Summary'!A1" display="'Cost Summary'!A1"/>
    <hyperlink ref="HZ8" location="'Cost Summary'!A1" display="'Cost Summary'!A1"/>
    <hyperlink ref="IA8" location="'Cost Summary'!A1" display="'Cost Summary'!A1"/>
    <hyperlink ref="IB8" location="'Cost Summary'!A1" display="'Cost Summary'!A1"/>
    <hyperlink ref="IC8" location="'Cost Summary'!A1" display="'Cost Summary'!A1"/>
    <hyperlink ref="ID8" location="'Cost Summary'!A1" display="'Cost Summary'!A1"/>
    <hyperlink ref="IE8" location="'Cost Summary'!A1" display="'Cost Summary'!A1"/>
    <hyperlink ref="IF8" location="'Cost Summary'!A1" display="'Cost Summary'!A1"/>
    <hyperlink ref="IG8" location="'Cost Summary'!A1" display="'Cost Summary'!A1"/>
    <hyperlink ref="IH8" location="'Cost Summary'!A1" display="'Cost Summary'!A1"/>
    <hyperlink ref="II8" location="'Cost Summary'!A1" display="'Cost Summary'!A1"/>
    <hyperlink ref="IJ8" location="'Cost Summary'!A1" display="'Cost Summary'!A1"/>
    <hyperlink ref="IK8" location="'Cost Summary'!A1" display="'Cost Summary'!A1"/>
    <hyperlink ref="IL8" location="'Cost Summary'!A1" display="'Cost Summary'!A1"/>
    <hyperlink ref="IM8" location="'Cost Summary'!A1" display="'Cost Summary'!A1"/>
    <hyperlink ref="IN8" location="'Cost Summary'!A1" display="'Cost Summary'!A1"/>
    <hyperlink ref="IO8" location="'Cost Summary'!A1" display="'Cost Summary'!A1"/>
    <hyperlink ref="IP8" location="'Cost Summary'!A1" display="'Cost Summary'!A1"/>
    <hyperlink ref="IQ8" location="'Cost Summary'!A1" display="'Cost Summary'!A1"/>
    <hyperlink ref="IR8" location="'Cost Summary'!A1" display="'Cost Summary'!A1"/>
    <hyperlink ref="IS8" location="'Cost Summary'!A1" display="'Cost Summary'!A1"/>
    <hyperlink ref="IT8" location="'Cost Summary'!A1" display="'Cost Summary'!A1"/>
    <hyperlink ref="IU8" location="'Cost Summary'!A1" display="'Cost Summary'!A1"/>
    <hyperlink ref="IV8" location="'Cost Summary'!A1" display="'Cost Summary'!A1"/>
    <hyperlink ref="IW8" location="'Cost Summary'!A1" display="'Cost Summary'!A1"/>
    <hyperlink ref="IX8" location="'Cost Summary'!A1" display="'Cost Summary'!A1"/>
    <hyperlink ref="IY8" location="'Cost Summary'!A1" display="'Cost Summary'!A1"/>
    <hyperlink ref="IZ8" location="'Cost Summary'!A1" display="'Cost Summary'!A1"/>
    <hyperlink ref="JA8" location="'Cost Summary'!A1" display="'Cost Summary'!A1"/>
    <hyperlink ref="JB8" location="'Cost Summary'!A1" display="'Cost Summary'!A1"/>
    <hyperlink ref="JC8" location="'Cost Summary'!A1" display="'Cost Summary'!A1"/>
    <hyperlink ref="JD8" location="'Cost Summary'!A1" display="'Cost Summary'!A1"/>
    <hyperlink ref="JE8" location="'Cost Summary'!A1" display="'Cost Summary'!A1"/>
    <hyperlink ref="JF8" location="'Cost Summary'!A1" display="'Cost Summary'!A1"/>
    <hyperlink ref="JG8" location="'Cost Summary'!A1" display="'Cost Summary'!A1"/>
    <hyperlink ref="JH8" location="'Cost Summary'!A1" display="'Cost Summary'!A1"/>
    <hyperlink ref="JI8" location="'Cost Summary'!A1" display="'Cost Summary'!A1"/>
    <hyperlink ref="JJ8" location="'Cost Summary'!A1" display="'Cost Summary'!A1"/>
    <hyperlink ref="JK8" location="'Cost Summary'!A1" display="'Cost Summary'!A1"/>
    <hyperlink ref="JL8" location="'Cost Summary'!A1" display="'Cost Summary'!A1"/>
    <hyperlink ref="JM8" location="'Cost Summary'!A1" display="'Cost Summary'!A1"/>
    <hyperlink ref="JN8" location="'Cost Summary'!A1" display="'Cost Summary'!A1"/>
    <hyperlink ref="JO8" location="'Cost Summary'!A1" display="'Cost Summary'!A1"/>
    <hyperlink ref="JP8" location="'Cost Summary'!A1" display="'Cost Summary'!A1"/>
    <hyperlink ref="JQ8" location="'Cost Summary'!A1" display="'Cost Summary'!A1"/>
    <hyperlink ref="JR8" location="'Cost Summary'!A1" display="'Cost Summary'!A1"/>
    <hyperlink ref="JS8" location="'Cost Summary'!A1" display="'Cost Summary'!A1"/>
    <hyperlink ref="JT8" location="'Cost Summary'!A1" display="'Cost Summary'!A1"/>
    <hyperlink ref="JU8" location="'Cost Summary'!A1" display="'Cost Summary'!A1"/>
    <hyperlink ref="JV8" location="'Cost Summary'!A1" display="'Cost Summary'!A1"/>
    <hyperlink ref="JW8" location="'Cost Summary'!A1" display="'Cost Summary'!A1"/>
    <hyperlink ref="JX8" location="'Cost Summary'!A1" display="'Cost Summary'!A1"/>
    <hyperlink ref="JY8" location="'Cost Summary'!A1" display="'Cost Summary'!A1"/>
    <hyperlink ref="JZ8" location="'Cost Summary'!A1" display="'Cost Summary'!A1"/>
    <hyperlink ref="KA8" location="'Cost Summary'!A1" display="'Cost Summary'!A1"/>
    <hyperlink ref="KB8" location="'Cost Summary'!A1" display="'Cost Summary'!A1"/>
    <hyperlink ref="KC8" location="'Cost Summary'!A1" display="'Cost Summary'!A1"/>
    <hyperlink ref="KD8" location="'Cost Summary'!A1" display="'Cost Summary'!A1"/>
    <hyperlink ref="KE8" location="'Cost Summary'!A1" display="'Cost Summary'!A1"/>
    <hyperlink ref="KF8" location="'Cost Summary'!A1" display="'Cost Summary'!A1"/>
    <hyperlink ref="KG8" location="'Cost Summary'!A1" display="'Cost Summary'!A1"/>
    <hyperlink ref="KH8" location="'Cost Summary'!A1" display="'Cost Summary'!A1"/>
    <hyperlink ref="KI8" location="'Cost Summary'!A1" display="'Cost Summary'!A1"/>
    <hyperlink ref="KJ8" location="'Cost Summary'!A1" display="'Cost Summary'!A1"/>
    <hyperlink ref="KK8" location="'Cost Summary'!A1" display="'Cost Summary'!A1"/>
    <hyperlink ref="KL8" location="'Cost Summary'!A1" display="'Cost Summary'!A1"/>
    <hyperlink ref="KM8" location="'Cost Summary'!A1" display="'Cost Summary'!A1"/>
    <hyperlink ref="KN8" location="'Cost Summary'!A1" display="'Cost Summary'!A1"/>
    <hyperlink ref="KO8" location="'Cost Summary'!A1" display="'Cost Summary'!A1"/>
    <hyperlink ref="KP8" location="'Cost Summary'!A1" display="'Cost Summary'!A1"/>
    <hyperlink ref="KQ8" location="'Cost Summary'!A1" display="'Cost Summary'!A1"/>
    <hyperlink ref="KR8" location="'Cost Summary'!A1" display="'Cost Summary'!A1"/>
    <hyperlink ref="KS8" location="'Cost Summary'!A1" display="'Cost Summary'!A1"/>
    <hyperlink ref="KT8" location="'Cost Summary'!A1" display="'Cost Summary'!A1"/>
    <hyperlink ref="KU8" location="'Cost Summary'!A1" display="'Cost Summary'!A1"/>
    <hyperlink ref="KV8" location="'Cost Summary'!A1" display="'Cost Summary'!A1"/>
    <hyperlink ref="KW8" location="'Cost Summary'!A1" display="'Cost Summary'!A1"/>
    <hyperlink ref="KX8" location="'Cost Summary'!A1" display="'Cost Summary'!A1"/>
    <hyperlink ref="KY8" location="'Cost Summary'!A1" display="'Cost Summary'!A1"/>
    <hyperlink ref="KZ8" location="'Cost Summary'!A1" display="'Cost Summary'!A1"/>
    <hyperlink ref="LA8" location="'Cost Summary'!A1" display="'Cost Summary'!A1"/>
    <hyperlink ref="LB8" location="'Cost Summary'!A1" display="'Cost Summary'!A1"/>
    <hyperlink ref="LC8" location="'Cost Summary'!A1" display="'Cost Summary'!A1"/>
    <hyperlink ref="LD8" location="'Cost Summary'!A1" display="'Cost Summary'!A1"/>
    <hyperlink ref="LE8" location="'Cost Summary'!A1" display="'Cost Summary'!A1"/>
    <hyperlink ref="LF8" location="'Cost Summary'!A1" display="'Cost Summary'!A1"/>
    <hyperlink ref="LG8" location="'Cost Summary'!A1" display="'Cost Summary'!A1"/>
    <hyperlink ref="LH8" location="'Cost Summary'!A1" display="'Cost Summary'!A1"/>
    <hyperlink ref="LI8" location="'Cost Summary'!A1" display="'Cost Summary'!A1"/>
    <hyperlink ref="LJ8" location="'Cost Summary'!A1" display="'Cost Summary'!A1"/>
    <hyperlink ref="LK8" location="'Cost Summary'!A1" display="'Cost Summary'!A1"/>
    <hyperlink ref="LL8" location="'Cost Summary'!A1" display="'Cost Summary'!A1"/>
    <hyperlink ref="LM8" location="'Cost Summary'!A1" display="'Cost Summary'!A1"/>
    <hyperlink ref="LN8" location="'Cost Summary'!A1" display="'Cost Summary'!A1"/>
    <hyperlink ref="LO8" location="'Cost Summary'!A1" display="'Cost Summary'!A1"/>
    <hyperlink ref="LP8" location="'Cost Summary'!A1" display="'Cost Summary'!A1"/>
    <hyperlink ref="LQ8" location="'Cost Summary'!A1" display="'Cost Summary'!A1"/>
    <hyperlink ref="LR8" location="'Cost Summary'!A1" display="'Cost Summary'!A1"/>
    <hyperlink ref="LS8" location="'Cost Summary'!A1" display="'Cost Summary'!A1"/>
    <hyperlink ref="LT8" location="'Cost Summary'!A1" display="'Cost Summary'!A1"/>
    <hyperlink ref="LU8" location="'Cost Summary'!A1" display="'Cost Summary'!A1"/>
    <hyperlink ref="LV8" location="'Cost Summary'!A1" display="'Cost Summary'!A1"/>
    <hyperlink ref="LW8" location="'Cost Summary'!A1" display="'Cost Summary'!A1"/>
    <hyperlink ref="LX8" location="'Cost Summary'!A1" display="'Cost Summary'!A1"/>
    <hyperlink ref="LY8" location="'Cost Summary'!A1" display="'Cost Summary'!A1"/>
    <hyperlink ref="LZ8" location="'Cost Summary'!A1" display="'Cost Summary'!A1"/>
    <hyperlink ref="MA8" location="'Cost Summary'!A1" display="'Cost Summary'!A1"/>
    <hyperlink ref="MB8" location="'Cost Summary'!A1" display="'Cost Summary'!A1"/>
    <hyperlink ref="MC8" location="'Cost Summary'!A1" display="'Cost Summary'!A1"/>
    <hyperlink ref="MD8" location="'Cost Summary'!A1" display="'Cost Summary'!A1"/>
    <hyperlink ref="ME8" location="'Cost Summary'!A1" display="'Cost Summary'!A1"/>
    <hyperlink ref="MF8" location="'Cost Summary'!A1" display="'Cost Summary'!A1"/>
    <hyperlink ref="MG8" location="'Cost Summary'!A1" display="'Cost Summary'!A1"/>
    <hyperlink ref="MH8" location="'Cost Summary'!A1" display="'Cost Summary'!A1"/>
    <hyperlink ref="MI8" location="'Cost Summary'!A1" display="'Cost Summary'!A1"/>
    <hyperlink ref="MJ8" location="'Cost Summary'!A1" display="'Cost Summary'!A1"/>
    <hyperlink ref="MK8" location="'Cost Summary'!A1" display="'Cost Summary'!A1"/>
    <hyperlink ref="ML8" location="'Cost Summary'!A1" display="'Cost Summary'!A1"/>
    <hyperlink ref="MM8" location="'Cost Summary'!A1" display="'Cost Summary'!A1"/>
    <hyperlink ref="MN8" location="'Cost Summary'!A1" display="'Cost Summary'!A1"/>
    <hyperlink ref="MO8" location="'Cost Summary'!A1" display="'Cost Summary'!A1"/>
    <hyperlink ref="MP8" location="'Cost Summary'!A1" display="'Cost Summary'!A1"/>
    <hyperlink ref="MQ8" location="'Cost Summary'!A1" display="'Cost Summary'!A1"/>
    <hyperlink ref="MR8" location="'Cost Summary'!A1" display="'Cost Summary'!A1"/>
    <hyperlink ref="MS8" location="'Cost Summary'!A1" display="'Cost Summary'!A1"/>
    <hyperlink ref="MT8" location="'Cost Summary'!A1" display="'Cost Summary'!A1"/>
    <hyperlink ref="MU8" location="'Cost Summary'!A1" display="'Cost Summary'!A1"/>
    <hyperlink ref="MV8" location="'Cost Summary'!A1" display="'Cost Summary'!A1"/>
    <hyperlink ref="MW8" location="'Cost Summary'!A1" display="'Cost Summary'!A1"/>
    <hyperlink ref="MX8" location="'Cost Summary'!A1" display="'Cost Summary'!A1"/>
    <hyperlink ref="MY8" location="'Cost Summary'!A1" display="'Cost Summary'!A1"/>
    <hyperlink ref="MZ8" location="'Cost Summary'!A1" display="'Cost Summary'!A1"/>
    <hyperlink ref="NA8" location="'Cost Summary'!A1" display="'Cost Summary'!A1"/>
    <hyperlink ref="NB8" location="'Cost Summary'!A1" display="'Cost Summary'!A1"/>
    <hyperlink ref="NC8" location="'Cost Summary'!A1" display="'Cost Summary'!A1"/>
    <hyperlink ref="ND8" location="'Cost Summary'!A1" display="'Cost Summary'!A1"/>
    <hyperlink ref="NE8" location="'Cost Summary'!A1" display="'Cost Summary'!A1"/>
    <hyperlink ref="NF8" location="'Cost Summary'!A1" display="'Cost Summary'!A1"/>
    <hyperlink ref="NG8" location="'Cost Summary'!A1" display="'Cost Summary'!A1"/>
    <hyperlink ref="NH8" location="'Cost Summary'!A1" display="'Cost Summary'!A1"/>
    <hyperlink ref="NI8" location="'Cost Summary'!A1" display="'Cost Summary'!A1"/>
    <hyperlink ref="NJ8" location="'Cost Summary'!A1" display="'Cost Summary'!A1"/>
    <hyperlink ref="NK8" location="'Cost Summary'!A1" display="'Cost Summary'!A1"/>
    <hyperlink ref="NL8" location="'Cost Summary'!A1" display="'Cost Summary'!A1"/>
    <hyperlink ref="NM8" location="'Cost Summary'!A1" display="'Cost Summary'!A1"/>
    <hyperlink ref="NN8" location="'Cost Summary'!A1" display="'Cost Summary'!A1"/>
    <hyperlink ref="NO8" location="'Cost Summary'!A1" display="'Cost Summary'!A1"/>
    <hyperlink ref="NP8" location="'Cost Summary'!A1" display="'Cost Summary'!A1"/>
    <hyperlink ref="NQ8" location="'Cost Summary'!A1" display="'Cost Summary'!A1"/>
    <hyperlink ref="NR8" location="'Cost Summary'!A1" display="'Cost Summary'!A1"/>
    <hyperlink ref="NS8" location="'Cost Summary'!A1" display="'Cost Summary'!A1"/>
    <hyperlink ref="NT8" location="'Cost Summary'!A1" display="'Cost Summary'!A1"/>
    <hyperlink ref="NU8" location="'Cost Summary'!A1" display="'Cost Summary'!A1"/>
    <hyperlink ref="NV8" location="'Cost Summary'!A1" display="'Cost Summary'!A1"/>
    <hyperlink ref="NW8" location="'Cost Summary'!A1" display="'Cost Summary'!A1"/>
    <hyperlink ref="NX8" location="'Cost Summary'!A1" display="'Cost Summary'!A1"/>
    <hyperlink ref="NY8" location="'Cost Summary'!A1" display="'Cost Summary'!A1"/>
    <hyperlink ref="NZ8" location="'Cost Summary'!A1" display="'Cost Summary'!A1"/>
    <hyperlink ref="OA8" location="'Cost Summary'!A1" display="'Cost Summary'!A1"/>
    <hyperlink ref="OB8" location="'Cost Summary'!A1" display="'Cost Summary'!A1"/>
    <hyperlink ref="OC8" location="'Cost Summary'!A1" display="'Cost Summary'!A1"/>
    <hyperlink ref="OD8" location="'Cost Summary'!A1" display="'Cost Summary'!A1"/>
    <hyperlink ref="OE8" location="'Cost Summary'!A1" display="'Cost Summary'!A1"/>
    <hyperlink ref="OF8" location="'Cost Summary'!A1" display="'Cost Summary'!A1"/>
    <hyperlink ref="OG8" location="'Cost Summary'!A1" display="'Cost Summary'!A1"/>
    <hyperlink ref="OH8" location="'Cost Summary'!A1" display="'Cost Summary'!A1"/>
    <hyperlink ref="OI8" location="'Cost Summary'!A1" display="'Cost Summary'!A1"/>
    <hyperlink ref="OJ8" location="'Cost Summary'!A1" display="'Cost Summary'!A1"/>
    <hyperlink ref="OK8" location="'Cost Summary'!A1" display="'Cost Summary'!A1"/>
    <hyperlink ref="OL8" location="'Cost Summary'!A1" display="'Cost Summary'!A1"/>
    <hyperlink ref="OM8" location="'Cost Summary'!A1" display="'Cost Summary'!A1"/>
    <hyperlink ref="ON8" location="'Cost Summary'!A1" display="'Cost Summary'!A1"/>
    <hyperlink ref="OO8" location="'Cost Summary'!A1" display="'Cost Summary'!A1"/>
    <hyperlink ref="OP8" location="'Cost Summary'!A1" display="'Cost Summary'!A1"/>
    <hyperlink ref="OQ8" location="'Cost Summary'!A1" display="'Cost Summary'!A1"/>
    <hyperlink ref="OR8" location="'Cost Summary'!A1" display="'Cost Summary'!A1"/>
    <hyperlink ref="OS8" location="'Cost Summary'!A1" display="'Cost Summary'!A1"/>
    <hyperlink ref="OT8" location="'Cost Summary'!A1" display="'Cost Summary'!A1"/>
    <hyperlink ref="OU8" location="'Cost Summary'!A1" display="'Cost Summary'!A1"/>
    <hyperlink ref="OV8" location="'Cost Summary'!A1" display="'Cost Summary'!A1"/>
    <hyperlink ref="OW8" location="'Cost Summary'!A1" display="'Cost Summary'!A1"/>
    <hyperlink ref="OX8" location="'Cost Summary'!A1" display="'Cost Summary'!A1"/>
    <hyperlink ref="OY8" location="'Cost Summary'!A1" display="'Cost Summary'!A1"/>
    <hyperlink ref="OZ8" location="'Cost Summary'!A1" display="'Cost Summary'!A1"/>
    <hyperlink ref="PA8" location="'Cost Summary'!A1" display="'Cost Summary'!A1"/>
    <hyperlink ref="PB8" location="'Cost Summary'!A1" display="'Cost Summary'!A1"/>
    <hyperlink ref="PC8" location="'Cost Summary'!A1" display="'Cost Summary'!A1"/>
    <hyperlink ref="PD8" location="'Cost Summary'!A1" display="'Cost Summary'!A1"/>
    <hyperlink ref="PE8" location="'Cost Summary'!A1" display="'Cost Summary'!A1"/>
    <hyperlink ref="PF8" location="'Cost Summary'!A1" display="'Cost Summary'!A1"/>
    <hyperlink ref="PG8" location="'Cost Summary'!A1" display="'Cost Summary'!A1"/>
    <hyperlink ref="PH8" location="'Cost Summary'!A1" display="'Cost Summary'!A1"/>
    <hyperlink ref="PI8" location="'Cost Summary'!A1" display="'Cost Summary'!A1"/>
    <hyperlink ref="PJ8" location="'Cost Summary'!A1" display="'Cost Summary'!A1"/>
    <hyperlink ref="PK8" location="'Cost Summary'!A1" display="'Cost Summary'!A1"/>
    <hyperlink ref="PL8" location="'Cost Summary'!A1" display="'Cost Summary'!A1"/>
    <hyperlink ref="PM8" location="'Cost Summary'!A1" display="'Cost Summary'!A1"/>
    <hyperlink ref="PN8" location="'Cost Summary'!A1" display="'Cost Summary'!A1"/>
    <hyperlink ref="PO8" location="'Cost Summary'!A1" display="'Cost Summary'!A1"/>
    <hyperlink ref="PP8" location="'Cost Summary'!A1" display="'Cost Summary'!A1"/>
    <hyperlink ref="PQ8" location="'Cost Summary'!A1" display="'Cost Summary'!A1"/>
    <hyperlink ref="PR8" location="'Cost Summary'!A1" display="'Cost Summary'!A1"/>
    <hyperlink ref="PS8" location="'Cost Summary'!A1" display="'Cost Summary'!A1"/>
    <hyperlink ref="PT8" location="'Cost Summary'!A1" display="'Cost Summary'!A1"/>
    <hyperlink ref="PU8" location="'Cost Summary'!A1" display="'Cost Summary'!A1"/>
    <hyperlink ref="PV8" location="'Cost Summary'!A1" display="'Cost Summary'!A1"/>
    <hyperlink ref="PW8" location="'Cost Summary'!A1" display="'Cost Summary'!A1"/>
    <hyperlink ref="PX8" location="'Cost Summary'!A1" display="'Cost Summary'!A1"/>
    <hyperlink ref="PY8" location="'Cost Summary'!A1" display="'Cost Summary'!A1"/>
    <hyperlink ref="PZ8" location="'Cost Summary'!A1" display="'Cost Summary'!A1"/>
    <hyperlink ref="QA8" location="'Cost Summary'!A1" display="'Cost Summary'!A1"/>
    <hyperlink ref="QB8" location="'Cost Summary'!A1" display="'Cost Summary'!A1"/>
    <hyperlink ref="QC8" location="'Cost Summary'!A1" display="'Cost Summary'!A1"/>
    <hyperlink ref="QD8" location="'Cost Summary'!A1" display="'Cost Summary'!A1"/>
    <hyperlink ref="QE8" location="'Cost Summary'!A1" display="'Cost Summary'!A1"/>
    <hyperlink ref="QF8" location="'Cost Summary'!A1" display="'Cost Summary'!A1"/>
    <hyperlink ref="QG8" location="'Cost Summary'!A1" display="'Cost Summary'!A1"/>
    <hyperlink ref="QH8" location="'Cost Summary'!A1" display="'Cost Summary'!A1"/>
    <hyperlink ref="QI8" location="'Cost Summary'!A1" display="'Cost Summary'!A1"/>
    <hyperlink ref="QJ8" location="'Cost Summary'!A1" display="'Cost Summary'!A1"/>
    <hyperlink ref="QK8" location="'Cost Summary'!A1" display="'Cost Summary'!A1"/>
    <hyperlink ref="QL8" location="'Cost Summary'!A1" display="'Cost Summary'!A1"/>
    <hyperlink ref="QM8" location="'Cost Summary'!A1" display="'Cost Summary'!A1"/>
    <hyperlink ref="QN8" location="'Cost Summary'!A1" display="'Cost Summary'!A1"/>
    <hyperlink ref="QO8" location="'Cost Summary'!A1" display="'Cost Summary'!A1"/>
    <hyperlink ref="QP8" location="'Cost Summary'!A1" display="'Cost Summary'!A1"/>
    <hyperlink ref="QQ8" location="'Cost Summary'!A1" display="'Cost Summary'!A1"/>
    <hyperlink ref="QR8" location="'Cost Summary'!A1" display="'Cost Summary'!A1"/>
    <hyperlink ref="QS8" location="'Cost Summary'!A1" display="'Cost Summary'!A1"/>
    <hyperlink ref="QT8" location="'Cost Summary'!A1" display="'Cost Summary'!A1"/>
    <hyperlink ref="QU8" location="'Cost Summary'!A1" display="'Cost Summary'!A1"/>
    <hyperlink ref="QV8" location="'Cost Summary'!A1" display="'Cost Summary'!A1"/>
    <hyperlink ref="QW8" location="'Cost Summary'!A1" display="'Cost Summary'!A1"/>
    <hyperlink ref="QX8" location="'Cost Summary'!A1" display="'Cost Summary'!A1"/>
    <hyperlink ref="QY8" location="'Cost Summary'!A1" display="'Cost Summary'!A1"/>
    <hyperlink ref="QZ8" location="'Cost Summary'!A1" display="'Cost Summary'!A1"/>
    <hyperlink ref="RA8" location="'Cost Summary'!A1" display="'Cost Summary'!A1"/>
    <hyperlink ref="RB8" location="'Cost Summary'!A1" display="'Cost Summary'!A1"/>
    <hyperlink ref="RC8" location="'Cost Summary'!A1" display="'Cost Summary'!A1"/>
    <hyperlink ref="RD8" location="'Cost Summary'!A1" display="'Cost Summary'!A1"/>
    <hyperlink ref="RE8" location="'Cost Summary'!A1" display="'Cost Summary'!A1"/>
    <hyperlink ref="RF8" location="'Cost Summary'!A1" display="'Cost Summary'!A1"/>
    <hyperlink ref="RG8" location="'Cost Summary'!A1" display="'Cost Summary'!A1"/>
    <hyperlink ref="RH8" location="'Cost Summary'!A1" display="'Cost Summary'!A1"/>
    <hyperlink ref="RI8" location="'Cost Summary'!A1" display="'Cost Summary'!A1"/>
    <hyperlink ref="RJ8" location="'Cost Summary'!A1" display="'Cost Summary'!A1"/>
    <hyperlink ref="RK8" location="'Cost Summary'!A1" display="'Cost Summary'!A1"/>
    <hyperlink ref="RL8" location="'Cost Summary'!A1" display="'Cost Summary'!A1"/>
    <hyperlink ref="RM8" location="'Cost Summary'!A1" display="'Cost Summary'!A1"/>
    <hyperlink ref="RN8" location="'Cost Summary'!A1" display="'Cost Summary'!A1"/>
    <hyperlink ref="RO8" location="'Cost Summary'!A1" display="'Cost Summary'!A1"/>
    <hyperlink ref="RP8" location="'Cost Summary'!A1" display="'Cost Summary'!A1"/>
    <hyperlink ref="RQ8" location="'Cost Summary'!A1" display="'Cost Summary'!A1"/>
    <hyperlink ref="RR8" location="'Cost Summary'!A1" display="'Cost Summary'!A1"/>
    <hyperlink ref="RS8" location="'Cost Summary'!A1" display="'Cost Summary'!A1"/>
    <hyperlink ref="RT8" location="'Cost Summary'!A1" display="'Cost Summary'!A1"/>
    <hyperlink ref="RU8" location="'Cost Summary'!A1" display="'Cost Summary'!A1"/>
    <hyperlink ref="RV8" location="'Cost Summary'!A1" display="'Cost Summary'!A1"/>
    <hyperlink ref="RW8" location="'Cost Summary'!A1" display="'Cost Summary'!A1"/>
    <hyperlink ref="RX8" location="'Cost Summary'!A1" display="'Cost Summary'!A1"/>
    <hyperlink ref="RY8" location="'Cost Summary'!A1" display="'Cost Summary'!A1"/>
    <hyperlink ref="RZ8" location="'Cost Summary'!A1" display="'Cost Summary'!A1"/>
    <hyperlink ref="SA8" location="'Cost Summary'!A1" display="'Cost Summary'!A1"/>
    <hyperlink ref="SB8" location="'Cost Summary'!A1" display="'Cost Summary'!A1"/>
    <hyperlink ref="SC8" location="'Cost Summary'!A1" display="'Cost Summary'!A1"/>
    <hyperlink ref="SD8" location="'Cost Summary'!A1" display="'Cost Summary'!A1"/>
    <hyperlink ref="SE8" location="'Cost Summary'!A1" display="'Cost Summary'!A1"/>
    <hyperlink ref="SF8" location="'Cost Summary'!A1" display="'Cost Summary'!A1"/>
    <hyperlink ref="SG8" location="'Cost Summary'!A1" display="'Cost Summary'!A1"/>
    <hyperlink ref="SH8" location="'Cost Summary'!A1" display="'Cost Summary'!A1"/>
    <hyperlink ref="SI8" location="'Cost Summary'!A1" display="'Cost Summary'!A1"/>
    <hyperlink ref="SJ8" location="'Cost Summary'!A1" display="'Cost Summary'!A1"/>
    <hyperlink ref="SK8" location="'Cost Summary'!A1" display="'Cost Summary'!A1"/>
    <hyperlink ref="SL8" location="'Cost Summary'!A1" display="'Cost Summary'!A1"/>
    <hyperlink ref="SM8" location="'Cost Summary'!A1" display="'Cost Summary'!A1"/>
    <hyperlink ref="SN8" location="'Cost Summary'!A1" display="'Cost Summary'!A1"/>
    <hyperlink ref="SO8" location="'Cost Summary'!A1" display="'Cost Summary'!A1"/>
    <hyperlink ref="SP8" location="'Cost Summary'!A1" display="'Cost Summary'!A1"/>
    <hyperlink ref="SQ8" location="'Cost Summary'!A1" display="'Cost Summary'!A1"/>
    <hyperlink ref="SR8" location="'Cost Summary'!A1" display="'Cost Summary'!A1"/>
    <hyperlink ref="SS8" location="'Cost Summary'!A1" display="'Cost Summary'!A1"/>
    <hyperlink ref="ST8" location="'Cost Summary'!A1" display="'Cost Summary'!A1"/>
    <hyperlink ref="SU8" location="'Cost Summary'!A1" display="'Cost Summary'!A1"/>
    <hyperlink ref="SV8" location="'Cost Summary'!A1" display="'Cost Summary'!A1"/>
    <hyperlink ref="SW8" location="'Cost Summary'!A1" display="'Cost Summary'!A1"/>
    <hyperlink ref="SX8" location="'Cost Summary'!A1" display="'Cost Summary'!A1"/>
    <hyperlink ref="SY8" location="'Cost Summary'!A1" display="'Cost Summary'!A1"/>
    <hyperlink ref="SZ8" location="'Cost Summary'!A1" display="'Cost Summary'!A1"/>
    <hyperlink ref="TA8" location="'Cost Summary'!A1" display="'Cost Summary'!A1"/>
    <hyperlink ref="TB8" location="'Cost Summary'!A1" display="'Cost Summary'!A1"/>
    <hyperlink ref="TC8" location="'Cost Summary'!A1" display="'Cost Summary'!A1"/>
    <hyperlink ref="TD8" location="'Cost Summary'!A1" display="'Cost Summary'!A1"/>
    <hyperlink ref="TE8" location="'Cost Summary'!A1" display="'Cost Summary'!A1"/>
    <hyperlink ref="TF8" location="'Cost Summary'!A1" display="'Cost Summary'!A1"/>
    <hyperlink ref="TG8" location="'Cost Summary'!A1" display="'Cost Summary'!A1"/>
    <hyperlink ref="TH8" location="'Cost Summary'!A1" display="'Cost Summary'!A1"/>
    <hyperlink ref="TI8" location="'Cost Summary'!A1" display="'Cost Summary'!A1"/>
    <hyperlink ref="TJ8" location="'Cost Summary'!A1" display="'Cost Summary'!A1"/>
    <hyperlink ref="TK8" location="'Cost Summary'!A1" display="'Cost Summary'!A1"/>
    <hyperlink ref="TL8" location="'Cost Summary'!A1" display="'Cost Summary'!A1"/>
    <hyperlink ref="TM8" location="'Cost Summary'!A1" display="'Cost Summary'!A1"/>
    <hyperlink ref="TN8" location="'Cost Summary'!A1" display="'Cost Summary'!A1"/>
    <hyperlink ref="TO8" location="'Cost Summary'!A1" display="'Cost Summary'!A1"/>
    <hyperlink ref="TP8" location="'Cost Summary'!A1" display="'Cost Summary'!A1"/>
    <hyperlink ref="TQ8" location="'Cost Summary'!A1" display="'Cost Summary'!A1"/>
    <hyperlink ref="TR8" location="'Cost Summary'!A1" display="'Cost Summary'!A1"/>
    <hyperlink ref="TS8" location="'Cost Summary'!A1" display="'Cost Summary'!A1"/>
    <hyperlink ref="TT8" location="'Cost Summary'!A1" display="'Cost Summary'!A1"/>
    <hyperlink ref="TU8" location="'Cost Summary'!A1" display="'Cost Summary'!A1"/>
    <hyperlink ref="TV8" location="'Cost Summary'!A1" display="'Cost Summary'!A1"/>
    <hyperlink ref="TW8" location="'Cost Summary'!A1" display="'Cost Summary'!A1"/>
    <hyperlink ref="TX8" location="'Cost Summary'!A1" display="'Cost Summary'!A1"/>
    <hyperlink ref="TY8" location="'Cost Summary'!A1" display="'Cost Summary'!A1"/>
    <hyperlink ref="TZ8" location="'Cost Summary'!A1" display="'Cost Summary'!A1"/>
    <hyperlink ref="UA8" location="'Cost Summary'!A1" display="'Cost Summary'!A1"/>
    <hyperlink ref="UB8" location="'Cost Summary'!A1" display="'Cost Summary'!A1"/>
    <hyperlink ref="UC8" location="'Cost Summary'!A1" display="'Cost Summary'!A1"/>
    <hyperlink ref="UD8" location="'Cost Summary'!A1" display="'Cost Summary'!A1"/>
    <hyperlink ref="UE8" location="'Cost Summary'!A1" display="'Cost Summary'!A1"/>
    <hyperlink ref="UF8" location="'Cost Summary'!A1" display="'Cost Summary'!A1"/>
    <hyperlink ref="UG8" location="'Cost Summary'!A1" display="'Cost Summary'!A1"/>
    <hyperlink ref="UH8" location="'Cost Summary'!A1" display="'Cost Summary'!A1"/>
    <hyperlink ref="UI8" location="'Cost Summary'!A1" display="'Cost Summary'!A1"/>
    <hyperlink ref="UJ8" location="'Cost Summary'!A1" display="'Cost Summary'!A1"/>
    <hyperlink ref="UK8" location="'Cost Summary'!A1" display="'Cost Summary'!A1"/>
    <hyperlink ref="UL8" location="'Cost Summary'!A1" display="'Cost Summary'!A1"/>
    <hyperlink ref="UM8" location="'Cost Summary'!A1" display="'Cost Summary'!A1"/>
    <hyperlink ref="UN8" location="'Cost Summary'!A1" display="'Cost Summary'!A1"/>
    <hyperlink ref="UO8" location="'Cost Summary'!A1" display="'Cost Summary'!A1"/>
    <hyperlink ref="UP8" location="'Cost Summary'!A1" display="'Cost Summary'!A1"/>
    <hyperlink ref="UQ8" location="'Cost Summary'!A1" display="'Cost Summary'!A1"/>
    <hyperlink ref="UR8" location="'Cost Summary'!A1" display="'Cost Summary'!A1"/>
    <hyperlink ref="US8" location="'Cost Summary'!A1" display="'Cost Summary'!A1"/>
    <hyperlink ref="UT8" location="'Cost Summary'!A1" display="'Cost Summary'!A1"/>
    <hyperlink ref="UU8" location="'Cost Summary'!A1" display="'Cost Summary'!A1"/>
    <hyperlink ref="UV8" location="'Cost Summary'!A1" display="'Cost Summary'!A1"/>
    <hyperlink ref="UW8" location="'Cost Summary'!A1" display="'Cost Summary'!A1"/>
    <hyperlink ref="UX8" location="'Cost Summary'!A1" display="'Cost Summary'!A1"/>
    <hyperlink ref="UY8" location="'Cost Summary'!A1" display="'Cost Summary'!A1"/>
    <hyperlink ref="UZ8" location="'Cost Summary'!A1" display="'Cost Summary'!A1"/>
    <hyperlink ref="VA8" location="'Cost Summary'!A1" display="'Cost Summary'!A1"/>
    <hyperlink ref="VB8" location="'Cost Summary'!A1" display="'Cost Summary'!A1"/>
    <hyperlink ref="VC8" location="'Cost Summary'!A1" display="'Cost Summary'!A1"/>
    <hyperlink ref="VD8" location="'Cost Summary'!A1" display="'Cost Summary'!A1"/>
    <hyperlink ref="VE8" location="'Cost Summary'!A1" display="'Cost Summary'!A1"/>
    <hyperlink ref="VF8" location="'Cost Summary'!A1" display="'Cost Summary'!A1"/>
    <hyperlink ref="VG8" location="'Cost Summary'!A1" display="'Cost Summary'!A1"/>
    <hyperlink ref="VH8" location="'Cost Summary'!A1" display="'Cost Summary'!A1"/>
    <hyperlink ref="VI8" location="'Cost Summary'!A1" display="'Cost Summary'!A1"/>
    <hyperlink ref="VJ8" location="'Cost Summary'!A1" display="'Cost Summary'!A1"/>
    <hyperlink ref="VK8" location="'Cost Summary'!A1" display="'Cost Summary'!A1"/>
    <hyperlink ref="VL8" location="'Cost Summary'!A1" display="'Cost Summary'!A1"/>
    <hyperlink ref="VM8" location="'Cost Summary'!A1" display="'Cost Summary'!A1"/>
    <hyperlink ref="VN8" location="'Cost Summary'!A1" display="'Cost Summary'!A1"/>
    <hyperlink ref="VO8" location="'Cost Summary'!A1" display="'Cost Summary'!A1"/>
    <hyperlink ref="VP8" location="'Cost Summary'!A1" display="'Cost Summary'!A1"/>
    <hyperlink ref="VQ8" location="'Cost Summary'!A1" display="'Cost Summary'!A1"/>
    <hyperlink ref="VR8" location="'Cost Summary'!A1" display="'Cost Summary'!A1"/>
    <hyperlink ref="VS8" location="'Cost Summary'!A1" display="'Cost Summary'!A1"/>
    <hyperlink ref="VT8" location="'Cost Summary'!A1" display="'Cost Summary'!A1"/>
    <hyperlink ref="VU8" location="'Cost Summary'!A1" display="'Cost Summary'!A1"/>
    <hyperlink ref="VV8" location="'Cost Summary'!A1" display="'Cost Summary'!A1"/>
    <hyperlink ref="VW8" location="'Cost Summary'!A1" display="'Cost Summary'!A1"/>
    <hyperlink ref="VX8" location="'Cost Summary'!A1" display="'Cost Summary'!A1"/>
    <hyperlink ref="VY8" location="'Cost Summary'!A1" display="'Cost Summary'!A1"/>
    <hyperlink ref="VZ8" location="'Cost Summary'!A1" display="'Cost Summary'!A1"/>
    <hyperlink ref="WA8" location="'Cost Summary'!A1" display="'Cost Summary'!A1"/>
    <hyperlink ref="WB8" location="'Cost Summary'!A1" display="'Cost Summary'!A1"/>
    <hyperlink ref="WC8" location="'Cost Summary'!A1" display="'Cost Summary'!A1"/>
    <hyperlink ref="WD8" location="'Cost Summary'!A1" display="'Cost Summary'!A1"/>
    <hyperlink ref="WE8" location="'Cost Summary'!A1" display="'Cost Summary'!A1"/>
    <hyperlink ref="WF8" location="'Cost Summary'!A1" display="'Cost Summary'!A1"/>
    <hyperlink ref="WG8" location="'Cost Summary'!A1" display="'Cost Summary'!A1"/>
    <hyperlink ref="WH8" location="'Cost Summary'!A1" display="'Cost Summary'!A1"/>
    <hyperlink ref="WI8" location="'Cost Summary'!A1" display="'Cost Summary'!A1"/>
    <hyperlink ref="WJ8" location="'Cost Summary'!A1" display="'Cost Summary'!A1"/>
    <hyperlink ref="WK8" location="'Cost Summary'!A1" display="'Cost Summary'!A1"/>
    <hyperlink ref="WL8" location="'Cost Summary'!A1" display="'Cost Summary'!A1"/>
    <hyperlink ref="WM8" location="'Cost Summary'!A1" display="'Cost Summary'!A1"/>
    <hyperlink ref="WN8" location="'Cost Summary'!A1" display="'Cost Summary'!A1"/>
    <hyperlink ref="WO8" location="'Cost Summary'!A1" display="'Cost Summary'!A1"/>
    <hyperlink ref="WP8" location="'Cost Summary'!A1" display="'Cost Summary'!A1"/>
    <hyperlink ref="WQ8" location="'Cost Summary'!A1" display="'Cost Summary'!A1"/>
    <hyperlink ref="WR8" location="'Cost Summary'!A1" display="'Cost Summary'!A1"/>
    <hyperlink ref="WS8" location="'Cost Summary'!A1" display="'Cost Summary'!A1"/>
    <hyperlink ref="WT8" location="'Cost Summary'!A1" display="'Cost Summary'!A1"/>
    <hyperlink ref="WU8" location="'Cost Summary'!A1" display="'Cost Summary'!A1"/>
    <hyperlink ref="WV8" location="'Cost Summary'!A1" display="'Cost Summary'!A1"/>
    <hyperlink ref="WW8" location="'Cost Summary'!A1" display="'Cost Summary'!A1"/>
    <hyperlink ref="WX8" location="'Cost Summary'!A1" display="'Cost Summary'!A1"/>
    <hyperlink ref="WY8" location="'Cost Summary'!A1" display="'Cost Summary'!A1"/>
    <hyperlink ref="WZ8" location="'Cost Summary'!A1" display="'Cost Summary'!A1"/>
    <hyperlink ref="XA8" location="'Cost Summary'!A1" display="'Cost Summary'!A1"/>
    <hyperlink ref="XB8" location="'Cost Summary'!A1" display="'Cost Summary'!A1"/>
    <hyperlink ref="XC8" location="'Cost Summary'!A1" display="'Cost Summary'!A1"/>
    <hyperlink ref="XD8" location="'Cost Summary'!A1" display="'Cost Summary'!A1"/>
    <hyperlink ref="XE8" location="'Cost Summary'!A1" display="'Cost Summary'!A1"/>
    <hyperlink ref="XF8" location="'Cost Summary'!A1" display="'Cost Summary'!A1"/>
    <hyperlink ref="XG8" location="'Cost Summary'!A1" display="'Cost Summary'!A1"/>
    <hyperlink ref="XH8" location="'Cost Summary'!A1" display="'Cost Summary'!A1"/>
    <hyperlink ref="XI8" location="'Cost Summary'!A1" display="'Cost Summary'!A1"/>
    <hyperlink ref="XJ8" location="'Cost Summary'!A1" display="'Cost Summary'!A1"/>
    <hyperlink ref="XK8" location="'Cost Summary'!A1" display="'Cost Summary'!A1"/>
    <hyperlink ref="XL8" location="'Cost Summary'!A1" display="'Cost Summary'!A1"/>
    <hyperlink ref="XM8" location="'Cost Summary'!A1" display="'Cost Summary'!A1"/>
    <hyperlink ref="XN8" location="'Cost Summary'!A1" display="'Cost Summary'!A1"/>
    <hyperlink ref="XO8" location="'Cost Summary'!A1" display="'Cost Summary'!A1"/>
    <hyperlink ref="XP8" location="'Cost Summary'!A1" display="'Cost Summary'!A1"/>
    <hyperlink ref="XQ8" location="'Cost Summary'!A1" display="'Cost Summary'!A1"/>
    <hyperlink ref="XR8" location="'Cost Summary'!A1" display="'Cost Summary'!A1"/>
    <hyperlink ref="XS8" location="'Cost Summary'!A1" display="'Cost Summary'!A1"/>
    <hyperlink ref="XT8" location="'Cost Summary'!A1" display="'Cost Summary'!A1"/>
    <hyperlink ref="XU8" location="'Cost Summary'!A1" display="'Cost Summary'!A1"/>
    <hyperlink ref="XV8" location="'Cost Summary'!A1" display="'Cost Summary'!A1"/>
    <hyperlink ref="XW8" location="'Cost Summary'!A1" display="'Cost Summary'!A1"/>
    <hyperlink ref="XX8" location="'Cost Summary'!A1" display="'Cost Summary'!A1"/>
    <hyperlink ref="XY8" location="'Cost Summary'!A1" display="'Cost Summary'!A1"/>
    <hyperlink ref="XZ8" location="'Cost Summary'!A1" display="'Cost Summary'!A1"/>
    <hyperlink ref="YA8" location="'Cost Summary'!A1" display="'Cost Summary'!A1"/>
    <hyperlink ref="YB8" location="'Cost Summary'!A1" display="'Cost Summary'!A1"/>
    <hyperlink ref="YC8" location="'Cost Summary'!A1" display="'Cost Summary'!A1"/>
    <hyperlink ref="YD8" location="'Cost Summary'!A1" display="'Cost Summary'!A1"/>
    <hyperlink ref="YE8" location="'Cost Summary'!A1" display="'Cost Summary'!A1"/>
    <hyperlink ref="YF8" location="'Cost Summary'!A1" display="'Cost Summary'!A1"/>
    <hyperlink ref="YG8" location="'Cost Summary'!A1" display="'Cost Summary'!A1"/>
    <hyperlink ref="YH8" location="'Cost Summary'!A1" display="'Cost Summary'!A1"/>
    <hyperlink ref="YI8" location="'Cost Summary'!A1" display="'Cost Summary'!A1"/>
    <hyperlink ref="YJ8" location="'Cost Summary'!A1" display="'Cost Summary'!A1"/>
    <hyperlink ref="YK8" location="'Cost Summary'!A1" display="'Cost Summary'!A1"/>
    <hyperlink ref="YL8" location="'Cost Summary'!A1" display="'Cost Summary'!A1"/>
    <hyperlink ref="YM8" location="'Cost Summary'!A1" display="'Cost Summary'!A1"/>
    <hyperlink ref="YN8" location="'Cost Summary'!A1" display="'Cost Summary'!A1"/>
    <hyperlink ref="YO8" location="'Cost Summary'!A1" display="'Cost Summary'!A1"/>
    <hyperlink ref="YP8" location="'Cost Summary'!A1" display="'Cost Summary'!A1"/>
    <hyperlink ref="YQ8" location="'Cost Summary'!A1" display="'Cost Summary'!A1"/>
    <hyperlink ref="YR8" location="'Cost Summary'!A1" display="'Cost Summary'!A1"/>
    <hyperlink ref="YS8" location="'Cost Summary'!A1" display="'Cost Summary'!A1"/>
    <hyperlink ref="YT8" location="'Cost Summary'!A1" display="'Cost Summary'!A1"/>
    <hyperlink ref="YU8" location="'Cost Summary'!A1" display="'Cost Summary'!A1"/>
    <hyperlink ref="YV8" location="'Cost Summary'!A1" display="'Cost Summary'!A1"/>
    <hyperlink ref="YW8" location="'Cost Summary'!A1" display="'Cost Summary'!A1"/>
    <hyperlink ref="YX8" location="'Cost Summary'!A1" display="'Cost Summary'!A1"/>
    <hyperlink ref="YY8" location="'Cost Summary'!A1" display="'Cost Summary'!A1"/>
    <hyperlink ref="YZ8" location="'Cost Summary'!A1" display="'Cost Summary'!A1"/>
    <hyperlink ref="ZA8" location="'Cost Summary'!A1" display="'Cost Summary'!A1"/>
    <hyperlink ref="ZB8" location="'Cost Summary'!A1" display="'Cost Summary'!A1"/>
    <hyperlink ref="ZC8" location="'Cost Summary'!A1" display="'Cost Summary'!A1"/>
    <hyperlink ref="ZD8" location="'Cost Summary'!A1" display="'Cost Summary'!A1"/>
    <hyperlink ref="ZE8" location="'Cost Summary'!A1" display="'Cost Summary'!A1"/>
    <hyperlink ref="ZF8" location="'Cost Summary'!A1" display="'Cost Summary'!A1"/>
    <hyperlink ref="ZG8" location="'Cost Summary'!A1" display="'Cost Summary'!A1"/>
    <hyperlink ref="ZH8" location="'Cost Summary'!A1" display="'Cost Summary'!A1"/>
    <hyperlink ref="ZI8" location="'Cost Summary'!A1" display="'Cost Summary'!A1"/>
    <hyperlink ref="ZJ8" location="'Cost Summary'!A1" display="'Cost Summary'!A1"/>
    <hyperlink ref="ZK8" location="'Cost Summary'!A1" display="'Cost Summary'!A1"/>
    <hyperlink ref="ZL8" location="'Cost Summary'!A1" display="'Cost Summary'!A1"/>
    <hyperlink ref="ZM8" location="'Cost Summary'!A1" display="'Cost Summary'!A1"/>
    <hyperlink ref="ZN8" location="'Cost Summary'!A1" display="'Cost Summary'!A1"/>
    <hyperlink ref="ZO8" location="'Cost Summary'!A1" display="'Cost Summary'!A1"/>
    <hyperlink ref="ZP8" location="'Cost Summary'!A1" display="'Cost Summary'!A1"/>
    <hyperlink ref="ZQ8" location="'Cost Summary'!A1" display="'Cost Summary'!A1"/>
    <hyperlink ref="ZR8" location="'Cost Summary'!A1" display="'Cost Summary'!A1"/>
    <hyperlink ref="ZS8" location="'Cost Summary'!A1" display="'Cost Summary'!A1"/>
    <hyperlink ref="ZT8" location="'Cost Summary'!A1" display="'Cost Summary'!A1"/>
    <hyperlink ref="ZU8" location="'Cost Summary'!A1" display="'Cost Summary'!A1"/>
    <hyperlink ref="ZV8" location="'Cost Summary'!A1" display="'Cost Summary'!A1"/>
    <hyperlink ref="ZW8" location="'Cost Summary'!A1" display="'Cost Summary'!A1"/>
    <hyperlink ref="ZX8" location="'Cost Summary'!A1" display="'Cost Summary'!A1"/>
    <hyperlink ref="ZY8" location="'Cost Summary'!A1" display="'Cost Summary'!A1"/>
    <hyperlink ref="ZZ8" location="'Cost Summary'!A1" display="'Cost Summary'!A1"/>
    <hyperlink ref="AAA8" location="'Cost Summary'!A1" display="'Cost Summary'!A1"/>
    <hyperlink ref="AAB8" location="'Cost Summary'!A1" display="'Cost Summary'!A1"/>
    <hyperlink ref="AAC8" location="'Cost Summary'!A1" display="'Cost Summary'!A1"/>
    <hyperlink ref="AAD8" location="'Cost Summary'!A1" display="'Cost Summary'!A1"/>
    <hyperlink ref="AAE8" location="'Cost Summary'!A1" display="'Cost Summary'!A1"/>
    <hyperlink ref="AAF8" location="'Cost Summary'!A1" display="'Cost Summary'!A1"/>
    <hyperlink ref="AAG8" location="'Cost Summary'!A1" display="'Cost Summary'!A1"/>
    <hyperlink ref="AAH8" location="'Cost Summary'!A1" display="'Cost Summary'!A1"/>
    <hyperlink ref="AAI8" location="'Cost Summary'!A1" display="'Cost Summary'!A1"/>
    <hyperlink ref="AAJ8" location="'Cost Summary'!A1" display="'Cost Summary'!A1"/>
    <hyperlink ref="AAK8" location="'Cost Summary'!A1" display="'Cost Summary'!A1"/>
    <hyperlink ref="AAL8" location="'Cost Summary'!A1" display="'Cost Summary'!A1"/>
    <hyperlink ref="AAM8" location="'Cost Summary'!A1" display="'Cost Summary'!A1"/>
    <hyperlink ref="AAN8" location="'Cost Summary'!A1" display="'Cost Summary'!A1"/>
    <hyperlink ref="AAO8" location="'Cost Summary'!A1" display="'Cost Summary'!A1"/>
    <hyperlink ref="AAP8" location="'Cost Summary'!A1" display="'Cost Summary'!A1"/>
    <hyperlink ref="AAQ8" location="'Cost Summary'!A1" display="'Cost Summary'!A1"/>
    <hyperlink ref="AAR8" location="'Cost Summary'!A1" display="'Cost Summary'!A1"/>
    <hyperlink ref="AAS8" location="'Cost Summary'!A1" display="'Cost Summary'!A1"/>
    <hyperlink ref="AAT8" location="'Cost Summary'!A1" display="'Cost Summary'!A1"/>
    <hyperlink ref="AAU8" location="'Cost Summary'!A1" display="'Cost Summary'!A1"/>
    <hyperlink ref="AAV8" location="'Cost Summary'!A1" display="'Cost Summary'!A1"/>
    <hyperlink ref="AAW8" location="'Cost Summary'!A1" display="'Cost Summary'!A1"/>
    <hyperlink ref="AAX8" location="'Cost Summary'!A1" display="'Cost Summary'!A1"/>
    <hyperlink ref="AAY8" location="'Cost Summary'!A1" display="'Cost Summary'!A1"/>
    <hyperlink ref="AAZ8" location="'Cost Summary'!A1" display="'Cost Summary'!A1"/>
    <hyperlink ref="ABA8" location="'Cost Summary'!A1" display="'Cost Summary'!A1"/>
    <hyperlink ref="ABB8" location="'Cost Summary'!A1" display="'Cost Summary'!A1"/>
    <hyperlink ref="ABC8" location="'Cost Summary'!A1" display="'Cost Summary'!A1"/>
    <hyperlink ref="ABD8" location="'Cost Summary'!A1" display="'Cost Summary'!A1"/>
    <hyperlink ref="ABE8" location="'Cost Summary'!A1" display="'Cost Summary'!A1"/>
    <hyperlink ref="ABF8" location="'Cost Summary'!A1" display="'Cost Summary'!A1"/>
    <hyperlink ref="ABG8" location="'Cost Summary'!A1" display="'Cost Summary'!A1"/>
    <hyperlink ref="ABH8" location="'Cost Summary'!A1" display="'Cost Summary'!A1"/>
    <hyperlink ref="ABI8" location="'Cost Summary'!A1" display="'Cost Summary'!A1"/>
    <hyperlink ref="ABJ8" location="'Cost Summary'!A1" display="'Cost Summary'!A1"/>
    <hyperlink ref="ABK8" location="'Cost Summary'!A1" display="'Cost Summary'!A1"/>
    <hyperlink ref="ABL8" location="'Cost Summary'!A1" display="'Cost Summary'!A1"/>
    <hyperlink ref="ABM8" location="'Cost Summary'!A1" display="'Cost Summary'!A1"/>
    <hyperlink ref="ABN8" location="'Cost Summary'!A1" display="'Cost Summary'!A1"/>
    <hyperlink ref="ABO8" location="'Cost Summary'!A1" display="'Cost Summary'!A1"/>
    <hyperlink ref="ABP8" location="'Cost Summary'!A1" display="'Cost Summary'!A1"/>
    <hyperlink ref="ABQ8" location="'Cost Summary'!A1" display="'Cost Summary'!A1"/>
    <hyperlink ref="ABR8" location="'Cost Summary'!A1" display="'Cost Summary'!A1"/>
    <hyperlink ref="ABS8" location="'Cost Summary'!A1" display="'Cost Summary'!A1"/>
    <hyperlink ref="ABT8" location="'Cost Summary'!A1" display="'Cost Summary'!A1"/>
    <hyperlink ref="ABU8" location="'Cost Summary'!A1" display="'Cost Summary'!A1"/>
    <hyperlink ref="ABV8" location="'Cost Summary'!A1" display="'Cost Summary'!A1"/>
    <hyperlink ref="ABW8" location="'Cost Summary'!A1" display="'Cost Summary'!A1"/>
    <hyperlink ref="ABX8" location="'Cost Summary'!A1" display="'Cost Summary'!A1"/>
    <hyperlink ref="ABY8" location="'Cost Summary'!A1" display="'Cost Summary'!A1"/>
    <hyperlink ref="ABZ8" location="'Cost Summary'!A1" display="'Cost Summary'!A1"/>
    <hyperlink ref="ACA8" location="'Cost Summary'!A1" display="'Cost Summary'!A1"/>
    <hyperlink ref="ACB8" location="'Cost Summary'!A1" display="'Cost Summary'!A1"/>
    <hyperlink ref="ACC8" location="'Cost Summary'!A1" display="'Cost Summary'!A1"/>
    <hyperlink ref="ACD8" location="'Cost Summary'!A1" display="'Cost Summary'!A1"/>
    <hyperlink ref="ACE8" location="'Cost Summary'!A1" display="'Cost Summary'!A1"/>
    <hyperlink ref="ACF8" location="'Cost Summary'!A1" display="'Cost Summary'!A1"/>
    <hyperlink ref="ACG8" location="'Cost Summary'!A1" display="'Cost Summary'!A1"/>
    <hyperlink ref="ACH8" location="'Cost Summary'!A1" display="'Cost Summary'!A1"/>
    <hyperlink ref="ACI8" location="'Cost Summary'!A1" display="'Cost Summary'!A1"/>
    <hyperlink ref="ACJ8" location="'Cost Summary'!A1" display="'Cost Summary'!A1"/>
    <hyperlink ref="ACK8" location="'Cost Summary'!A1" display="'Cost Summary'!A1"/>
    <hyperlink ref="ACL8" location="'Cost Summary'!A1" display="'Cost Summary'!A1"/>
    <hyperlink ref="ACM8" location="'Cost Summary'!A1" display="'Cost Summary'!A1"/>
    <hyperlink ref="ACN8" location="'Cost Summary'!A1" display="'Cost Summary'!A1"/>
    <hyperlink ref="ACO8" location="'Cost Summary'!A1" display="'Cost Summary'!A1"/>
    <hyperlink ref="ACP8" location="'Cost Summary'!A1" display="'Cost Summary'!A1"/>
    <hyperlink ref="ACQ8" location="'Cost Summary'!A1" display="'Cost Summary'!A1"/>
    <hyperlink ref="ACR8" location="'Cost Summary'!A1" display="'Cost Summary'!A1"/>
    <hyperlink ref="ACS8" location="'Cost Summary'!A1" display="'Cost Summary'!A1"/>
    <hyperlink ref="ACT8" location="'Cost Summary'!A1" display="'Cost Summary'!A1"/>
    <hyperlink ref="ACU8" location="'Cost Summary'!A1" display="'Cost Summary'!A1"/>
    <hyperlink ref="ACV8" location="'Cost Summary'!A1" display="'Cost Summary'!A1"/>
    <hyperlink ref="ACW8" location="'Cost Summary'!A1" display="'Cost Summary'!A1"/>
    <hyperlink ref="ACX8" location="'Cost Summary'!A1" display="'Cost Summary'!A1"/>
    <hyperlink ref="ACY8" location="'Cost Summary'!A1" display="'Cost Summary'!A1"/>
    <hyperlink ref="ACZ8" location="'Cost Summary'!A1" display="'Cost Summary'!A1"/>
    <hyperlink ref="ADA8" location="'Cost Summary'!A1" display="'Cost Summary'!A1"/>
    <hyperlink ref="ADB8" location="'Cost Summary'!A1" display="'Cost Summary'!A1"/>
    <hyperlink ref="ADC8" location="'Cost Summary'!A1" display="'Cost Summary'!A1"/>
    <hyperlink ref="ADD8" location="'Cost Summary'!A1" display="'Cost Summary'!A1"/>
    <hyperlink ref="ADE8" location="'Cost Summary'!A1" display="'Cost Summary'!A1"/>
    <hyperlink ref="ADF8" location="'Cost Summary'!A1" display="'Cost Summary'!A1"/>
    <hyperlink ref="ADG8" location="'Cost Summary'!A1" display="'Cost Summary'!A1"/>
    <hyperlink ref="ADH8" location="'Cost Summary'!A1" display="'Cost Summary'!A1"/>
    <hyperlink ref="ADI8" location="'Cost Summary'!A1" display="'Cost Summary'!A1"/>
    <hyperlink ref="ADJ8" location="'Cost Summary'!A1" display="'Cost Summary'!A1"/>
    <hyperlink ref="ADK8" location="'Cost Summary'!A1" display="'Cost Summary'!A1"/>
    <hyperlink ref="ADL8" location="'Cost Summary'!A1" display="'Cost Summary'!A1"/>
    <hyperlink ref="ADM8" location="'Cost Summary'!A1" display="'Cost Summary'!A1"/>
    <hyperlink ref="ADN8" location="'Cost Summary'!A1" display="'Cost Summary'!A1"/>
    <hyperlink ref="ADO8" location="'Cost Summary'!A1" display="'Cost Summary'!A1"/>
    <hyperlink ref="ADP8" location="'Cost Summary'!A1" display="'Cost Summary'!A1"/>
    <hyperlink ref="ADQ8" location="'Cost Summary'!A1" display="'Cost Summary'!A1"/>
    <hyperlink ref="ADR8" location="'Cost Summary'!A1" display="'Cost Summary'!A1"/>
    <hyperlink ref="ADS8" location="'Cost Summary'!A1" display="'Cost Summary'!A1"/>
    <hyperlink ref="ADT8" location="'Cost Summary'!A1" display="'Cost Summary'!A1"/>
    <hyperlink ref="ADU8" location="'Cost Summary'!A1" display="'Cost Summary'!A1"/>
    <hyperlink ref="ADV8" location="'Cost Summary'!A1" display="'Cost Summary'!A1"/>
    <hyperlink ref="ADW8" location="'Cost Summary'!A1" display="'Cost Summary'!A1"/>
    <hyperlink ref="ADX8" location="'Cost Summary'!A1" display="'Cost Summary'!A1"/>
    <hyperlink ref="ADY8" location="'Cost Summary'!A1" display="'Cost Summary'!A1"/>
    <hyperlink ref="ADZ8" location="'Cost Summary'!A1" display="'Cost Summary'!A1"/>
    <hyperlink ref="AEA8" location="'Cost Summary'!A1" display="'Cost Summary'!A1"/>
    <hyperlink ref="AEB8" location="'Cost Summary'!A1" display="'Cost Summary'!A1"/>
    <hyperlink ref="AEC8" location="'Cost Summary'!A1" display="'Cost Summary'!A1"/>
    <hyperlink ref="AED8" location="'Cost Summary'!A1" display="'Cost Summary'!A1"/>
    <hyperlink ref="AEE8" location="'Cost Summary'!A1" display="'Cost Summary'!A1"/>
    <hyperlink ref="AEF8" location="'Cost Summary'!A1" display="'Cost Summary'!A1"/>
    <hyperlink ref="AEG8" location="'Cost Summary'!A1" display="'Cost Summary'!A1"/>
    <hyperlink ref="AEH8" location="'Cost Summary'!A1" display="'Cost Summary'!A1"/>
    <hyperlink ref="AEI8" location="'Cost Summary'!A1" display="'Cost Summary'!A1"/>
    <hyperlink ref="AEJ8" location="'Cost Summary'!A1" display="'Cost Summary'!A1"/>
    <hyperlink ref="AEK8" location="'Cost Summary'!A1" display="'Cost Summary'!A1"/>
    <hyperlink ref="AEL8" location="'Cost Summary'!A1" display="'Cost Summary'!A1"/>
    <hyperlink ref="AEM8" location="'Cost Summary'!A1" display="'Cost Summary'!A1"/>
    <hyperlink ref="AEN8" location="'Cost Summary'!A1" display="'Cost Summary'!A1"/>
    <hyperlink ref="AEO8" location="'Cost Summary'!A1" display="'Cost Summary'!A1"/>
    <hyperlink ref="AEP8" location="'Cost Summary'!A1" display="'Cost Summary'!A1"/>
    <hyperlink ref="AEQ8" location="'Cost Summary'!A1" display="'Cost Summary'!A1"/>
    <hyperlink ref="AER8" location="'Cost Summary'!A1" display="'Cost Summary'!A1"/>
    <hyperlink ref="AES8" location="'Cost Summary'!A1" display="'Cost Summary'!A1"/>
    <hyperlink ref="AET8" location="'Cost Summary'!A1" display="'Cost Summary'!A1"/>
    <hyperlink ref="AEU8" location="'Cost Summary'!A1" display="'Cost Summary'!A1"/>
    <hyperlink ref="AEV8" location="'Cost Summary'!A1" display="'Cost Summary'!A1"/>
    <hyperlink ref="AEW8" location="'Cost Summary'!A1" display="'Cost Summary'!A1"/>
    <hyperlink ref="AEX8" location="'Cost Summary'!A1" display="'Cost Summary'!A1"/>
    <hyperlink ref="AEY8" location="'Cost Summary'!A1" display="'Cost Summary'!A1"/>
    <hyperlink ref="AEZ8" location="'Cost Summary'!A1" display="'Cost Summary'!A1"/>
    <hyperlink ref="AFA8" location="'Cost Summary'!A1" display="'Cost Summary'!A1"/>
    <hyperlink ref="AFB8" location="'Cost Summary'!A1" display="'Cost Summary'!A1"/>
    <hyperlink ref="AFC8" location="'Cost Summary'!A1" display="'Cost Summary'!A1"/>
    <hyperlink ref="AFD8" location="'Cost Summary'!A1" display="'Cost Summary'!A1"/>
    <hyperlink ref="AFE8" location="'Cost Summary'!A1" display="'Cost Summary'!A1"/>
    <hyperlink ref="AFF8" location="'Cost Summary'!A1" display="'Cost Summary'!A1"/>
    <hyperlink ref="AFG8" location="'Cost Summary'!A1" display="'Cost Summary'!A1"/>
    <hyperlink ref="AFH8" location="'Cost Summary'!A1" display="'Cost Summary'!A1"/>
    <hyperlink ref="AFI8" location="'Cost Summary'!A1" display="'Cost Summary'!A1"/>
    <hyperlink ref="AFJ8" location="'Cost Summary'!A1" display="'Cost Summary'!A1"/>
    <hyperlink ref="AFK8" location="'Cost Summary'!A1" display="'Cost Summary'!A1"/>
    <hyperlink ref="AFL8" location="'Cost Summary'!A1" display="'Cost Summary'!A1"/>
    <hyperlink ref="AFM8" location="'Cost Summary'!A1" display="'Cost Summary'!A1"/>
    <hyperlink ref="AFN8" location="'Cost Summary'!A1" display="'Cost Summary'!A1"/>
    <hyperlink ref="AFO8" location="'Cost Summary'!A1" display="'Cost Summary'!A1"/>
    <hyperlink ref="AFP8" location="'Cost Summary'!A1" display="'Cost Summary'!A1"/>
    <hyperlink ref="AFQ8" location="'Cost Summary'!A1" display="'Cost Summary'!A1"/>
    <hyperlink ref="AFR8" location="'Cost Summary'!A1" display="'Cost Summary'!A1"/>
    <hyperlink ref="AFS8" location="'Cost Summary'!A1" display="'Cost Summary'!A1"/>
    <hyperlink ref="AFT8" location="'Cost Summary'!A1" display="'Cost Summary'!A1"/>
    <hyperlink ref="AFU8" location="'Cost Summary'!A1" display="'Cost Summary'!A1"/>
    <hyperlink ref="AFV8" location="'Cost Summary'!A1" display="'Cost Summary'!A1"/>
    <hyperlink ref="AFW8" location="'Cost Summary'!A1" display="'Cost Summary'!A1"/>
    <hyperlink ref="AFX8" location="'Cost Summary'!A1" display="'Cost Summary'!A1"/>
    <hyperlink ref="AFY8" location="'Cost Summary'!A1" display="'Cost Summary'!A1"/>
    <hyperlink ref="AFZ8" location="'Cost Summary'!A1" display="'Cost Summary'!A1"/>
    <hyperlink ref="AGA8" location="'Cost Summary'!A1" display="'Cost Summary'!A1"/>
    <hyperlink ref="AGB8" location="'Cost Summary'!A1" display="'Cost Summary'!A1"/>
    <hyperlink ref="AGC8" location="'Cost Summary'!A1" display="'Cost Summary'!A1"/>
    <hyperlink ref="AGD8" location="'Cost Summary'!A1" display="'Cost Summary'!A1"/>
    <hyperlink ref="AGE8" location="'Cost Summary'!A1" display="'Cost Summary'!A1"/>
    <hyperlink ref="AGF8" location="'Cost Summary'!A1" display="'Cost Summary'!A1"/>
    <hyperlink ref="AGG8" location="'Cost Summary'!A1" display="'Cost Summary'!A1"/>
    <hyperlink ref="AGH8" location="'Cost Summary'!A1" display="'Cost Summary'!A1"/>
    <hyperlink ref="AGI8" location="'Cost Summary'!A1" display="'Cost Summary'!A1"/>
    <hyperlink ref="AGJ8" location="'Cost Summary'!A1" display="'Cost Summary'!A1"/>
    <hyperlink ref="AGK8" location="'Cost Summary'!A1" display="'Cost Summary'!A1"/>
    <hyperlink ref="AGL8" location="'Cost Summary'!A1" display="'Cost Summary'!A1"/>
    <hyperlink ref="AGM8" location="'Cost Summary'!A1" display="'Cost Summary'!A1"/>
    <hyperlink ref="AGN8" location="'Cost Summary'!A1" display="'Cost Summary'!A1"/>
    <hyperlink ref="AGO8" location="'Cost Summary'!A1" display="'Cost Summary'!A1"/>
    <hyperlink ref="AGP8" location="'Cost Summary'!A1" display="'Cost Summary'!A1"/>
    <hyperlink ref="AGQ8" location="'Cost Summary'!A1" display="'Cost Summary'!A1"/>
    <hyperlink ref="AGR8" location="'Cost Summary'!A1" display="'Cost Summary'!A1"/>
    <hyperlink ref="AGS8" location="'Cost Summary'!A1" display="'Cost Summary'!A1"/>
    <hyperlink ref="AGT8" location="'Cost Summary'!A1" display="'Cost Summary'!A1"/>
    <hyperlink ref="AGU8" location="'Cost Summary'!A1" display="'Cost Summary'!A1"/>
    <hyperlink ref="AGV8" location="'Cost Summary'!A1" display="'Cost Summary'!A1"/>
    <hyperlink ref="AGW8" location="'Cost Summary'!A1" display="'Cost Summary'!A1"/>
    <hyperlink ref="AGX8" location="'Cost Summary'!A1" display="'Cost Summary'!A1"/>
    <hyperlink ref="AGY8" location="'Cost Summary'!A1" display="'Cost Summary'!A1"/>
    <hyperlink ref="AGZ8" location="'Cost Summary'!A1" display="'Cost Summary'!A1"/>
    <hyperlink ref="AHA8" location="'Cost Summary'!A1" display="'Cost Summary'!A1"/>
    <hyperlink ref="AHB8" location="'Cost Summary'!A1" display="'Cost Summary'!A1"/>
    <hyperlink ref="AHC8" location="'Cost Summary'!A1" display="'Cost Summary'!A1"/>
    <hyperlink ref="AHD8" location="'Cost Summary'!A1" display="'Cost Summary'!A1"/>
    <hyperlink ref="AHE8" location="'Cost Summary'!A1" display="'Cost Summary'!A1"/>
    <hyperlink ref="AHF8" location="'Cost Summary'!A1" display="'Cost Summary'!A1"/>
    <hyperlink ref="AHG8" location="'Cost Summary'!A1" display="'Cost Summary'!A1"/>
    <hyperlink ref="AHH8" location="'Cost Summary'!A1" display="'Cost Summary'!A1"/>
    <hyperlink ref="AHI8" location="'Cost Summary'!A1" display="'Cost Summary'!A1"/>
    <hyperlink ref="AHJ8" location="'Cost Summary'!A1" display="'Cost Summary'!A1"/>
    <hyperlink ref="AHK8" location="'Cost Summary'!A1" display="'Cost Summary'!A1"/>
    <hyperlink ref="AHL8" location="'Cost Summary'!A1" display="'Cost Summary'!A1"/>
    <hyperlink ref="AHM8" location="'Cost Summary'!A1" display="'Cost Summary'!A1"/>
    <hyperlink ref="AHN8" location="'Cost Summary'!A1" display="'Cost Summary'!A1"/>
    <hyperlink ref="AHO8" location="'Cost Summary'!A1" display="'Cost Summary'!A1"/>
    <hyperlink ref="AHP8" location="'Cost Summary'!A1" display="'Cost Summary'!A1"/>
    <hyperlink ref="AHQ8" location="'Cost Summary'!A1" display="'Cost Summary'!A1"/>
    <hyperlink ref="AHR8" location="'Cost Summary'!A1" display="'Cost Summary'!A1"/>
    <hyperlink ref="AHS8" location="'Cost Summary'!A1" display="'Cost Summary'!A1"/>
    <hyperlink ref="AHT8" location="'Cost Summary'!A1" display="'Cost Summary'!A1"/>
    <hyperlink ref="AHU8" location="'Cost Summary'!A1" display="'Cost Summary'!A1"/>
    <hyperlink ref="AHV8" location="'Cost Summary'!A1" display="'Cost Summary'!A1"/>
    <hyperlink ref="AHW8" location="'Cost Summary'!A1" display="'Cost Summary'!A1"/>
    <hyperlink ref="AHX8" location="'Cost Summary'!A1" display="'Cost Summary'!A1"/>
    <hyperlink ref="AHY8" location="'Cost Summary'!A1" display="'Cost Summary'!A1"/>
    <hyperlink ref="AHZ8" location="'Cost Summary'!A1" display="'Cost Summary'!A1"/>
    <hyperlink ref="AIA8" location="'Cost Summary'!A1" display="'Cost Summary'!A1"/>
    <hyperlink ref="AIB8" location="'Cost Summary'!A1" display="'Cost Summary'!A1"/>
    <hyperlink ref="AIC8" location="'Cost Summary'!A1" display="'Cost Summary'!A1"/>
    <hyperlink ref="AID8" location="'Cost Summary'!A1" display="'Cost Summary'!A1"/>
    <hyperlink ref="AIE8" location="'Cost Summary'!A1" display="'Cost Summary'!A1"/>
    <hyperlink ref="AIF8" location="'Cost Summary'!A1" display="'Cost Summary'!A1"/>
    <hyperlink ref="AIG8" location="'Cost Summary'!A1" display="'Cost Summary'!A1"/>
    <hyperlink ref="AIH8" location="'Cost Summary'!A1" display="'Cost Summary'!A1"/>
    <hyperlink ref="AII8" location="'Cost Summary'!A1" display="'Cost Summary'!A1"/>
    <hyperlink ref="AIJ8" location="'Cost Summary'!A1" display="'Cost Summary'!A1"/>
    <hyperlink ref="AIK8" location="'Cost Summary'!A1" display="'Cost Summary'!A1"/>
    <hyperlink ref="AIL8" location="'Cost Summary'!A1" display="'Cost Summary'!A1"/>
    <hyperlink ref="AIM8" location="'Cost Summary'!A1" display="'Cost Summary'!A1"/>
    <hyperlink ref="AIN8" location="'Cost Summary'!A1" display="'Cost Summary'!A1"/>
    <hyperlink ref="AIO8" location="'Cost Summary'!A1" display="'Cost Summary'!A1"/>
    <hyperlink ref="AIP8" location="'Cost Summary'!A1" display="'Cost Summary'!A1"/>
    <hyperlink ref="AIQ8" location="'Cost Summary'!A1" display="'Cost Summary'!A1"/>
    <hyperlink ref="AIR8" location="'Cost Summary'!A1" display="'Cost Summary'!A1"/>
    <hyperlink ref="AIS8" location="'Cost Summary'!A1" display="'Cost Summary'!A1"/>
    <hyperlink ref="AIT8" location="'Cost Summary'!A1" display="'Cost Summary'!A1"/>
    <hyperlink ref="AIU8" location="'Cost Summary'!A1" display="'Cost Summary'!A1"/>
    <hyperlink ref="AIV8" location="'Cost Summary'!A1" display="'Cost Summary'!A1"/>
    <hyperlink ref="AIW8" location="'Cost Summary'!A1" display="'Cost Summary'!A1"/>
    <hyperlink ref="AIX8" location="'Cost Summary'!A1" display="'Cost Summary'!A1"/>
    <hyperlink ref="AIY8" location="'Cost Summary'!A1" display="'Cost Summary'!A1"/>
    <hyperlink ref="AIZ8" location="'Cost Summary'!A1" display="'Cost Summary'!A1"/>
    <hyperlink ref="AJA8" location="'Cost Summary'!A1" display="'Cost Summary'!A1"/>
    <hyperlink ref="AJB8" location="'Cost Summary'!A1" display="'Cost Summary'!A1"/>
    <hyperlink ref="AJC8" location="'Cost Summary'!A1" display="'Cost Summary'!A1"/>
    <hyperlink ref="AJD8" location="'Cost Summary'!A1" display="'Cost Summary'!A1"/>
    <hyperlink ref="AJE8" location="'Cost Summary'!A1" display="'Cost Summary'!A1"/>
    <hyperlink ref="AJF8" location="'Cost Summary'!A1" display="'Cost Summary'!A1"/>
    <hyperlink ref="AJG8" location="'Cost Summary'!A1" display="'Cost Summary'!A1"/>
    <hyperlink ref="AJH8" location="'Cost Summary'!A1" display="'Cost Summary'!A1"/>
    <hyperlink ref="AJI8" location="'Cost Summary'!A1" display="'Cost Summary'!A1"/>
    <hyperlink ref="AJJ8" location="'Cost Summary'!A1" display="'Cost Summary'!A1"/>
    <hyperlink ref="AJK8" location="'Cost Summary'!A1" display="'Cost Summary'!A1"/>
    <hyperlink ref="AJL8" location="'Cost Summary'!A1" display="'Cost Summary'!A1"/>
    <hyperlink ref="AJM8" location="'Cost Summary'!A1" display="'Cost Summary'!A1"/>
    <hyperlink ref="AJN8" location="'Cost Summary'!A1" display="'Cost Summary'!A1"/>
    <hyperlink ref="AJO8" location="'Cost Summary'!A1" display="'Cost Summary'!A1"/>
    <hyperlink ref="AJP8" location="'Cost Summary'!A1" display="'Cost Summary'!A1"/>
    <hyperlink ref="AJQ8" location="'Cost Summary'!A1" display="'Cost Summary'!A1"/>
    <hyperlink ref="AJR8" location="'Cost Summary'!A1" display="'Cost Summary'!A1"/>
    <hyperlink ref="AJS8" location="'Cost Summary'!A1" display="'Cost Summary'!A1"/>
    <hyperlink ref="AJT8" location="'Cost Summary'!A1" display="'Cost Summary'!A1"/>
    <hyperlink ref="AJU8" location="'Cost Summary'!A1" display="'Cost Summary'!A1"/>
    <hyperlink ref="AJV8" location="'Cost Summary'!A1" display="'Cost Summary'!A1"/>
    <hyperlink ref="AJW8" location="'Cost Summary'!A1" display="'Cost Summary'!A1"/>
    <hyperlink ref="AJX8" location="'Cost Summary'!A1" display="'Cost Summary'!A1"/>
    <hyperlink ref="AJY8" location="'Cost Summary'!A1" display="'Cost Summary'!A1"/>
    <hyperlink ref="AJZ8" location="'Cost Summary'!A1" display="'Cost Summary'!A1"/>
    <hyperlink ref="AKA8" location="'Cost Summary'!A1" display="'Cost Summary'!A1"/>
    <hyperlink ref="AKB8" location="'Cost Summary'!A1" display="'Cost Summary'!A1"/>
    <hyperlink ref="AKC8" location="'Cost Summary'!A1" display="'Cost Summary'!A1"/>
    <hyperlink ref="AKD8" location="'Cost Summary'!A1" display="'Cost Summary'!A1"/>
    <hyperlink ref="AKE8" location="'Cost Summary'!A1" display="'Cost Summary'!A1"/>
    <hyperlink ref="AKF8" location="'Cost Summary'!A1" display="'Cost Summary'!A1"/>
    <hyperlink ref="AKG8" location="'Cost Summary'!A1" display="'Cost Summary'!A1"/>
    <hyperlink ref="AKH8" location="'Cost Summary'!A1" display="'Cost Summary'!A1"/>
    <hyperlink ref="AKI8" location="'Cost Summary'!A1" display="'Cost Summary'!A1"/>
    <hyperlink ref="AKJ8" location="'Cost Summary'!A1" display="'Cost Summary'!A1"/>
    <hyperlink ref="AKK8" location="'Cost Summary'!A1" display="'Cost Summary'!A1"/>
    <hyperlink ref="AKL8" location="'Cost Summary'!A1" display="'Cost Summary'!A1"/>
    <hyperlink ref="AKM8" location="'Cost Summary'!A1" display="'Cost Summary'!A1"/>
    <hyperlink ref="AKN8" location="'Cost Summary'!A1" display="'Cost Summary'!A1"/>
    <hyperlink ref="AKO8" location="'Cost Summary'!A1" display="'Cost Summary'!A1"/>
    <hyperlink ref="AKP8" location="'Cost Summary'!A1" display="'Cost Summary'!A1"/>
    <hyperlink ref="AKQ8" location="'Cost Summary'!A1" display="'Cost Summary'!A1"/>
    <hyperlink ref="AKR8" location="'Cost Summary'!A1" display="'Cost Summary'!A1"/>
    <hyperlink ref="AKS8" location="'Cost Summary'!A1" display="'Cost Summary'!A1"/>
    <hyperlink ref="AKT8" location="'Cost Summary'!A1" display="'Cost Summary'!A1"/>
    <hyperlink ref="AKU8" location="'Cost Summary'!A1" display="'Cost Summary'!A1"/>
    <hyperlink ref="AKV8" location="'Cost Summary'!A1" display="'Cost Summary'!A1"/>
    <hyperlink ref="AKW8" location="'Cost Summary'!A1" display="'Cost Summary'!A1"/>
    <hyperlink ref="AKX8" location="'Cost Summary'!A1" display="'Cost Summary'!A1"/>
    <hyperlink ref="AKY8" location="'Cost Summary'!A1" display="'Cost Summary'!A1"/>
    <hyperlink ref="AKZ8" location="'Cost Summary'!A1" display="'Cost Summary'!A1"/>
    <hyperlink ref="ALA8" location="'Cost Summary'!A1" display="'Cost Summary'!A1"/>
    <hyperlink ref="ALB8" location="'Cost Summary'!A1" display="'Cost Summary'!A1"/>
    <hyperlink ref="ALC8" location="'Cost Summary'!A1" display="'Cost Summary'!A1"/>
    <hyperlink ref="ALD8" location="'Cost Summary'!A1" display="'Cost Summary'!A1"/>
    <hyperlink ref="ALE8" location="'Cost Summary'!A1" display="'Cost Summary'!A1"/>
    <hyperlink ref="ALF8" location="'Cost Summary'!A1" display="'Cost Summary'!A1"/>
    <hyperlink ref="ALG8" location="'Cost Summary'!A1" display="'Cost Summary'!A1"/>
    <hyperlink ref="ALH8" location="'Cost Summary'!A1" display="'Cost Summary'!A1"/>
    <hyperlink ref="ALI8" location="'Cost Summary'!A1" display="'Cost Summary'!A1"/>
    <hyperlink ref="ALJ8" location="'Cost Summary'!A1" display="'Cost Summary'!A1"/>
    <hyperlink ref="ALK8" location="'Cost Summary'!A1" display="'Cost Summary'!A1"/>
    <hyperlink ref="ALL8" location="'Cost Summary'!A1" display="'Cost Summary'!A1"/>
    <hyperlink ref="ALM8" location="'Cost Summary'!A1" display="'Cost Summary'!A1"/>
    <hyperlink ref="ALN8" location="'Cost Summary'!A1" display="'Cost Summary'!A1"/>
    <hyperlink ref="ALO8" location="'Cost Summary'!A1" display="'Cost Summary'!A1"/>
    <hyperlink ref="ALP8" location="'Cost Summary'!A1" display="'Cost Summary'!A1"/>
    <hyperlink ref="ALQ8" location="'Cost Summary'!A1" display="'Cost Summary'!A1"/>
    <hyperlink ref="ALR8" location="'Cost Summary'!A1" display="'Cost Summary'!A1"/>
    <hyperlink ref="ALS8" location="'Cost Summary'!A1" display="'Cost Summary'!A1"/>
    <hyperlink ref="ALT8" location="'Cost Summary'!A1" display="'Cost Summary'!A1"/>
    <hyperlink ref="ALU8" location="'Cost Summary'!A1" display="'Cost Summary'!A1"/>
    <hyperlink ref="ALV8" location="'Cost Summary'!A1" display="'Cost Summary'!A1"/>
    <hyperlink ref="ALW8" location="'Cost Summary'!A1" display="'Cost Summary'!A1"/>
    <hyperlink ref="ALX8" location="'Cost Summary'!A1" display="'Cost Summary'!A1"/>
    <hyperlink ref="ALY8" location="'Cost Summary'!A1" display="'Cost Summary'!A1"/>
    <hyperlink ref="ALZ8" location="'Cost Summary'!A1" display="'Cost Summary'!A1"/>
    <hyperlink ref="AMA8" location="'Cost Summary'!A1" display="'Cost Summary'!A1"/>
    <hyperlink ref="AMB8" location="'Cost Summary'!A1" display="'Cost Summary'!A1"/>
    <hyperlink ref="AMC8" location="'Cost Summary'!A1" display="'Cost Summary'!A1"/>
    <hyperlink ref="AMD8" location="'Cost Summary'!A1" display="'Cost Summary'!A1"/>
    <hyperlink ref="AME8" location="'Cost Summary'!A1" display="'Cost Summary'!A1"/>
    <hyperlink ref="AMF8" location="'Cost Summary'!A1" display="'Cost Summary'!A1"/>
    <hyperlink ref="AMG8" location="'Cost Summary'!A1" display="'Cost Summary'!A1"/>
    <hyperlink ref="AMH8" location="'Cost Summary'!A1" display="'Cost Summary'!A1"/>
    <hyperlink ref="AMI8" location="'Cost Summary'!A1" display="'Cost Summary'!A1"/>
    <hyperlink ref="AMJ8" location="'Cost Summary'!A1" display="'Cost Summary'!A1"/>
    <hyperlink ref="AMK8" location="'Cost Summary'!A1" display="'Cost Summary'!A1"/>
    <hyperlink ref="AML8" location="'Cost Summary'!A1" display="'Cost Summary'!A1"/>
    <hyperlink ref="AMM8" location="'Cost Summary'!A1" display="'Cost Summary'!A1"/>
    <hyperlink ref="AMN8" location="'Cost Summary'!A1" display="'Cost Summary'!A1"/>
    <hyperlink ref="AMO8" location="'Cost Summary'!A1" display="'Cost Summary'!A1"/>
    <hyperlink ref="AMP8" location="'Cost Summary'!A1" display="'Cost Summary'!A1"/>
    <hyperlink ref="AMQ8" location="'Cost Summary'!A1" display="'Cost Summary'!A1"/>
    <hyperlink ref="AMR8" location="'Cost Summary'!A1" display="'Cost Summary'!A1"/>
    <hyperlink ref="AMS8" location="'Cost Summary'!A1" display="'Cost Summary'!A1"/>
    <hyperlink ref="AMT8" location="'Cost Summary'!A1" display="'Cost Summary'!A1"/>
    <hyperlink ref="AMU8" location="'Cost Summary'!A1" display="'Cost Summary'!A1"/>
    <hyperlink ref="AMV8" location="'Cost Summary'!A1" display="'Cost Summary'!A1"/>
    <hyperlink ref="AMW8" location="'Cost Summary'!A1" display="'Cost Summary'!A1"/>
    <hyperlink ref="AMX8" location="'Cost Summary'!A1" display="'Cost Summary'!A1"/>
    <hyperlink ref="AMY8" location="'Cost Summary'!A1" display="'Cost Summary'!A1"/>
    <hyperlink ref="AMZ8" location="'Cost Summary'!A1" display="'Cost Summary'!A1"/>
    <hyperlink ref="ANA8" location="'Cost Summary'!A1" display="'Cost Summary'!A1"/>
    <hyperlink ref="ANB8" location="'Cost Summary'!A1" display="'Cost Summary'!A1"/>
    <hyperlink ref="ANC8" location="'Cost Summary'!A1" display="'Cost Summary'!A1"/>
    <hyperlink ref="AND8" location="'Cost Summary'!A1" display="'Cost Summary'!A1"/>
    <hyperlink ref="ANE8" location="'Cost Summary'!A1" display="'Cost Summary'!A1"/>
    <hyperlink ref="ANF8" location="'Cost Summary'!A1" display="'Cost Summary'!A1"/>
    <hyperlink ref="ANG8" location="'Cost Summary'!A1" display="'Cost Summary'!A1"/>
    <hyperlink ref="ANH8" location="'Cost Summary'!A1" display="'Cost Summary'!A1"/>
    <hyperlink ref="ANI8" location="'Cost Summary'!A1" display="'Cost Summary'!A1"/>
    <hyperlink ref="ANJ8" location="'Cost Summary'!A1" display="'Cost Summary'!A1"/>
    <hyperlink ref="ANK8" location="'Cost Summary'!A1" display="'Cost Summary'!A1"/>
    <hyperlink ref="ANL8" location="'Cost Summary'!A1" display="'Cost Summary'!A1"/>
    <hyperlink ref="ANM8" location="'Cost Summary'!A1" display="'Cost Summary'!A1"/>
    <hyperlink ref="ANN8" location="'Cost Summary'!A1" display="'Cost Summary'!A1"/>
    <hyperlink ref="ANO8" location="'Cost Summary'!A1" display="'Cost Summary'!A1"/>
    <hyperlink ref="ANP8" location="'Cost Summary'!A1" display="'Cost Summary'!A1"/>
    <hyperlink ref="ANQ8" location="'Cost Summary'!A1" display="'Cost Summary'!A1"/>
    <hyperlink ref="ANR8" location="'Cost Summary'!A1" display="'Cost Summary'!A1"/>
    <hyperlink ref="ANS8" location="'Cost Summary'!A1" display="'Cost Summary'!A1"/>
    <hyperlink ref="ANT8" location="'Cost Summary'!A1" display="'Cost Summary'!A1"/>
    <hyperlink ref="ANU8" location="'Cost Summary'!A1" display="'Cost Summary'!A1"/>
    <hyperlink ref="ANV8" location="'Cost Summary'!A1" display="'Cost Summary'!A1"/>
    <hyperlink ref="ANW8" location="'Cost Summary'!A1" display="'Cost Summary'!A1"/>
    <hyperlink ref="ANX8" location="'Cost Summary'!A1" display="'Cost Summary'!A1"/>
    <hyperlink ref="ANY8" location="'Cost Summary'!A1" display="'Cost Summary'!A1"/>
    <hyperlink ref="ANZ8" location="'Cost Summary'!A1" display="'Cost Summary'!A1"/>
    <hyperlink ref="AOA8" location="'Cost Summary'!A1" display="'Cost Summary'!A1"/>
    <hyperlink ref="AOB8" location="'Cost Summary'!A1" display="'Cost Summary'!A1"/>
    <hyperlink ref="AOC8" location="'Cost Summary'!A1" display="'Cost Summary'!A1"/>
    <hyperlink ref="AOD8" location="'Cost Summary'!A1" display="'Cost Summary'!A1"/>
    <hyperlink ref="AOE8" location="'Cost Summary'!A1" display="'Cost Summary'!A1"/>
    <hyperlink ref="AOF8" location="'Cost Summary'!A1" display="'Cost Summary'!A1"/>
    <hyperlink ref="AOG8" location="'Cost Summary'!A1" display="'Cost Summary'!A1"/>
    <hyperlink ref="AOH8" location="'Cost Summary'!A1" display="'Cost Summary'!A1"/>
    <hyperlink ref="AOI8" location="'Cost Summary'!A1" display="'Cost Summary'!A1"/>
    <hyperlink ref="AOJ8" location="'Cost Summary'!A1" display="'Cost Summary'!A1"/>
    <hyperlink ref="AOK8" location="'Cost Summary'!A1" display="'Cost Summary'!A1"/>
    <hyperlink ref="AOL8" location="'Cost Summary'!A1" display="'Cost Summary'!A1"/>
    <hyperlink ref="AOM8" location="'Cost Summary'!A1" display="'Cost Summary'!A1"/>
    <hyperlink ref="AON8" location="'Cost Summary'!A1" display="'Cost Summary'!A1"/>
    <hyperlink ref="AOO8" location="'Cost Summary'!A1" display="'Cost Summary'!A1"/>
    <hyperlink ref="AOP8" location="'Cost Summary'!A1" display="'Cost Summary'!A1"/>
    <hyperlink ref="AOQ8" location="'Cost Summary'!A1" display="'Cost Summary'!A1"/>
    <hyperlink ref="AOR8" location="'Cost Summary'!A1" display="'Cost Summary'!A1"/>
    <hyperlink ref="AOS8" location="'Cost Summary'!A1" display="'Cost Summary'!A1"/>
    <hyperlink ref="AOT8" location="'Cost Summary'!A1" display="'Cost Summary'!A1"/>
    <hyperlink ref="AOU8" location="'Cost Summary'!A1" display="'Cost Summary'!A1"/>
    <hyperlink ref="AOV8" location="'Cost Summary'!A1" display="'Cost Summary'!A1"/>
    <hyperlink ref="AOW8" location="'Cost Summary'!A1" display="'Cost Summary'!A1"/>
    <hyperlink ref="AOX8" location="'Cost Summary'!A1" display="'Cost Summary'!A1"/>
    <hyperlink ref="AOY8" location="'Cost Summary'!A1" display="'Cost Summary'!A1"/>
    <hyperlink ref="AOZ8" location="'Cost Summary'!A1" display="'Cost Summary'!A1"/>
    <hyperlink ref="APA8" location="'Cost Summary'!A1" display="'Cost Summary'!A1"/>
    <hyperlink ref="APB8" location="'Cost Summary'!A1" display="'Cost Summary'!A1"/>
    <hyperlink ref="APC8" location="'Cost Summary'!A1" display="'Cost Summary'!A1"/>
    <hyperlink ref="APD8" location="'Cost Summary'!A1" display="'Cost Summary'!A1"/>
    <hyperlink ref="APE8" location="'Cost Summary'!A1" display="'Cost Summary'!A1"/>
    <hyperlink ref="APF8" location="'Cost Summary'!A1" display="'Cost Summary'!A1"/>
    <hyperlink ref="APG8" location="'Cost Summary'!A1" display="'Cost Summary'!A1"/>
    <hyperlink ref="APH8" location="'Cost Summary'!A1" display="'Cost Summary'!A1"/>
    <hyperlink ref="API8" location="'Cost Summary'!A1" display="'Cost Summary'!A1"/>
    <hyperlink ref="APJ8" location="'Cost Summary'!A1" display="'Cost Summary'!A1"/>
    <hyperlink ref="APK8" location="'Cost Summary'!A1" display="'Cost Summary'!A1"/>
    <hyperlink ref="APL8" location="'Cost Summary'!A1" display="'Cost Summary'!A1"/>
    <hyperlink ref="APM8" location="'Cost Summary'!A1" display="'Cost Summary'!A1"/>
    <hyperlink ref="APN8" location="'Cost Summary'!A1" display="'Cost Summary'!A1"/>
    <hyperlink ref="APO8" location="'Cost Summary'!A1" display="'Cost Summary'!A1"/>
    <hyperlink ref="APP8" location="'Cost Summary'!A1" display="'Cost Summary'!A1"/>
    <hyperlink ref="APQ8" location="'Cost Summary'!A1" display="'Cost Summary'!A1"/>
    <hyperlink ref="APR8" location="'Cost Summary'!A1" display="'Cost Summary'!A1"/>
    <hyperlink ref="APS8" location="'Cost Summary'!A1" display="'Cost Summary'!A1"/>
    <hyperlink ref="APT8" location="'Cost Summary'!A1" display="'Cost Summary'!A1"/>
    <hyperlink ref="APU8" location="'Cost Summary'!A1" display="'Cost Summary'!A1"/>
    <hyperlink ref="APV8" location="'Cost Summary'!A1" display="'Cost Summary'!A1"/>
    <hyperlink ref="APW8" location="'Cost Summary'!A1" display="'Cost Summary'!A1"/>
    <hyperlink ref="APX8" location="'Cost Summary'!A1" display="'Cost Summary'!A1"/>
    <hyperlink ref="APY8" location="'Cost Summary'!A1" display="'Cost Summary'!A1"/>
    <hyperlink ref="APZ8" location="'Cost Summary'!A1" display="'Cost Summary'!A1"/>
    <hyperlink ref="AQA8" location="'Cost Summary'!A1" display="'Cost Summary'!A1"/>
    <hyperlink ref="AQB8" location="'Cost Summary'!A1" display="'Cost Summary'!A1"/>
    <hyperlink ref="AQC8" location="'Cost Summary'!A1" display="'Cost Summary'!A1"/>
    <hyperlink ref="AQD8" location="'Cost Summary'!A1" display="'Cost Summary'!A1"/>
    <hyperlink ref="AQE8" location="'Cost Summary'!A1" display="'Cost Summary'!A1"/>
    <hyperlink ref="AQF8" location="'Cost Summary'!A1" display="'Cost Summary'!A1"/>
    <hyperlink ref="AQG8" location="'Cost Summary'!A1" display="'Cost Summary'!A1"/>
    <hyperlink ref="AQH8" location="'Cost Summary'!A1" display="'Cost Summary'!A1"/>
    <hyperlink ref="AQI8" location="'Cost Summary'!A1" display="'Cost Summary'!A1"/>
    <hyperlink ref="AQJ8" location="'Cost Summary'!A1" display="'Cost Summary'!A1"/>
    <hyperlink ref="AQK8" location="'Cost Summary'!A1" display="'Cost Summary'!A1"/>
    <hyperlink ref="AQL8" location="'Cost Summary'!A1" display="'Cost Summary'!A1"/>
    <hyperlink ref="AQM8" location="'Cost Summary'!A1" display="'Cost Summary'!A1"/>
    <hyperlink ref="AQN8" location="'Cost Summary'!A1" display="'Cost Summary'!A1"/>
    <hyperlink ref="AQO8" location="'Cost Summary'!A1" display="'Cost Summary'!A1"/>
    <hyperlink ref="AQP8" location="'Cost Summary'!A1" display="'Cost Summary'!A1"/>
    <hyperlink ref="AQQ8" location="'Cost Summary'!A1" display="'Cost Summary'!A1"/>
    <hyperlink ref="AQR8" location="'Cost Summary'!A1" display="'Cost Summary'!A1"/>
    <hyperlink ref="AQS8" location="'Cost Summary'!A1" display="'Cost Summary'!A1"/>
    <hyperlink ref="AQT8" location="'Cost Summary'!A1" display="'Cost Summary'!A1"/>
    <hyperlink ref="AQU8" location="'Cost Summary'!A1" display="'Cost Summary'!A1"/>
    <hyperlink ref="AQV8" location="'Cost Summary'!A1" display="'Cost Summary'!A1"/>
    <hyperlink ref="AQW8" location="'Cost Summary'!A1" display="'Cost Summary'!A1"/>
    <hyperlink ref="AQX8" location="'Cost Summary'!A1" display="'Cost Summary'!A1"/>
    <hyperlink ref="AQY8" location="'Cost Summary'!A1" display="'Cost Summary'!A1"/>
    <hyperlink ref="AQZ8" location="'Cost Summary'!A1" display="'Cost Summary'!A1"/>
    <hyperlink ref="ARA8" location="'Cost Summary'!A1" display="'Cost Summary'!A1"/>
    <hyperlink ref="ARB8" location="'Cost Summary'!A1" display="'Cost Summary'!A1"/>
    <hyperlink ref="ARC8" location="'Cost Summary'!A1" display="'Cost Summary'!A1"/>
    <hyperlink ref="ARD8" location="'Cost Summary'!A1" display="'Cost Summary'!A1"/>
    <hyperlink ref="ARE8" location="'Cost Summary'!A1" display="'Cost Summary'!A1"/>
    <hyperlink ref="ARF8" location="'Cost Summary'!A1" display="'Cost Summary'!A1"/>
    <hyperlink ref="ARG8" location="'Cost Summary'!A1" display="'Cost Summary'!A1"/>
    <hyperlink ref="ARH8" location="'Cost Summary'!A1" display="'Cost Summary'!A1"/>
    <hyperlink ref="ARI8" location="'Cost Summary'!A1" display="'Cost Summary'!A1"/>
    <hyperlink ref="ARJ8" location="'Cost Summary'!A1" display="'Cost Summary'!A1"/>
    <hyperlink ref="ARK8" location="'Cost Summary'!A1" display="'Cost Summary'!A1"/>
    <hyperlink ref="ARL8" location="'Cost Summary'!A1" display="'Cost Summary'!A1"/>
    <hyperlink ref="ARM8" location="'Cost Summary'!A1" display="'Cost Summary'!A1"/>
    <hyperlink ref="ARN8" location="'Cost Summary'!A1" display="'Cost Summary'!A1"/>
    <hyperlink ref="ARO8" location="'Cost Summary'!A1" display="'Cost Summary'!A1"/>
    <hyperlink ref="ARP8" location="'Cost Summary'!A1" display="'Cost Summary'!A1"/>
    <hyperlink ref="ARQ8" location="'Cost Summary'!A1" display="'Cost Summary'!A1"/>
    <hyperlink ref="ARR8" location="'Cost Summary'!A1" display="'Cost Summary'!A1"/>
    <hyperlink ref="ARS8" location="'Cost Summary'!A1" display="'Cost Summary'!A1"/>
    <hyperlink ref="ART8" location="'Cost Summary'!A1" display="'Cost Summary'!A1"/>
    <hyperlink ref="ARU8" location="'Cost Summary'!A1" display="'Cost Summary'!A1"/>
    <hyperlink ref="ARV8" location="'Cost Summary'!A1" display="'Cost Summary'!A1"/>
    <hyperlink ref="ARW8" location="'Cost Summary'!A1" display="'Cost Summary'!A1"/>
    <hyperlink ref="ARX8" location="'Cost Summary'!A1" display="'Cost Summary'!A1"/>
    <hyperlink ref="ARY8" location="'Cost Summary'!A1" display="'Cost Summary'!A1"/>
    <hyperlink ref="ARZ8" location="'Cost Summary'!A1" display="'Cost Summary'!A1"/>
    <hyperlink ref="ASA8" location="'Cost Summary'!A1" display="'Cost Summary'!A1"/>
    <hyperlink ref="ASB8" location="'Cost Summary'!A1" display="'Cost Summary'!A1"/>
    <hyperlink ref="ASC8" location="'Cost Summary'!A1" display="'Cost Summary'!A1"/>
    <hyperlink ref="ASD8" location="'Cost Summary'!A1" display="'Cost Summary'!A1"/>
    <hyperlink ref="ASE8" location="'Cost Summary'!A1" display="'Cost Summary'!A1"/>
    <hyperlink ref="ASF8" location="'Cost Summary'!A1" display="'Cost Summary'!A1"/>
    <hyperlink ref="ASG8" location="'Cost Summary'!A1" display="'Cost Summary'!A1"/>
    <hyperlink ref="ASH8" location="'Cost Summary'!A1" display="'Cost Summary'!A1"/>
    <hyperlink ref="ASI8" location="'Cost Summary'!A1" display="'Cost Summary'!A1"/>
    <hyperlink ref="ASJ8" location="'Cost Summary'!A1" display="'Cost Summary'!A1"/>
    <hyperlink ref="ASK8" location="'Cost Summary'!A1" display="'Cost Summary'!A1"/>
    <hyperlink ref="ASL8" location="'Cost Summary'!A1" display="'Cost Summary'!A1"/>
    <hyperlink ref="ASM8" location="'Cost Summary'!A1" display="'Cost Summary'!A1"/>
    <hyperlink ref="ASN8" location="'Cost Summary'!A1" display="'Cost Summary'!A1"/>
    <hyperlink ref="ASO8" location="'Cost Summary'!A1" display="'Cost Summary'!A1"/>
    <hyperlink ref="ASP8" location="'Cost Summary'!A1" display="'Cost Summary'!A1"/>
    <hyperlink ref="ASQ8" location="'Cost Summary'!A1" display="'Cost Summary'!A1"/>
    <hyperlink ref="ASR8" location="'Cost Summary'!A1" display="'Cost Summary'!A1"/>
    <hyperlink ref="ASS8" location="'Cost Summary'!A1" display="'Cost Summary'!A1"/>
    <hyperlink ref="AST8" location="'Cost Summary'!A1" display="'Cost Summary'!A1"/>
    <hyperlink ref="ASU8" location="'Cost Summary'!A1" display="'Cost Summary'!A1"/>
    <hyperlink ref="ASV8" location="'Cost Summary'!A1" display="'Cost Summary'!A1"/>
    <hyperlink ref="ASW8" location="'Cost Summary'!A1" display="'Cost Summary'!A1"/>
    <hyperlink ref="ASX8" location="'Cost Summary'!A1" display="'Cost Summary'!A1"/>
    <hyperlink ref="ASY8" location="'Cost Summary'!A1" display="'Cost Summary'!A1"/>
    <hyperlink ref="ASZ8" location="'Cost Summary'!A1" display="'Cost Summary'!A1"/>
    <hyperlink ref="ATA8" location="'Cost Summary'!A1" display="'Cost Summary'!A1"/>
    <hyperlink ref="ATB8" location="'Cost Summary'!A1" display="'Cost Summary'!A1"/>
    <hyperlink ref="ATC8" location="'Cost Summary'!A1" display="'Cost Summary'!A1"/>
    <hyperlink ref="ATD8" location="'Cost Summary'!A1" display="'Cost Summary'!A1"/>
    <hyperlink ref="ATE8" location="'Cost Summary'!A1" display="'Cost Summary'!A1"/>
    <hyperlink ref="ATF8" location="'Cost Summary'!A1" display="'Cost Summary'!A1"/>
    <hyperlink ref="ATG8" location="'Cost Summary'!A1" display="'Cost Summary'!A1"/>
    <hyperlink ref="ATH8" location="'Cost Summary'!A1" display="'Cost Summary'!A1"/>
    <hyperlink ref="ATI8" location="'Cost Summary'!A1" display="'Cost Summary'!A1"/>
    <hyperlink ref="ATJ8" location="'Cost Summary'!A1" display="'Cost Summary'!A1"/>
    <hyperlink ref="ATK8" location="'Cost Summary'!A1" display="'Cost Summary'!A1"/>
    <hyperlink ref="ATL8" location="'Cost Summary'!A1" display="'Cost Summary'!A1"/>
    <hyperlink ref="ATM8" location="'Cost Summary'!A1" display="'Cost Summary'!A1"/>
    <hyperlink ref="ATN8" location="'Cost Summary'!A1" display="'Cost Summary'!A1"/>
    <hyperlink ref="ATO8" location="'Cost Summary'!A1" display="'Cost Summary'!A1"/>
    <hyperlink ref="ATP8" location="'Cost Summary'!A1" display="'Cost Summary'!A1"/>
    <hyperlink ref="ATQ8" location="'Cost Summary'!A1" display="'Cost Summary'!A1"/>
    <hyperlink ref="ATR8" location="'Cost Summary'!A1" display="'Cost Summary'!A1"/>
    <hyperlink ref="ATS8" location="'Cost Summary'!A1" display="'Cost Summary'!A1"/>
    <hyperlink ref="ATT8" location="'Cost Summary'!A1" display="'Cost Summary'!A1"/>
    <hyperlink ref="ATU8" location="'Cost Summary'!A1" display="'Cost Summary'!A1"/>
    <hyperlink ref="ATV8" location="'Cost Summary'!A1" display="'Cost Summary'!A1"/>
    <hyperlink ref="ATW8" location="'Cost Summary'!A1" display="'Cost Summary'!A1"/>
    <hyperlink ref="ATX8" location="'Cost Summary'!A1" display="'Cost Summary'!A1"/>
    <hyperlink ref="ATY8" location="'Cost Summary'!A1" display="'Cost Summary'!A1"/>
    <hyperlink ref="ATZ8" location="'Cost Summary'!A1" display="'Cost Summary'!A1"/>
    <hyperlink ref="AUA8" location="'Cost Summary'!A1" display="'Cost Summary'!A1"/>
    <hyperlink ref="AUB8" location="'Cost Summary'!A1" display="'Cost Summary'!A1"/>
    <hyperlink ref="AUC8" location="'Cost Summary'!A1" display="'Cost Summary'!A1"/>
    <hyperlink ref="AUD8" location="'Cost Summary'!A1" display="'Cost Summary'!A1"/>
    <hyperlink ref="AUE8" location="'Cost Summary'!A1" display="'Cost Summary'!A1"/>
    <hyperlink ref="AUF8" location="'Cost Summary'!A1" display="'Cost Summary'!A1"/>
    <hyperlink ref="AUG8" location="'Cost Summary'!A1" display="'Cost Summary'!A1"/>
    <hyperlink ref="AUH8" location="'Cost Summary'!A1" display="'Cost Summary'!A1"/>
    <hyperlink ref="AUI8" location="'Cost Summary'!A1" display="'Cost Summary'!A1"/>
    <hyperlink ref="AUJ8" location="'Cost Summary'!A1" display="'Cost Summary'!A1"/>
    <hyperlink ref="AUK8" location="'Cost Summary'!A1" display="'Cost Summary'!A1"/>
    <hyperlink ref="AUL8" location="'Cost Summary'!A1" display="'Cost Summary'!A1"/>
    <hyperlink ref="AUM8" location="'Cost Summary'!A1" display="'Cost Summary'!A1"/>
    <hyperlink ref="AUN8" location="'Cost Summary'!A1" display="'Cost Summary'!A1"/>
    <hyperlink ref="AUO8" location="'Cost Summary'!A1" display="'Cost Summary'!A1"/>
    <hyperlink ref="AUP8" location="'Cost Summary'!A1" display="'Cost Summary'!A1"/>
    <hyperlink ref="AUQ8" location="'Cost Summary'!A1" display="'Cost Summary'!A1"/>
    <hyperlink ref="AUR8" location="'Cost Summary'!A1" display="'Cost Summary'!A1"/>
    <hyperlink ref="AUS8" location="'Cost Summary'!A1" display="'Cost Summary'!A1"/>
    <hyperlink ref="AUT8" location="'Cost Summary'!A1" display="'Cost Summary'!A1"/>
    <hyperlink ref="AUU8" location="'Cost Summary'!A1" display="'Cost Summary'!A1"/>
    <hyperlink ref="AUV8" location="'Cost Summary'!A1" display="'Cost Summary'!A1"/>
    <hyperlink ref="AUW8" location="'Cost Summary'!A1" display="'Cost Summary'!A1"/>
    <hyperlink ref="AUX8" location="'Cost Summary'!A1" display="'Cost Summary'!A1"/>
    <hyperlink ref="AUY8" location="'Cost Summary'!A1" display="'Cost Summary'!A1"/>
    <hyperlink ref="AUZ8" location="'Cost Summary'!A1" display="'Cost Summary'!A1"/>
    <hyperlink ref="AVA8" location="'Cost Summary'!A1" display="'Cost Summary'!A1"/>
    <hyperlink ref="AVB8" location="'Cost Summary'!A1" display="'Cost Summary'!A1"/>
    <hyperlink ref="AVC8" location="'Cost Summary'!A1" display="'Cost Summary'!A1"/>
    <hyperlink ref="AVD8" location="'Cost Summary'!A1" display="'Cost Summary'!A1"/>
    <hyperlink ref="AVE8" location="'Cost Summary'!A1" display="'Cost Summary'!A1"/>
    <hyperlink ref="AVF8" location="'Cost Summary'!A1" display="'Cost Summary'!A1"/>
    <hyperlink ref="AVG8" location="'Cost Summary'!A1" display="'Cost Summary'!A1"/>
    <hyperlink ref="AVH8" location="'Cost Summary'!A1" display="'Cost Summary'!A1"/>
    <hyperlink ref="AVI8" location="'Cost Summary'!A1" display="'Cost Summary'!A1"/>
    <hyperlink ref="AVJ8" location="'Cost Summary'!A1" display="'Cost Summary'!A1"/>
    <hyperlink ref="AVK8" location="'Cost Summary'!A1" display="'Cost Summary'!A1"/>
    <hyperlink ref="AVL8" location="'Cost Summary'!A1" display="'Cost Summary'!A1"/>
    <hyperlink ref="AVM8" location="'Cost Summary'!A1" display="'Cost Summary'!A1"/>
    <hyperlink ref="AVN8" location="'Cost Summary'!A1" display="'Cost Summary'!A1"/>
    <hyperlink ref="AVO8" location="'Cost Summary'!A1" display="'Cost Summary'!A1"/>
    <hyperlink ref="AVP8" location="'Cost Summary'!A1" display="'Cost Summary'!A1"/>
    <hyperlink ref="AVQ8" location="'Cost Summary'!A1" display="'Cost Summary'!A1"/>
    <hyperlink ref="AVR8" location="'Cost Summary'!A1" display="'Cost Summary'!A1"/>
    <hyperlink ref="AVS8" location="'Cost Summary'!A1" display="'Cost Summary'!A1"/>
    <hyperlink ref="AVT8" location="'Cost Summary'!A1" display="'Cost Summary'!A1"/>
    <hyperlink ref="AVU8" location="'Cost Summary'!A1" display="'Cost Summary'!A1"/>
    <hyperlink ref="AVV8" location="'Cost Summary'!A1" display="'Cost Summary'!A1"/>
    <hyperlink ref="AVW8" location="'Cost Summary'!A1" display="'Cost Summary'!A1"/>
    <hyperlink ref="AVX8" location="'Cost Summary'!A1" display="'Cost Summary'!A1"/>
    <hyperlink ref="AVY8" location="'Cost Summary'!A1" display="'Cost Summary'!A1"/>
    <hyperlink ref="AVZ8" location="'Cost Summary'!A1" display="'Cost Summary'!A1"/>
    <hyperlink ref="AWA8" location="'Cost Summary'!A1" display="'Cost Summary'!A1"/>
    <hyperlink ref="AWB8" location="'Cost Summary'!A1" display="'Cost Summary'!A1"/>
    <hyperlink ref="AWC8" location="'Cost Summary'!A1" display="'Cost Summary'!A1"/>
    <hyperlink ref="AWD8" location="'Cost Summary'!A1" display="'Cost Summary'!A1"/>
    <hyperlink ref="AWE8" location="'Cost Summary'!A1" display="'Cost Summary'!A1"/>
    <hyperlink ref="AWF8" location="'Cost Summary'!A1" display="'Cost Summary'!A1"/>
    <hyperlink ref="AWG8" location="'Cost Summary'!A1" display="'Cost Summary'!A1"/>
    <hyperlink ref="AWH8" location="'Cost Summary'!A1" display="'Cost Summary'!A1"/>
    <hyperlink ref="AWI8" location="'Cost Summary'!A1" display="'Cost Summary'!A1"/>
    <hyperlink ref="AWJ8" location="'Cost Summary'!A1" display="'Cost Summary'!A1"/>
    <hyperlink ref="AWK8" location="'Cost Summary'!A1" display="'Cost Summary'!A1"/>
    <hyperlink ref="AWL8" location="'Cost Summary'!A1" display="'Cost Summary'!A1"/>
    <hyperlink ref="AWM8" location="'Cost Summary'!A1" display="'Cost Summary'!A1"/>
    <hyperlink ref="AWN8" location="'Cost Summary'!A1" display="'Cost Summary'!A1"/>
    <hyperlink ref="AWO8" location="'Cost Summary'!A1" display="'Cost Summary'!A1"/>
    <hyperlink ref="AWP8" location="'Cost Summary'!A1" display="'Cost Summary'!A1"/>
    <hyperlink ref="AWQ8" location="'Cost Summary'!A1" display="'Cost Summary'!A1"/>
    <hyperlink ref="AWR8" location="'Cost Summary'!A1" display="'Cost Summary'!A1"/>
    <hyperlink ref="AWS8" location="'Cost Summary'!A1" display="'Cost Summary'!A1"/>
    <hyperlink ref="AWT8" location="'Cost Summary'!A1" display="'Cost Summary'!A1"/>
    <hyperlink ref="AWU8" location="'Cost Summary'!A1" display="'Cost Summary'!A1"/>
    <hyperlink ref="AWV8" location="'Cost Summary'!A1" display="'Cost Summary'!A1"/>
    <hyperlink ref="AWW8" location="'Cost Summary'!A1" display="'Cost Summary'!A1"/>
    <hyperlink ref="AWX8" location="'Cost Summary'!A1" display="'Cost Summary'!A1"/>
    <hyperlink ref="AWY8" location="'Cost Summary'!A1" display="'Cost Summary'!A1"/>
    <hyperlink ref="AWZ8" location="'Cost Summary'!A1" display="'Cost Summary'!A1"/>
    <hyperlink ref="AXA8" location="'Cost Summary'!A1" display="'Cost Summary'!A1"/>
    <hyperlink ref="AXB8" location="'Cost Summary'!A1" display="'Cost Summary'!A1"/>
    <hyperlink ref="AXC8" location="'Cost Summary'!A1" display="'Cost Summary'!A1"/>
    <hyperlink ref="AXD8" location="'Cost Summary'!A1" display="'Cost Summary'!A1"/>
    <hyperlink ref="AXE8" location="'Cost Summary'!A1" display="'Cost Summary'!A1"/>
    <hyperlink ref="AXF8" location="'Cost Summary'!A1" display="'Cost Summary'!A1"/>
    <hyperlink ref="AXG8" location="'Cost Summary'!A1" display="'Cost Summary'!A1"/>
    <hyperlink ref="AXH8" location="'Cost Summary'!A1" display="'Cost Summary'!A1"/>
    <hyperlink ref="AXI8" location="'Cost Summary'!A1" display="'Cost Summary'!A1"/>
    <hyperlink ref="AXJ8" location="'Cost Summary'!A1" display="'Cost Summary'!A1"/>
    <hyperlink ref="AXK8" location="'Cost Summary'!A1" display="'Cost Summary'!A1"/>
    <hyperlink ref="AXL8" location="'Cost Summary'!A1" display="'Cost Summary'!A1"/>
    <hyperlink ref="AXM8" location="'Cost Summary'!A1" display="'Cost Summary'!A1"/>
    <hyperlink ref="AXN8" location="'Cost Summary'!A1" display="'Cost Summary'!A1"/>
    <hyperlink ref="AXO8" location="'Cost Summary'!A1" display="'Cost Summary'!A1"/>
    <hyperlink ref="AXP8" location="'Cost Summary'!A1" display="'Cost Summary'!A1"/>
    <hyperlink ref="AXQ8" location="'Cost Summary'!A1" display="'Cost Summary'!A1"/>
    <hyperlink ref="AXR8" location="'Cost Summary'!A1" display="'Cost Summary'!A1"/>
    <hyperlink ref="AXS8" location="'Cost Summary'!A1" display="'Cost Summary'!A1"/>
    <hyperlink ref="AXT8" location="'Cost Summary'!A1" display="'Cost Summary'!A1"/>
    <hyperlink ref="AXU8" location="'Cost Summary'!A1" display="'Cost Summary'!A1"/>
    <hyperlink ref="AXV8" location="'Cost Summary'!A1" display="'Cost Summary'!A1"/>
    <hyperlink ref="AXW8" location="'Cost Summary'!A1" display="'Cost Summary'!A1"/>
    <hyperlink ref="AXX8" location="'Cost Summary'!A1" display="'Cost Summary'!A1"/>
    <hyperlink ref="AXY8" location="'Cost Summary'!A1" display="'Cost Summary'!A1"/>
    <hyperlink ref="AXZ8" location="'Cost Summary'!A1" display="'Cost Summary'!A1"/>
    <hyperlink ref="AYA8" location="'Cost Summary'!A1" display="'Cost Summary'!A1"/>
    <hyperlink ref="AYB8" location="'Cost Summary'!A1" display="'Cost Summary'!A1"/>
    <hyperlink ref="AYC8" location="'Cost Summary'!A1" display="'Cost Summary'!A1"/>
    <hyperlink ref="AYD8" location="'Cost Summary'!A1" display="'Cost Summary'!A1"/>
    <hyperlink ref="AYE8" location="'Cost Summary'!A1" display="'Cost Summary'!A1"/>
    <hyperlink ref="AYF8" location="'Cost Summary'!A1" display="'Cost Summary'!A1"/>
    <hyperlink ref="AYG8" location="'Cost Summary'!A1" display="'Cost Summary'!A1"/>
    <hyperlink ref="AYH8" location="'Cost Summary'!A1" display="'Cost Summary'!A1"/>
    <hyperlink ref="AYI8" location="'Cost Summary'!A1" display="'Cost Summary'!A1"/>
    <hyperlink ref="AYJ8" location="'Cost Summary'!A1" display="'Cost Summary'!A1"/>
    <hyperlink ref="AYK8" location="'Cost Summary'!A1" display="'Cost Summary'!A1"/>
    <hyperlink ref="AYL8" location="'Cost Summary'!A1" display="'Cost Summary'!A1"/>
    <hyperlink ref="AYM8" location="'Cost Summary'!A1" display="'Cost Summary'!A1"/>
    <hyperlink ref="AYN8" location="'Cost Summary'!A1" display="'Cost Summary'!A1"/>
    <hyperlink ref="AYO8" location="'Cost Summary'!A1" display="'Cost Summary'!A1"/>
    <hyperlink ref="AYP8" location="'Cost Summary'!A1" display="'Cost Summary'!A1"/>
    <hyperlink ref="AYQ8" location="'Cost Summary'!A1" display="'Cost Summary'!A1"/>
    <hyperlink ref="AYR8" location="'Cost Summary'!A1" display="'Cost Summary'!A1"/>
    <hyperlink ref="AYS8" location="'Cost Summary'!A1" display="'Cost Summary'!A1"/>
    <hyperlink ref="AYT8" location="'Cost Summary'!A1" display="'Cost Summary'!A1"/>
    <hyperlink ref="AYU8" location="'Cost Summary'!A1" display="'Cost Summary'!A1"/>
    <hyperlink ref="AYV8" location="'Cost Summary'!A1" display="'Cost Summary'!A1"/>
    <hyperlink ref="AYW8" location="'Cost Summary'!A1" display="'Cost Summary'!A1"/>
    <hyperlink ref="AYX8" location="'Cost Summary'!A1" display="'Cost Summary'!A1"/>
    <hyperlink ref="AYY8" location="'Cost Summary'!A1" display="'Cost Summary'!A1"/>
    <hyperlink ref="AYZ8" location="'Cost Summary'!A1" display="'Cost Summary'!A1"/>
    <hyperlink ref="AZA8" location="'Cost Summary'!A1" display="'Cost Summary'!A1"/>
    <hyperlink ref="AZB8" location="'Cost Summary'!A1" display="'Cost Summary'!A1"/>
    <hyperlink ref="AZC8" location="'Cost Summary'!A1" display="'Cost Summary'!A1"/>
    <hyperlink ref="AZD8" location="'Cost Summary'!A1" display="'Cost Summary'!A1"/>
    <hyperlink ref="AZE8" location="'Cost Summary'!A1" display="'Cost Summary'!A1"/>
    <hyperlink ref="AZF8" location="'Cost Summary'!A1" display="'Cost Summary'!A1"/>
    <hyperlink ref="AZG8" location="'Cost Summary'!A1" display="'Cost Summary'!A1"/>
    <hyperlink ref="AZH8" location="'Cost Summary'!A1" display="'Cost Summary'!A1"/>
    <hyperlink ref="AZI8" location="'Cost Summary'!A1" display="'Cost Summary'!A1"/>
    <hyperlink ref="AZJ8" location="'Cost Summary'!A1" display="'Cost Summary'!A1"/>
    <hyperlink ref="AZK8" location="'Cost Summary'!A1" display="'Cost Summary'!A1"/>
    <hyperlink ref="AZL8" location="'Cost Summary'!A1" display="'Cost Summary'!A1"/>
    <hyperlink ref="AZM8" location="'Cost Summary'!A1" display="'Cost Summary'!A1"/>
    <hyperlink ref="AZN8" location="'Cost Summary'!A1" display="'Cost Summary'!A1"/>
    <hyperlink ref="AZO8" location="'Cost Summary'!A1" display="'Cost Summary'!A1"/>
    <hyperlink ref="AZP8" location="'Cost Summary'!A1" display="'Cost Summary'!A1"/>
    <hyperlink ref="AZQ8" location="'Cost Summary'!A1" display="'Cost Summary'!A1"/>
    <hyperlink ref="AZR8" location="'Cost Summary'!A1" display="'Cost Summary'!A1"/>
    <hyperlink ref="AZS8" location="'Cost Summary'!A1" display="'Cost Summary'!A1"/>
    <hyperlink ref="AZT8" location="'Cost Summary'!A1" display="'Cost Summary'!A1"/>
    <hyperlink ref="AZU8" location="'Cost Summary'!A1" display="'Cost Summary'!A1"/>
    <hyperlink ref="AZV8" location="'Cost Summary'!A1" display="'Cost Summary'!A1"/>
    <hyperlink ref="AZW8" location="'Cost Summary'!A1" display="'Cost Summary'!A1"/>
    <hyperlink ref="AZX8" location="'Cost Summary'!A1" display="'Cost Summary'!A1"/>
    <hyperlink ref="AZY8" location="'Cost Summary'!A1" display="'Cost Summary'!A1"/>
    <hyperlink ref="AZZ8" location="'Cost Summary'!A1" display="'Cost Summary'!A1"/>
    <hyperlink ref="BAA8" location="'Cost Summary'!A1" display="'Cost Summary'!A1"/>
    <hyperlink ref="BAB8" location="'Cost Summary'!A1" display="'Cost Summary'!A1"/>
    <hyperlink ref="BAC8" location="'Cost Summary'!A1" display="'Cost Summary'!A1"/>
    <hyperlink ref="BAD8" location="'Cost Summary'!A1" display="'Cost Summary'!A1"/>
    <hyperlink ref="BAE8" location="'Cost Summary'!A1" display="'Cost Summary'!A1"/>
    <hyperlink ref="BAF8" location="'Cost Summary'!A1" display="'Cost Summary'!A1"/>
    <hyperlink ref="BAG8" location="'Cost Summary'!A1" display="'Cost Summary'!A1"/>
    <hyperlink ref="BAH8" location="'Cost Summary'!A1" display="'Cost Summary'!A1"/>
    <hyperlink ref="BAI8" location="'Cost Summary'!A1" display="'Cost Summary'!A1"/>
    <hyperlink ref="BAJ8" location="'Cost Summary'!A1" display="'Cost Summary'!A1"/>
    <hyperlink ref="BAK8" location="'Cost Summary'!A1" display="'Cost Summary'!A1"/>
    <hyperlink ref="BAL8" location="'Cost Summary'!A1" display="'Cost Summary'!A1"/>
    <hyperlink ref="BAM8" location="'Cost Summary'!A1" display="'Cost Summary'!A1"/>
    <hyperlink ref="BAN8" location="'Cost Summary'!A1" display="'Cost Summary'!A1"/>
    <hyperlink ref="BAO8" location="'Cost Summary'!A1" display="'Cost Summary'!A1"/>
    <hyperlink ref="BAP8" location="'Cost Summary'!A1" display="'Cost Summary'!A1"/>
    <hyperlink ref="BAQ8" location="'Cost Summary'!A1" display="'Cost Summary'!A1"/>
    <hyperlink ref="BAR8" location="'Cost Summary'!A1" display="'Cost Summary'!A1"/>
    <hyperlink ref="BAS8" location="'Cost Summary'!A1" display="'Cost Summary'!A1"/>
    <hyperlink ref="BAT8" location="'Cost Summary'!A1" display="'Cost Summary'!A1"/>
    <hyperlink ref="BAU8" location="'Cost Summary'!A1" display="'Cost Summary'!A1"/>
    <hyperlink ref="BAV8" location="'Cost Summary'!A1" display="'Cost Summary'!A1"/>
    <hyperlink ref="BAW8" location="'Cost Summary'!A1" display="'Cost Summary'!A1"/>
    <hyperlink ref="BAX8" location="'Cost Summary'!A1" display="'Cost Summary'!A1"/>
    <hyperlink ref="BAY8" location="'Cost Summary'!A1" display="'Cost Summary'!A1"/>
    <hyperlink ref="BAZ8" location="'Cost Summary'!A1" display="'Cost Summary'!A1"/>
    <hyperlink ref="BBA8" location="'Cost Summary'!A1" display="'Cost Summary'!A1"/>
    <hyperlink ref="BBB8" location="'Cost Summary'!A1" display="'Cost Summary'!A1"/>
    <hyperlink ref="BBC8" location="'Cost Summary'!A1" display="'Cost Summary'!A1"/>
    <hyperlink ref="BBD8" location="'Cost Summary'!A1" display="'Cost Summary'!A1"/>
    <hyperlink ref="BBE8" location="'Cost Summary'!A1" display="'Cost Summary'!A1"/>
    <hyperlink ref="BBF8" location="'Cost Summary'!A1" display="'Cost Summary'!A1"/>
    <hyperlink ref="BBG8" location="'Cost Summary'!A1" display="'Cost Summary'!A1"/>
    <hyperlink ref="BBH8" location="'Cost Summary'!A1" display="'Cost Summary'!A1"/>
    <hyperlink ref="BBI8" location="'Cost Summary'!A1" display="'Cost Summary'!A1"/>
    <hyperlink ref="BBJ8" location="'Cost Summary'!A1" display="'Cost Summary'!A1"/>
    <hyperlink ref="BBK8" location="'Cost Summary'!A1" display="'Cost Summary'!A1"/>
    <hyperlink ref="BBL8" location="'Cost Summary'!A1" display="'Cost Summary'!A1"/>
    <hyperlink ref="BBM8" location="'Cost Summary'!A1" display="'Cost Summary'!A1"/>
    <hyperlink ref="BBN8" location="'Cost Summary'!A1" display="'Cost Summary'!A1"/>
    <hyperlink ref="BBO8" location="'Cost Summary'!A1" display="'Cost Summary'!A1"/>
    <hyperlink ref="BBP8" location="'Cost Summary'!A1" display="'Cost Summary'!A1"/>
    <hyperlink ref="BBQ8" location="'Cost Summary'!A1" display="'Cost Summary'!A1"/>
    <hyperlink ref="BBR8" location="'Cost Summary'!A1" display="'Cost Summary'!A1"/>
    <hyperlink ref="BBS8" location="'Cost Summary'!A1" display="'Cost Summary'!A1"/>
    <hyperlink ref="BBT8" location="'Cost Summary'!A1" display="'Cost Summary'!A1"/>
    <hyperlink ref="BBU8" location="'Cost Summary'!A1" display="'Cost Summary'!A1"/>
    <hyperlink ref="BBV8" location="'Cost Summary'!A1" display="'Cost Summary'!A1"/>
    <hyperlink ref="BBW8" location="'Cost Summary'!A1" display="'Cost Summary'!A1"/>
    <hyperlink ref="BBX8" location="'Cost Summary'!A1" display="'Cost Summary'!A1"/>
    <hyperlink ref="BBY8" location="'Cost Summary'!A1" display="'Cost Summary'!A1"/>
    <hyperlink ref="BBZ8" location="'Cost Summary'!A1" display="'Cost Summary'!A1"/>
    <hyperlink ref="BCA8" location="'Cost Summary'!A1" display="'Cost Summary'!A1"/>
    <hyperlink ref="BCB8" location="'Cost Summary'!A1" display="'Cost Summary'!A1"/>
    <hyperlink ref="BCC8" location="'Cost Summary'!A1" display="'Cost Summary'!A1"/>
    <hyperlink ref="BCD8" location="'Cost Summary'!A1" display="'Cost Summary'!A1"/>
    <hyperlink ref="BCE8" location="'Cost Summary'!A1" display="'Cost Summary'!A1"/>
    <hyperlink ref="BCF8" location="'Cost Summary'!A1" display="'Cost Summary'!A1"/>
    <hyperlink ref="BCG8" location="'Cost Summary'!A1" display="'Cost Summary'!A1"/>
    <hyperlink ref="BCH8" location="'Cost Summary'!A1" display="'Cost Summary'!A1"/>
    <hyperlink ref="BCI8" location="'Cost Summary'!A1" display="'Cost Summary'!A1"/>
    <hyperlink ref="BCJ8" location="'Cost Summary'!A1" display="'Cost Summary'!A1"/>
    <hyperlink ref="BCK8" location="'Cost Summary'!A1" display="'Cost Summary'!A1"/>
    <hyperlink ref="BCL8" location="'Cost Summary'!A1" display="'Cost Summary'!A1"/>
    <hyperlink ref="BCM8" location="'Cost Summary'!A1" display="'Cost Summary'!A1"/>
    <hyperlink ref="BCN8" location="'Cost Summary'!A1" display="'Cost Summary'!A1"/>
    <hyperlink ref="BCO8" location="'Cost Summary'!A1" display="'Cost Summary'!A1"/>
    <hyperlink ref="BCP8" location="'Cost Summary'!A1" display="'Cost Summary'!A1"/>
    <hyperlink ref="BCQ8" location="'Cost Summary'!A1" display="'Cost Summary'!A1"/>
    <hyperlink ref="BCR8" location="'Cost Summary'!A1" display="'Cost Summary'!A1"/>
    <hyperlink ref="BCS8" location="'Cost Summary'!A1" display="'Cost Summary'!A1"/>
    <hyperlink ref="BCT8" location="'Cost Summary'!A1" display="'Cost Summary'!A1"/>
    <hyperlink ref="BCU8" location="'Cost Summary'!A1" display="'Cost Summary'!A1"/>
    <hyperlink ref="BCV8" location="'Cost Summary'!A1" display="'Cost Summary'!A1"/>
    <hyperlink ref="BCW8" location="'Cost Summary'!A1" display="'Cost Summary'!A1"/>
    <hyperlink ref="BCX8" location="'Cost Summary'!A1" display="'Cost Summary'!A1"/>
    <hyperlink ref="BCY8" location="'Cost Summary'!A1" display="'Cost Summary'!A1"/>
    <hyperlink ref="BCZ8" location="'Cost Summary'!A1" display="'Cost Summary'!A1"/>
    <hyperlink ref="BDA8" location="'Cost Summary'!A1" display="'Cost Summary'!A1"/>
    <hyperlink ref="BDB8" location="'Cost Summary'!A1" display="'Cost Summary'!A1"/>
    <hyperlink ref="BDC8" location="'Cost Summary'!A1" display="'Cost Summary'!A1"/>
    <hyperlink ref="BDD8" location="'Cost Summary'!A1" display="'Cost Summary'!A1"/>
    <hyperlink ref="BDE8" location="'Cost Summary'!A1" display="'Cost Summary'!A1"/>
    <hyperlink ref="BDF8" location="'Cost Summary'!A1" display="'Cost Summary'!A1"/>
    <hyperlink ref="BDG8" location="'Cost Summary'!A1" display="'Cost Summary'!A1"/>
    <hyperlink ref="BDH8" location="'Cost Summary'!A1" display="'Cost Summary'!A1"/>
    <hyperlink ref="BDI8" location="'Cost Summary'!A1" display="'Cost Summary'!A1"/>
    <hyperlink ref="BDJ8" location="'Cost Summary'!A1" display="'Cost Summary'!A1"/>
    <hyperlink ref="BDK8" location="'Cost Summary'!A1" display="'Cost Summary'!A1"/>
    <hyperlink ref="BDL8" location="'Cost Summary'!A1" display="'Cost Summary'!A1"/>
    <hyperlink ref="BDM8" location="'Cost Summary'!A1" display="'Cost Summary'!A1"/>
    <hyperlink ref="BDN8" location="'Cost Summary'!A1" display="'Cost Summary'!A1"/>
    <hyperlink ref="BDO8" location="'Cost Summary'!A1" display="'Cost Summary'!A1"/>
    <hyperlink ref="BDP8" location="'Cost Summary'!A1" display="'Cost Summary'!A1"/>
    <hyperlink ref="BDQ8" location="'Cost Summary'!A1" display="'Cost Summary'!A1"/>
    <hyperlink ref="BDR8" location="'Cost Summary'!A1" display="'Cost Summary'!A1"/>
    <hyperlink ref="BDS8" location="'Cost Summary'!A1" display="'Cost Summary'!A1"/>
    <hyperlink ref="BDT8" location="'Cost Summary'!A1" display="'Cost Summary'!A1"/>
    <hyperlink ref="BDU8" location="'Cost Summary'!A1" display="'Cost Summary'!A1"/>
    <hyperlink ref="BDV8" location="'Cost Summary'!A1" display="'Cost Summary'!A1"/>
    <hyperlink ref="BDW8" location="'Cost Summary'!A1" display="'Cost Summary'!A1"/>
    <hyperlink ref="BDX8" location="'Cost Summary'!A1" display="'Cost Summary'!A1"/>
    <hyperlink ref="BDY8" location="'Cost Summary'!A1" display="'Cost Summary'!A1"/>
    <hyperlink ref="BDZ8" location="'Cost Summary'!A1" display="'Cost Summary'!A1"/>
    <hyperlink ref="BEA8" location="'Cost Summary'!A1" display="'Cost Summary'!A1"/>
    <hyperlink ref="BEB8" location="'Cost Summary'!A1" display="'Cost Summary'!A1"/>
    <hyperlink ref="BEC8" location="'Cost Summary'!A1" display="'Cost Summary'!A1"/>
    <hyperlink ref="BED8" location="'Cost Summary'!A1" display="'Cost Summary'!A1"/>
    <hyperlink ref="BEE8" location="'Cost Summary'!A1" display="'Cost Summary'!A1"/>
    <hyperlink ref="BEF8" location="'Cost Summary'!A1" display="'Cost Summary'!A1"/>
    <hyperlink ref="BEG8" location="'Cost Summary'!A1" display="'Cost Summary'!A1"/>
    <hyperlink ref="BEH8" location="'Cost Summary'!A1" display="'Cost Summary'!A1"/>
    <hyperlink ref="BEI8" location="'Cost Summary'!A1" display="'Cost Summary'!A1"/>
    <hyperlink ref="BEJ8" location="'Cost Summary'!A1" display="'Cost Summary'!A1"/>
    <hyperlink ref="BEK8" location="'Cost Summary'!A1" display="'Cost Summary'!A1"/>
    <hyperlink ref="BEL8" location="'Cost Summary'!A1" display="'Cost Summary'!A1"/>
    <hyperlink ref="BEM8" location="'Cost Summary'!A1" display="'Cost Summary'!A1"/>
    <hyperlink ref="BEN8" location="'Cost Summary'!A1" display="'Cost Summary'!A1"/>
    <hyperlink ref="BEO8" location="'Cost Summary'!A1" display="'Cost Summary'!A1"/>
    <hyperlink ref="BEP8" location="'Cost Summary'!A1" display="'Cost Summary'!A1"/>
    <hyperlink ref="BEQ8" location="'Cost Summary'!A1" display="'Cost Summary'!A1"/>
    <hyperlink ref="BER8" location="'Cost Summary'!A1" display="'Cost Summary'!A1"/>
    <hyperlink ref="BES8" location="'Cost Summary'!A1" display="'Cost Summary'!A1"/>
    <hyperlink ref="BET8" location="'Cost Summary'!A1" display="'Cost Summary'!A1"/>
    <hyperlink ref="BEU8" location="'Cost Summary'!A1" display="'Cost Summary'!A1"/>
    <hyperlink ref="BEV8" location="'Cost Summary'!A1" display="'Cost Summary'!A1"/>
    <hyperlink ref="BEW8" location="'Cost Summary'!A1" display="'Cost Summary'!A1"/>
    <hyperlink ref="BEX8" location="'Cost Summary'!A1" display="'Cost Summary'!A1"/>
    <hyperlink ref="BEY8" location="'Cost Summary'!A1" display="'Cost Summary'!A1"/>
    <hyperlink ref="BEZ8" location="'Cost Summary'!A1" display="'Cost Summary'!A1"/>
    <hyperlink ref="BFA8" location="'Cost Summary'!A1" display="'Cost Summary'!A1"/>
    <hyperlink ref="BFB8" location="'Cost Summary'!A1" display="'Cost Summary'!A1"/>
    <hyperlink ref="BFC8" location="'Cost Summary'!A1" display="'Cost Summary'!A1"/>
    <hyperlink ref="BFD8" location="'Cost Summary'!A1" display="'Cost Summary'!A1"/>
    <hyperlink ref="BFE8" location="'Cost Summary'!A1" display="'Cost Summary'!A1"/>
    <hyperlink ref="BFF8" location="'Cost Summary'!A1" display="'Cost Summary'!A1"/>
    <hyperlink ref="BFG8" location="'Cost Summary'!A1" display="'Cost Summary'!A1"/>
    <hyperlink ref="BFH8" location="'Cost Summary'!A1" display="'Cost Summary'!A1"/>
    <hyperlink ref="BFI8" location="'Cost Summary'!A1" display="'Cost Summary'!A1"/>
    <hyperlink ref="BFJ8" location="'Cost Summary'!A1" display="'Cost Summary'!A1"/>
    <hyperlink ref="BFK8" location="'Cost Summary'!A1" display="'Cost Summary'!A1"/>
    <hyperlink ref="BFL8" location="'Cost Summary'!A1" display="'Cost Summary'!A1"/>
    <hyperlink ref="BFM8" location="'Cost Summary'!A1" display="'Cost Summary'!A1"/>
    <hyperlink ref="BFN8" location="'Cost Summary'!A1" display="'Cost Summary'!A1"/>
    <hyperlink ref="BFO8" location="'Cost Summary'!A1" display="'Cost Summary'!A1"/>
    <hyperlink ref="BFP8" location="'Cost Summary'!A1" display="'Cost Summary'!A1"/>
    <hyperlink ref="BFQ8" location="'Cost Summary'!A1" display="'Cost Summary'!A1"/>
    <hyperlink ref="BFR8" location="'Cost Summary'!A1" display="'Cost Summary'!A1"/>
    <hyperlink ref="BFS8" location="'Cost Summary'!A1" display="'Cost Summary'!A1"/>
    <hyperlink ref="BFT8" location="'Cost Summary'!A1" display="'Cost Summary'!A1"/>
    <hyperlink ref="BFU8" location="'Cost Summary'!A1" display="'Cost Summary'!A1"/>
    <hyperlink ref="BFV8" location="'Cost Summary'!A1" display="'Cost Summary'!A1"/>
    <hyperlink ref="BFW8" location="'Cost Summary'!A1" display="'Cost Summary'!A1"/>
    <hyperlink ref="BFX8" location="'Cost Summary'!A1" display="'Cost Summary'!A1"/>
    <hyperlink ref="BFY8" location="'Cost Summary'!A1" display="'Cost Summary'!A1"/>
    <hyperlink ref="BFZ8" location="'Cost Summary'!A1" display="'Cost Summary'!A1"/>
    <hyperlink ref="BGA8" location="'Cost Summary'!A1" display="'Cost Summary'!A1"/>
    <hyperlink ref="BGB8" location="'Cost Summary'!A1" display="'Cost Summary'!A1"/>
    <hyperlink ref="BGC8" location="'Cost Summary'!A1" display="'Cost Summary'!A1"/>
    <hyperlink ref="BGD8" location="'Cost Summary'!A1" display="'Cost Summary'!A1"/>
    <hyperlink ref="BGE8" location="'Cost Summary'!A1" display="'Cost Summary'!A1"/>
    <hyperlink ref="BGF8" location="'Cost Summary'!A1" display="'Cost Summary'!A1"/>
    <hyperlink ref="BGG8" location="'Cost Summary'!A1" display="'Cost Summary'!A1"/>
    <hyperlink ref="BGH8" location="'Cost Summary'!A1" display="'Cost Summary'!A1"/>
    <hyperlink ref="BGI8" location="'Cost Summary'!A1" display="'Cost Summary'!A1"/>
    <hyperlink ref="BGJ8" location="'Cost Summary'!A1" display="'Cost Summary'!A1"/>
    <hyperlink ref="BGK8" location="'Cost Summary'!A1" display="'Cost Summary'!A1"/>
    <hyperlink ref="BGL8" location="'Cost Summary'!A1" display="'Cost Summary'!A1"/>
    <hyperlink ref="BGM8" location="'Cost Summary'!A1" display="'Cost Summary'!A1"/>
    <hyperlink ref="BGN8" location="'Cost Summary'!A1" display="'Cost Summary'!A1"/>
    <hyperlink ref="BGO8" location="'Cost Summary'!A1" display="'Cost Summary'!A1"/>
    <hyperlink ref="BGP8" location="'Cost Summary'!A1" display="'Cost Summary'!A1"/>
    <hyperlink ref="BGQ8" location="'Cost Summary'!A1" display="'Cost Summary'!A1"/>
    <hyperlink ref="BGR8" location="'Cost Summary'!A1" display="'Cost Summary'!A1"/>
    <hyperlink ref="BGS8" location="'Cost Summary'!A1" display="'Cost Summary'!A1"/>
    <hyperlink ref="BGT8" location="'Cost Summary'!A1" display="'Cost Summary'!A1"/>
    <hyperlink ref="BGU8" location="'Cost Summary'!A1" display="'Cost Summary'!A1"/>
    <hyperlink ref="BGV8" location="'Cost Summary'!A1" display="'Cost Summary'!A1"/>
    <hyperlink ref="BGW8" location="'Cost Summary'!A1" display="'Cost Summary'!A1"/>
    <hyperlink ref="BGX8" location="'Cost Summary'!A1" display="'Cost Summary'!A1"/>
    <hyperlink ref="BGY8" location="'Cost Summary'!A1" display="'Cost Summary'!A1"/>
    <hyperlink ref="BGZ8" location="'Cost Summary'!A1" display="'Cost Summary'!A1"/>
    <hyperlink ref="BHA8" location="'Cost Summary'!A1" display="'Cost Summary'!A1"/>
    <hyperlink ref="BHB8" location="'Cost Summary'!A1" display="'Cost Summary'!A1"/>
    <hyperlink ref="BHC8" location="'Cost Summary'!A1" display="'Cost Summary'!A1"/>
    <hyperlink ref="BHD8" location="'Cost Summary'!A1" display="'Cost Summary'!A1"/>
    <hyperlink ref="BHE8" location="'Cost Summary'!A1" display="'Cost Summary'!A1"/>
    <hyperlink ref="BHF8" location="'Cost Summary'!A1" display="'Cost Summary'!A1"/>
    <hyperlink ref="BHG8" location="'Cost Summary'!A1" display="'Cost Summary'!A1"/>
    <hyperlink ref="BHH8" location="'Cost Summary'!A1" display="'Cost Summary'!A1"/>
    <hyperlink ref="BHI8" location="'Cost Summary'!A1" display="'Cost Summary'!A1"/>
    <hyperlink ref="BHJ8" location="'Cost Summary'!A1" display="'Cost Summary'!A1"/>
    <hyperlink ref="BHK8" location="'Cost Summary'!A1" display="'Cost Summary'!A1"/>
    <hyperlink ref="BHL8" location="'Cost Summary'!A1" display="'Cost Summary'!A1"/>
    <hyperlink ref="BHM8" location="'Cost Summary'!A1" display="'Cost Summary'!A1"/>
    <hyperlink ref="BHN8" location="'Cost Summary'!A1" display="'Cost Summary'!A1"/>
    <hyperlink ref="BHO8" location="'Cost Summary'!A1" display="'Cost Summary'!A1"/>
    <hyperlink ref="BHP8" location="'Cost Summary'!A1" display="'Cost Summary'!A1"/>
    <hyperlink ref="BHQ8" location="'Cost Summary'!A1" display="'Cost Summary'!A1"/>
    <hyperlink ref="BHR8" location="'Cost Summary'!A1" display="'Cost Summary'!A1"/>
    <hyperlink ref="BHS8" location="'Cost Summary'!A1" display="'Cost Summary'!A1"/>
    <hyperlink ref="BHT8" location="'Cost Summary'!A1" display="'Cost Summary'!A1"/>
    <hyperlink ref="BHU8" location="'Cost Summary'!A1" display="'Cost Summary'!A1"/>
    <hyperlink ref="BHV8" location="'Cost Summary'!A1" display="'Cost Summary'!A1"/>
    <hyperlink ref="BHW8" location="'Cost Summary'!A1" display="'Cost Summary'!A1"/>
    <hyperlink ref="BHX8" location="'Cost Summary'!A1" display="'Cost Summary'!A1"/>
    <hyperlink ref="BHY8" location="'Cost Summary'!A1" display="'Cost Summary'!A1"/>
    <hyperlink ref="BHZ8" location="'Cost Summary'!A1" display="'Cost Summary'!A1"/>
    <hyperlink ref="BIA8" location="'Cost Summary'!A1" display="'Cost Summary'!A1"/>
    <hyperlink ref="BIB8" location="'Cost Summary'!A1" display="'Cost Summary'!A1"/>
    <hyperlink ref="BIC8" location="'Cost Summary'!A1" display="'Cost Summary'!A1"/>
    <hyperlink ref="BID8" location="'Cost Summary'!A1" display="'Cost Summary'!A1"/>
    <hyperlink ref="BIE8" location="'Cost Summary'!A1" display="'Cost Summary'!A1"/>
    <hyperlink ref="BIF8" location="'Cost Summary'!A1" display="'Cost Summary'!A1"/>
    <hyperlink ref="BIG8" location="'Cost Summary'!A1" display="'Cost Summary'!A1"/>
    <hyperlink ref="BIH8" location="'Cost Summary'!A1" display="'Cost Summary'!A1"/>
    <hyperlink ref="BII8" location="'Cost Summary'!A1" display="'Cost Summary'!A1"/>
    <hyperlink ref="BIJ8" location="'Cost Summary'!A1" display="'Cost Summary'!A1"/>
    <hyperlink ref="BIK8" location="'Cost Summary'!A1" display="'Cost Summary'!A1"/>
    <hyperlink ref="BIL8" location="'Cost Summary'!A1" display="'Cost Summary'!A1"/>
    <hyperlink ref="BIM8" location="'Cost Summary'!A1" display="'Cost Summary'!A1"/>
    <hyperlink ref="BIN8" location="'Cost Summary'!A1" display="'Cost Summary'!A1"/>
    <hyperlink ref="BIO8" location="'Cost Summary'!A1" display="'Cost Summary'!A1"/>
    <hyperlink ref="BIP8" location="'Cost Summary'!A1" display="'Cost Summary'!A1"/>
    <hyperlink ref="BIQ8" location="'Cost Summary'!A1" display="'Cost Summary'!A1"/>
    <hyperlink ref="BIR8" location="'Cost Summary'!A1" display="'Cost Summary'!A1"/>
    <hyperlink ref="BIS8" location="'Cost Summary'!A1" display="'Cost Summary'!A1"/>
    <hyperlink ref="BIT8" location="'Cost Summary'!A1" display="'Cost Summary'!A1"/>
    <hyperlink ref="BIU8" location="'Cost Summary'!A1" display="'Cost Summary'!A1"/>
    <hyperlink ref="BIV8" location="'Cost Summary'!A1" display="'Cost Summary'!A1"/>
    <hyperlink ref="BIW8" location="'Cost Summary'!A1" display="'Cost Summary'!A1"/>
    <hyperlink ref="BIX8" location="'Cost Summary'!A1" display="'Cost Summary'!A1"/>
    <hyperlink ref="BIY8" location="'Cost Summary'!A1" display="'Cost Summary'!A1"/>
    <hyperlink ref="BIZ8" location="'Cost Summary'!A1" display="'Cost Summary'!A1"/>
    <hyperlink ref="BJA8" location="'Cost Summary'!A1" display="'Cost Summary'!A1"/>
    <hyperlink ref="BJB8" location="'Cost Summary'!A1" display="'Cost Summary'!A1"/>
    <hyperlink ref="BJC8" location="'Cost Summary'!A1" display="'Cost Summary'!A1"/>
    <hyperlink ref="BJD8" location="'Cost Summary'!A1" display="'Cost Summary'!A1"/>
    <hyperlink ref="BJE8" location="'Cost Summary'!A1" display="'Cost Summary'!A1"/>
    <hyperlink ref="BJF8" location="'Cost Summary'!A1" display="'Cost Summary'!A1"/>
    <hyperlink ref="BJG8" location="'Cost Summary'!A1" display="'Cost Summary'!A1"/>
    <hyperlink ref="BJH8" location="'Cost Summary'!A1" display="'Cost Summary'!A1"/>
    <hyperlink ref="BJI8" location="'Cost Summary'!A1" display="'Cost Summary'!A1"/>
    <hyperlink ref="BJJ8" location="'Cost Summary'!A1" display="'Cost Summary'!A1"/>
    <hyperlink ref="BJK8" location="'Cost Summary'!A1" display="'Cost Summary'!A1"/>
    <hyperlink ref="BJL8" location="'Cost Summary'!A1" display="'Cost Summary'!A1"/>
    <hyperlink ref="BJM8" location="'Cost Summary'!A1" display="'Cost Summary'!A1"/>
    <hyperlink ref="BJN8" location="'Cost Summary'!A1" display="'Cost Summary'!A1"/>
    <hyperlink ref="BJO8" location="'Cost Summary'!A1" display="'Cost Summary'!A1"/>
    <hyperlink ref="BJP8" location="'Cost Summary'!A1" display="'Cost Summary'!A1"/>
    <hyperlink ref="BJQ8" location="'Cost Summary'!A1" display="'Cost Summary'!A1"/>
    <hyperlink ref="BJR8" location="'Cost Summary'!A1" display="'Cost Summary'!A1"/>
    <hyperlink ref="BJS8" location="'Cost Summary'!A1" display="'Cost Summary'!A1"/>
    <hyperlink ref="BJT8" location="'Cost Summary'!A1" display="'Cost Summary'!A1"/>
    <hyperlink ref="BJU8" location="'Cost Summary'!A1" display="'Cost Summary'!A1"/>
    <hyperlink ref="BJV8" location="'Cost Summary'!A1" display="'Cost Summary'!A1"/>
    <hyperlink ref="BJW8" location="'Cost Summary'!A1" display="'Cost Summary'!A1"/>
    <hyperlink ref="BJX8" location="'Cost Summary'!A1" display="'Cost Summary'!A1"/>
    <hyperlink ref="BJY8" location="'Cost Summary'!A1" display="'Cost Summary'!A1"/>
    <hyperlink ref="BJZ8" location="'Cost Summary'!A1" display="'Cost Summary'!A1"/>
    <hyperlink ref="BKA8" location="'Cost Summary'!A1" display="'Cost Summary'!A1"/>
    <hyperlink ref="BKB8" location="'Cost Summary'!A1" display="'Cost Summary'!A1"/>
    <hyperlink ref="BKC8" location="'Cost Summary'!A1" display="'Cost Summary'!A1"/>
    <hyperlink ref="BKD8" location="'Cost Summary'!A1" display="'Cost Summary'!A1"/>
    <hyperlink ref="BKE8" location="'Cost Summary'!A1" display="'Cost Summary'!A1"/>
    <hyperlink ref="BKF8" location="'Cost Summary'!A1" display="'Cost Summary'!A1"/>
    <hyperlink ref="BKG8" location="'Cost Summary'!A1" display="'Cost Summary'!A1"/>
    <hyperlink ref="BKH8" location="'Cost Summary'!A1" display="'Cost Summary'!A1"/>
    <hyperlink ref="BKI8" location="'Cost Summary'!A1" display="'Cost Summary'!A1"/>
    <hyperlink ref="BKJ8" location="'Cost Summary'!A1" display="'Cost Summary'!A1"/>
    <hyperlink ref="BKK8" location="'Cost Summary'!A1" display="'Cost Summary'!A1"/>
    <hyperlink ref="BKL8" location="'Cost Summary'!A1" display="'Cost Summary'!A1"/>
    <hyperlink ref="BKM8" location="'Cost Summary'!A1" display="'Cost Summary'!A1"/>
    <hyperlink ref="BKN8" location="'Cost Summary'!A1" display="'Cost Summary'!A1"/>
    <hyperlink ref="BKO8" location="'Cost Summary'!A1" display="'Cost Summary'!A1"/>
    <hyperlink ref="BKP8" location="'Cost Summary'!A1" display="'Cost Summary'!A1"/>
    <hyperlink ref="BKQ8" location="'Cost Summary'!A1" display="'Cost Summary'!A1"/>
    <hyperlink ref="BKR8" location="'Cost Summary'!A1" display="'Cost Summary'!A1"/>
    <hyperlink ref="BKS8" location="'Cost Summary'!A1" display="'Cost Summary'!A1"/>
    <hyperlink ref="BKT8" location="'Cost Summary'!A1" display="'Cost Summary'!A1"/>
    <hyperlink ref="BKU8" location="'Cost Summary'!A1" display="'Cost Summary'!A1"/>
    <hyperlink ref="BKV8" location="'Cost Summary'!A1" display="'Cost Summary'!A1"/>
    <hyperlink ref="BKW8" location="'Cost Summary'!A1" display="'Cost Summary'!A1"/>
    <hyperlink ref="BKX8" location="'Cost Summary'!A1" display="'Cost Summary'!A1"/>
    <hyperlink ref="BKY8" location="'Cost Summary'!A1" display="'Cost Summary'!A1"/>
    <hyperlink ref="BKZ8" location="'Cost Summary'!A1" display="'Cost Summary'!A1"/>
    <hyperlink ref="BLA8" location="'Cost Summary'!A1" display="'Cost Summary'!A1"/>
    <hyperlink ref="BLB8" location="'Cost Summary'!A1" display="'Cost Summary'!A1"/>
    <hyperlink ref="BLC8" location="'Cost Summary'!A1" display="'Cost Summary'!A1"/>
    <hyperlink ref="BLD8" location="'Cost Summary'!A1" display="'Cost Summary'!A1"/>
    <hyperlink ref="BLE8" location="'Cost Summary'!A1" display="'Cost Summary'!A1"/>
    <hyperlink ref="BLF8" location="'Cost Summary'!A1" display="'Cost Summary'!A1"/>
    <hyperlink ref="BLG8" location="'Cost Summary'!A1" display="'Cost Summary'!A1"/>
    <hyperlink ref="BLH8" location="'Cost Summary'!A1" display="'Cost Summary'!A1"/>
    <hyperlink ref="BLI8" location="'Cost Summary'!A1" display="'Cost Summary'!A1"/>
    <hyperlink ref="BLJ8" location="'Cost Summary'!A1" display="'Cost Summary'!A1"/>
    <hyperlink ref="BLK8" location="'Cost Summary'!A1" display="'Cost Summary'!A1"/>
    <hyperlink ref="BLL8" location="'Cost Summary'!A1" display="'Cost Summary'!A1"/>
    <hyperlink ref="BLM8" location="'Cost Summary'!A1" display="'Cost Summary'!A1"/>
    <hyperlink ref="BLN8" location="'Cost Summary'!A1" display="'Cost Summary'!A1"/>
    <hyperlink ref="BLO8" location="'Cost Summary'!A1" display="'Cost Summary'!A1"/>
    <hyperlink ref="BLP8" location="'Cost Summary'!A1" display="'Cost Summary'!A1"/>
    <hyperlink ref="BLQ8" location="'Cost Summary'!A1" display="'Cost Summary'!A1"/>
    <hyperlink ref="BLR8" location="'Cost Summary'!A1" display="'Cost Summary'!A1"/>
    <hyperlink ref="BLS8" location="'Cost Summary'!A1" display="'Cost Summary'!A1"/>
    <hyperlink ref="BLT8" location="'Cost Summary'!A1" display="'Cost Summary'!A1"/>
    <hyperlink ref="BLU8" location="'Cost Summary'!A1" display="'Cost Summary'!A1"/>
    <hyperlink ref="BLV8" location="'Cost Summary'!A1" display="'Cost Summary'!A1"/>
    <hyperlink ref="BLW8" location="'Cost Summary'!A1" display="'Cost Summary'!A1"/>
    <hyperlink ref="BLX8" location="'Cost Summary'!A1" display="'Cost Summary'!A1"/>
    <hyperlink ref="BLY8" location="'Cost Summary'!A1" display="'Cost Summary'!A1"/>
    <hyperlink ref="BLZ8" location="'Cost Summary'!A1" display="'Cost Summary'!A1"/>
    <hyperlink ref="BMA8" location="'Cost Summary'!A1" display="'Cost Summary'!A1"/>
    <hyperlink ref="BMB8" location="'Cost Summary'!A1" display="'Cost Summary'!A1"/>
    <hyperlink ref="BMC8" location="'Cost Summary'!A1" display="'Cost Summary'!A1"/>
    <hyperlink ref="BMD8" location="'Cost Summary'!A1" display="'Cost Summary'!A1"/>
    <hyperlink ref="BME8" location="'Cost Summary'!A1" display="'Cost Summary'!A1"/>
    <hyperlink ref="BMF8" location="'Cost Summary'!A1" display="'Cost Summary'!A1"/>
    <hyperlink ref="BMG8" location="'Cost Summary'!A1" display="'Cost Summary'!A1"/>
    <hyperlink ref="BMH8" location="'Cost Summary'!A1" display="'Cost Summary'!A1"/>
    <hyperlink ref="BMI8" location="'Cost Summary'!A1" display="'Cost Summary'!A1"/>
    <hyperlink ref="BMJ8" location="'Cost Summary'!A1" display="'Cost Summary'!A1"/>
    <hyperlink ref="BMK8" location="'Cost Summary'!A1" display="'Cost Summary'!A1"/>
    <hyperlink ref="BML8" location="'Cost Summary'!A1" display="'Cost Summary'!A1"/>
    <hyperlink ref="BMM8" location="'Cost Summary'!A1" display="'Cost Summary'!A1"/>
    <hyperlink ref="BMN8" location="'Cost Summary'!A1" display="'Cost Summary'!A1"/>
    <hyperlink ref="BMO8" location="'Cost Summary'!A1" display="'Cost Summary'!A1"/>
    <hyperlink ref="BMP8" location="'Cost Summary'!A1" display="'Cost Summary'!A1"/>
    <hyperlink ref="BMQ8" location="'Cost Summary'!A1" display="'Cost Summary'!A1"/>
    <hyperlink ref="BMR8" location="'Cost Summary'!A1" display="'Cost Summary'!A1"/>
    <hyperlink ref="BMS8" location="'Cost Summary'!A1" display="'Cost Summary'!A1"/>
    <hyperlink ref="BMT8" location="'Cost Summary'!A1" display="'Cost Summary'!A1"/>
    <hyperlink ref="BMU8" location="'Cost Summary'!A1" display="'Cost Summary'!A1"/>
    <hyperlink ref="BMV8" location="'Cost Summary'!A1" display="'Cost Summary'!A1"/>
    <hyperlink ref="BMW8" location="'Cost Summary'!A1" display="'Cost Summary'!A1"/>
    <hyperlink ref="BMX8" location="'Cost Summary'!A1" display="'Cost Summary'!A1"/>
    <hyperlink ref="BMY8" location="'Cost Summary'!A1" display="'Cost Summary'!A1"/>
    <hyperlink ref="BMZ8" location="'Cost Summary'!A1" display="'Cost Summary'!A1"/>
    <hyperlink ref="BNA8" location="'Cost Summary'!A1" display="'Cost Summary'!A1"/>
    <hyperlink ref="BNB8" location="'Cost Summary'!A1" display="'Cost Summary'!A1"/>
    <hyperlink ref="BNC8" location="'Cost Summary'!A1" display="'Cost Summary'!A1"/>
    <hyperlink ref="BND8" location="'Cost Summary'!A1" display="'Cost Summary'!A1"/>
    <hyperlink ref="BNE8" location="'Cost Summary'!A1" display="'Cost Summary'!A1"/>
    <hyperlink ref="BNF8" location="'Cost Summary'!A1" display="'Cost Summary'!A1"/>
    <hyperlink ref="BNG8" location="'Cost Summary'!A1" display="'Cost Summary'!A1"/>
    <hyperlink ref="BNH8" location="'Cost Summary'!A1" display="'Cost Summary'!A1"/>
    <hyperlink ref="BNI8" location="'Cost Summary'!A1" display="'Cost Summary'!A1"/>
    <hyperlink ref="BNJ8" location="'Cost Summary'!A1" display="'Cost Summary'!A1"/>
    <hyperlink ref="BNK8" location="'Cost Summary'!A1" display="'Cost Summary'!A1"/>
    <hyperlink ref="BNL8" location="'Cost Summary'!A1" display="'Cost Summary'!A1"/>
    <hyperlink ref="BNM8" location="'Cost Summary'!A1" display="'Cost Summary'!A1"/>
    <hyperlink ref="BNN8" location="'Cost Summary'!A1" display="'Cost Summary'!A1"/>
    <hyperlink ref="BNO8" location="'Cost Summary'!A1" display="'Cost Summary'!A1"/>
    <hyperlink ref="BNP8" location="'Cost Summary'!A1" display="'Cost Summary'!A1"/>
    <hyperlink ref="BNQ8" location="'Cost Summary'!A1" display="'Cost Summary'!A1"/>
    <hyperlink ref="BNR8" location="'Cost Summary'!A1" display="'Cost Summary'!A1"/>
    <hyperlink ref="BNS8" location="'Cost Summary'!A1" display="'Cost Summary'!A1"/>
    <hyperlink ref="BNT8" location="'Cost Summary'!A1" display="'Cost Summary'!A1"/>
    <hyperlink ref="BNU8" location="'Cost Summary'!A1" display="'Cost Summary'!A1"/>
    <hyperlink ref="BNV8" location="'Cost Summary'!A1" display="'Cost Summary'!A1"/>
    <hyperlink ref="BNW8" location="'Cost Summary'!A1" display="'Cost Summary'!A1"/>
    <hyperlink ref="BNX8" location="'Cost Summary'!A1" display="'Cost Summary'!A1"/>
    <hyperlink ref="BNY8" location="'Cost Summary'!A1" display="'Cost Summary'!A1"/>
    <hyperlink ref="BNZ8" location="'Cost Summary'!A1" display="'Cost Summary'!A1"/>
    <hyperlink ref="BOA8" location="'Cost Summary'!A1" display="'Cost Summary'!A1"/>
    <hyperlink ref="BOB8" location="'Cost Summary'!A1" display="'Cost Summary'!A1"/>
    <hyperlink ref="BOC8" location="'Cost Summary'!A1" display="'Cost Summary'!A1"/>
    <hyperlink ref="BOD8" location="'Cost Summary'!A1" display="'Cost Summary'!A1"/>
    <hyperlink ref="BOE8" location="'Cost Summary'!A1" display="'Cost Summary'!A1"/>
    <hyperlink ref="BOF8" location="'Cost Summary'!A1" display="'Cost Summary'!A1"/>
    <hyperlink ref="BOG8" location="'Cost Summary'!A1" display="'Cost Summary'!A1"/>
    <hyperlink ref="BOH8" location="'Cost Summary'!A1" display="'Cost Summary'!A1"/>
    <hyperlink ref="BOI8" location="'Cost Summary'!A1" display="'Cost Summary'!A1"/>
    <hyperlink ref="BOJ8" location="'Cost Summary'!A1" display="'Cost Summary'!A1"/>
    <hyperlink ref="BOK8" location="'Cost Summary'!A1" display="'Cost Summary'!A1"/>
    <hyperlink ref="BOL8" location="'Cost Summary'!A1" display="'Cost Summary'!A1"/>
    <hyperlink ref="BOM8" location="'Cost Summary'!A1" display="'Cost Summary'!A1"/>
    <hyperlink ref="BON8" location="'Cost Summary'!A1" display="'Cost Summary'!A1"/>
    <hyperlink ref="BOO8" location="'Cost Summary'!A1" display="'Cost Summary'!A1"/>
    <hyperlink ref="BOP8" location="'Cost Summary'!A1" display="'Cost Summary'!A1"/>
    <hyperlink ref="BOQ8" location="'Cost Summary'!A1" display="'Cost Summary'!A1"/>
    <hyperlink ref="BOR8" location="'Cost Summary'!A1" display="'Cost Summary'!A1"/>
    <hyperlink ref="BOS8" location="'Cost Summary'!A1" display="'Cost Summary'!A1"/>
    <hyperlink ref="BOT8" location="'Cost Summary'!A1" display="'Cost Summary'!A1"/>
    <hyperlink ref="BOU8" location="'Cost Summary'!A1" display="'Cost Summary'!A1"/>
    <hyperlink ref="BOV8" location="'Cost Summary'!A1" display="'Cost Summary'!A1"/>
    <hyperlink ref="BOW8" location="'Cost Summary'!A1" display="'Cost Summary'!A1"/>
    <hyperlink ref="BOX8" location="'Cost Summary'!A1" display="'Cost Summary'!A1"/>
    <hyperlink ref="BOY8" location="'Cost Summary'!A1" display="'Cost Summary'!A1"/>
    <hyperlink ref="BOZ8" location="'Cost Summary'!A1" display="'Cost Summary'!A1"/>
    <hyperlink ref="BPA8" location="'Cost Summary'!A1" display="'Cost Summary'!A1"/>
    <hyperlink ref="BPB8" location="'Cost Summary'!A1" display="'Cost Summary'!A1"/>
    <hyperlink ref="BPC8" location="'Cost Summary'!A1" display="'Cost Summary'!A1"/>
    <hyperlink ref="BPD8" location="'Cost Summary'!A1" display="'Cost Summary'!A1"/>
    <hyperlink ref="BPE8" location="'Cost Summary'!A1" display="'Cost Summary'!A1"/>
    <hyperlink ref="BPF8" location="'Cost Summary'!A1" display="'Cost Summary'!A1"/>
    <hyperlink ref="BPG8" location="'Cost Summary'!A1" display="'Cost Summary'!A1"/>
    <hyperlink ref="BPH8" location="'Cost Summary'!A1" display="'Cost Summary'!A1"/>
    <hyperlink ref="BPI8" location="'Cost Summary'!A1" display="'Cost Summary'!A1"/>
    <hyperlink ref="BPJ8" location="'Cost Summary'!A1" display="'Cost Summary'!A1"/>
    <hyperlink ref="BPK8" location="'Cost Summary'!A1" display="'Cost Summary'!A1"/>
    <hyperlink ref="BPL8" location="'Cost Summary'!A1" display="'Cost Summary'!A1"/>
    <hyperlink ref="BPM8" location="'Cost Summary'!A1" display="'Cost Summary'!A1"/>
    <hyperlink ref="BPN8" location="'Cost Summary'!A1" display="'Cost Summary'!A1"/>
    <hyperlink ref="BPO8" location="'Cost Summary'!A1" display="'Cost Summary'!A1"/>
    <hyperlink ref="BPP8" location="'Cost Summary'!A1" display="'Cost Summary'!A1"/>
    <hyperlink ref="BPQ8" location="'Cost Summary'!A1" display="'Cost Summary'!A1"/>
    <hyperlink ref="BPR8" location="'Cost Summary'!A1" display="'Cost Summary'!A1"/>
    <hyperlink ref="BPS8" location="'Cost Summary'!A1" display="'Cost Summary'!A1"/>
    <hyperlink ref="BPT8" location="'Cost Summary'!A1" display="'Cost Summary'!A1"/>
    <hyperlink ref="BPU8" location="'Cost Summary'!A1" display="'Cost Summary'!A1"/>
    <hyperlink ref="BPV8" location="'Cost Summary'!A1" display="'Cost Summary'!A1"/>
    <hyperlink ref="BPW8" location="'Cost Summary'!A1" display="'Cost Summary'!A1"/>
    <hyperlink ref="BPX8" location="'Cost Summary'!A1" display="'Cost Summary'!A1"/>
    <hyperlink ref="BPY8" location="'Cost Summary'!A1" display="'Cost Summary'!A1"/>
    <hyperlink ref="BPZ8" location="'Cost Summary'!A1" display="'Cost Summary'!A1"/>
    <hyperlink ref="BQA8" location="'Cost Summary'!A1" display="'Cost Summary'!A1"/>
    <hyperlink ref="BQB8" location="'Cost Summary'!A1" display="'Cost Summary'!A1"/>
    <hyperlink ref="BQC8" location="'Cost Summary'!A1" display="'Cost Summary'!A1"/>
    <hyperlink ref="BQD8" location="'Cost Summary'!A1" display="'Cost Summary'!A1"/>
    <hyperlink ref="BQE8" location="'Cost Summary'!A1" display="'Cost Summary'!A1"/>
    <hyperlink ref="BQF8" location="'Cost Summary'!A1" display="'Cost Summary'!A1"/>
    <hyperlink ref="BQG8" location="'Cost Summary'!A1" display="'Cost Summary'!A1"/>
    <hyperlink ref="BQH8" location="'Cost Summary'!A1" display="'Cost Summary'!A1"/>
    <hyperlink ref="BQI8" location="'Cost Summary'!A1" display="'Cost Summary'!A1"/>
    <hyperlink ref="BQJ8" location="'Cost Summary'!A1" display="'Cost Summary'!A1"/>
    <hyperlink ref="BQK8" location="'Cost Summary'!A1" display="'Cost Summary'!A1"/>
    <hyperlink ref="BQL8" location="'Cost Summary'!A1" display="'Cost Summary'!A1"/>
    <hyperlink ref="BQM8" location="'Cost Summary'!A1" display="'Cost Summary'!A1"/>
    <hyperlink ref="BQN8" location="'Cost Summary'!A1" display="'Cost Summary'!A1"/>
    <hyperlink ref="BQO8" location="'Cost Summary'!A1" display="'Cost Summary'!A1"/>
    <hyperlink ref="BQP8" location="'Cost Summary'!A1" display="'Cost Summary'!A1"/>
    <hyperlink ref="BQQ8" location="'Cost Summary'!A1" display="'Cost Summary'!A1"/>
    <hyperlink ref="BQR8" location="'Cost Summary'!A1" display="'Cost Summary'!A1"/>
    <hyperlink ref="BQS8" location="'Cost Summary'!A1" display="'Cost Summary'!A1"/>
    <hyperlink ref="BQT8" location="'Cost Summary'!A1" display="'Cost Summary'!A1"/>
    <hyperlink ref="BQU8" location="'Cost Summary'!A1" display="'Cost Summary'!A1"/>
    <hyperlink ref="BQV8" location="'Cost Summary'!A1" display="'Cost Summary'!A1"/>
    <hyperlink ref="BQW8" location="'Cost Summary'!A1" display="'Cost Summary'!A1"/>
    <hyperlink ref="BQX8" location="'Cost Summary'!A1" display="'Cost Summary'!A1"/>
    <hyperlink ref="BQY8" location="'Cost Summary'!A1" display="'Cost Summary'!A1"/>
    <hyperlink ref="BQZ8" location="'Cost Summary'!A1" display="'Cost Summary'!A1"/>
    <hyperlink ref="BRA8" location="'Cost Summary'!A1" display="'Cost Summary'!A1"/>
    <hyperlink ref="BRB8" location="'Cost Summary'!A1" display="'Cost Summary'!A1"/>
    <hyperlink ref="BRC8" location="'Cost Summary'!A1" display="'Cost Summary'!A1"/>
    <hyperlink ref="BRD8" location="'Cost Summary'!A1" display="'Cost Summary'!A1"/>
    <hyperlink ref="BRE8" location="'Cost Summary'!A1" display="'Cost Summary'!A1"/>
    <hyperlink ref="BRF8" location="'Cost Summary'!A1" display="'Cost Summary'!A1"/>
    <hyperlink ref="BRG8" location="'Cost Summary'!A1" display="'Cost Summary'!A1"/>
    <hyperlink ref="BRH8" location="'Cost Summary'!A1" display="'Cost Summary'!A1"/>
    <hyperlink ref="BRI8" location="'Cost Summary'!A1" display="'Cost Summary'!A1"/>
    <hyperlink ref="BRJ8" location="'Cost Summary'!A1" display="'Cost Summary'!A1"/>
    <hyperlink ref="BRK8" location="'Cost Summary'!A1" display="'Cost Summary'!A1"/>
    <hyperlink ref="BRL8" location="'Cost Summary'!A1" display="'Cost Summary'!A1"/>
    <hyperlink ref="BRM8" location="'Cost Summary'!A1" display="'Cost Summary'!A1"/>
    <hyperlink ref="BRN8" location="'Cost Summary'!A1" display="'Cost Summary'!A1"/>
    <hyperlink ref="BRO8" location="'Cost Summary'!A1" display="'Cost Summary'!A1"/>
    <hyperlink ref="BRP8" location="'Cost Summary'!A1" display="'Cost Summary'!A1"/>
    <hyperlink ref="BRQ8" location="'Cost Summary'!A1" display="'Cost Summary'!A1"/>
    <hyperlink ref="BRR8" location="'Cost Summary'!A1" display="'Cost Summary'!A1"/>
    <hyperlink ref="BRS8" location="'Cost Summary'!A1" display="'Cost Summary'!A1"/>
    <hyperlink ref="BRT8" location="'Cost Summary'!A1" display="'Cost Summary'!A1"/>
    <hyperlink ref="BRU8" location="'Cost Summary'!A1" display="'Cost Summary'!A1"/>
    <hyperlink ref="BRV8" location="'Cost Summary'!A1" display="'Cost Summary'!A1"/>
    <hyperlink ref="BRW8" location="'Cost Summary'!A1" display="'Cost Summary'!A1"/>
    <hyperlink ref="BRX8" location="'Cost Summary'!A1" display="'Cost Summary'!A1"/>
    <hyperlink ref="BRY8" location="'Cost Summary'!A1" display="'Cost Summary'!A1"/>
    <hyperlink ref="BRZ8" location="'Cost Summary'!A1" display="'Cost Summary'!A1"/>
    <hyperlink ref="BSA8" location="'Cost Summary'!A1" display="'Cost Summary'!A1"/>
    <hyperlink ref="BSB8" location="'Cost Summary'!A1" display="'Cost Summary'!A1"/>
    <hyperlink ref="BSC8" location="'Cost Summary'!A1" display="'Cost Summary'!A1"/>
    <hyperlink ref="BSD8" location="'Cost Summary'!A1" display="'Cost Summary'!A1"/>
    <hyperlink ref="BSE8" location="'Cost Summary'!A1" display="'Cost Summary'!A1"/>
    <hyperlink ref="BSF8" location="'Cost Summary'!A1" display="'Cost Summary'!A1"/>
    <hyperlink ref="BSG8" location="'Cost Summary'!A1" display="'Cost Summary'!A1"/>
    <hyperlink ref="BSH8" location="'Cost Summary'!A1" display="'Cost Summary'!A1"/>
    <hyperlink ref="BSI8" location="'Cost Summary'!A1" display="'Cost Summary'!A1"/>
    <hyperlink ref="BSJ8" location="'Cost Summary'!A1" display="'Cost Summary'!A1"/>
    <hyperlink ref="BSK8" location="'Cost Summary'!A1" display="'Cost Summary'!A1"/>
    <hyperlink ref="BSL8" location="'Cost Summary'!A1" display="'Cost Summary'!A1"/>
    <hyperlink ref="BSM8" location="'Cost Summary'!A1" display="'Cost Summary'!A1"/>
    <hyperlink ref="BSN8" location="'Cost Summary'!A1" display="'Cost Summary'!A1"/>
    <hyperlink ref="BSO8" location="'Cost Summary'!A1" display="'Cost Summary'!A1"/>
    <hyperlink ref="BSP8" location="'Cost Summary'!A1" display="'Cost Summary'!A1"/>
    <hyperlink ref="BSQ8" location="'Cost Summary'!A1" display="'Cost Summary'!A1"/>
    <hyperlink ref="BSR8" location="'Cost Summary'!A1" display="'Cost Summary'!A1"/>
    <hyperlink ref="BSS8" location="'Cost Summary'!A1" display="'Cost Summary'!A1"/>
    <hyperlink ref="BST8" location="'Cost Summary'!A1" display="'Cost Summary'!A1"/>
    <hyperlink ref="BSU8" location="'Cost Summary'!A1" display="'Cost Summary'!A1"/>
    <hyperlink ref="BSV8" location="'Cost Summary'!A1" display="'Cost Summary'!A1"/>
    <hyperlink ref="BSW8" location="'Cost Summary'!A1" display="'Cost Summary'!A1"/>
    <hyperlink ref="BSX8" location="'Cost Summary'!A1" display="'Cost Summary'!A1"/>
    <hyperlink ref="BSY8" location="'Cost Summary'!A1" display="'Cost Summary'!A1"/>
    <hyperlink ref="BSZ8" location="'Cost Summary'!A1" display="'Cost Summary'!A1"/>
    <hyperlink ref="BTA8" location="'Cost Summary'!A1" display="'Cost Summary'!A1"/>
    <hyperlink ref="BTB8" location="'Cost Summary'!A1" display="'Cost Summary'!A1"/>
    <hyperlink ref="BTC8" location="'Cost Summary'!A1" display="'Cost Summary'!A1"/>
    <hyperlink ref="BTD8" location="'Cost Summary'!A1" display="'Cost Summary'!A1"/>
    <hyperlink ref="BTE8" location="'Cost Summary'!A1" display="'Cost Summary'!A1"/>
    <hyperlink ref="BTF8" location="'Cost Summary'!A1" display="'Cost Summary'!A1"/>
    <hyperlink ref="BTG8" location="'Cost Summary'!A1" display="'Cost Summary'!A1"/>
    <hyperlink ref="BTH8" location="'Cost Summary'!A1" display="'Cost Summary'!A1"/>
    <hyperlink ref="BTI8" location="'Cost Summary'!A1" display="'Cost Summary'!A1"/>
    <hyperlink ref="BTJ8" location="'Cost Summary'!A1" display="'Cost Summary'!A1"/>
    <hyperlink ref="BTK8" location="'Cost Summary'!A1" display="'Cost Summary'!A1"/>
    <hyperlink ref="BTL8" location="'Cost Summary'!A1" display="'Cost Summary'!A1"/>
    <hyperlink ref="BTM8" location="'Cost Summary'!A1" display="'Cost Summary'!A1"/>
    <hyperlink ref="BTN8" location="'Cost Summary'!A1" display="'Cost Summary'!A1"/>
    <hyperlink ref="BTO8" location="'Cost Summary'!A1" display="'Cost Summary'!A1"/>
    <hyperlink ref="BTP8" location="'Cost Summary'!A1" display="'Cost Summary'!A1"/>
    <hyperlink ref="BTQ8" location="'Cost Summary'!A1" display="'Cost Summary'!A1"/>
    <hyperlink ref="BTR8" location="'Cost Summary'!A1" display="'Cost Summary'!A1"/>
    <hyperlink ref="BTS8" location="'Cost Summary'!A1" display="'Cost Summary'!A1"/>
    <hyperlink ref="BTT8" location="'Cost Summary'!A1" display="'Cost Summary'!A1"/>
    <hyperlink ref="BTU8" location="'Cost Summary'!A1" display="'Cost Summary'!A1"/>
    <hyperlink ref="BTV8" location="'Cost Summary'!A1" display="'Cost Summary'!A1"/>
    <hyperlink ref="BTW8" location="'Cost Summary'!A1" display="'Cost Summary'!A1"/>
    <hyperlink ref="BTX8" location="'Cost Summary'!A1" display="'Cost Summary'!A1"/>
    <hyperlink ref="BTY8" location="'Cost Summary'!A1" display="'Cost Summary'!A1"/>
    <hyperlink ref="BTZ8" location="'Cost Summary'!A1" display="'Cost Summary'!A1"/>
    <hyperlink ref="BUA8" location="'Cost Summary'!A1" display="'Cost Summary'!A1"/>
    <hyperlink ref="BUB8" location="'Cost Summary'!A1" display="'Cost Summary'!A1"/>
    <hyperlink ref="BUC8" location="'Cost Summary'!A1" display="'Cost Summary'!A1"/>
    <hyperlink ref="BUD8" location="'Cost Summary'!A1" display="'Cost Summary'!A1"/>
    <hyperlink ref="BUE8" location="'Cost Summary'!A1" display="'Cost Summary'!A1"/>
    <hyperlink ref="BUF8" location="'Cost Summary'!A1" display="'Cost Summary'!A1"/>
    <hyperlink ref="BUG8" location="'Cost Summary'!A1" display="'Cost Summary'!A1"/>
    <hyperlink ref="BUH8" location="'Cost Summary'!A1" display="'Cost Summary'!A1"/>
    <hyperlink ref="BUI8" location="'Cost Summary'!A1" display="'Cost Summary'!A1"/>
    <hyperlink ref="BUJ8" location="'Cost Summary'!A1" display="'Cost Summary'!A1"/>
    <hyperlink ref="BUK8" location="'Cost Summary'!A1" display="'Cost Summary'!A1"/>
    <hyperlink ref="BUL8" location="'Cost Summary'!A1" display="'Cost Summary'!A1"/>
    <hyperlink ref="BUM8" location="'Cost Summary'!A1" display="'Cost Summary'!A1"/>
    <hyperlink ref="BUN8" location="'Cost Summary'!A1" display="'Cost Summary'!A1"/>
    <hyperlink ref="BUO8" location="'Cost Summary'!A1" display="'Cost Summary'!A1"/>
    <hyperlink ref="BUP8" location="'Cost Summary'!A1" display="'Cost Summary'!A1"/>
    <hyperlink ref="BUQ8" location="'Cost Summary'!A1" display="'Cost Summary'!A1"/>
    <hyperlink ref="BUR8" location="'Cost Summary'!A1" display="'Cost Summary'!A1"/>
    <hyperlink ref="BUS8" location="'Cost Summary'!A1" display="'Cost Summary'!A1"/>
    <hyperlink ref="BUT8" location="'Cost Summary'!A1" display="'Cost Summary'!A1"/>
    <hyperlink ref="BUU8" location="'Cost Summary'!A1" display="'Cost Summary'!A1"/>
    <hyperlink ref="BUV8" location="'Cost Summary'!A1" display="'Cost Summary'!A1"/>
    <hyperlink ref="BUW8" location="'Cost Summary'!A1" display="'Cost Summary'!A1"/>
    <hyperlink ref="BUX8" location="'Cost Summary'!A1" display="'Cost Summary'!A1"/>
    <hyperlink ref="BUY8" location="'Cost Summary'!A1" display="'Cost Summary'!A1"/>
    <hyperlink ref="BUZ8" location="'Cost Summary'!A1" display="'Cost Summary'!A1"/>
    <hyperlink ref="BVA8" location="'Cost Summary'!A1" display="'Cost Summary'!A1"/>
    <hyperlink ref="BVB8" location="'Cost Summary'!A1" display="'Cost Summary'!A1"/>
    <hyperlink ref="BVC8" location="'Cost Summary'!A1" display="'Cost Summary'!A1"/>
    <hyperlink ref="BVD8" location="'Cost Summary'!A1" display="'Cost Summary'!A1"/>
    <hyperlink ref="BVE8" location="'Cost Summary'!A1" display="'Cost Summary'!A1"/>
    <hyperlink ref="BVF8" location="'Cost Summary'!A1" display="'Cost Summary'!A1"/>
    <hyperlink ref="BVG8" location="'Cost Summary'!A1" display="'Cost Summary'!A1"/>
    <hyperlink ref="BVH8" location="'Cost Summary'!A1" display="'Cost Summary'!A1"/>
    <hyperlink ref="BVI8" location="'Cost Summary'!A1" display="'Cost Summary'!A1"/>
    <hyperlink ref="BVJ8" location="'Cost Summary'!A1" display="'Cost Summary'!A1"/>
    <hyperlink ref="BVK8" location="'Cost Summary'!A1" display="'Cost Summary'!A1"/>
    <hyperlink ref="BVL8" location="'Cost Summary'!A1" display="'Cost Summary'!A1"/>
    <hyperlink ref="BVM8" location="'Cost Summary'!A1" display="'Cost Summary'!A1"/>
    <hyperlink ref="BVN8" location="'Cost Summary'!A1" display="'Cost Summary'!A1"/>
    <hyperlink ref="BVO8" location="'Cost Summary'!A1" display="'Cost Summary'!A1"/>
    <hyperlink ref="BVP8" location="'Cost Summary'!A1" display="'Cost Summary'!A1"/>
    <hyperlink ref="BVQ8" location="'Cost Summary'!A1" display="'Cost Summary'!A1"/>
    <hyperlink ref="BVR8" location="'Cost Summary'!A1" display="'Cost Summary'!A1"/>
    <hyperlink ref="BVS8" location="'Cost Summary'!A1" display="'Cost Summary'!A1"/>
    <hyperlink ref="BVT8" location="'Cost Summary'!A1" display="'Cost Summary'!A1"/>
    <hyperlink ref="BVU8" location="'Cost Summary'!A1" display="'Cost Summary'!A1"/>
    <hyperlink ref="BVV8" location="'Cost Summary'!A1" display="'Cost Summary'!A1"/>
    <hyperlink ref="BVW8" location="'Cost Summary'!A1" display="'Cost Summary'!A1"/>
    <hyperlink ref="BVX8" location="'Cost Summary'!A1" display="'Cost Summary'!A1"/>
    <hyperlink ref="BVY8" location="'Cost Summary'!A1" display="'Cost Summary'!A1"/>
    <hyperlink ref="BVZ8" location="'Cost Summary'!A1" display="'Cost Summary'!A1"/>
    <hyperlink ref="BWA8" location="'Cost Summary'!A1" display="'Cost Summary'!A1"/>
    <hyperlink ref="BWB8" location="'Cost Summary'!A1" display="'Cost Summary'!A1"/>
    <hyperlink ref="BWC8" location="'Cost Summary'!A1" display="'Cost Summary'!A1"/>
    <hyperlink ref="BWD8" location="'Cost Summary'!A1" display="'Cost Summary'!A1"/>
    <hyperlink ref="BWE8" location="'Cost Summary'!A1" display="'Cost Summary'!A1"/>
    <hyperlink ref="BWF8" location="'Cost Summary'!A1" display="'Cost Summary'!A1"/>
    <hyperlink ref="BWG8" location="'Cost Summary'!A1" display="'Cost Summary'!A1"/>
    <hyperlink ref="BWH8" location="'Cost Summary'!A1" display="'Cost Summary'!A1"/>
    <hyperlink ref="BWI8" location="'Cost Summary'!A1" display="'Cost Summary'!A1"/>
    <hyperlink ref="BWJ8" location="'Cost Summary'!A1" display="'Cost Summary'!A1"/>
    <hyperlink ref="BWK8" location="'Cost Summary'!A1" display="'Cost Summary'!A1"/>
    <hyperlink ref="BWL8" location="'Cost Summary'!A1" display="'Cost Summary'!A1"/>
    <hyperlink ref="BWM8" location="'Cost Summary'!A1" display="'Cost Summary'!A1"/>
    <hyperlink ref="BWN8" location="'Cost Summary'!A1" display="'Cost Summary'!A1"/>
    <hyperlink ref="BWO8" location="'Cost Summary'!A1" display="'Cost Summary'!A1"/>
    <hyperlink ref="BWP8" location="'Cost Summary'!A1" display="'Cost Summary'!A1"/>
    <hyperlink ref="BWQ8" location="'Cost Summary'!A1" display="'Cost Summary'!A1"/>
    <hyperlink ref="BWR8" location="'Cost Summary'!A1" display="'Cost Summary'!A1"/>
    <hyperlink ref="BWS8" location="'Cost Summary'!A1" display="'Cost Summary'!A1"/>
    <hyperlink ref="BWT8" location="'Cost Summary'!A1" display="'Cost Summary'!A1"/>
    <hyperlink ref="BWU8" location="'Cost Summary'!A1" display="'Cost Summary'!A1"/>
    <hyperlink ref="BWV8" location="'Cost Summary'!A1" display="'Cost Summary'!A1"/>
    <hyperlink ref="BWW8" location="'Cost Summary'!A1" display="'Cost Summary'!A1"/>
    <hyperlink ref="BWX8" location="'Cost Summary'!A1" display="'Cost Summary'!A1"/>
    <hyperlink ref="BWY8" location="'Cost Summary'!A1" display="'Cost Summary'!A1"/>
    <hyperlink ref="BWZ8" location="'Cost Summary'!A1" display="'Cost Summary'!A1"/>
    <hyperlink ref="BXA8" location="'Cost Summary'!A1" display="'Cost Summary'!A1"/>
    <hyperlink ref="BXB8" location="'Cost Summary'!A1" display="'Cost Summary'!A1"/>
    <hyperlink ref="BXC8" location="'Cost Summary'!A1" display="'Cost Summary'!A1"/>
    <hyperlink ref="BXD8" location="'Cost Summary'!A1" display="'Cost Summary'!A1"/>
    <hyperlink ref="BXE8" location="'Cost Summary'!A1" display="'Cost Summary'!A1"/>
    <hyperlink ref="BXF8" location="'Cost Summary'!A1" display="'Cost Summary'!A1"/>
    <hyperlink ref="BXG8" location="'Cost Summary'!A1" display="'Cost Summary'!A1"/>
    <hyperlink ref="BXH8" location="'Cost Summary'!A1" display="'Cost Summary'!A1"/>
    <hyperlink ref="BXI8" location="'Cost Summary'!A1" display="'Cost Summary'!A1"/>
    <hyperlink ref="BXJ8" location="'Cost Summary'!A1" display="'Cost Summary'!A1"/>
    <hyperlink ref="BXK8" location="'Cost Summary'!A1" display="'Cost Summary'!A1"/>
    <hyperlink ref="BXL8" location="'Cost Summary'!A1" display="'Cost Summary'!A1"/>
    <hyperlink ref="BXM8" location="'Cost Summary'!A1" display="'Cost Summary'!A1"/>
    <hyperlink ref="BXN8" location="'Cost Summary'!A1" display="'Cost Summary'!A1"/>
    <hyperlink ref="BXO8" location="'Cost Summary'!A1" display="'Cost Summary'!A1"/>
    <hyperlink ref="BXP8" location="'Cost Summary'!A1" display="'Cost Summary'!A1"/>
    <hyperlink ref="BXQ8" location="'Cost Summary'!A1" display="'Cost Summary'!A1"/>
    <hyperlink ref="BXR8" location="'Cost Summary'!A1" display="'Cost Summary'!A1"/>
    <hyperlink ref="BXS8" location="'Cost Summary'!A1" display="'Cost Summary'!A1"/>
    <hyperlink ref="BXT8" location="'Cost Summary'!A1" display="'Cost Summary'!A1"/>
    <hyperlink ref="BXU8" location="'Cost Summary'!A1" display="'Cost Summary'!A1"/>
    <hyperlink ref="BXV8" location="'Cost Summary'!A1" display="'Cost Summary'!A1"/>
    <hyperlink ref="BXW8" location="'Cost Summary'!A1" display="'Cost Summary'!A1"/>
    <hyperlink ref="BXX8" location="'Cost Summary'!A1" display="'Cost Summary'!A1"/>
    <hyperlink ref="BXY8" location="'Cost Summary'!A1" display="'Cost Summary'!A1"/>
    <hyperlink ref="BXZ8" location="'Cost Summary'!A1" display="'Cost Summary'!A1"/>
    <hyperlink ref="BYA8" location="'Cost Summary'!A1" display="'Cost Summary'!A1"/>
    <hyperlink ref="BYB8" location="'Cost Summary'!A1" display="'Cost Summary'!A1"/>
    <hyperlink ref="BYC8" location="'Cost Summary'!A1" display="'Cost Summary'!A1"/>
    <hyperlink ref="BYD8" location="'Cost Summary'!A1" display="'Cost Summary'!A1"/>
    <hyperlink ref="BYE8" location="'Cost Summary'!A1" display="'Cost Summary'!A1"/>
    <hyperlink ref="BYF8" location="'Cost Summary'!A1" display="'Cost Summary'!A1"/>
    <hyperlink ref="BYG8" location="'Cost Summary'!A1" display="'Cost Summary'!A1"/>
    <hyperlink ref="BYH8" location="'Cost Summary'!A1" display="'Cost Summary'!A1"/>
    <hyperlink ref="BYI8" location="'Cost Summary'!A1" display="'Cost Summary'!A1"/>
    <hyperlink ref="BYJ8" location="'Cost Summary'!A1" display="'Cost Summary'!A1"/>
    <hyperlink ref="BYK8" location="'Cost Summary'!A1" display="'Cost Summary'!A1"/>
    <hyperlink ref="BYL8" location="'Cost Summary'!A1" display="'Cost Summary'!A1"/>
    <hyperlink ref="BYM8" location="'Cost Summary'!A1" display="'Cost Summary'!A1"/>
    <hyperlink ref="BYN8" location="'Cost Summary'!A1" display="'Cost Summary'!A1"/>
    <hyperlink ref="BYO8" location="'Cost Summary'!A1" display="'Cost Summary'!A1"/>
    <hyperlink ref="BYP8" location="'Cost Summary'!A1" display="'Cost Summary'!A1"/>
    <hyperlink ref="BYQ8" location="'Cost Summary'!A1" display="'Cost Summary'!A1"/>
    <hyperlink ref="BYR8" location="'Cost Summary'!A1" display="'Cost Summary'!A1"/>
    <hyperlink ref="BYS8" location="'Cost Summary'!A1" display="'Cost Summary'!A1"/>
    <hyperlink ref="BYT8" location="'Cost Summary'!A1" display="'Cost Summary'!A1"/>
    <hyperlink ref="BYU8" location="'Cost Summary'!A1" display="'Cost Summary'!A1"/>
    <hyperlink ref="BYV8" location="'Cost Summary'!A1" display="'Cost Summary'!A1"/>
    <hyperlink ref="BYW8" location="'Cost Summary'!A1" display="'Cost Summary'!A1"/>
    <hyperlink ref="BYX8" location="'Cost Summary'!A1" display="'Cost Summary'!A1"/>
    <hyperlink ref="BYY8" location="'Cost Summary'!A1" display="'Cost Summary'!A1"/>
    <hyperlink ref="BYZ8" location="'Cost Summary'!A1" display="'Cost Summary'!A1"/>
    <hyperlink ref="BZA8" location="'Cost Summary'!A1" display="'Cost Summary'!A1"/>
    <hyperlink ref="BZB8" location="'Cost Summary'!A1" display="'Cost Summary'!A1"/>
    <hyperlink ref="BZC8" location="'Cost Summary'!A1" display="'Cost Summary'!A1"/>
    <hyperlink ref="BZD8" location="'Cost Summary'!A1" display="'Cost Summary'!A1"/>
    <hyperlink ref="BZE8" location="'Cost Summary'!A1" display="'Cost Summary'!A1"/>
    <hyperlink ref="BZF8" location="'Cost Summary'!A1" display="'Cost Summary'!A1"/>
    <hyperlink ref="BZG8" location="'Cost Summary'!A1" display="'Cost Summary'!A1"/>
    <hyperlink ref="BZH8" location="'Cost Summary'!A1" display="'Cost Summary'!A1"/>
    <hyperlink ref="BZI8" location="'Cost Summary'!A1" display="'Cost Summary'!A1"/>
    <hyperlink ref="BZJ8" location="'Cost Summary'!A1" display="'Cost Summary'!A1"/>
    <hyperlink ref="BZK8" location="'Cost Summary'!A1" display="'Cost Summary'!A1"/>
    <hyperlink ref="BZL8" location="'Cost Summary'!A1" display="'Cost Summary'!A1"/>
    <hyperlink ref="BZM8" location="'Cost Summary'!A1" display="'Cost Summary'!A1"/>
    <hyperlink ref="BZN8" location="'Cost Summary'!A1" display="'Cost Summary'!A1"/>
    <hyperlink ref="BZO8" location="'Cost Summary'!A1" display="'Cost Summary'!A1"/>
    <hyperlink ref="BZP8" location="'Cost Summary'!A1" display="'Cost Summary'!A1"/>
    <hyperlink ref="BZQ8" location="'Cost Summary'!A1" display="'Cost Summary'!A1"/>
    <hyperlink ref="BZR8" location="'Cost Summary'!A1" display="'Cost Summary'!A1"/>
    <hyperlink ref="BZS8" location="'Cost Summary'!A1" display="'Cost Summary'!A1"/>
    <hyperlink ref="BZT8" location="'Cost Summary'!A1" display="'Cost Summary'!A1"/>
    <hyperlink ref="BZU8" location="'Cost Summary'!A1" display="'Cost Summary'!A1"/>
    <hyperlink ref="BZV8" location="'Cost Summary'!A1" display="'Cost Summary'!A1"/>
    <hyperlink ref="BZW8" location="'Cost Summary'!A1" display="'Cost Summary'!A1"/>
    <hyperlink ref="BZX8" location="'Cost Summary'!A1" display="'Cost Summary'!A1"/>
    <hyperlink ref="BZY8" location="'Cost Summary'!A1" display="'Cost Summary'!A1"/>
    <hyperlink ref="BZZ8" location="'Cost Summary'!A1" display="'Cost Summary'!A1"/>
    <hyperlink ref="CAA8" location="'Cost Summary'!A1" display="'Cost Summary'!A1"/>
    <hyperlink ref="CAB8" location="'Cost Summary'!A1" display="'Cost Summary'!A1"/>
    <hyperlink ref="CAC8" location="'Cost Summary'!A1" display="'Cost Summary'!A1"/>
    <hyperlink ref="CAD8" location="'Cost Summary'!A1" display="'Cost Summary'!A1"/>
    <hyperlink ref="CAE8" location="'Cost Summary'!A1" display="'Cost Summary'!A1"/>
    <hyperlink ref="CAF8" location="'Cost Summary'!A1" display="'Cost Summary'!A1"/>
    <hyperlink ref="CAG8" location="'Cost Summary'!A1" display="'Cost Summary'!A1"/>
    <hyperlink ref="CAH8" location="'Cost Summary'!A1" display="'Cost Summary'!A1"/>
    <hyperlink ref="CAI8" location="'Cost Summary'!A1" display="'Cost Summary'!A1"/>
    <hyperlink ref="CAJ8" location="'Cost Summary'!A1" display="'Cost Summary'!A1"/>
    <hyperlink ref="CAK8" location="'Cost Summary'!A1" display="'Cost Summary'!A1"/>
    <hyperlink ref="CAL8" location="'Cost Summary'!A1" display="'Cost Summary'!A1"/>
    <hyperlink ref="CAM8" location="'Cost Summary'!A1" display="'Cost Summary'!A1"/>
    <hyperlink ref="CAN8" location="'Cost Summary'!A1" display="'Cost Summary'!A1"/>
    <hyperlink ref="CAO8" location="'Cost Summary'!A1" display="'Cost Summary'!A1"/>
    <hyperlink ref="CAP8" location="'Cost Summary'!A1" display="'Cost Summary'!A1"/>
    <hyperlink ref="CAQ8" location="'Cost Summary'!A1" display="'Cost Summary'!A1"/>
    <hyperlink ref="CAR8" location="'Cost Summary'!A1" display="'Cost Summary'!A1"/>
    <hyperlink ref="CAS8" location="'Cost Summary'!A1" display="'Cost Summary'!A1"/>
    <hyperlink ref="CAT8" location="'Cost Summary'!A1" display="'Cost Summary'!A1"/>
    <hyperlink ref="CAU8" location="'Cost Summary'!A1" display="'Cost Summary'!A1"/>
    <hyperlink ref="CAV8" location="'Cost Summary'!A1" display="'Cost Summary'!A1"/>
    <hyperlink ref="CAW8" location="'Cost Summary'!A1" display="'Cost Summary'!A1"/>
    <hyperlink ref="CAX8" location="'Cost Summary'!A1" display="'Cost Summary'!A1"/>
    <hyperlink ref="CAY8" location="'Cost Summary'!A1" display="'Cost Summary'!A1"/>
    <hyperlink ref="CAZ8" location="'Cost Summary'!A1" display="'Cost Summary'!A1"/>
    <hyperlink ref="CBA8" location="'Cost Summary'!A1" display="'Cost Summary'!A1"/>
    <hyperlink ref="CBB8" location="'Cost Summary'!A1" display="'Cost Summary'!A1"/>
    <hyperlink ref="CBC8" location="'Cost Summary'!A1" display="'Cost Summary'!A1"/>
    <hyperlink ref="CBD8" location="'Cost Summary'!A1" display="'Cost Summary'!A1"/>
    <hyperlink ref="CBE8" location="'Cost Summary'!A1" display="'Cost Summary'!A1"/>
    <hyperlink ref="CBF8" location="'Cost Summary'!A1" display="'Cost Summary'!A1"/>
    <hyperlink ref="CBG8" location="'Cost Summary'!A1" display="'Cost Summary'!A1"/>
    <hyperlink ref="CBH8" location="'Cost Summary'!A1" display="'Cost Summary'!A1"/>
    <hyperlink ref="CBI8" location="'Cost Summary'!A1" display="'Cost Summary'!A1"/>
    <hyperlink ref="CBJ8" location="'Cost Summary'!A1" display="'Cost Summary'!A1"/>
    <hyperlink ref="CBK8" location="'Cost Summary'!A1" display="'Cost Summary'!A1"/>
    <hyperlink ref="CBL8" location="'Cost Summary'!A1" display="'Cost Summary'!A1"/>
    <hyperlink ref="CBM8" location="'Cost Summary'!A1" display="'Cost Summary'!A1"/>
    <hyperlink ref="CBN8" location="'Cost Summary'!A1" display="'Cost Summary'!A1"/>
    <hyperlink ref="CBO8" location="'Cost Summary'!A1" display="'Cost Summary'!A1"/>
    <hyperlink ref="CBP8" location="'Cost Summary'!A1" display="'Cost Summary'!A1"/>
    <hyperlink ref="CBQ8" location="'Cost Summary'!A1" display="'Cost Summary'!A1"/>
    <hyperlink ref="CBR8" location="'Cost Summary'!A1" display="'Cost Summary'!A1"/>
    <hyperlink ref="CBS8" location="'Cost Summary'!A1" display="'Cost Summary'!A1"/>
    <hyperlink ref="CBT8" location="'Cost Summary'!A1" display="'Cost Summary'!A1"/>
    <hyperlink ref="CBU8" location="'Cost Summary'!A1" display="'Cost Summary'!A1"/>
    <hyperlink ref="CBV8" location="'Cost Summary'!A1" display="'Cost Summary'!A1"/>
    <hyperlink ref="CBW8" location="'Cost Summary'!A1" display="'Cost Summary'!A1"/>
    <hyperlink ref="CBX8" location="'Cost Summary'!A1" display="'Cost Summary'!A1"/>
    <hyperlink ref="CBY8" location="'Cost Summary'!A1" display="'Cost Summary'!A1"/>
    <hyperlink ref="CBZ8" location="'Cost Summary'!A1" display="'Cost Summary'!A1"/>
    <hyperlink ref="CCA8" location="'Cost Summary'!A1" display="'Cost Summary'!A1"/>
    <hyperlink ref="CCB8" location="'Cost Summary'!A1" display="'Cost Summary'!A1"/>
    <hyperlink ref="CCC8" location="'Cost Summary'!A1" display="'Cost Summary'!A1"/>
    <hyperlink ref="CCD8" location="'Cost Summary'!A1" display="'Cost Summary'!A1"/>
    <hyperlink ref="CCE8" location="'Cost Summary'!A1" display="'Cost Summary'!A1"/>
    <hyperlink ref="CCF8" location="'Cost Summary'!A1" display="'Cost Summary'!A1"/>
    <hyperlink ref="CCG8" location="'Cost Summary'!A1" display="'Cost Summary'!A1"/>
    <hyperlink ref="CCH8" location="'Cost Summary'!A1" display="'Cost Summary'!A1"/>
    <hyperlink ref="CCI8" location="'Cost Summary'!A1" display="'Cost Summary'!A1"/>
    <hyperlink ref="CCJ8" location="'Cost Summary'!A1" display="'Cost Summary'!A1"/>
    <hyperlink ref="CCK8" location="'Cost Summary'!A1" display="'Cost Summary'!A1"/>
    <hyperlink ref="CCL8" location="'Cost Summary'!A1" display="'Cost Summary'!A1"/>
    <hyperlink ref="CCM8" location="'Cost Summary'!A1" display="'Cost Summary'!A1"/>
    <hyperlink ref="CCN8" location="'Cost Summary'!A1" display="'Cost Summary'!A1"/>
    <hyperlink ref="CCO8" location="'Cost Summary'!A1" display="'Cost Summary'!A1"/>
    <hyperlink ref="CCP8" location="'Cost Summary'!A1" display="'Cost Summary'!A1"/>
    <hyperlink ref="CCQ8" location="'Cost Summary'!A1" display="'Cost Summary'!A1"/>
    <hyperlink ref="CCR8" location="'Cost Summary'!A1" display="'Cost Summary'!A1"/>
    <hyperlink ref="CCS8" location="'Cost Summary'!A1" display="'Cost Summary'!A1"/>
    <hyperlink ref="CCT8" location="'Cost Summary'!A1" display="'Cost Summary'!A1"/>
    <hyperlink ref="CCU8" location="'Cost Summary'!A1" display="'Cost Summary'!A1"/>
    <hyperlink ref="CCV8" location="'Cost Summary'!A1" display="'Cost Summary'!A1"/>
    <hyperlink ref="CCW8" location="'Cost Summary'!A1" display="'Cost Summary'!A1"/>
    <hyperlink ref="CCX8" location="'Cost Summary'!A1" display="'Cost Summary'!A1"/>
    <hyperlink ref="CCY8" location="'Cost Summary'!A1" display="'Cost Summary'!A1"/>
    <hyperlink ref="CCZ8" location="'Cost Summary'!A1" display="'Cost Summary'!A1"/>
    <hyperlink ref="CDA8" location="'Cost Summary'!A1" display="'Cost Summary'!A1"/>
    <hyperlink ref="CDB8" location="'Cost Summary'!A1" display="'Cost Summary'!A1"/>
    <hyperlink ref="CDC8" location="'Cost Summary'!A1" display="'Cost Summary'!A1"/>
    <hyperlink ref="CDD8" location="'Cost Summary'!A1" display="'Cost Summary'!A1"/>
    <hyperlink ref="CDE8" location="'Cost Summary'!A1" display="'Cost Summary'!A1"/>
    <hyperlink ref="CDF8" location="'Cost Summary'!A1" display="'Cost Summary'!A1"/>
    <hyperlink ref="CDG8" location="'Cost Summary'!A1" display="'Cost Summary'!A1"/>
    <hyperlink ref="CDH8" location="'Cost Summary'!A1" display="'Cost Summary'!A1"/>
    <hyperlink ref="CDI8" location="'Cost Summary'!A1" display="'Cost Summary'!A1"/>
    <hyperlink ref="CDJ8" location="'Cost Summary'!A1" display="'Cost Summary'!A1"/>
    <hyperlink ref="CDK8" location="'Cost Summary'!A1" display="'Cost Summary'!A1"/>
    <hyperlink ref="CDL8" location="'Cost Summary'!A1" display="'Cost Summary'!A1"/>
    <hyperlink ref="CDM8" location="'Cost Summary'!A1" display="'Cost Summary'!A1"/>
    <hyperlink ref="CDN8" location="'Cost Summary'!A1" display="'Cost Summary'!A1"/>
    <hyperlink ref="CDO8" location="'Cost Summary'!A1" display="'Cost Summary'!A1"/>
    <hyperlink ref="CDP8" location="'Cost Summary'!A1" display="'Cost Summary'!A1"/>
    <hyperlink ref="CDQ8" location="'Cost Summary'!A1" display="'Cost Summary'!A1"/>
    <hyperlink ref="CDR8" location="'Cost Summary'!A1" display="'Cost Summary'!A1"/>
    <hyperlink ref="CDS8" location="'Cost Summary'!A1" display="'Cost Summary'!A1"/>
    <hyperlink ref="CDT8" location="'Cost Summary'!A1" display="'Cost Summary'!A1"/>
    <hyperlink ref="CDU8" location="'Cost Summary'!A1" display="'Cost Summary'!A1"/>
    <hyperlink ref="CDV8" location="'Cost Summary'!A1" display="'Cost Summary'!A1"/>
    <hyperlink ref="CDW8" location="'Cost Summary'!A1" display="'Cost Summary'!A1"/>
    <hyperlink ref="CDX8" location="'Cost Summary'!A1" display="'Cost Summary'!A1"/>
    <hyperlink ref="CDY8" location="'Cost Summary'!A1" display="'Cost Summary'!A1"/>
    <hyperlink ref="CDZ8" location="'Cost Summary'!A1" display="'Cost Summary'!A1"/>
    <hyperlink ref="CEA8" location="'Cost Summary'!A1" display="'Cost Summary'!A1"/>
    <hyperlink ref="CEB8" location="'Cost Summary'!A1" display="'Cost Summary'!A1"/>
    <hyperlink ref="CEC8" location="'Cost Summary'!A1" display="'Cost Summary'!A1"/>
    <hyperlink ref="CED8" location="'Cost Summary'!A1" display="'Cost Summary'!A1"/>
    <hyperlink ref="CEE8" location="'Cost Summary'!A1" display="'Cost Summary'!A1"/>
    <hyperlink ref="CEF8" location="'Cost Summary'!A1" display="'Cost Summary'!A1"/>
    <hyperlink ref="CEG8" location="'Cost Summary'!A1" display="'Cost Summary'!A1"/>
    <hyperlink ref="CEH8" location="'Cost Summary'!A1" display="'Cost Summary'!A1"/>
    <hyperlink ref="CEI8" location="'Cost Summary'!A1" display="'Cost Summary'!A1"/>
    <hyperlink ref="CEJ8" location="'Cost Summary'!A1" display="'Cost Summary'!A1"/>
    <hyperlink ref="CEK8" location="'Cost Summary'!A1" display="'Cost Summary'!A1"/>
    <hyperlink ref="CEL8" location="'Cost Summary'!A1" display="'Cost Summary'!A1"/>
    <hyperlink ref="CEM8" location="'Cost Summary'!A1" display="'Cost Summary'!A1"/>
    <hyperlink ref="CEN8" location="'Cost Summary'!A1" display="'Cost Summary'!A1"/>
    <hyperlink ref="CEO8" location="'Cost Summary'!A1" display="'Cost Summary'!A1"/>
    <hyperlink ref="CEP8" location="'Cost Summary'!A1" display="'Cost Summary'!A1"/>
    <hyperlink ref="CEQ8" location="'Cost Summary'!A1" display="'Cost Summary'!A1"/>
    <hyperlink ref="CER8" location="'Cost Summary'!A1" display="'Cost Summary'!A1"/>
    <hyperlink ref="CES8" location="'Cost Summary'!A1" display="'Cost Summary'!A1"/>
    <hyperlink ref="CET8" location="'Cost Summary'!A1" display="'Cost Summary'!A1"/>
    <hyperlink ref="CEU8" location="'Cost Summary'!A1" display="'Cost Summary'!A1"/>
    <hyperlink ref="CEV8" location="'Cost Summary'!A1" display="'Cost Summary'!A1"/>
    <hyperlink ref="CEW8" location="'Cost Summary'!A1" display="'Cost Summary'!A1"/>
    <hyperlink ref="CEX8" location="'Cost Summary'!A1" display="'Cost Summary'!A1"/>
    <hyperlink ref="CEY8" location="'Cost Summary'!A1" display="'Cost Summary'!A1"/>
    <hyperlink ref="CEZ8" location="'Cost Summary'!A1" display="'Cost Summary'!A1"/>
    <hyperlink ref="CFA8" location="'Cost Summary'!A1" display="'Cost Summary'!A1"/>
    <hyperlink ref="CFB8" location="'Cost Summary'!A1" display="'Cost Summary'!A1"/>
    <hyperlink ref="CFC8" location="'Cost Summary'!A1" display="'Cost Summary'!A1"/>
    <hyperlink ref="CFD8" location="'Cost Summary'!A1" display="'Cost Summary'!A1"/>
    <hyperlink ref="CFE8" location="'Cost Summary'!A1" display="'Cost Summary'!A1"/>
    <hyperlink ref="CFF8" location="'Cost Summary'!A1" display="'Cost Summary'!A1"/>
    <hyperlink ref="CFG8" location="'Cost Summary'!A1" display="'Cost Summary'!A1"/>
    <hyperlink ref="CFH8" location="'Cost Summary'!A1" display="'Cost Summary'!A1"/>
    <hyperlink ref="CFI8" location="'Cost Summary'!A1" display="'Cost Summary'!A1"/>
    <hyperlink ref="CFJ8" location="'Cost Summary'!A1" display="'Cost Summary'!A1"/>
    <hyperlink ref="CFK8" location="'Cost Summary'!A1" display="'Cost Summary'!A1"/>
    <hyperlink ref="CFL8" location="'Cost Summary'!A1" display="'Cost Summary'!A1"/>
    <hyperlink ref="CFM8" location="'Cost Summary'!A1" display="'Cost Summary'!A1"/>
    <hyperlink ref="CFN8" location="'Cost Summary'!A1" display="'Cost Summary'!A1"/>
    <hyperlink ref="CFO8" location="'Cost Summary'!A1" display="'Cost Summary'!A1"/>
    <hyperlink ref="CFP8" location="'Cost Summary'!A1" display="'Cost Summary'!A1"/>
    <hyperlink ref="CFQ8" location="'Cost Summary'!A1" display="'Cost Summary'!A1"/>
    <hyperlink ref="CFR8" location="'Cost Summary'!A1" display="'Cost Summary'!A1"/>
    <hyperlink ref="CFS8" location="'Cost Summary'!A1" display="'Cost Summary'!A1"/>
    <hyperlink ref="CFT8" location="'Cost Summary'!A1" display="'Cost Summary'!A1"/>
    <hyperlink ref="CFU8" location="'Cost Summary'!A1" display="'Cost Summary'!A1"/>
    <hyperlink ref="CFV8" location="'Cost Summary'!A1" display="'Cost Summary'!A1"/>
    <hyperlink ref="CFW8" location="'Cost Summary'!A1" display="'Cost Summary'!A1"/>
    <hyperlink ref="CFX8" location="'Cost Summary'!A1" display="'Cost Summary'!A1"/>
    <hyperlink ref="CFY8" location="'Cost Summary'!A1" display="'Cost Summary'!A1"/>
    <hyperlink ref="CFZ8" location="'Cost Summary'!A1" display="'Cost Summary'!A1"/>
    <hyperlink ref="CGA8" location="'Cost Summary'!A1" display="'Cost Summary'!A1"/>
    <hyperlink ref="CGB8" location="'Cost Summary'!A1" display="'Cost Summary'!A1"/>
    <hyperlink ref="CGC8" location="'Cost Summary'!A1" display="'Cost Summary'!A1"/>
    <hyperlink ref="CGD8" location="'Cost Summary'!A1" display="'Cost Summary'!A1"/>
    <hyperlink ref="CGE8" location="'Cost Summary'!A1" display="'Cost Summary'!A1"/>
    <hyperlink ref="CGF8" location="'Cost Summary'!A1" display="'Cost Summary'!A1"/>
    <hyperlink ref="CGG8" location="'Cost Summary'!A1" display="'Cost Summary'!A1"/>
    <hyperlink ref="CGH8" location="'Cost Summary'!A1" display="'Cost Summary'!A1"/>
    <hyperlink ref="CGI8" location="'Cost Summary'!A1" display="'Cost Summary'!A1"/>
    <hyperlink ref="CGJ8" location="'Cost Summary'!A1" display="'Cost Summary'!A1"/>
    <hyperlink ref="CGK8" location="'Cost Summary'!A1" display="'Cost Summary'!A1"/>
    <hyperlink ref="CGL8" location="'Cost Summary'!A1" display="'Cost Summary'!A1"/>
    <hyperlink ref="CGM8" location="'Cost Summary'!A1" display="'Cost Summary'!A1"/>
    <hyperlink ref="CGN8" location="'Cost Summary'!A1" display="'Cost Summary'!A1"/>
    <hyperlink ref="CGO8" location="'Cost Summary'!A1" display="'Cost Summary'!A1"/>
    <hyperlink ref="CGP8" location="'Cost Summary'!A1" display="'Cost Summary'!A1"/>
    <hyperlink ref="CGQ8" location="'Cost Summary'!A1" display="'Cost Summary'!A1"/>
    <hyperlink ref="CGR8" location="'Cost Summary'!A1" display="'Cost Summary'!A1"/>
    <hyperlink ref="CGS8" location="'Cost Summary'!A1" display="'Cost Summary'!A1"/>
    <hyperlink ref="CGT8" location="'Cost Summary'!A1" display="'Cost Summary'!A1"/>
    <hyperlink ref="CGU8" location="'Cost Summary'!A1" display="'Cost Summary'!A1"/>
    <hyperlink ref="CGV8" location="'Cost Summary'!A1" display="'Cost Summary'!A1"/>
    <hyperlink ref="CGW8" location="'Cost Summary'!A1" display="'Cost Summary'!A1"/>
    <hyperlink ref="CGX8" location="'Cost Summary'!A1" display="'Cost Summary'!A1"/>
    <hyperlink ref="CGY8" location="'Cost Summary'!A1" display="'Cost Summary'!A1"/>
    <hyperlink ref="CGZ8" location="'Cost Summary'!A1" display="'Cost Summary'!A1"/>
    <hyperlink ref="CHA8" location="'Cost Summary'!A1" display="'Cost Summary'!A1"/>
    <hyperlink ref="CHB8" location="'Cost Summary'!A1" display="'Cost Summary'!A1"/>
    <hyperlink ref="CHC8" location="'Cost Summary'!A1" display="'Cost Summary'!A1"/>
    <hyperlink ref="CHD8" location="'Cost Summary'!A1" display="'Cost Summary'!A1"/>
    <hyperlink ref="CHE8" location="'Cost Summary'!A1" display="'Cost Summary'!A1"/>
    <hyperlink ref="CHF8" location="'Cost Summary'!A1" display="'Cost Summary'!A1"/>
    <hyperlink ref="CHG8" location="'Cost Summary'!A1" display="'Cost Summary'!A1"/>
    <hyperlink ref="CHH8" location="'Cost Summary'!A1" display="'Cost Summary'!A1"/>
    <hyperlink ref="CHI8" location="'Cost Summary'!A1" display="'Cost Summary'!A1"/>
    <hyperlink ref="CHJ8" location="'Cost Summary'!A1" display="'Cost Summary'!A1"/>
    <hyperlink ref="CHK8" location="'Cost Summary'!A1" display="'Cost Summary'!A1"/>
    <hyperlink ref="CHL8" location="'Cost Summary'!A1" display="'Cost Summary'!A1"/>
    <hyperlink ref="CHM8" location="'Cost Summary'!A1" display="'Cost Summary'!A1"/>
    <hyperlink ref="CHN8" location="'Cost Summary'!A1" display="'Cost Summary'!A1"/>
    <hyperlink ref="CHO8" location="'Cost Summary'!A1" display="'Cost Summary'!A1"/>
    <hyperlink ref="CHP8" location="'Cost Summary'!A1" display="'Cost Summary'!A1"/>
    <hyperlink ref="CHQ8" location="'Cost Summary'!A1" display="'Cost Summary'!A1"/>
    <hyperlink ref="CHR8" location="'Cost Summary'!A1" display="'Cost Summary'!A1"/>
    <hyperlink ref="CHS8" location="'Cost Summary'!A1" display="'Cost Summary'!A1"/>
    <hyperlink ref="CHT8" location="'Cost Summary'!A1" display="'Cost Summary'!A1"/>
    <hyperlink ref="CHU8" location="'Cost Summary'!A1" display="'Cost Summary'!A1"/>
    <hyperlink ref="CHV8" location="'Cost Summary'!A1" display="'Cost Summary'!A1"/>
    <hyperlink ref="CHW8" location="'Cost Summary'!A1" display="'Cost Summary'!A1"/>
    <hyperlink ref="CHX8" location="'Cost Summary'!A1" display="'Cost Summary'!A1"/>
    <hyperlink ref="CHY8" location="'Cost Summary'!A1" display="'Cost Summary'!A1"/>
    <hyperlink ref="CHZ8" location="'Cost Summary'!A1" display="'Cost Summary'!A1"/>
    <hyperlink ref="CIA8" location="'Cost Summary'!A1" display="'Cost Summary'!A1"/>
    <hyperlink ref="CIB8" location="'Cost Summary'!A1" display="'Cost Summary'!A1"/>
    <hyperlink ref="CIC8" location="'Cost Summary'!A1" display="'Cost Summary'!A1"/>
    <hyperlink ref="CID8" location="'Cost Summary'!A1" display="'Cost Summary'!A1"/>
    <hyperlink ref="CIE8" location="'Cost Summary'!A1" display="'Cost Summary'!A1"/>
    <hyperlink ref="CIF8" location="'Cost Summary'!A1" display="'Cost Summary'!A1"/>
    <hyperlink ref="CIG8" location="'Cost Summary'!A1" display="'Cost Summary'!A1"/>
    <hyperlink ref="CIH8" location="'Cost Summary'!A1" display="'Cost Summary'!A1"/>
    <hyperlink ref="CII8" location="'Cost Summary'!A1" display="'Cost Summary'!A1"/>
    <hyperlink ref="CIJ8" location="'Cost Summary'!A1" display="'Cost Summary'!A1"/>
    <hyperlink ref="CIK8" location="'Cost Summary'!A1" display="'Cost Summary'!A1"/>
    <hyperlink ref="CIL8" location="'Cost Summary'!A1" display="'Cost Summary'!A1"/>
    <hyperlink ref="CIM8" location="'Cost Summary'!A1" display="'Cost Summary'!A1"/>
    <hyperlink ref="CIN8" location="'Cost Summary'!A1" display="'Cost Summary'!A1"/>
    <hyperlink ref="CIO8" location="'Cost Summary'!A1" display="'Cost Summary'!A1"/>
    <hyperlink ref="CIP8" location="'Cost Summary'!A1" display="'Cost Summary'!A1"/>
    <hyperlink ref="CIQ8" location="'Cost Summary'!A1" display="'Cost Summary'!A1"/>
    <hyperlink ref="CIR8" location="'Cost Summary'!A1" display="'Cost Summary'!A1"/>
    <hyperlink ref="CIS8" location="'Cost Summary'!A1" display="'Cost Summary'!A1"/>
    <hyperlink ref="CIT8" location="'Cost Summary'!A1" display="'Cost Summary'!A1"/>
    <hyperlink ref="CIU8" location="'Cost Summary'!A1" display="'Cost Summary'!A1"/>
    <hyperlink ref="CIV8" location="'Cost Summary'!A1" display="'Cost Summary'!A1"/>
    <hyperlink ref="CIW8" location="'Cost Summary'!A1" display="'Cost Summary'!A1"/>
    <hyperlink ref="CIX8" location="'Cost Summary'!A1" display="'Cost Summary'!A1"/>
    <hyperlink ref="CIY8" location="'Cost Summary'!A1" display="'Cost Summary'!A1"/>
    <hyperlink ref="CIZ8" location="'Cost Summary'!A1" display="'Cost Summary'!A1"/>
    <hyperlink ref="CJA8" location="'Cost Summary'!A1" display="'Cost Summary'!A1"/>
    <hyperlink ref="CJB8" location="'Cost Summary'!A1" display="'Cost Summary'!A1"/>
    <hyperlink ref="CJC8" location="'Cost Summary'!A1" display="'Cost Summary'!A1"/>
    <hyperlink ref="CJD8" location="'Cost Summary'!A1" display="'Cost Summary'!A1"/>
    <hyperlink ref="CJE8" location="'Cost Summary'!A1" display="'Cost Summary'!A1"/>
    <hyperlink ref="CJF8" location="'Cost Summary'!A1" display="'Cost Summary'!A1"/>
    <hyperlink ref="CJG8" location="'Cost Summary'!A1" display="'Cost Summary'!A1"/>
    <hyperlink ref="CJH8" location="'Cost Summary'!A1" display="'Cost Summary'!A1"/>
    <hyperlink ref="CJI8" location="'Cost Summary'!A1" display="'Cost Summary'!A1"/>
    <hyperlink ref="CJJ8" location="'Cost Summary'!A1" display="'Cost Summary'!A1"/>
    <hyperlink ref="CJK8" location="'Cost Summary'!A1" display="'Cost Summary'!A1"/>
    <hyperlink ref="CJL8" location="'Cost Summary'!A1" display="'Cost Summary'!A1"/>
    <hyperlink ref="CJM8" location="'Cost Summary'!A1" display="'Cost Summary'!A1"/>
    <hyperlink ref="CJN8" location="'Cost Summary'!A1" display="'Cost Summary'!A1"/>
    <hyperlink ref="CJO8" location="'Cost Summary'!A1" display="'Cost Summary'!A1"/>
    <hyperlink ref="CJP8" location="'Cost Summary'!A1" display="'Cost Summary'!A1"/>
    <hyperlink ref="CJQ8" location="'Cost Summary'!A1" display="'Cost Summary'!A1"/>
    <hyperlink ref="CJR8" location="'Cost Summary'!A1" display="'Cost Summary'!A1"/>
    <hyperlink ref="CJS8" location="'Cost Summary'!A1" display="'Cost Summary'!A1"/>
    <hyperlink ref="CJT8" location="'Cost Summary'!A1" display="'Cost Summary'!A1"/>
    <hyperlink ref="CJU8" location="'Cost Summary'!A1" display="'Cost Summary'!A1"/>
    <hyperlink ref="CJV8" location="'Cost Summary'!A1" display="'Cost Summary'!A1"/>
    <hyperlink ref="CJW8" location="'Cost Summary'!A1" display="'Cost Summary'!A1"/>
    <hyperlink ref="CJX8" location="'Cost Summary'!A1" display="'Cost Summary'!A1"/>
    <hyperlink ref="CJY8" location="'Cost Summary'!A1" display="'Cost Summary'!A1"/>
    <hyperlink ref="CJZ8" location="'Cost Summary'!A1" display="'Cost Summary'!A1"/>
    <hyperlink ref="CKA8" location="'Cost Summary'!A1" display="'Cost Summary'!A1"/>
    <hyperlink ref="CKB8" location="'Cost Summary'!A1" display="'Cost Summary'!A1"/>
    <hyperlink ref="CKC8" location="'Cost Summary'!A1" display="'Cost Summary'!A1"/>
    <hyperlink ref="CKD8" location="'Cost Summary'!A1" display="'Cost Summary'!A1"/>
    <hyperlink ref="CKE8" location="'Cost Summary'!A1" display="'Cost Summary'!A1"/>
    <hyperlink ref="CKF8" location="'Cost Summary'!A1" display="'Cost Summary'!A1"/>
    <hyperlink ref="CKG8" location="'Cost Summary'!A1" display="'Cost Summary'!A1"/>
    <hyperlink ref="CKH8" location="'Cost Summary'!A1" display="'Cost Summary'!A1"/>
    <hyperlink ref="CKI8" location="'Cost Summary'!A1" display="'Cost Summary'!A1"/>
    <hyperlink ref="CKJ8" location="'Cost Summary'!A1" display="'Cost Summary'!A1"/>
    <hyperlink ref="CKK8" location="'Cost Summary'!A1" display="'Cost Summary'!A1"/>
    <hyperlink ref="CKL8" location="'Cost Summary'!A1" display="'Cost Summary'!A1"/>
    <hyperlink ref="CKM8" location="'Cost Summary'!A1" display="'Cost Summary'!A1"/>
    <hyperlink ref="CKN8" location="'Cost Summary'!A1" display="'Cost Summary'!A1"/>
    <hyperlink ref="CKO8" location="'Cost Summary'!A1" display="'Cost Summary'!A1"/>
    <hyperlink ref="CKP8" location="'Cost Summary'!A1" display="'Cost Summary'!A1"/>
    <hyperlink ref="CKQ8" location="'Cost Summary'!A1" display="'Cost Summary'!A1"/>
    <hyperlink ref="CKR8" location="'Cost Summary'!A1" display="'Cost Summary'!A1"/>
    <hyperlink ref="CKS8" location="'Cost Summary'!A1" display="'Cost Summary'!A1"/>
    <hyperlink ref="CKT8" location="'Cost Summary'!A1" display="'Cost Summary'!A1"/>
    <hyperlink ref="CKU8" location="'Cost Summary'!A1" display="'Cost Summary'!A1"/>
    <hyperlink ref="CKV8" location="'Cost Summary'!A1" display="'Cost Summary'!A1"/>
    <hyperlink ref="CKW8" location="'Cost Summary'!A1" display="'Cost Summary'!A1"/>
    <hyperlink ref="CKX8" location="'Cost Summary'!A1" display="'Cost Summary'!A1"/>
    <hyperlink ref="CKY8" location="'Cost Summary'!A1" display="'Cost Summary'!A1"/>
    <hyperlink ref="CKZ8" location="'Cost Summary'!A1" display="'Cost Summary'!A1"/>
    <hyperlink ref="CLA8" location="'Cost Summary'!A1" display="'Cost Summary'!A1"/>
    <hyperlink ref="CLB8" location="'Cost Summary'!A1" display="'Cost Summary'!A1"/>
    <hyperlink ref="CLC8" location="'Cost Summary'!A1" display="'Cost Summary'!A1"/>
    <hyperlink ref="CLD8" location="'Cost Summary'!A1" display="'Cost Summary'!A1"/>
    <hyperlink ref="CLE8" location="'Cost Summary'!A1" display="'Cost Summary'!A1"/>
    <hyperlink ref="CLF8" location="'Cost Summary'!A1" display="'Cost Summary'!A1"/>
    <hyperlink ref="CLG8" location="'Cost Summary'!A1" display="'Cost Summary'!A1"/>
    <hyperlink ref="CLH8" location="'Cost Summary'!A1" display="'Cost Summary'!A1"/>
    <hyperlink ref="CLI8" location="'Cost Summary'!A1" display="'Cost Summary'!A1"/>
    <hyperlink ref="CLJ8" location="'Cost Summary'!A1" display="'Cost Summary'!A1"/>
    <hyperlink ref="CLK8" location="'Cost Summary'!A1" display="'Cost Summary'!A1"/>
    <hyperlink ref="CLL8" location="'Cost Summary'!A1" display="'Cost Summary'!A1"/>
    <hyperlink ref="CLM8" location="'Cost Summary'!A1" display="'Cost Summary'!A1"/>
    <hyperlink ref="CLN8" location="'Cost Summary'!A1" display="'Cost Summary'!A1"/>
    <hyperlink ref="CLO8" location="'Cost Summary'!A1" display="'Cost Summary'!A1"/>
    <hyperlink ref="CLP8" location="'Cost Summary'!A1" display="'Cost Summary'!A1"/>
    <hyperlink ref="CLQ8" location="'Cost Summary'!A1" display="'Cost Summary'!A1"/>
    <hyperlink ref="CLR8" location="'Cost Summary'!A1" display="'Cost Summary'!A1"/>
    <hyperlink ref="CLS8" location="'Cost Summary'!A1" display="'Cost Summary'!A1"/>
    <hyperlink ref="CLT8" location="'Cost Summary'!A1" display="'Cost Summary'!A1"/>
    <hyperlink ref="CLU8" location="'Cost Summary'!A1" display="'Cost Summary'!A1"/>
    <hyperlink ref="CLV8" location="'Cost Summary'!A1" display="'Cost Summary'!A1"/>
    <hyperlink ref="CLW8" location="'Cost Summary'!A1" display="'Cost Summary'!A1"/>
    <hyperlink ref="CLX8" location="'Cost Summary'!A1" display="'Cost Summary'!A1"/>
    <hyperlink ref="CLY8" location="'Cost Summary'!A1" display="'Cost Summary'!A1"/>
    <hyperlink ref="CLZ8" location="'Cost Summary'!A1" display="'Cost Summary'!A1"/>
    <hyperlink ref="CMA8" location="'Cost Summary'!A1" display="'Cost Summary'!A1"/>
    <hyperlink ref="CMB8" location="'Cost Summary'!A1" display="'Cost Summary'!A1"/>
    <hyperlink ref="CMC8" location="'Cost Summary'!A1" display="'Cost Summary'!A1"/>
    <hyperlink ref="CMD8" location="'Cost Summary'!A1" display="'Cost Summary'!A1"/>
    <hyperlink ref="CME8" location="'Cost Summary'!A1" display="'Cost Summary'!A1"/>
    <hyperlink ref="CMF8" location="'Cost Summary'!A1" display="'Cost Summary'!A1"/>
    <hyperlink ref="CMG8" location="'Cost Summary'!A1" display="'Cost Summary'!A1"/>
    <hyperlink ref="CMH8" location="'Cost Summary'!A1" display="'Cost Summary'!A1"/>
    <hyperlink ref="CMI8" location="'Cost Summary'!A1" display="'Cost Summary'!A1"/>
    <hyperlink ref="CMJ8" location="'Cost Summary'!A1" display="'Cost Summary'!A1"/>
    <hyperlink ref="CMK8" location="'Cost Summary'!A1" display="'Cost Summary'!A1"/>
    <hyperlink ref="CML8" location="'Cost Summary'!A1" display="'Cost Summary'!A1"/>
    <hyperlink ref="CMM8" location="'Cost Summary'!A1" display="'Cost Summary'!A1"/>
    <hyperlink ref="CMN8" location="'Cost Summary'!A1" display="'Cost Summary'!A1"/>
    <hyperlink ref="CMO8" location="'Cost Summary'!A1" display="'Cost Summary'!A1"/>
    <hyperlink ref="CMP8" location="'Cost Summary'!A1" display="'Cost Summary'!A1"/>
    <hyperlink ref="CMQ8" location="'Cost Summary'!A1" display="'Cost Summary'!A1"/>
    <hyperlink ref="CMR8" location="'Cost Summary'!A1" display="'Cost Summary'!A1"/>
    <hyperlink ref="CMS8" location="'Cost Summary'!A1" display="'Cost Summary'!A1"/>
    <hyperlink ref="CMT8" location="'Cost Summary'!A1" display="'Cost Summary'!A1"/>
    <hyperlink ref="CMU8" location="'Cost Summary'!A1" display="'Cost Summary'!A1"/>
    <hyperlink ref="CMV8" location="'Cost Summary'!A1" display="'Cost Summary'!A1"/>
    <hyperlink ref="CMW8" location="'Cost Summary'!A1" display="'Cost Summary'!A1"/>
    <hyperlink ref="CMX8" location="'Cost Summary'!A1" display="'Cost Summary'!A1"/>
    <hyperlink ref="CMY8" location="'Cost Summary'!A1" display="'Cost Summary'!A1"/>
    <hyperlink ref="CMZ8" location="'Cost Summary'!A1" display="'Cost Summary'!A1"/>
    <hyperlink ref="CNA8" location="'Cost Summary'!A1" display="'Cost Summary'!A1"/>
    <hyperlink ref="CNB8" location="'Cost Summary'!A1" display="'Cost Summary'!A1"/>
    <hyperlink ref="CNC8" location="'Cost Summary'!A1" display="'Cost Summary'!A1"/>
    <hyperlink ref="CND8" location="'Cost Summary'!A1" display="'Cost Summary'!A1"/>
    <hyperlink ref="CNE8" location="'Cost Summary'!A1" display="'Cost Summary'!A1"/>
    <hyperlink ref="CNF8" location="'Cost Summary'!A1" display="'Cost Summary'!A1"/>
    <hyperlink ref="CNG8" location="'Cost Summary'!A1" display="'Cost Summary'!A1"/>
    <hyperlink ref="CNH8" location="'Cost Summary'!A1" display="'Cost Summary'!A1"/>
    <hyperlink ref="CNI8" location="'Cost Summary'!A1" display="'Cost Summary'!A1"/>
    <hyperlink ref="CNJ8" location="'Cost Summary'!A1" display="'Cost Summary'!A1"/>
    <hyperlink ref="CNK8" location="'Cost Summary'!A1" display="'Cost Summary'!A1"/>
    <hyperlink ref="CNL8" location="'Cost Summary'!A1" display="'Cost Summary'!A1"/>
    <hyperlink ref="CNM8" location="'Cost Summary'!A1" display="'Cost Summary'!A1"/>
    <hyperlink ref="CNN8" location="'Cost Summary'!A1" display="'Cost Summary'!A1"/>
    <hyperlink ref="CNO8" location="'Cost Summary'!A1" display="'Cost Summary'!A1"/>
    <hyperlink ref="CNP8" location="'Cost Summary'!A1" display="'Cost Summary'!A1"/>
    <hyperlink ref="CNQ8" location="'Cost Summary'!A1" display="'Cost Summary'!A1"/>
    <hyperlink ref="CNR8" location="'Cost Summary'!A1" display="'Cost Summary'!A1"/>
    <hyperlink ref="CNS8" location="'Cost Summary'!A1" display="'Cost Summary'!A1"/>
    <hyperlink ref="CNT8" location="'Cost Summary'!A1" display="'Cost Summary'!A1"/>
    <hyperlink ref="CNU8" location="'Cost Summary'!A1" display="'Cost Summary'!A1"/>
    <hyperlink ref="CNV8" location="'Cost Summary'!A1" display="'Cost Summary'!A1"/>
    <hyperlink ref="CNW8" location="'Cost Summary'!A1" display="'Cost Summary'!A1"/>
    <hyperlink ref="CNX8" location="'Cost Summary'!A1" display="'Cost Summary'!A1"/>
    <hyperlink ref="CNY8" location="'Cost Summary'!A1" display="'Cost Summary'!A1"/>
    <hyperlink ref="CNZ8" location="'Cost Summary'!A1" display="'Cost Summary'!A1"/>
    <hyperlink ref="COA8" location="'Cost Summary'!A1" display="'Cost Summary'!A1"/>
    <hyperlink ref="COB8" location="'Cost Summary'!A1" display="'Cost Summary'!A1"/>
    <hyperlink ref="COC8" location="'Cost Summary'!A1" display="'Cost Summary'!A1"/>
    <hyperlink ref="COD8" location="'Cost Summary'!A1" display="'Cost Summary'!A1"/>
    <hyperlink ref="COE8" location="'Cost Summary'!A1" display="'Cost Summary'!A1"/>
    <hyperlink ref="COF8" location="'Cost Summary'!A1" display="'Cost Summary'!A1"/>
    <hyperlink ref="COG8" location="'Cost Summary'!A1" display="'Cost Summary'!A1"/>
    <hyperlink ref="COH8" location="'Cost Summary'!A1" display="'Cost Summary'!A1"/>
    <hyperlink ref="COI8" location="'Cost Summary'!A1" display="'Cost Summary'!A1"/>
    <hyperlink ref="COJ8" location="'Cost Summary'!A1" display="'Cost Summary'!A1"/>
    <hyperlink ref="COK8" location="'Cost Summary'!A1" display="'Cost Summary'!A1"/>
    <hyperlink ref="COL8" location="'Cost Summary'!A1" display="'Cost Summary'!A1"/>
    <hyperlink ref="COM8" location="'Cost Summary'!A1" display="'Cost Summary'!A1"/>
    <hyperlink ref="CON8" location="'Cost Summary'!A1" display="'Cost Summary'!A1"/>
    <hyperlink ref="COO8" location="'Cost Summary'!A1" display="'Cost Summary'!A1"/>
    <hyperlink ref="COP8" location="'Cost Summary'!A1" display="'Cost Summary'!A1"/>
    <hyperlink ref="COQ8" location="'Cost Summary'!A1" display="'Cost Summary'!A1"/>
    <hyperlink ref="COR8" location="'Cost Summary'!A1" display="'Cost Summary'!A1"/>
    <hyperlink ref="COS8" location="'Cost Summary'!A1" display="'Cost Summary'!A1"/>
    <hyperlink ref="COT8" location="'Cost Summary'!A1" display="'Cost Summary'!A1"/>
    <hyperlink ref="COU8" location="'Cost Summary'!A1" display="'Cost Summary'!A1"/>
    <hyperlink ref="COV8" location="'Cost Summary'!A1" display="'Cost Summary'!A1"/>
    <hyperlink ref="COW8" location="'Cost Summary'!A1" display="'Cost Summary'!A1"/>
    <hyperlink ref="COX8" location="'Cost Summary'!A1" display="'Cost Summary'!A1"/>
    <hyperlink ref="COY8" location="'Cost Summary'!A1" display="'Cost Summary'!A1"/>
    <hyperlink ref="COZ8" location="'Cost Summary'!A1" display="'Cost Summary'!A1"/>
    <hyperlink ref="CPA8" location="'Cost Summary'!A1" display="'Cost Summary'!A1"/>
    <hyperlink ref="CPB8" location="'Cost Summary'!A1" display="'Cost Summary'!A1"/>
    <hyperlink ref="CPC8" location="'Cost Summary'!A1" display="'Cost Summary'!A1"/>
    <hyperlink ref="CPD8" location="'Cost Summary'!A1" display="'Cost Summary'!A1"/>
    <hyperlink ref="CPE8" location="'Cost Summary'!A1" display="'Cost Summary'!A1"/>
    <hyperlink ref="CPF8" location="'Cost Summary'!A1" display="'Cost Summary'!A1"/>
    <hyperlink ref="CPG8" location="'Cost Summary'!A1" display="'Cost Summary'!A1"/>
    <hyperlink ref="CPH8" location="'Cost Summary'!A1" display="'Cost Summary'!A1"/>
    <hyperlink ref="CPI8" location="'Cost Summary'!A1" display="'Cost Summary'!A1"/>
    <hyperlink ref="CPJ8" location="'Cost Summary'!A1" display="'Cost Summary'!A1"/>
    <hyperlink ref="CPK8" location="'Cost Summary'!A1" display="'Cost Summary'!A1"/>
    <hyperlink ref="CPL8" location="'Cost Summary'!A1" display="'Cost Summary'!A1"/>
    <hyperlink ref="CPM8" location="'Cost Summary'!A1" display="'Cost Summary'!A1"/>
    <hyperlink ref="CPN8" location="'Cost Summary'!A1" display="'Cost Summary'!A1"/>
    <hyperlink ref="CPO8" location="'Cost Summary'!A1" display="'Cost Summary'!A1"/>
    <hyperlink ref="CPP8" location="'Cost Summary'!A1" display="'Cost Summary'!A1"/>
    <hyperlink ref="CPQ8" location="'Cost Summary'!A1" display="'Cost Summary'!A1"/>
    <hyperlink ref="CPR8" location="'Cost Summary'!A1" display="'Cost Summary'!A1"/>
    <hyperlink ref="CPS8" location="'Cost Summary'!A1" display="'Cost Summary'!A1"/>
    <hyperlink ref="CPT8" location="'Cost Summary'!A1" display="'Cost Summary'!A1"/>
    <hyperlink ref="CPU8" location="'Cost Summary'!A1" display="'Cost Summary'!A1"/>
    <hyperlink ref="CPV8" location="'Cost Summary'!A1" display="'Cost Summary'!A1"/>
    <hyperlink ref="CPW8" location="'Cost Summary'!A1" display="'Cost Summary'!A1"/>
    <hyperlink ref="CPX8" location="'Cost Summary'!A1" display="'Cost Summary'!A1"/>
    <hyperlink ref="CPY8" location="'Cost Summary'!A1" display="'Cost Summary'!A1"/>
    <hyperlink ref="CPZ8" location="'Cost Summary'!A1" display="'Cost Summary'!A1"/>
    <hyperlink ref="CQA8" location="'Cost Summary'!A1" display="'Cost Summary'!A1"/>
    <hyperlink ref="CQB8" location="'Cost Summary'!A1" display="'Cost Summary'!A1"/>
    <hyperlink ref="CQC8" location="'Cost Summary'!A1" display="'Cost Summary'!A1"/>
    <hyperlink ref="CQD8" location="'Cost Summary'!A1" display="'Cost Summary'!A1"/>
    <hyperlink ref="CQE8" location="'Cost Summary'!A1" display="'Cost Summary'!A1"/>
    <hyperlink ref="CQF8" location="'Cost Summary'!A1" display="'Cost Summary'!A1"/>
    <hyperlink ref="CQG8" location="'Cost Summary'!A1" display="'Cost Summary'!A1"/>
    <hyperlink ref="CQH8" location="'Cost Summary'!A1" display="'Cost Summary'!A1"/>
    <hyperlink ref="CQI8" location="'Cost Summary'!A1" display="'Cost Summary'!A1"/>
    <hyperlink ref="CQJ8" location="'Cost Summary'!A1" display="'Cost Summary'!A1"/>
    <hyperlink ref="CQK8" location="'Cost Summary'!A1" display="'Cost Summary'!A1"/>
    <hyperlink ref="CQL8" location="'Cost Summary'!A1" display="'Cost Summary'!A1"/>
    <hyperlink ref="CQM8" location="'Cost Summary'!A1" display="'Cost Summary'!A1"/>
    <hyperlink ref="CQN8" location="'Cost Summary'!A1" display="'Cost Summary'!A1"/>
    <hyperlink ref="CQO8" location="'Cost Summary'!A1" display="'Cost Summary'!A1"/>
    <hyperlink ref="CQP8" location="'Cost Summary'!A1" display="'Cost Summary'!A1"/>
    <hyperlink ref="CQQ8" location="'Cost Summary'!A1" display="'Cost Summary'!A1"/>
    <hyperlink ref="CQR8" location="'Cost Summary'!A1" display="'Cost Summary'!A1"/>
    <hyperlink ref="CQS8" location="'Cost Summary'!A1" display="'Cost Summary'!A1"/>
    <hyperlink ref="CQT8" location="'Cost Summary'!A1" display="'Cost Summary'!A1"/>
    <hyperlink ref="CQU8" location="'Cost Summary'!A1" display="'Cost Summary'!A1"/>
    <hyperlink ref="CQV8" location="'Cost Summary'!A1" display="'Cost Summary'!A1"/>
    <hyperlink ref="CQW8" location="'Cost Summary'!A1" display="'Cost Summary'!A1"/>
    <hyperlink ref="CQX8" location="'Cost Summary'!A1" display="'Cost Summary'!A1"/>
    <hyperlink ref="CQY8" location="'Cost Summary'!A1" display="'Cost Summary'!A1"/>
    <hyperlink ref="CQZ8" location="'Cost Summary'!A1" display="'Cost Summary'!A1"/>
    <hyperlink ref="CRA8" location="'Cost Summary'!A1" display="'Cost Summary'!A1"/>
    <hyperlink ref="CRB8" location="'Cost Summary'!A1" display="'Cost Summary'!A1"/>
    <hyperlink ref="CRC8" location="'Cost Summary'!A1" display="'Cost Summary'!A1"/>
    <hyperlink ref="CRD8" location="'Cost Summary'!A1" display="'Cost Summary'!A1"/>
    <hyperlink ref="CRE8" location="'Cost Summary'!A1" display="'Cost Summary'!A1"/>
    <hyperlink ref="CRF8" location="'Cost Summary'!A1" display="'Cost Summary'!A1"/>
    <hyperlink ref="CRG8" location="'Cost Summary'!A1" display="'Cost Summary'!A1"/>
    <hyperlink ref="CRH8" location="'Cost Summary'!A1" display="'Cost Summary'!A1"/>
    <hyperlink ref="CRI8" location="'Cost Summary'!A1" display="'Cost Summary'!A1"/>
    <hyperlink ref="CRJ8" location="'Cost Summary'!A1" display="'Cost Summary'!A1"/>
    <hyperlink ref="CRK8" location="'Cost Summary'!A1" display="'Cost Summary'!A1"/>
    <hyperlink ref="CRL8" location="'Cost Summary'!A1" display="'Cost Summary'!A1"/>
    <hyperlink ref="CRM8" location="'Cost Summary'!A1" display="'Cost Summary'!A1"/>
    <hyperlink ref="CRN8" location="'Cost Summary'!A1" display="'Cost Summary'!A1"/>
    <hyperlink ref="CRO8" location="'Cost Summary'!A1" display="'Cost Summary'!A1"/>
    <hyperlink ref="CRP8" location="'Cost Summary'!A1" display="'Cost Summary'!A1"/>
    <hyperlink ref="CRQ8" location="'Cost Summary'!A1" display="'Cost Summary'!A1"/>
    <hyperlink ref="CRR8" location="'Cost Summary'!A1" display="'Cost Summary'!A1"/>
    <hyperlink ref="CRS8" location="'Cost Summary'!A1" display="'Cost Summary'!A1"/>
    <hyperlink ref="CRT8" location="'Cost Summary'!A1" display="'Cost Summary'!A1"/>
    <hyperlink ref="CRU8" location="'Cost Summary'!A1" display="'Cost Summary'!A1"/>
    <hyperlink ref="CRV8" location="'Cost Summary'!A1" display="'Cost Summary'!A1"/>
    <hyperlink ref="CRW8" location="'Cost Summary'!A1" display="'Cost Summary'!A1"/>
    <hyperlink ref="CRX8" location="'Cost Summary'!A1" display="'Cost Summary'!A1"/>
    <hyperlink ref="CRY8" location="'Cost Summary'!A1" display="'Cost Summary'!A1"/>
    <hyperlink ref="CRZ8" location="'Cost Summary'!A1" display="'Cost Summary'!A1"/>
    <hyperlink ref="CSA8" location="'Cost Summary'!A1" display="'Cost Summary'!A1"/>
    <hyperlink ref="CSB8" location="'Cost Summary'!A1" display="'Cost Summary'!A1"/>
    <hyperlink ref="CSC8" location="'Cost Summary'!A1" display="'Cost Summary'!A1"/>
    <hyperlink ref="CSD8" location="'Cost Summary'!A1" display="'Cost Summary'!A1"/>
    <hyperlink ref="CSE8" location="'Cost Summary'!A1" display="'Cost Summary'!A1"/>
    <hyperlink ref="CSF8" location="'Cost Summary'!A1" display="'Cost Summary'!A1"/>
    <hyperlink ref="CSG8" location="'Cost Summary'!A1" display="'Cost Summary'!A1"/>
    <hyperlink ref="CSH8" location="'Cost Summary'!A1" display="'Cost Summary'!A1"/>
    <hyperlink ref="CSI8" location="'Cost Summary'!A1" display="'Cost Summary'!A1"/>
    <hyperlink ref="CSJ8" location="'Cost Summary'!A1" display="'Cost Summary'!A1"/>
    <hyperlink ref="CSK8" location="'Cost Summary'!A1" display="'Cost Summary'!A1"/>
    <hyperlink ref="CSL8" location="'Cost Summary'!A1" display="'Cost Summary'!A1"/>
    <hyperlink ref="CSM8" location="'Cost Summary'!A1" display="'Cost Summary'!A1"/>
    <hyperlink ref="CSN8" location="'Cost Summary'!A1" display="'Cost Summary'!A1"/>
    <hyperlink ref="CSO8" location="'Cost Summary'!A1" display="'Cost Summary'!A1"/>
    <hyperlink ref="CSP8" location="'Cost Summary'!A1" display="'Cost Summary'!A1"/>
    <hyperlink ref="CSQ8" location="'Cost Summary'!A1" display="'Cost Summary'!A1"/>
    <hyperlink ref="CSR8" location="'Cost Summary'!A1" display="'Cost Summary'!A1"/>
    <hyperlink ref="CSS8" location="'Cost Summary'!A1" display="'Cost Summary'!A1"/>
    <hyperlink ref="CST8" location="'Cost Summary'!A1" display="'Cost Summary'!A1"/>
    <hyperlink ref="CSU8" location="'Cost Summary'!A1" display="'Cost Summary'!A1"/>
    <hyperlink ref="CSV8" location="'Cost Summary'!A1" display="'Cost Summary'!A1"/>
    <hyperlink ref="CSW8" location="'Cost Summary'!A1" display="'Cost Summary'!A1"/>
    <hyperlink ref="CSX8" location="'Cost Summary'!A1" display="'Cost Summary'!A1"/>
    <hyperlink ref="CSY8" location="'Cost Summary'!A1" display="'Cost Summary'!A1"/>
    <hyperlink ref="CSZ8" location="'Cost Summary'!A1" display="'Cost Summary'!A1"/>
    <hyperlink ref="CTA8" location="'Cost Summary'!A1" display="'Cost Summary'!A1"/>
    <hyperlink ref="CTB8" location="'Cost Summary'!A1" display="'Cost Summary'!A1"/>
    <hyperlink ref="CTC8" location="'Cost Summary'!A1" display="'Cost Summary'!A1"/>
    <hyperlink ref="CTD8" location="'Cost Summary'!A1" display="'Cost Summary'!A1"/>
    <hyperlink ref="CTE8" location="'Cost Summary'!A1" display="'Cost Summary'!A1"/>
    <hyperlink ref="CTF8" location="'Cost Summary'!A1" display="'Cost Summary'!A1"/>
    <hyperlink ref="CTG8" location="'Cost Summary'!A1" display="'Cost Summary'!A1"/>
    <hyperlink ref="CTH8" location="'Cost Summary'!A1" display="'Cost Summary'!A1"/>
    <hyperlink ref="CTI8" location="'Cost Summary'!A1" display="'Cost Summary'!A1"/>
    <hyperlink ref="CTJ8" location="'Cost Summary'!A1" display="'Cost Summary'!A1"/>
    <hyperlink ref="CTK8" location="'Cost Summary'!A1" display="'Cost Summary'!A1"/>
    <hyperlink ref="CTL8" location="'Cost Summary'!A1" display="'Cost Summary'!A1"/>
    <hyperlink ref="CTM8" location="'Cost Summary'!A1" display="'Cost Summary'!A1"/>
    <hyperlink ref="CTN8" location="'Cost Summary'!A1" display="'Cost Summary'!A1"/>
    <hyperlink ref="CTO8" location="'Cost Summary'!A1" display="'Cost Summary'!A1"/>
    <hyperlink ref="CTP8" location="'Cost Summary'!A1" display="'Cost Summary'!A1"/>
    <hyperlink ref="CTQ8" location="'Cost Summary'!A1" display="'Cost Summary'!A1"/>
    <hyperlink ref="CTR8" location="'Cost Summary'!A1" display="'Cost Summary'!A1"/>
    <hyperlink ref="CTS8" location="'Cost Summary'!A1" display="'Cost Summary'!A1"/>
    <hyperlink ref="CTT8" location="'Cost Summary'!A1" display="'Cost Summary'!A1"/>
    <hyperlink ref="CTU8" location="'Cost Summary'!A1" display="'Cost Summary'!A1"/>
    <hyperlink ref="CTV8" location="'Cost Summary'!A1" display="'Cost Summary'!A1"/>
    <hyperlink ref="CTW8" location="'Cost Summary'!A1" display="'Cost Summary'!A1"/>
    <hyperlink ref="CTX8" location="'Cost Summary'!A1" display="'Cost Summary'!A1"/>
    <hyperlink ref="CTY8" location="'Cost Summary'!A1" display="'Cost Summary'!A1"/>
    <hyperlink ref="CTZ8" location="'Cost Summary'!A1" display="'Cost Summary'!A1"/>
    <hyperlink ref="CUA8" location="'Cost Summary'!A1" display="'Cost Summary'!A1"/>
    <hyperlink ref="CUB8" location="'Cost Summary'!A1" display="'Cost Summary'!A1"/>
    <hyperlink ref="CUC8" location="'Cost Summary'!A1" display="'Cost Summary'!A1"/>
    <hyperlink ref="CUD8" location="'Cost Summary'!A1" display="'Cost Summary'!A1"/>
    <hyperlink ref="CUE8" location="'Cost Summary'!A1" display="'Cost Summary'!A1"/>
    <hyperlink ref="CUF8" location="'Cost Summary'!A1" display="'Cost Summary'!A1"/>
    <hyperlink ref="CUG8" location="'Cost Summary'!A1" display="'Cost Summary'!A1"/>
    <hyperlink ref="CUH8" location="'Cost Summary'!A1" display="'Cost Summary'!A1"/>
    <hyperlink ref="CUI8" location="'Cost Summary'!A1" display="'Cost Summary'!A1"/>
    <hyperlink ref="CUJ8" location="'Cost Summary'!A1" display="'Cost Summary'!A1"/>
    <hyperlink ref="CUK8" location="'Cost Summary'!A1" display="'Cost Summary'!A1"/>
    <hyperlink ref="CUL8" location="'Cost Summary'!A1" display="'Cost Summary'!A1"/>
    <hyperlink ref="CUM8" location="'Cost Summary'!A1" display="'Cost Summary'!A1"/>
    <hyperlink ref="CUN8" location="'Cost Summary'!A1" display="'Cost Summary'!A1"/>
    <hyperlink ref="CUO8" location="'Cost Summary'!A1" display="'Cost Summary'!A1"/>
    <hyperlink ref="CUP8" location="'Cost Summary'!A1" display="'Cost Summary'!A1"/>
    <hyperlink ref="CUQ8" location="'Cost Summary'!A1" display="'Cost Summary'!A1"/>
    <hyperlink ref="CUR8" location="'Cost Summary'!A1" display="'Cost Summary'!A1"/>
    <hyperlink ref="CUS8" location="'Cost Summary'!A1" display="'Cost Summary'!A1"/>
    <hyperlink ref="CUT8" location="'Cost Summary'!A1" display="'Cost Summary'!A1"/>
    <hyperlink ref="CUU8" location="'Cost Summary'!A1" display="'Cost Summary'!A1"/>
    <hyperlink ref="CUV8" location="'Cost Summary'!A1" display="'Cost Summary'!A1"/>
    <hyperlink ref="CUW8" location="'Cost Summary'!A1" display="'Cost Summary'!A1"/>
    <hyperlink ref="CUX8" location="'Cost Summary'!A1" display="'Cost Summary'!A1"/>
    <hyperlink ref="CUY8" location="'Cost Summary'!A1" display="'Cost Summary'!A1"/>
    <hyperlink ref="CUZ8" location="'Cost Summary'!A1" display="'Cost Summary'!A1"/>
    <hyperlink ref="CVA8" location="'Cost Summary'!A1" display="'Cost Summary'!A1"/>
    <hyperlink ref="CVB8" location="'Cost Summary'!A1" display="'Cost Summary'!A1"/>
    <hyperlink ref="CVC8" location="'Cost Summary'!A1" display="'Cost Summary'!A1"/>
    <hyperlink ref="CVD8" location="'Cost Summary'!A1" display="'Cost Summary'!A1"/>
    <hyperlink ref="CVE8" location="'Cost Summary'!A1" display="'Cost Summary'!A1"/>
    <hyperlink ref="CVF8" location="'Cost Summary'!A1" display="'Cost Summary'!A1"/>
    <hyperlink ref="CVG8" location="'Cost Summary'!A1" display="'Cost Summary'!A1"/>
    <hyperlink ref="CVH8" location="'Cost Summary'!A1" display="'Cost Summary'!A1"/>
    <hyperlink ref="CVI8" location="'Cost Summary'!A1" display="'Cost Summary'!A1"/>
    <hyperlink ref="CVJ8" location="'Cost Summary'!A1" display="'Cost Summary'!A1"/>
    <hyperlink ref="CVK8" location="'Cost Summary'!A1" display="'Cost Summary'!A1"/>
    <hyperlink ref="CVL8" location="'Cost Summary'!A1" display="'Cost Summary'!A1"/>
    <hyperlink ref="CVM8" location="'Cost Summary'!A1" display="'Cost Summary'!A1"/>
    <hyperlink ref="CVN8" location="'Cost Summary'!A1" display="'Cost Summary'!A1"/>
    <hyperlink ref="CVO8" location="'Cost Summary'!A1" display="'Cost Summary'!A1"/>
    <hyperlink ref="CVP8" location="'Cost Summary'!A1" display="'Cost Summary'!A1"/>
    <hyperlink ref="CVQ8" location="'Cost Summary'!A1" display="'Cost Summary'!A1"/>
    <hyperlink ref="CVR8" location="'Cost Summary'!A1" display="'Cost Summary'!A1"/>
    <hyperlink ref="CVS8" location="'Cost Summary'!A1" display="'Cost Summary'!A1"/>
    <hyperlink ref="CVT8" location="'Cost Summary'!A1" display="'Cost Summary'!A1"/>
    <hyperlink ref="CVU8" location="'Cost Summary'!A1" display="'Cost Summary'!A1"/>
    <hyperlink ref="CVV8" location="'Cost Summary'!A1" display="'Cost Summary'!A1"/>
    <hyperlink ref="CVW8" location="'Cost Summary'!A1" display="'Cost Summary'!A1"/>
    <hyperlink ref="CVX8" location="'Cost Summary'!A1" display="'Cost Summary'!A1"/>
    <hyperlink ref="CVY8" location="'Cost Summary'!A1" display="'Cost Summary'!A1"/>
    <hyperlink ref="CVZ8" location="'Cost Summary'!A1" display="'Cost Summary'!A1"/>
    <hyperlink ref="CWA8" location="'Cost Summary'!A1" display="'Cost Summary'!A1"/>
    <hyperlink ref="CWB8" location="'Cost Summary'!A1" display="'Cost Summary'!A1"/>
    <hyperlink ref="CWC8" location="'Cost Summary'!A1" display="'Cost Summary'!A1"/>
    <hyperlink ref="CWD8" location="'Cost Summary'!A1" display="'Cost Summary'!A1"/>
    <hyperlink ref="CWE8" location="'Cost Summary'!A1" display="'Cost Summary'!A1"/>
    <hyperlink ref="CWF8" location="'Cost Summary'!A1" display="'Cost Summary'!A1"/>
    <hyperlink ref="CWG8" location="'Cost Summary'!A1" display="'Cost Summary'!A1"/>
    <hyperlink ref="CWH8" location="'Cost Summary'!A1" display="'Cost Summary'!A1"/>
    <hyperlink ref="CWI8" location="'Cost Summary'!A1" display="'Cost Summary'!A1"/>
    <hyperlink ref="CWJ8" location="'Cost Summary'!A1" display="'Cost Summary'!A1"/>
    <hyperlink ref="CWK8" location="'Cost Summary'!A1" display="'Cost Summary'!A1"/>
    <hyperlink ref="CWL8" location="'Cost Summary'!A1" display="'Cost Summary'!A1"/>
    <hyperlink ref="CWM8" location="'Cost Summary'!A1" display="'Cost Summary'!A1"/>
    <hyperlink ref="CWN8" location="'Cost Summary'!A1" display="'Cost Summary'!A1"/>
    <hyperlink ref="CWO8" location="'Cost Summary'!A1" display="'Cost Summary'!A1"/>
    <hyperlink ref="CWP8" location="'Cost Summary'!A1" display="'Cost Summary'!A1"/>
    <hyperlink ref="CWQ8" location="'Cost Summary'!A1" display="'Cost Summary'!A1"/>
    <hyperlink ref="CWR8" location="'Cost Summary'!A1" display="'Cost Summary'!A1"/>
    <hyperlink ref="CWS8" location="'Cost Summary'!A1" display="'Cost Summary'!A1"/>
    <hyperlink ref="CWT8" location="'Cost Summary'!A1" display="'Cost Summary'!A1"/>
    <hyperlink ref="CWU8" location="'Cost Summary'!A1" display="'Cost Summary'!A1"/>
    <hyperlink ref="CWV8" location="'Cost Summary'!A1" display="'Cost Summary'!A1"/>
    <hyperlink ref="CWW8" location="'Cost Summary'!A1" display="'Cost Summary'!A1"/>
    <hyperlink ref="CWX8" location="'Cost Summary'!A1" display="'Cost Summary'!A1"/>
    <hyperlink ref="CWY8" location="'Cost Summary'!A1" display="'Cost Summary'!A1"/>
    <hyperlink ref="CWZ8" location="'Cost Summary'!A1" display="'Cost Summary'!A1"/>
    <hyperlink ref="CXA8" location="'Cost Summary'!A1" display="'Cost Summary'!A1"/>
    <hyperlink ref="CXB8" location="'Cost Summary'!A1" display="'Cost Summary'!A1"/>
    <hyperlink ref="CXC8" location="'Cost Summary'!A1" display="'Cost Summary'!A1"/>
    <hyperlink ref="CXD8" location="'Cost Summary'!A1" display="'Cost Summary'!A1"/>
    <hyperlink ref="CXE8" location="'Cost Summary'!A1" display="'Cost Summary'!A1"/>
    <hyperlink ref="CXF8" location="'Cost Summary'!A1" display="'Cost Summary'!A1"/>
    <hyperlink ref="CXG8" location="'Cost Summary'!A1" display="'Cost Summary'!A1"/>
    <hyperlink ref="CXH8" location="'Cost Summary'!A1" display="'Cost Summary'!A1"/>
    <hyperlink ref="CXI8" location="'Cost Summary'!A1" display="'Cost Summary'!A1"/>
    <hyperlink ref="CXJ8" location="'Cost Summary'!A1" display="'Cost Summary'!A1"/>
    <hyperlink ref="CXK8" location="'Cost Summary'!A1" display="'Cost Summary'!A1"/>
    <hyperlink ref="CXL8" location="'Cost Summary'!A1" display="'Cost Summary'!A1"/>
    <hyperlink ref="CXM8" location="'Cost Summary'!A1" display="'Cost Summary'!A1"/>
    <hyperlink ref="CXN8" location="'Cost Summary'!A1" display="'Cost Summary'!A1"/>
    <hyperlink ref="CXO8" location="'Cost Summary'!A1" display="'Cost Summary'!A1"/>
    <hyperlink ref="CXP8" location="'Cost Summary'!A1" display="'Cost Summary'!A1"/>
    <hyperlink ref="CXQ8" location="'Cost Summary'!A1" display="'Cost Summary'!A1"/>
    <hyperlink ref="CXR8" location="'Cost Summary'!A1" display="'Cost Summary'!A1"/>
    <hyperlink ref="CXS8" location="'Cost Summary'!A1" display="'Cost Summary'!A1"/>
    <hyperlink ref="CXT8" location="'Cost Summary'!A1" display="'Cost Summary'!A1"/>
    <hyperlink ref="CXU8" location="'Cost Summary'!A1" display="'Cost Summary'!A1"/>
    <hyperlink ref="CXV8" location="'Cost Summary'!A1" display="'Cost Summary'!A1"/>
    <hyperlink ref="CXW8" location="'Cost Summary'!A1" display="'Cost Summary'!A1"/>
    <hyperlink ref="CXX8" location="'Cost Summary'!A1" display="'Cost Summary'!A1"/>
    <hyperlink ref="CXY8" location="'Cost Summary'!A1" display="'Cost Summary'!A1"/>
    <hyperlink ref="CXZ8" location="'Cost Summary'!A1" display="'Cost Summary'!A1"/>
    <hyperlink ref="CYA8" location="'Cost Summary'!A1" display="'Cost Summary'!A1"/>
    <hyperlink ref="CYB8" location="'Cost Summary'!A1" display="'Cost Summary'!A1"/>
    <hyperlink ref="CYC8" location="'Cost Summary'!A1" display="'Cost Summary'!A1"/>
    <hyperlink ref="CYD8" location="'Cost Summary'!A1" display="'Cost Summary'!A1"/>
    <hyperlink ref="CYE8" location="'Cost Summary'!A1" display="'Cost Summary'!A1"/>
    <hyperlink ref="CYF8" location="'Cost Summary'!A1" display="'Cost Summary'!A1"/>
    <hyperlink ref="CYG8" location="'Cost Summary'!A1" display="'Cost Summary'!A1"/>
    <hyperlink ref="CYH8" location="'Cost Summary'!A1" display="'Cost Summary'!A1"/>
    <hyperlink ref="CYI8" location="'Cost Summary'!A1" display="'Cost Summary'!A1"/>
    <hyperlink ref="CYJ8" location="'Cost Summary'!A1" display="'Cost Summary'!A1"/>
    <hyperlink ref="CYK8" location="'Cost Summary'!A1" display="'Cost Summary'!A1"/>
    <hyperlink ref="CYL8" location="'Cost Summary'!A1" display="'Cost Summary'!A1"/>
    <hyperlink ref="CYM8" location="'Cost Summary'!A1" display="'Cost Summary'!A1"/>
    <hyperlink ref="CYN8" location="'Cost Summary'!A1" display="'Cost Summary'!A1"/>
    <hyperlink ref="CYO8" location="'Cost Summary'!A1" display="'Cost Summary'!A1"/>
    <hyperlink ref="CYP8" location="'Cost Summary'!A1" display="'Cost Summary'!A1"/>
    <hyperlink ref="CYQ8" location="'Cost Summary'!A1" display="'Cost Summary'!A1"/>
    <hyperlink ref="CYR8" location="'Cost Summary'!A1" display="'Cost Summary'!A1"/>
    <hyperlink ref="CYS8" location="'Cost Summary'!A1" display="'Cost Summary'!A1"/>
    <hyperlink ref="CYT8" location="'Cost Summary'!A1" display="'Cost Summary'!A1"/>
    <hyperlink ref="CYU8" location="'Cost Summary'!A1" display="'Cost Summary'!A1"/>
    <hyperlink ref="CYV8" location="'Cost Summary'!A1" display="'Cost Summary'!A1"/>
    <hyperlink ref="CYW8" location="'Cost Summary'!A1" display="'Cost Summary'!A1"/>
    <hyperlink ref="CYX8" location="'Cost Summary'!A1" display="'Cost Summary'!A1"/>
    <hyperlink ref="CYY8" location="'Cost Summary'!A1" display="'Cost Summary'!A1"/>
    <hyperlink ref="CYZ8" location="'Cost Summary'!A1" display="'Cost Summary'!A1"/>
    <hyperlink ref="CZA8" location="'Cost Summary'!A1" display="'Cost Summary'!A1"/>
    <hyperlink ref="CZB8" location="'Cost Summary'!A1" display="'Cost Summary'!A1"/>
    <hyperlink ref="CZC8" location="'Cost Summary'!A1" display="'Cost Summary'!A1"/>
    <hyperlink ref="CZD8" location="'Cost Summary'!A1" display="'Cost Summary'!A1"/>
    <hyperlink ref="CZE8" location="'Cost Summary'!A1" display="'Cost Summary'!A1"/>
    <hyperlink ref="CZF8" location="'Cost Summary'!A1" display="'Cost Summary'!A1"/>
    <hyperlink ref="CZG8" location="'Cost Summary'!A1" display="'Cost Summary'!A1"/>
    <hyperlink ref="CZH8" location="'Cost Summary'!A1" display="'Cost Summary'!A1"/>
    <hyperlink ref="CZI8" location="'Cost Summary'!A1" display="'Cost Summary'!A1"/>
    <hyperlink ref="CZJ8" location="'Cost Summary'!A1" display="'Cost Summary'!A1"/>
    <hyperlink ref="CZK8" location="'Cost Summary'!A1" display="'Cost Summary'!A1"/>
    <hyperlink ref="CZL8" location="'Cost Summary'!A1" display="'Cost Summary'!A1"/>
    <hyperlink ref="CZM8" location="'Cost Summary'!A1" display="'Cost Summary'!A1"/>
    <hyperlink ref="CZN8" location="'Cost Summary'!A1" display="'Cost Summary'!A1"/>
    <hyperlink ref="CZO8" location="'Cost Summary'!A1" display="'Cost Summary'!A1"/>
    <hyperlink ref="CZP8" location="'Cost Summary'!A1" display="'Cost Summary'!A1"/>
    <hyperlink ref="CZQ8" location="'Cost Summary'!A1" display="'Cost Summary'!A1"/>
    <hyperlink ref="CZR8" location="'Cost Summary'!A1" display="'Cost Summary'!A1"/>
    <hyperlink ref="CZS8" location="'Cost Summary'!A1" display="'Cost Summary'!A1"/>
    <hyperlink ref="CZT8" location="'Cost Summary'!A1" display="'Cost Summary'!A1"/>
    <hyperlink ref="CZU8" location="'Cost Summary'!A1" display="'Cost Summary'!A1"/>
    <hyperlink ref="CZV8" location="'Cost Summary'!A1" display="'Cost Summary'!A1"/>
    <hyperlink ref="CZW8" location="'Cost Summary'!A1" display="'Cost Summary'!A1"/>
    <hyperlink ref="CZX8" location="'Cost Summary'!A1" display="'Cost Summary'!A1"/>
    <hyperlink ref="CZY8" location="'Cost Summary'!A1" display="'Cost Summary'!A1"/>
    <hyperlink ref="CZZ8" location="'Cost Summary'!A1" display="'Cost Summary'!A1"/>
    <hyperlink ref="DAA8" location="'Cost Summary'!A1" display="'Cost Summary'!A1"/>
    <hyperlink ref="DAB8" location="'Cost Summary'!A1" display="'Cost Summary'!A1"/>
    <hyperlink ref="DAC8" location="'Cost Summary'!A1" display="'Cost Summary'!A1"/>
    <hyperlink ref="DAD8" location="'Cost Summary'!A1" display="'Cost Summary'!A1"/>
    <hyperlink ref="DAE8" location="'Cost Summary'!A1" display="'Cost Summary'!A1"/>
    <hyperlink ref="DAF8" location="'Cost Summary'!A1" display="'Cost Summary'!A1"/>
    <hyperlink ref="DAG8" location="'Cost Summary'!A1" display="'Cost Summary'!A1"/>
    <hyperlink ref="DAH8" location="'Cost Summary'!A1" display="'Cost Summary'!A1"/>
    <hyperlink ref="DAI8" location="'Cost Summary'!A1" display="'Cost Summary'!A1"/>
    <hyperlink ref="DAJ8" location="'Cost Summary'!A1" display="'Cost Summary'!A1"/>
    <hyperlink ref="DAK8" location="'Cost Summary'!A1" display="'Cost Summary'!A1"/>
    <hyperlink ref="DAL8" location="'Cost Summary'!A1" display="'Cost Summary'!A1"/>
    <hyperlink ref="DAM8" location="'Cost Summary'!A1" display="'Cost Summary'!A1"/>
    <hyperlink ref="DAN8" location="'Cost Summary'!A1" display="'Cost Summary'!A1"/>
    <hyperlink ref="DAO8" location="'Cost Summary'!A1" display="'Cost Summary'!A1"/>
    <hyperlink ref="DAP8" location="'Cost Summary'!A1" display="'Cost Summary'!A1"/>
    <hyperlink ref="DAQ8" location="'Cost Summary'!A1" display="'Cost Summary'!A1"/>
    <hyperlink ref="DAR8" location="'Cost Summary'!A1" display="'Cost Summary'!A1"/>
    <hyperlink ref="DAS8" location="'Cost Summary'!A1" display="'Cost Summary'!A1"/>
    <hyperlink ref="DAT8" location="'Cost Summary'!A1" display="'Cost Summary'!A1"/>
    <hyperlink ref="DAU8" location="'Cost Summary'!A1" display="'Cost Summary'!A1"/>
    <hyperlink ref="DAV8" location="'Cost Summary'!A1" display="'Cost Summary'!A1"/>
    <hyperlink ref="DAW8" location="'Cost Summary'!A1" display="'Cost Summary'!A1"/>
    <hyperlink ref="DAX8" location="'Cost Summary'!A1" display="'Cost Summary'!A1"/>
    <hyperlink ref="DAY8" location="'Cost Summary'!A1" display="'Cost Summary'!A1"/>
    <hyperlink ref="DAZ8" location="'Cost Summary'!A1" display="'Cost Summary'!A1"/>
    <hyperlink ref="DBA8" location="'Cost Summary'!A1" display="'Cost Summary'!A1"/>
    <hyperlink ref="DBB8" location="'Cost Summary'!A1" display="'Cost Summary'!A1"/>
    <hyperlink ref="DBC8" location="'Cost Summary'!A1" display="'Cost Summary'!A1"/>
    <hyperlink ref="DBD8" location="'Cost Summary'!A1" display="'Cost Summary'!A1"/>
    <hyperlink ref="DBE8" location="'Cost Summary'!A1" display="'Cost Summary'!A1"/>
    <hyperlink ref="DBF8" location="'Cost Summary'!A1" display="'Cost Summary'!A1"/>
    <hyperlink ref="DBG8" location="'Cost Summary'!A1" display="'Cost Summary'!A1"/>
    <hyperlink ref="DBH8" location="'Cost Summary'!A1" display="'Cost Summary'!A1"/>
    <hyperlink ref="DBI8" location="'Cost Summary'!A1" display="'Cost Summary'!A1"/>
    <hyperlink ref="DBJ8" location="'Cost Summary'!A1" display="'Cost Summary'!A1"/>
    <hyperlink ref="DBK8" location="'Cost Summary'!A1" display="'Cost Summary'!A1"/>
    <hyperlink ref="DBL8" location="'Cost Summary'!A1" display="'Cost Summary'!A1"/>
    <hyperlink ref="DBM8" location="'Cost Summary'!A1" display="'Cost Summary'!A1"/>
    <hyperlink ref="DBN8" location="'Cost Summary'!A1" display="'Cost Summary'!A1"/>
    <hyperlink ref="DBO8" location="'Cost Summary'!A1" display="'Cost Summary'!A1"/>
    <hyperlink ref="DBP8" location="'Cost Summary'!A1" display="'Cost Summary'!A1"/>
    <hyperlink ref="DBQ8" location="'Cost Summary'!A1" display="'Cost Summary'!A1"/>
    <hyperlink ref="DBR8" location="'Cost Summary'!A1" display="'Cost Summary'!A1"/>
    <hyperlink ref="DBS8" location="'Cost Summary'!A1" display="'Cost Summary'!A1"/>
    <hyperlink ref="DBT8" location="'Cost Summary'!A1" display="'Cost Summary'!A1"/>
    <hyperlink ref="DBU8" location="'Cost Summary'!A1" display="'Cost Summary'!A1"/>
    <hyperlink ref="DBV8" location="'Cost Summary'!A1" display="'Cost Summary'!A1"/>
    <hyperlink ref="DBW8" location="'Cost Summary'!A1" display="'Cost Summary'!A1"/>
    <hyperlink ref="DBX8" location="'Cost Summary'!A1" display="'Cost Summary'!A1"/>
    <hyperlink ref="DBY8" location="'Cost Summary'!A1" display="'Cost Summary'!A1"/>
    <hyperlink ref="DBZ8" location="'Cost Summary'!A1" display="'Cost Summary'!A1"/>
    <hyperlink ref="DCA8" location="'Cost Summary'!A1" display="'Cost Summary'!A1"/>
    <hyperlink ref="DCB8" location="'Cost Summary'!A1" display="'Cost Summary'!A1"/>
    <hyperlink ref="DCC8" location="'Cost Summary'!A1" display="'Cost Summary'!A1"/>
    <hyperlink ref="DCD8" location="'Cost Summary'!A1" display="'Cost Summary'!A1"/>
    <hyperlink ref="DCE8" location="'Cost Summary'!A1" display="'Cost Summary'!A1"/>
    <hyperlink ref="DCF8" location="'Cost Summary'!A1" display="'Cost Summary'!A1"/>
    <hyperlink ref="DCG8" location="'Cost Summary'!A1" display="'Cost Summary'!A1"/>
    <hyperlink ref="DCH8" location="'Cost Summary'!A1" display="'Cost Summary'!A1"/>
    <hyperlink ref="DCI8" location="'Cost Summary'!A1" display="'Cost Summary'!A1"/>
    <hyperlink ref="DCJ8" location="'Cost Summary'!A1" display="'Cost Summary'!A1"/>
    <hyperlink ref="DCK8" location="'Cost Summary'!A1" display="'Cost Summary'!A1"/>
    <hyperlink ref="DCL8" location="'Cost Summary'!A1" display="'Cost Summary'!A1"/>
    <hyperlink ref="DCM8" location="'Cost Summary'!A1" display="'Cost Summary'!A1"/>
    <hyperlink ref="DCN8" location="'Cost Summary'!A1" display="'Cost Summary'!A1"/>
    <hyperlink ref="DCO8" location="'Cost Summary'!A1" display="'Cost Summary'!A1"/>
    <hyperlink ref="DCP8" location="'Cost Summary'!A1" display="'Cost Summary'!A1"/>
    <hyperlink ref="DCQ8" location="'Cost Summary'!A1" display="'Cost Summary'!A1"/>
    <hyperlink ref="DCR8" location="'Cost Summary'!A1" display="'Cost Summary'!A1"/>
    <hyperlink ref="DCS8" location="'Cost Summary'!A1" display="'Cost Summary'!A1"/>
    <hyperlink ref="DCT8" location="'Cost Summary'!A1" display="'Cost Summary'!A1"/>
    <hyperlink ref="DCU8" location="'Cost Summary'!A1" display="'Cost Summary'!A1"/>
    <hyperlink ref="DCV8" location="'Cost Summary'!A1" display="'Cost Summary'!A1"/>
    <hyperlink ref="DCW8" location="'Cost Summary'!A1" display="'Cost Summary'!A1"/>
    <hyperlink ref="DCX8" location="'Cost Summary'!A1" display="'Cost Summary'!A1"/>
    <hyperlink ref="DCY8" location="'Cost Summary'!A1" display="'Cost Summary'!A1"/>
    <hyperlink ref="DCZ8" location="'Cost Summary'!A1" display="'Cost Summary'!A1"/>
    <hyperlink ref="DDA8" location="'Cost Summary'!A1" display="'Cost Summary'!A1"/>
    <hyperlink ref="DDB8" location="'Cost Summary'!A1" display="'Cost Summary'!A1"/>
    <hyperlink ref="DDC8" location="'Cost Summary'!A1" display="'Cost Summary'!A1"/>
    <hyperlink ref="DDD8" location="'Cost Summary'!A1" display="'Cost Summary'!A1"/>
    <hyperlink ref="DDE8" location="'Cost Summary'!A1" display="'Cost Summary'!A1"/>
    <hyperlink ref="DDF8" location="'Cost Summary'!A1" display="'Cost Summary'!A1"/>
    <hyperlink ref="DDG8" location="'Cost Summary'!A1" display="'Cost Summary'!A1"/>
    <hyperlink ref="DDH8" location="'Cost Summary'!A1" display="'Cost Summary'!A1"/>
    <hyperlink ref="DDI8" location="'Cost Summary'!A1" display="'Cost Summary'!A1"/>
    <hyperlink ref="DDJ8" location="'Cost Summary'!A1" display="'Cost Summary'!A1"/>
    <hyperlink ref="DDK8" location="'Cost Summary'!A1" display="'Cost Summary'!A1"/>
    <hyperlink ref="DDL8" location="'Cost Summary'!A1" display="'Cost Summary'!A1"/>
    <hyperlink ref="DDM8" location="'Cost Summary'!A1" display="'Cost Summary'!A1"/>
    <hyperlink ref="DDN8" location="'Cost Summary'!A1" display="'Cost Summary'!A1"/>
    <hyperlink ref="DDO8" location="'Cost Summary'!A1" display="'Cost Summary'!A1"/>
    <hyperlink ref="DDP8" location="'Cost Summary'!A1" display="'Cost Summary'!A1"/>
    <hyperlink ref="DDQ8" location="'Cost Summary'!A1" display="'Cost Summary'!A1"/>
    <hyperlink ref="DDR8" location="'Cost Summary'!A1" display="'Cost Summary'!A1"/>
    <hyperlink ref="DDS8" location="'Cost Summary'!A1" display="'Cost Summary'!A1"/>
    <hyperlink ref="DDT8" location="'Cost Summary'!A1" display="'Cost Summary'!A1"/>
    <hyperlink ref="DDU8" location="'Cost Summary'!A1" display="'Cost Summary'!A1"/>
    <hyperlink ref="DDV8" location="'Cost Summary'!A1" display="'Cost Summary'!A1"/>
    <hyperlink ref="DDW8" location="'Cost Summary'!A1" display="'Cost Summary'!A1"/>
    <hyperlink ref="DDX8" location="'Cost Summary'!A1" display="'Cost Summary'!A1"/>
    <hyperlink ref="DDY8" location="'Cost Summary'!A1" display="'Cost Summary'!A1"/>
    <hyperlink ref="DDZ8" location="'Cost Summary'!A1" display="'Cost Summary'!A1"/>
    <hyperlink ref="DEA8" location="'Cost Summary'!A1" display="'Cost Summary'!A1"/>
    <hyperlink ref="DEB8" location="'Cost Summary'!A1" display="'Cost Summary'!A1"/>
    <hyperlink ref="DEC8" location="'Cost Summary'!A1" display="'Cost Summary'!A1"/>
    <hyperlink ref="DED8" location="'Cost Summary'!A1" display="'Cost Summary'!A1"/>
    <hyperlink ref="DEE8" location="'Cost Summary'!A1" display="'Cost Summary'!A1"/>
    <hyperlink ref="DEF8" location="'Cost Summary'!A1" display="'Cost Summary'!A1"/>
    <hyperlink ref="DEG8" location="'Cost Summary'!A1" display="'Cost Summary'!A1"/>
    <hyperlink ref="DEH8" location="'Cost Summary'!A1" display="'Cost Summary'!A1"/>
    <hyperlink ref="DEI8" location="'Cost Summary'!A1" display="'Cost Summary'!A1"/>
    <hyperlink ref="DEJ8" location="'Cost Summary'!A1" display="'Cost Summary'!A1"/>
    <hyperlink ref="DEK8" location="'Cost Summary'!A1" display="'Cost Summary'!A1"/>
    <hyperlink ref="DEL8" location="'Cost Summary'!A1" display="'Cost Summary'!A1"/>
    <hyperlink ref="DEM8" location="'Cost Summary'!A1" display="'Cost Summary'!A1"/>
    <hyperlink ref="DEN8" location="'Cost Summary'!A1" display="'Cost Summary'!A1"/>
    <hyperlink ref="DEO8" location="'Cost Summary'!A1" display="'Cost Summary'!A1"/>
    <hyperlink ref="DEP8" location="'Cost Summary'!A1" display="'Cost Summary'!A1"/>
    <hyperlink ref="DEQ8" location="'Cost Summary'!A1" display="'Cost Summary'!A1"/>
    <hyperlink ref="DER8" location="'Cost Summary'!A1" display="'Cost Summary'!A1"/>
    <hyperlink ref="DES8" location="'Cost Summary'!A1" display="'Cost Summary'!A1"/>
    <hyperlink ref="DET8" location="'Cost Summary'!A1" display="'Cost Summary'!A1"/>
    <hyperlink ref="DEU8" location="'Cost Summary'!A1" display="'Cost Summary'!A1"/>
    <hyperlink ref="DEV8" location="'Cost Summary'!A1" display="'Cost Summary'!A1"/>
    <hyperlink ref="DEW8" location="'Cost Summary'!A1" display="'Cost Summary'!A1"/>
    <hyperlink ref="DEX8" location="'Cost Summary'!A1" display="'Cost Summary'!A1"/>
    <hyperlink ref="DEY8" location="'Cost Summary'!A1" display="'Cost Summary'!A1"/>
    <hyperlink ref="DEZ8" location="'Cost Summary'!A1" display="'Cost Summary'!A1"/>
    <hyperlink ref="DFA8" location="'Cost Summary'!A1" display="'Cost Summary'!A1"/>
    <hyperlink ref="DFB8" location="'Cost Summary'!A1" display="'Cost Summary'!A1"/>
    <hyperlink ref="DFC8" location="'Cost Summary'!A1" display="'Cost Summary'!A1"/>
    <hyperlink ref="DFD8" location="'Cost Summary'!A1" display="'Cost Summary'!A1"/>
    <hyperlink ref="DFE8" location="'Cost Summary'!A1" display="'Cost Summary'!A1"/>
    <hyperlink ref="DFF8" location="'Cost Summary'!A1" display="'Cost Summary'!A1"/>
    <hyperlink ref="DFG8" location="'Cost Summary'!A1" display="'Cost Summary'!A1"/>
    <hyperlink ref="DFH8" location="'Cost Summary'!A1" display="'Cost Summary'!A1"/>
    <hyperlink ref="DFI8" location="'Cost Summary'!A1" display="'Cost Summary'!A1"/>
    <hyperlink ref="DFJ8" location="'Cost Summary'!A1" display="'Cost Summary'!A1"/>
    <hyperlink ref="DFK8" location="'Cost Summary'!A1" display="'Cost Summary'!A1"/>
    <hyperlink ref="DFL8" location="'Cost Summary'!A1" display="'Cost Summary'!A1"/>
    <hyperlink ref="DFM8" location="'Cost Summary'!A1" display="'Cost Summary'!A1"/>
    <hyperlink ref="DFN8" location="'Cost Summary'!A1" display="'Cost Summary'!A1"/>
    <hyperlink ref="DFO8" location="'Cost Summary'!A1" display="'Cost Summary'!A1"/>
    <hyperlink ref="DFP8" location="'Cost Summary'!A1" display="'Cost Summary'!A1"/>
    <hyperlink ref="DFQ8" location="'Cost Summary'!A1" display="'Cost Summary'!A1"/>
    <hyperlink ref="DFR8" location="'Cost Summary'!A1" display="'Cost Summary'!A1"/>
    <hyperlink ref="DFS8" location="'Cost Summary'!A1" display="'Cost Summary'!A1"/>
    <hyperlink ref="DFT8" location="'Cost Summary'!A1" display="'Cost Summary'!A1"/>
    <hyperlink ref="DFU8" location="'Cost Summary'!A1" display="'Cost Summary'!A1"/>
    <hyperlink ref="DFV8" location="'Cost Summary'!A1" display="'Cost Summary'!A1"/>
    <hyperlink ref="DFW8" location="'Cost Summary'!A1" display="'Cost Summary'!A1"/>
    <hyperlink ref="DFX8" location="'Cost Summary'!A1" display="'Cost Summary'!A1"/>
    <hyperlink ref="DFY8" location="'Cost Summary'!A1" display="'Cost Summary'!A1"/>
    <hyperlink ref="DFZ8" location="'Cost Summary'!A1" display="'Cost Summary'!A1"/>
    <hyperlink ref="DGA8" location="'Cost Summary'!A1" display="'Cost Summary'!A1"/>
    <hyperlink ref="DGB8" location="'Cost Summary'!A1" display="'Cost Summary'!A1"/>
    <hyperlink ref="DGC8" location="'Cost Summary'!A1" display="'Cost Summary'!A1"/>
    <hyperlink ref="DGD8" location="'Cost Summary'!A1" display="'Cost Summary'!A1"/>
    <hyperlink ref="DGE8" location="'Cost Summary'!A1" display="'Cost Summary'!A1"/>
    <hyperlink ref="DGF8" location="'Cost Summary'!A1" display="'Cost Summary'!A1"/>
    <hyperlink ref="DGG8" location="'Cost Summary'!A1" display="'Cost Summary'!A1"/>
    <hyperlink ref="DGH8" location="'Cost Summary'!A1" display="'Cost Summary'!A1"/>
    <hyperlink ref="DGI8" location="'Cost Summary'!A1" display="'Cost Summary'!A1"/>
    <hyperlink ref="DGJ8" location="'Cost Summary'!A1" display="'Cost Summary'!A1"/>
    <hyperlink ref="DGK8" location="'Cost Summary'!A1" display="'Cost Summary'!A1"/>
    <hyperlink ref="DGL8" location="'Cost Summary'!A1" display="'Cost Summary'!A1"/>
    <hyperlink ref="DGM8" location="'Cost Summary'!A1" display="'Cost Summary'!A1"/>
    <hyperlink ref="DGN8" location="'Cost Summary'!A1" display="'Cost Summary'!A1"/>
    <hyperlink ref="DGO8" location="'Cost Summary'!A1" display="'Cost Summary'!A1"/>
    <hyperlink ref="DGP8" location="'Cost Summary'!A1" display="'Cost Summary'!A1"/>
    <hyperlink ref="DGQ8" location="'Cost Summary'!A1" display="'Cost Summary'!A1"/>
    <hyperlink ref="DGR8" location="'Cost Summary'!A1" display="'Cost Summary'!A1"/>
    <hyperlink ref="DGS8" location="'Cost Summary'!A1" display="'Cost Summary'!A1"/>
    <hyperlink ref="DGT8" location="'Cost Summary'!A1" display="'Cost Summary'!A1"/>
    <hyperlink ref="DGU8" location="'Cost Summary'!A1" display="'Cost Summary'!A1"/>
    <hyperlink ref="DGV8" location="'Cost Summary'!A1" display="'Cost Summary'!A1"/>
    <hyperlink ref="DGW8" location="'Cost Summary'!A1" display="'Cost Summary'!A1"/>
    <hyperlink ref="DGX8" location="'Cost Summary'!A1" display="'Cost Summary'!A1"/>
    <hyperlink ref="DGY8" location="'Cost Summary'!A1" display="'Cost Summary'!A1"/>
    <hyperlink ref="DGZ8" location="'Cost Summary'!A1" display="'Cost Summary'!A1"/>
    <hyperlink ref="DHA8" location="'Cost Summary'!A1" display="'Cost Summary'!A1"/>
    <hyperlink ref="DHB8" location="'Cost Summary'!A1" display="'Cost Summary'!A1"/>
    <hyperlink ref="DHC8" location="'Cost Summary'!A1" display="'Cost Summary'!A1"/>
    <hyperlink ref="DHD8" location="'Cost Summary'!A1" display="'Cost Summary'!A1"/>
    <hyperlink ref="DHE8" location="'Cost Summary'!A1" display="'Cost Summary'!A1"/>
    <hyperlink ref="DHF8" location="'Cost Summary'!A1" display="'Cost Summary'!A1"/>
    <hyperlink ref="DHG8" location="'Cost Summary'!A1" display="'Cost Summary'!A1"/>
    <hyperlink ref="DHH8" location="'Cost Summary'!A1" display="'Cost Summary'!A1"/>
    <hyperlink ref="DHI8" location="'Cost Summary'!A1" display="'Cost Summary'!A1"/>
    <hyperlink ref="DHJ8" location="'Cost Summary'!A1" display="'Cost Summary'!A1"/>
    <hyperlink ref="DHK8" location="'Cost Summary'!A1" display="'Cost Summary'!A1"/>
    <hyperlink ref="DHL8" location="'Cost Summary'!A1" display="'Cost Summary'!A1"/>
    <hyperlink ref="DHM8" location="'Cost Summary'!A1" display="'Cost Summary'!A1"/>
    <hyperlink ref="DHN8" location="'Cost Summary'!A1" display="'Cost Summary'!A1"/>
    <hyperlink ref="DHO8" location="'Cost Summary'!A1" display="'Cost Summary'!A1"/>
    <hyperlink ref="DHP8" location="'Cost Summary'!A1" display="'Cost Summary'!A1"/>
    <hyperlink ref="DHQ8" location="'Cost Summary'!A1" display="'Cost Summary'!A1"/>
    <hyperlink ref="DHR8" location="'Cost Summary'!A1" display="'Cost Summary'!A1"/>
    <hyperlink ref="DHS8" location="'Cost Summary'!A1" display="'Cost Summary'!A1"/>
    <hyperlink ref="DHT8" location="'Cost Summary'!A1" display="'Cost Summary'!A1"/>
    <hyperlink ref="DHU8" location="'Cost Summary'!A1" display="'Cost Summary'!A1"/>
    <hyperlink ref="DHV8" location="'Cost Summary'!A1" display="'Cost Summary'!A1"/>
    <hyperlink ref="DHW8" location="'Cost Summary'!A1" display="'Cost Summary'!A1"/>
    <hyperlink ref="DHX8" location="'Cost Summary'!A1" display="'Cost Summary'!A1"/>
    <hyperlink ref="DHY8" location="'Cost Summary'!A1" display="'Cost Summary'!A1"/>
    <hyperlink ref="DHZ8" location="'Cost Summary'!A1" display="'Cost Summary'!A1"/>
    <hyperlink ref="DIA8" location="'Cost Summary'!A1" display="'Cost Summary'!A1"/>
    <hyperlink ref="DIB8" location="'Cost Summary'!A1" display="'Cost Summary'!A1"/>
    <hyperlink ref="DIC8" location="'Cost Summary'!A1" display="'Cost Summary'!A1"/>
    <hyperlink ref="DID8" location="'Cost Summary'!A1" display="'Cost Summary'!A1"/>
    <hyperlink ref="DIE8" location="'Cost Summary'!A1" display="'Cost Summary'!A1"/>
    <hyperlink ref="DIF8" location="'Cost Summary'!A1" display="'Cost Summary'!A1"/>
    <hyperlink ref="DIG8" location="'Cost Summary'!A1" display="'Cost Summary'!A1"/>
    <hyperlink ref="DIH8" location="'Cost Summary'!A1" display="'Cost Summary'!A1"/>
    <hyperlink ref="DII8" location="'Cost Summary'!A1" display="'Cost Summary'!A1"/>
    <hyperlink ref="DIJ8" location="'Cost Summary'!A1" display="'Cost Summary'!A1"/>
    <hyperlink ref="DIK8" location="'Cost Summary'!A1" display="'Cost Summary'!A1"/>
    <hyperlink ref="DIL8" location="'Cost Summary'!A1" display="'Cost Summary'!A1"/>
    <hyperlink ref="DIM8" location="'Cost Summary'!A1" display="'Cost Summary'!A1"/>
    <hyperlink ref="DIN8" location="'Cost Summary'!A1" display="'Cost Summary'!A1"/>
    <hyperlink ref="DIO8" location="'Cost Summary'!A1" display="'Cost Summary'!A1"/>
    <hyperlink ref="DIP8" location="'Cost Summary'!A1" display="'Cost Summary'!A1"/>
    <hyperlink ref="DIQ8" location="'Cost Summary'!A1" display="'Cost Summary'!A1"/>
    <hyperlink ref="DIR8" location="'Cost Summary'!A1" display="'Cost Summary'!A1"/>
    <hyperlink ref="DIS8" location="'Cost Summary'!A1" display="'Cost Summary'!A1"/>
    <hyperlink ref="DIT8" location="'Cost Summary'!A1" display="'Cost Summary'!A1"/>
    <hyperlink ref="DIU8" location="'Cost Summary'!A1" display="'Cost Summary'!A1"/>
    <hyperlink ref="DIV8" location="'Cost Summary'!A1" display="'Cost Summary'!A1"/>
    <hyperlink ref="DIW8" location="'Cost Summary'!A1" display="'Cost Summary'!A1"/>
    <hyperlink ref="DIX8" location="'Cost Summary'!A1" display="'Cost Summary'!A1"/>
    <hyperlink ref="DIY8" location="'Cost Summary'!A1" display="'Cost Summary'!A1"/>
    <hyperlink ref="DIZ8" location="'Cost Summary'!A1" display="'Cost Summary'!A1"/>
    <hyperlink ref="DJA8" location="'Cost Summary'!A1" display="'Cost Summary'!A1"/>
    <hyperlink ref="DJB8" location="'Cost Summary'!A1" display="'Cost Summary'!A1"/>
    <hyperlink ref="DJC8" location="'Cost Summary'!A1" display="'Cost Summary'!A1"/>
    <hyperlink ref="DJD8" location="'Cost Summary'!A1" display="'Cost Summary'!A1"/>
    <hyperlink ref="DJE8" location="'Cost Summary'!A1" display="'Cost Summary'!A1"/>
    <hyperlink ref="DJF8" location="'Cost Summary'!A1" display="'Cost Summary'!A1"/>
    <hyperlink ref="DJG8" location="'Cost Summary'!A1" display="'Cost Summary'!A1"/>
    <hyperlink ref="DJH8" location="'Cost Summary'!A1" display="'Cost Summary'!A1"/>
    <hyperlink ref="DJI8" location="'Cost Summary'!A1" display="'Cost Summary'!A1"/>
    <hyperlink ref="DJJ8" location="'Cost Summary'!A1" display="'Cost Summary'!A1"/>
    <hyperlink ref="DJK8" location="'Cost Summary'!A1" display="'Cost Summary'!A1"/>
    <hyperlink ref="DJL8" location="'Cost Summary'!A1" display="'Cost Summary'!A1"/>
    <hyperlink ref="DJM8" location="'Cost Summary'!A1" display="'Cost Summary'!A1"/>
    <hyperlink ref="DJN8" location="'Cost Summary'!A1" display="'Cost Summary'!A1"/>
    <hyperlink ref="DJO8" location="'Cost Summary'!A1" display="'Cost Summary'!A1"/>
    <hyperlink ref="DJP8" location="'Cost Summary'!A1" display="'Cost Summary'!A1"/>
    <hyperlink ref="DJQ8" location="'Cost Summary'!A1" display="'Cost Summary'!A1"/>
    <hyperlink ref="DJR8" location="'Cost Summary'!A1" display="'Cost Summary'!A1"/>
    <hyperlink ref="DJS8" location="'Cost Summary'!A1" display="'Cost Summary'!A1"/>
    <hyperlink ref="DJT8" location="'Cost Summary'!A1" display="'Cost Summary'!A1"/>
    <hyperlink ref="DJU8" location="'Cost Summary'!A1" display="'Cost Summary'!A1"/>
    <hyperlink ref="DJV8" location="'Cost Summary'!A1" display="'Cost Summary'!A1"/>
    <hyperlink ref="DJW8" location="'Cost Summary'!A1" display="'Cost Summary'!A1"/>
    <hyperlink ref="DJX8" location="'Cost Summary'!A1" display="'Cost Summary'!A1"/>
    <hyperlink ref="DJY8" location="'Cost Summary'!A1" display="'Cost Summary'!A1"/>
    <hyperlink ref="DJZ8" location="'Cost Summary'!A1" display="'Cost Summary'!A1"/>
    <hyperlink ref="DKA8" location="'Cost Summary'!A1" display="'Cost Summary'!A1"/>
    <hyperlink ref="DKB8" location="'Cost Summary'!A1" display="'Cost Summary'!A1"/>
    <hyperlink ref="DKC8" location="'Cost Summary'!A1" display="'Cost Summary'!A1"/>
    <hyperlink ref="DKD8" location="'Cost Summary'!A1" display="'Cost Summary'!A1"/>
    <hyperlink ref="DKE8" location="'Cost Summary'!A1" display="'Cost Summary'!A1"/>
    <hyperlink ref="DKF8" location="'Cost Summary'!A1" display="'Cost Summary'!A1"/>
    <hyperlink ref="DKG8" location="'Cost Summary'!A1" display="'Cost Summary'!A1"/>
    <hyperlink ref="DKH8" location="'Cost Summary'!A1" display="'Cost Summary'!A1"/>
    <hyperlink ref="DKI8" location="'Cost Summary'!A1" display="'Cost Summary'!A1"/>
    <hyperlink ref="DKJ8" location="'Cost Summary'!A1" display="'Cost Summary'!A1"/>
    <hyperlink ref="DKK8" location="'Cost Summary'!A1" display="'Cost Summary'!A1"/>
    <hyperlink ref="DKL8" location="'Cost Summary'!A1" display="'Cost Summary'!A1"/>
    <hyperlink ref="DKM8" location="'Cost Summary'!A1" display="'Cost Summary'!A1"/>
    <hyperlink ref="DKN8" location="'Cost Summary'!A1" display="'Cost Summary'!A1"/>
    <hyperlink ref="DKO8" location="'Cost Summary'!A1" display="'Cost Summary'!A1"/>
    <hyperlink ref="DKP8" location="'Cost Summary'!A1" display="'Cost Summary'!A1"/>
    <hyperlink ref="DKQ8" location="'Cost Summary'!A1" display="'Cost Summary'!A1"/>
    <hyperlink ref="DKR8" location="'Cost Summary'!A1" display="'Cost Summary'!A1"/>
    <hyperlink ref="DKS8" location="'Cost Summary'!A1" display="'Cost Summary'!A1"/>
    <hyperlink ref="DKT8" location="'Cost Summary'!A1" display="'Cost Summary'!A1"/>
    <hyperlink ref="DKU8" location="'Cost Summary'!A1" display="'Cost Summary'!A1"/>
    <hyperlink ref="DKV8" location="'Cost Summary'!A1" display="'Cost Summary'!A1"/>
    <hyperlink ref="DKW8" location="'Cost Summary'!A1" display="'Cost Summary'!A1"/>
    <hyperlink ref="DKX8" location="'Cost Summary'!A1" display="'Cost Summary'!A1"/>
    <hyperlink ref="DKY8" location="'Cost Summary'!A1" display="'Cost Summary'!A1"/>
    <hyperlink ref="DKZ8" location="'Cost Summary'!A1" display="'Cost Summary'!A1"/>
    <hyperlink ref="DLA8" location="'Cost Summary'!A1" display="'Cost Summary'!A1"/>
    <hyperlink ref="DLB8" location="'Cost Summary'!A1" display="'Cost Summary'!A1"/>
    <hyperlink ref="DLC8" location="'Cost Summary'!A1" display="'Cost Summary'!A1"/>
    <hyperlink ref="DLD8" location="'Cost Summary'!A1" display="'Cost Summary'!A1"/>
    <hyperlink ref="DLE8" location="'Cost Summary'!A1" display="'Cost Summary'!A1"/>
    <hyperlink ref="DLF8" location="'Cost Summary'!A1" display="'Cost Summary'!A1"/>
    <hyperlink ref="DLG8" location="'Cost Summary'!A1" display="'Cost Summary'!A1"/>
    <hyperlink ref="DLH8" location="'Cost Summary'!A1" display="'Cost Summary'!A1"/>
    <hyperlink ref="DLI8" location="'Cost Summary'!A1" display="'Cost Summary'!A1"/>
    <hyperlink ref="DLJ8" location="'Cost Summary'!A1" display="'Cost Summary'!A1"/>
    <hyperlink ref="DLK8" location="'Cost Summary'!A1" display="'Cost Summary'!A1"/>
    <hyperlink ref="DLL8" location="'Cost Summary'!A1" display="'Cost Summary'!A1"/>
    <hyperlink ref="DLM8" location="'Cost Summary'!A1" display="'Cost Summary'!A1"/>
    <hyperlink ref="DLN8" location="'Cost Summary'!A1" display="'Cost Summary'!A1"/>
    <hyperlink ref="DLO8" location="'Cost Summary'!A1" display="'Cost Summary'!A1"/>
    <hyperlink ref="DLP8" location="'Cost Summary'!A1" display="'Cost Summary'!A1"/>
    <hyperlink ref="DLQ8" location="'Cost Summary'!A1" display="'Cost Summary'!A1"/>
    <hyperlink ref="DLR8" location="'Cost Summary'!A1" display="'Cost Summary'!A1"/>
    <hyperlink ref="DLS8" location="'Cost Summary'!A1" display="'Cost Summary'!A1"/>
    <hyperlink ref="DLT8" location="'Cost Summary'!A1" display="'Cost Summary'!A1"/>
    <hyperlink ref="DLU8" location="'Cost Summary'!A1" display="'Cost Summary'!A1"/>
    <hyperlink ref="DLV8" location="'Cost Summary'!A1" display="'Cost Summary'!A1"/>
    <hyperlink ref="DLW8" location="'Cost Summary'!A1" display="'Cost Summary'!A1"/>
    <hyperlink ref="DLX8" location="'Cost Summary'!A1" display="'Cost Summary'!A1"/>
    <hyperlink ref="DLY8" location="'Cost Summary'!A1" display="'Cost Summary'!A1"/>
    <hyperlink ref="DLZ8" location="'Cost Summary'!A1" display="'Cost Summary'!A1"/>
    <hyperlink ref="DMA8" location="'Cost Summary'!A1" display="'Cost Summary'!A1"/>
    <hyperlink ref="DMB8" location="'Cost Summary'!A1" display="'Cost Summary'!A1"/>
    <hyperlink ref="DMC8" location="'Cost Summary'!A1" display="'Cost Summary'!A1"/>
    <hyperlink ref="DMD8" location="'Cost Summary'!A1" display="'Cost Summary'!A1"/>
    <hyperlink ref="DME8" location="'Cost Summary'!A1" display="'Cost Summary'!A1"/>
    <hyperlink ref="DMF8" location="'Cost Summary'!A1" display="'Cost Summary'!A1"/>
    <hyperlink ref="DMG8" location="'Cost Summary'!A1" display="'Cost Summary'!A1"/>
    <hyperlink ref="DMH8" location="'Cost Summary'!A1" display="'Cost Summary'!A1"/>
    <hyperlink ref="DMI8" location="'Cost Summary'!A1" display="'Cost Summary'!A1"/>
    <hyperlink ref="DMJ8" location="'Cost Summary'!A1" display="'Cost Summary'!A1"/>
    <hyperlink ref="DMK8" location="'Cost Summary'!A1" display="'Cost Summary'!A1"/>
    <hyperlink ref="DML8" location="'Cost Summary'!A1" display="'Cost Summary'!A1"/>
    <hyperlink ref="DMM8" location="'Cost Summary'!A1" display="'Cost Summary'!A1"/>
    <hyperlink ref="DMN8" location="'Cost Summary'!A1" display="'Cost Summary'!A1"/>
    <hyperlink ref="DMO8" location="'Cost Summary'!A1" display="'Cost Summary'!A1"/>
    <hyperlink ref="DMP8" location="'Cost Summary'!A1" display="'Cost Summary'!A1"/>
    <hyperlink ref="DMQ8" location="'Cost Summary'!A1" display="'Cost Summary'!A1"/>
    <hyperlink ref="DMR8" location="'Cost Summary'!A1" display="'Cost Summary'!A1"/>
    <hyperlink ref="DMS8" location="'Cost Summary'!A1" display="'Cost Summary'!A1"/>
    <hyperlink ref="DMT8" location="'Cost Summary'!A1" display="'Cost Summary'!A1"/>
    <hyperlink ref="DMU8" location="'Cost Summary'!A1" display="'Cost Summary'!A1"/>
    <hyperlink ref="DMV8" location="'Cost Summary'!A1" display="'Cost Summary'!A1"/>
    <hyperlink ref="DMW8" location="'Cost Summary'!A1" display="'Cost Summary'!A1"/>
    <hyperlink ref="DMX8" location="'Cost Summary'!A1" display="'Cost Summary'!A1"/>
    <hyperlink ref="DMY8" location="'Cost Summary'!A1" display="'Cost Summary'!A1"/>
    <hyperlink ref="DMZ8" location="'Cost Summary'!A1" display="'Cost Summary'!A1"/>
    <hyperlink ref="DNA8" location="'Cost Summary'!A1" display="'Cost Summary'!A1"/>
    <hyperlink ref="DNB8" location="'Cost Summary'!A1" display="'Cost Summary'!A1"/>
    <hyperlink ref="DNC8" location="'Cost Summary'!A1" display="'Cost Summary'!A1"/>
    <hyperlink ref="DND8" location="'Cost Summary'!A1" display="'Cost Summary'!A1"/>
    <hyperlink ref="DNE8" location="'Cost Summary'!A1" display="'Cost Summary'!A1"/>
    <hyperlink ref="DNF8" location="'Cost Summary'!A1" display="'Cost Summary'!A1"/>
    <hyperlink ref="DNG8" location="'Cost Summary'!A1" display="'Cost Summary'!A1"/>
    <hyperlink ref="DNH8" location="'Cost Summary'!A1" display="'Cost Summary'!A1"/>
    <hyperlink ref="DNI8" location="'Cost Summary'!A1" display="'Cost Summary'!A1"/>
    <hyperlink ref="DNJ8" location="'Cost Summary'!A1" display="'Cost Summary'!A1"/>
    <hyperlink ref="DNK8" location="'Cost Summary'!A1" display="'Cost Summary'!A1"/>
    <hyperlink ref="DNL8" location="'Cost Summary'!A1" display="'Cost Summary'!A1"/>
    <hyperlink ref="DNM8" location="'Cost Summary'!A1" display="'Cost Summary'!A1"/>
    <hyperlink ref="DNN8" location="'Cost Summary'!A1" display="'Cost Summary'!A1"/>
    <hyperlink ref="DNO8" location="'Cost Summary'!A1" display="'Cost Summary'!A1"/>
    <hyperlink ref="DNP8" location="'Cost Summary'!A1" display="'Cost Summary'!A1"/>
    <hyperlink ref="DNQ8" location="'Cost Summary'!A1" display="'Cost Summary'!A1"/>
    <hyperlink ref="DNR8" location="'Cost Summary'!A1" display="'Cost Summary'!A1"/>
    <hyperlink ref="DNS8" location="'Cost Summary'!A1" display="'Cost Summary'!A1"/>
    <hyperlink ref="DNT8" location="'Cost Summary'!A1" display="'Cost Summary'!A1"/>
    <hyperlink ref="DNU8" location="'Cost Summary'!A1" display="'Cost Summary'!A1"/>
    <hyperlink ref="DNV8" location="'Cost Summary'!A1" display="'Cost Summary'!A1"/>
    <hyperlink ref="DNW8" location="'Cost Summary'!A1" display="'Cost Summary'!A1"/>
    <hyperlink ref="DNX8" location="'Cost Summary'!A1" display="'Cost Summary'!A1"/>
    <hyperlink ref="DNY8" location="'Cost Summary'!A1" display="'Cost Summary'!A1"/>
    <hyperlink ref="DNZ8" location="'Cost Summary'!A1" display="'Cost Summary'!A1"/>
    <hyperlink ref="DOA8" location="'Cost Summary'!A1" display="'Cost Summary'!A1"/>
    <hyperlink ref="DOB8" location="'Cost Summary'!A1" display="'Cost Summary'!A1"/>
    <hyperlink ref="DOC8" location="'Cost Summary'!A1" display="'Cost Summary'!A1"/>
    <hyperlink ref="DOD8" location="'Cost Summary'!A1" display="'Cost Summary'!A1"/>
    <hyperlink ref="DOE8" location="'Cost Summary'!A1" display="'Cost Summary'!A1"/>
    <hyperlink ref="DOF8" location="'Cost Summary'!A1" display="'Cost Summary'!A1"/>
    <hyperlink ref="DOG8" location="'Cost Summary'!A1" display="'Cost Summary'!A1"/>
    <hyperlink ref="DOH8" location="'Cost Summary'!A1" display="'Cost Summary'!A1"/>
    <hyperlink ref="DOI8" location="'Cost Summary'!A1" display="'Cost Summary'!A1"/>
    <hyperlink ref="DOJ8" location="'Cost Summary'!A1" display="'Cost Summary'!A1"/>
    <hyperlink ref="DOK8" location="'Cost Summary'!A1" display="'Cost Summary'!A1"/>
    <hyperlink ref="DOL8" location="'Cost Summary'!A1" display="'Cost Summary'!A1"/>
    <hyperlink ref="DOM8" location="'Cost Summary'!A1" display="'Cost Summary'!A1"/>
    <hyperlink ref="DON8" location="'Cost Summary'!A1" display="'Cost Summary'!A1"/>
    <hyperlink ref="DOO8" location="'Cost Summary'!A1" display="'Cost Summary'!A1"/>
    <hyperlink ref="DOP8" location="'Cost Summary'!A1" display="'Cost Summary'!A1"/>
    <hyperlink ref="DOQ8" location="'Cost Summary'!A1" display="'Cost Summary'!A1"/>
    <hyperlink ref="DOR8" location="'Cost Summary'!A1" display="'Cost Summary'!A1"/>
    <hyperlink ref="DOS8" location="'Cost Summary'!A1" display="'Cost Summary'!A1"/>
    <hyperlink ref="DOT8" location="'Cost Summary'!A1" display="'Cost Summary'!A1"/>
    <hyperlink ref="DOU8" location="'Cost Summary'!A1" display="'Cost Summary'!A1"/>
    <hyperlink ref="DOV8" location="'Cost Summary'!A1" display="'Cost Summary'!A1"/>
    <hyperlink ref="DOW8" location="'Cost Summary'!A1" display="'Cost Summary'!A1"/>
    <hyperlink ref="DOX8" location="'Cost Summary'!A1" display="'Cost Summary'!A1"/>
    <hyperlink ref="DOY8" location="'Cost Summary'!A1" display="'Cost Summary'!A1"/>
    <hyperlink ref="DOZ8" location="'Cost Summary'!A1" display="'Cost Summary'!A1"/>
    <hyperlink ref="DPA8" location="'Cost Summary'!A1" display="'Cost Summary'!A1"/>
    <hyperlink ref="DPB8" location="'Cost Summary'!A1" display="'Cost Summary'!A1"/>
    <hyperlink ref="DPC8" location="'Cost Summary'!A1" display="'Cost Summary'!A1"/>
    <hyperlink ref="DPD8" location="'Cost Summary'!A1" display="'Cost Summary'!A1"/>
    <hyperlink ref="DPE8" location="'Cost Summary'!A1" display="'Cost Summary'!A1"/>
    <hyperlink ref="DPF8" location="'Cost Summary'!A1" display="'Cost Summary'!A1"/>
    <hyperlink ref="DPG8" location="'Cost Summary'!A1" display="'Cost Summary'!A1"/>
    <hyperlink ref="DPH8" location="'Cost Summary'!A1" display="'Cost Summary'!A1"/>
    <hyperlink ref="DPI8" location="'Cost Summary'!A1" display="'Cost Summary'!A1"/>
    <hyperlink ref="DPJ8" location="'Cost Summary'!A1" display="'Cost Summary'!A1"/>
    <hyperlink ref="DPK8" location="'Cost Summary'!A1" display="'Cost Summary'!A1"/>
    <hyperlink ref="DPL8" location="'Cost Summary'!A1" display="'Cost Summary'!A1"/>
    <hyperlink ref="DPM8" location="'Cost Summary'!A1" display="'Cost Summary'!A1"/>
    <hyperlink ref="DPN8" location="'Cost Summary'!A1" display="'Cost Summary'!A1"/>
    <hyperlink ref="DPO8" location="'Cost Summary'!A1" display="'Cost Summary'!A1"/>
    <hyperlink ref="DPP8" location="'Cost Summary'!A1" display="'Cost Summary'!A1"/>
    <hyperlink ref="DPQ8" location="'Cost Summary'!A1" display="'Cost Summary'!A1"/>
    <hyperlink ref="DPR8" location="'Cost Summary'!A1" display="'Cost Summary'!A1"/>
    <hyperlink ref="DPS8" location="'Cost Summary'!A1" display="'Cost Summary'!A1"/>
    <hyperlink ref="DPT8" location="'Cost Summary'!A1" display="'Cost Summary'!A1"/>
    <hyperlink ref="DPU8" location="'Cost Summary'!A1" display="'Cost Summary'!A1"/>
    <hyperlink ref="DPV8" location="'Cost Summary'!A1" display="'Cost Summary'!A1"/>
    <hyperlink ref="DPW8" location="'Cost Summary'!A1" display="'Cost Summary'!A1"/>
    <hyperlink ref="DPX8" location="'Cost Summary'!A1" display="'Cost Summary'!A1"/>
    <hyperlink ref="DPY8" location="'Cost Summary'!A1" display="'Cost Summary'!A1"/>
    <hyperlink ref="DPZ8" location="'Cost Summary'!A1" display="'Cost Summary'!A1"/>
    <hyperlink ref="DQA8" location="'Cost Summary'!A1" display="'Cost Summary'!A1"/>
    <hyperlink ref="DQB8" location="'Cost Summary'!A1" display="'Cost Summary'!A1"/>
    <hyperlink ref="DQC8" location="'Cost Summary'!A1" display="'Cost Summary'!A1"/>
    <hyperlink ref="DQD8" location="'Cost Summary'!A1" display="'Cost Summary'!A1"/>
    <hyperlink ref="DQE8" location="'Cost Summary'!A1" display="'Cost Summary'!A1"/>
    <hyperlink ref="DQF8" location="'Cost Summary'!A1" display="'Cost Summary'!A1"/>
    <hyperlink ref="DQG8" location="'Cost Summary'!A1" display="'Cost Summary'!A1"/>
    <hyperlink ref="DQH8" location="'Cost Summary'!A1" display="'Cost Summary'!A1"/>
    <hyperlink ref="DQI8" location="'Cost Summary'!A1" display="'Cost Summary'!A1"/>
    <hyperlink ref="DQJ8" location="'Cost Summary'!A1" display="'Cost Summary'!A1"/>
    <hyperlink ref="DQK8" location="'Cost Summary'!A1" display="'Cost Summary'!A1"/>
    <hyperlink ref="DQL8" location="'Cost Summary'!A1" display="'Cost Summary'!A1"/>
    <hyperlink ref="DQM8" location="'Cost Summary'!A1" display="'Cost Summary'!A1"/>
    <hyperlink ref="DQN8" location="'Cost Summary'!A1" display="'Cost Summary'!A1"/>
    <hyperlink ref="DQO8" location="'Cost Summary'!A1" display="'Cost Summary'!A1"/>
    <hyperlink ref="DQP8" location="'Cost Summary'!A1" display="'Cost Summary'!A1"/>
    <hyperlink ref="DQQ8" location="'Cost Summary'!A1" display="'Cost Summary'!A1"/>
    <hyperlink ref="DQR8" location="'Cost Summary'!A1" display="'Cost Summary'!A1"/>
    <hyperlink ref="DQS8" location="'Cost Summary'!A1" display="'Cost Summary'!A1"/>
    <hyperlink ref="DQT8" location="'Cost Summary'!A1" display="'Cost Summary'!A1"/>
    <hyperlink ref="DQU8" location="'Cost Summary'!A1" display="'Cost Summary'!A1"/>
    <hyperlink ref="DQV8" location="'Cost Summary'!A1" display="'Cost Summary'!A1"/>
    <hyperlink ref="DQW8" location="'Cost Summary'!A1" display="'Cost Summary'!A1"/>
    <hyperlink ref="DQX8" location="'Cost Summary'!A1" display="'Cost Summary'!A1"/>
    <hyperlink ref="DQY8" location="'Cost Summary'!A1" display="'Cost Summary'!A1"/>
    <hyperlink ref="DQZ8" location="'Cost Summary'!A1" display="'Cost Summary'!A1"/>
    <hyperlink ref="DRA8" location="'Cost Summary'!A1" display="'Cost Summary'!A1"/>
    <hyperlink ref="DRB8" location="'Cost Summary'!A1" display="'Cost Summary'!A1"/>
    <hyperlink ref="DRC8" location="'Cost Summary'!A1" display="'Cost Summary'!A1"/>
    <hyperlink ref="DRD8" location="'Cost Summary'!A1" display="'Cost Summary'!A1"/>
    <hyperlink ref="DRE8" location="'Cost Summary'!A1" display="'Cost Summary'!A1"/>
    <hyperlink ref="DRF8" location="'Cost Summary'!A1" display="'Cost Summary'!A1"/>
    <hyperlink ref="DRG8" location="'Cost Summary'!A1" display="'Cost Summary'!A1"/>
    <hyperlink ref="DRH8" location="'Cost Summary'!A1" display="'Cost Summary'!A1"/>
    <hyperlink ref="DRI8" location="'Cost Summary'!A1" display="'Cost Summary'!A1"/>
    <hyperlink ref="DRJ8" location="'Cost Summary'!A1" display="'Cost Summary'!A1"/>
    <hyperlink ref="DRK8" location="'Cost Summary'!A1" display="'Cost Summary'!A1"/>
    <hyperlink ref="DRL8" location="'Cost Summary'!A1" display="'Cost Summary'!A1"/>
    <hyperlink ref="DRM8" location="'Cost Summary'!A1" display="'Cost Summary'!A1"/>
    <hyperlink ref="DRN8" location="'Cost Summary'!A1" display="'Cost Summary'!A1"/>
    <hyperlink ref="DRO8" location="'Cost Summary'!A1" display="'Cost Summary'!A1"/>
    <hyperlink ref="DRP8" location="'Cost Summary'!A1" display="'Cost Summary'!A1"/>
    <hyperlink ref="DRQ8" location="'Cost Summary'!A1" display="'Cost Summary'!A1"/>
    <hyperlink ref="DRR8" location="'Cost Summary'!A1" display="'Cost Summary'!A1"/>
    <hyperlink ref="DRS8" location="'Cost Summary'!A1" display="'Cost Summary'!A1"/>
    <hyperlink ref="DRT8" location="'Cost Summary'!A1" display="'Cost Summary'!A1"/>
    <hyperlink ref="DRU8" location="'Cost Summary'!A1" display="'Cost Summary'!A1"/>
    <hyperlink ref="DRV8" location="'Cost Summary'!A1" display="'Cost Summary'!A1"/>
    <hyperlink ref="DRW8" location="'Cost Summary'!A1" display="'Cost Summary'!A1"/>
    <hyperlink ref="DRX8" location="'Cost Summary'!A1" display="'Cost Summary'!A1"/>
    <hyperlink ref="DRY8" location="'Cost Summary'!A1" display="'Cost Summary'!A1"/>
    <hyperlink ref="DRZ8" location="'Cost Summary'!A1" display="'Cost Summary'!A1"/>
    <hyperlink ref="DSA8" location="'Cost Summary'!A1" display="'Cost Summary'!A1"/>
    <hyperlink ref="DSB8" location="'Cost Summary'!A1" display="'Cost Summary'!A1"/>
    <hyperlink ref="DSC8" location="'Cost Summary'!A1" display="'Cost Summary'!A1"/>
    <hyperlink ref="DSD8" location="'Cost Summary'!A1" display="'Cost Summary'!A1"/>
    <hyperlink ref="DSE8" location="'Cost Summary'!A1" display="'Cost Summary'!A1"/>
    <hyperlink ref="DSF8" location="'Cost Summary'!A1" display="'Cost Summary'!A1"/>
    <hyperlink ref="DSG8" location="'Cost Summary'!A1" display="'Cost Summary'!A1"/>
    <hyperlink ref="DSH8" location="'Cost Summary'!A1" display="'Cost Summary'!A1"/>
    <hyperlink ref="DSI8" location="'Cost Summary'!A1" display="'Cost Summary'!A1"/>
    <hyperlink ref="DSJ8" location="'Cost Summary'!A1" display="'Cost Summary'!A1"/>
    <hyperlink ref="DSK8" location="'Cost Summary'!A1" display="'Cost Summary'!A1"/>
    <hyperlink ref="DSL8" location="'Cost Summary'!A1" display="'Cost Summary'!A1"/>
    <hyperlink ref="DSM8" location="'Cost Summary'!A1" display="'Cost Summary'!A1"/>
    <hyperlink ref="DSN8" location="'Cost Summary'!A1" display="'Cost Summary'!A1"/>
    <hyperlink ref="DSO8" location="'Cost Summary'!A1" display="'Cost Summary'!A1"/>
    <hyperlink ref="DSP8" location="'Cost Summary'!A1" display="'Cost Summary'!A1"/>
    <hyperlink ref="DSQ8" location="'Cost Summary'!A1" display="'Cost Summary'!A1"/>
    <hyperlink ref="DSR8" location="'Cost Summary'!A1" display="'Cost Summary'!A1"/>
    <hyperlink ref="DSS8" location="'Cost Summary'!A1" display="'Cost Summary'!A1"/>
    <hyperlink ref="DST8" location="'Cost Summary'!A1" display="'Cost Summary'!A1"/>
    <hyperlink ref="DSU8" location="'Cost Summary'!A1" display="'Cost Summary'!A1"/>
    <hyperlink ref="DSV8" location="'Cost Summary'!A1" display="'Cost Summary'!A1"/>
    <hyperlink ref="DSW8" location="'Cost Summary'!A1" display="'Cost Summary'!A1"/>
    <hyperlink ref="DSX8" location="'Cost Summary'!A1" display="'Cost Summary'!A1"/>
    <hyperlink ref="DSY8" location="'Cost Summary'!A1" display="'Cost Summary'!A1"/>
    <hyperlink ref="DSZ8" location="'Cost Summary'!A1" display="'Cost Summary'!A1"/>
    <hyperlink ref="DTA8" location="'Cost Summary'!A1" display="'Cost Summary'!A1"/>
    <hyperlink ref="DTB8" location="'Cost Summary'!A1" display="'Cost Summary'!A1"/>
    <hyperlink ref="DTC8" location="'Cost Summary'!A1" display="'Cost Summary'!A1"/>
    <hyperlink ref="DTD8" location="'Cost Summary'!A1" display="'Cost Summary'!A1"/>
    <hyperlink ref="DTE8" location="'Cost Summary'!A1" display="'Cost Summary'!A1"/>
    <hyperlink ref="DTF8" location="'Cost Summary'!A1" display="'Cost Summary'!A1"/>
    <hyperlink ref="DTG8" location="'Cost Summary'!A1" display="'Cost Summary'!A1"/>
    <hyperlink ref="DTH8" location="'Cost Summary'!A1" display="'Cost Summary'!A1"/>
    <hyperlink ref="DTI8" location="'Cost Summary'!A1" display="'Cost Summary'!A1"/>
    <hyperlink ref="DTJ8" location="'Cost Summary'!A1" display="'Cost Summary'!A1"/>
    <hyperlink ref="DTK8" location="'Cost Summary'!A1" display="'Cost Summary'!A1"/>
    <hyperlink ref="DTL8" location="'Cost Summary'!A1" display="'Cost Summary'!A1"/>
    <hyperlink ref="DTM8" location="'Cost Summary'!A1" display="'Cost Summary'!A1"/>
    <hyperlink ref="DTN8" location="'Cost Summary'!A1" display="'Cost Summary'!A1"/>
    <hyperlink ref="DTO8" location="'Cost Summary'!A1" display="'Cost Summary'!A1"/>
    <hyperlink ref="DTP8" location="'Cost Summary'!A1" display="'Cost Summary'!A1"/>
    <hyperlink ref="DTQ8" location="'Cost Summary'!A1" display="'Cost Summary'!A1"/>
    <hyperlink ref="DTR8" location="'Cost Summary'!A1" display="'Cost Summary'!A1"/>
    <hyperlink ref="DTS8" location="'Cost Summary'!A1" display="'Cost Summary'!A1"/>
    <hyperlink ref="DTT8" location="'Cost Summary'!A1" display="'Cost Summary'!A1"/>
    <hyperlink ref="DTU8" location="'Cost Summary'!A1" display="'Cost Summary'!A1"/>
    <hyperlink ref="DTV8" location="'Cost Summary'!A1" display="'Cost Summary'!A1"/>
    <hyperlink ref="DTW8" location="'Cost Summary'!A1" display="'Cost Summary'!A1"/>
    <hyperlink ref="DTX8" location="'Cost Summary'!A1" display="'Cost Summary'!A1"/>
    <hyperlink ref="DTY8" location="'Cost Summary'!A1" display="'Cost Summary'!A1"/>
    <hyperlink ref="DTZ8" location="'Cost Summary'!A1" display="'Cost Summary'!A1"/>
    <hyperlink ref="DUA8" location="'Cost Summary'!A1" display="'Cost Summary'!A1"/>
    <hyperlink ref="DUB8" location="'Cost Summary'!A1" display="'Cost Summary'!A1"/>
    <hyperlink ref="DUC8" location="'Cost Summary'!A1" display="'Cost Summary'!A1"/>
    <hyperlink ref="DUD8" location="'Cost Summary'!A1" display="'Cost Summary'!A1"/>
    <hyperlink ref="DUE8" location="'Cost Summary'!A1" display="'Cost Summary'!A1"/>
    <hyperlink ref="DUF8" location="'Cost Summary'!A1" display="'Cost Summary'!A1"/>
    <hyperlink ref="DUG8" location="'Cost Summary'!A1" display="'Cost Summary'!A1"/>
    <hyperlink ref="DUH8" location="'Cost Summary'!A1" display="'Cost Summary'!A1"/>
    <hyperlink ref="DUI8" location="'Cost Summary'!A1" display="'Cost Summary'!A1"/>
    <hyperlink ref="DUJ8" location="'Cost Summary'!A1" display="'Cost Summary'!A1"/>
    <hyperlink ref="DUK8" location="'Cost Summary'!A1" display="'Cost Summary'!A1"/>
    <hyperlink ref="DUL8" location="'Cost Summary'!A1" display="'Cost Summary'!A1"/>
    <hyperlink ref="DUM8" location="'Cost Summary'!A1" display="'Cost Summary'!A1"/>
    <hyperlink ref="DUN8" location="'Cost Summary'!A1" display="'Cost Summary'!A1"/>
    <hyperlink ref="DUO8" location="'Cost Summary'!A1" display="'Cost Summary'!A1"/>
    <hyperlink ref="DUP8" location="'Cost Summary'!A1" display="'Cost Summary'!A1"/>
    <hyperlink ref="DUQ8" location="'Cost Summary'!A1" display="'Cost Summary'!A1"/>
    <hyperlink ref="DUR8" location="'Cost Summary'!A1" display="'Cost Summary'!A1"/>
    <hyperlink ref="DUS8" location="'Cost Summary'!A1" display="'Cost Summary'!A1"/>
    <hyperlink ref="DUT8" location="'Cost Summary'!A1" display="'Cost Summary'!A1"/>
    <hyperlink ref="DUU8" location="'Cost Summary'!A1" display="'Cost Summary'!A1"/>
    <hyperlink ref="DUV8" location="'Cost Summary'!A1" display="'Cost Summary'!A1"/>
    <hyperlink ref="DUW8" location="'Cost Summary'!A1" display="'Cost Summary'!A1"/>
    <hyperlink ref="DUX8" location="'Cost Summary'!A1" display="'Cost Summary'!A1"/>
    <hyperlink ref="DUY8" location="'Cost Summary'!A1" display="'Cost Summary'!A1"/>
    <hyperlink ref="DUZ8" location="'Cost Summary'!A1" display="'Cost Summary'!A1"/>
    <hyperlink ref="DVA8" location="'Cost Summary'!A1" display="'Cost Summary'!A1"/>
    <hyperlink ref="DVB8" location="'Cost Summary'!A1" display="'Cost Summary'!A1"/>
    <hyperlink ref="DVC8" location="'Cost Summary'!A1" display="'Cost Summary'!A1"/>
    <hyperlink ref="DVD8" location="'Cost Summary'!A1" display="'Cost Summary'!A1"/>
    <hyperlink ref="DVE8" location="'Cost Summary'!A1" display="'Cost Summary'!A1"/>
    <hyperlink ref="DVF8" location="'Cost Summary'!A1" display="'Cost Summary'!A1"/>
    <hyperlink ref="DVG8" location="'Cost Summary'!A1" display="'Cost Summary'!A1"/>
    <hyperlink ref="DVH8" location="'Cost Summary'!A1" display="'Cost Summary'!A1"/>
    <hyperlink ref="DVI8" location="'Cost Summary'!A1" display="'Cost Summary'!A1"/>
    <hyperlink ref="DVJ8" location="'Cost Summary'!A1" display="'Cost Summary'!A1"/>
    <hyperlink ref="DVK8" location="'Cost Summary'!A1" display="'Cost Summary'!A1"/>
    <hyperlink ref="DVL8" location="'Cost Summary'!A1" display="'Cost Summary'!A1"/>
    <hyperlink ref="DVM8" location="'Cost Summary'!A1" display="'Cost Summary'!A1"/>
    <hyperlink ref="DVN8" location="'Cost Summary'!A1" display="'Cost Summary'!A1"/>
    <hyperlink ref="DVO8" location="'Cost Summary'!A1" display="'Cost Summary'!A1"/>
    <hyperlink ref="DVP8" location="'Cost Summary'!A1" display="'Cost Summary'!A1"/>
    <hyperlink ref="DVQ8" location="'Cost Summary'!A1" display="'Cost Summary'!A1"/>
    <hyperlink ref="DVR8" location="'Cost Summary'!A1" display="'Cost Summary'!A1"/>
    <hyperlink ref="DVS8" location="'Cost Summary'!A1" display="'Cost Summary'!A1"/>
    <hyperlink ref="DVT8" location="'Cost Summary'!A1" display="'Cost Summary'!A1"/>
    <hyperlink ref="DVU8" location="'Cost Summary'!A1" display="'Cost Summary'!A1"/>
    <hyperlink ref="DVV8" location="'Cost Summary'!A1" display="'Cost Summary'!A1"/>
    <hyperlink ref="DVW8" location="'Cost Summary'!A1" display="'Cost Summary'!A1"/>
    <hyperlink ref="DVX8" location="'Cost Summary'!A1" display="'Cost Summary'!A1"/>
    <hyperlink ref="DVY8" location="'Cost Summary'!A1" display="'Cost Summary'!A1"/>
    <hyperlink ref="DVZ8" location="'Cost Summary'!A1" display="'Cost Summary'!A1"/>
    <hyperlink ref="DWA8" location="'Cost Summary'!A1" display="'Cost Summary'!A1"/>
    <hyperlink ref="DWB8" location="'Cost Summary'!A1" display="'Cost Summary'!A1"/>
    <hyperlink ref="DWC8" location="'Cost Summary'!A1" display="'Cost Summary'!A1"/>
    <hyperlink ref="DWD8" location="'Cost Summary'!A1" display="'Cost Summary'!A1"/>
    <hyperlink ref="DWE8" location="'Cost Summary'!A1" display="'Cost Summary'!A1"/>
    <hyperlink ref="DWF8" location="'Cost Summary'!A1" display="'Cost Summary'!A1"/>
    <hyperlink ref="DWG8" location="'Cost Summary'!A1" display="'Cost Summary'!A1"/>
    <hyperlink ref="DWH8" location="'Cost Summary'!A1" display="'Cost Summary'!A1"/>
    <hyperlink ref="DWI8" location="'Cost Summary'!A1" display="'Cost Summary'!A1"/>
    <hyperlink ref="DWJ8" location="'Cost Summary'!A1" display="'Cost Summary'!A1"/>
    <hyperlink ref="DWK8" location="'Cost Summary'!A1" display="'Cost Summary'!A1"/>
    <hyperlink ref="DWL8" location="'Cost Summary'!A1" display="'Cost Summary'!A1"/>
    <hyperlink ref="DWM8" location="'Cost Summary'!A1" display="'Cost Summary'!A1"/>
    <hyperlink ref="DWN8" location="'Cost Summary'!A1" display="'Cost Summary'!A1"/>
    <hyperlink ref="DWO8" location="'Cost Summary'!A1" display="'Cost Summary'!A1"/>
    <hyperlink ref="DWP8" location="'Cost Summary'!A1" display="'Cost Summary'!A1"/>
    <hyperlink ref="DWQ8" location="'Cost Summary'!A1" display="'Cost Summary'!A1"/>
    <hyperlink ref="DWR8" location="'Cost Summary'!A1" display="'Cost Summary'!A1"/>
    <hyperlink ref="DWS8" location="'Cost Summary'!A1" display="'Cost Summary'!A1"/>
    <hyperlink ref="DWT8" location="'Cost Summary'!A1" display="'Cost Summary'!A1"/>
    <hyperlink ref="DWU8" location="'Cost Summary'!A1" display="'Cost Summary'!A1"/>
    <hyperlink ref="DWV8" location="'Cost Summary'!A1" display="'Cost Summary'!A1"/>
    <hyperlink ref="DWW8" location="'Cost Summary'!A1" display="'Cost Summary'!A1"/>
    <hyperlink ref="DWX8" location="'Cost Summary'!A1" display="'Cost Summary'!A1"/>
    <hyperlink ref="DWY8" location="'Cost Summary'!A1" display="'Cost Summary'!A1"/>
    <hyperlink ref="DWZ8" location="'Cost Summary'!A1" display="'Cost Summary'!A1"/>
    <hyperlink ref="DXA8" location="'Cost Summary'!A1" display="'Cost Summary'!A1"/>
    <hyperlink ref="DXB8" location="'Cost Summary'!A1" display="'Cost Summary'!A1"/>
    <hyperlink ref="DXC8" location="'Cost Summary'!A1" display="'Cost Summary'!A1"/>
    <hyperlink ref="DXD8" location="'Cost Summary'!A1" display="'Cost Summary'!A1"/>
    <hyperlink ref="DXE8" location="'Cost Summary'!A1" display="'Cost Summary'!A1"/>
    <hyperlink ref="DXF8" location="'Cost Summary'!A1" display="'Cost Summary'!A1"/>
    <hyperlink ref="DXG8" location="'Cost Summary'!A1" display="'Cost Summary'!A1"/>
    <hyperlink ref="DXH8" location="'Cost Summary'!A1" display="'Cost Summary'!A1"/>
    <hyperlink ref="DXI8" location="'Cost Summary'!A1" display="'Cost Summary'!A1"/>
    <hyperlink ref="DXJ8" location="'Cost Summary'!A1" display="'Cost Summary'!A1"/>
    <hyperlink ref="DXK8" location="'Cost Summary'!A1" display="'Cost Summary'!A1"/>
    <hyperlink ref="DXL8" location="'Cost Summary'!A1" display="'Cost Summary'!A1"/>
    <hyperlink ref="DXM8" location="'Cost Summary'!A1" display="'Cost Summary'!A1"/>
    <hyperlink ref="DXN8" location="'Cost Summary'!A1" display="'Cost Summary'!A1"/>
    <hyperlink ref="DXO8" location="'Cost Summary'!A1" display="'Cost Summary'!A1"/>
    <hyperlink ref="DXP8" location="'Cost Summary'!A1" display="'Cost Summary'!A1"/>
    <hyperlink ref="DXQ8" location="'Cost Summary'!A1" display="'Cost Summary'!A1"/>
    <hyperlink ref="DXR8" location="'Cost Summary'!A1" display="'Cost Summary'!A1"/>
    <hyperlink ref="DXS8" location="'Cost Summary'!A1" display="'Cost Summary'!A1"/>
    <hyperlink ref="DXT8" location="'Cost Summary'!A1" display="'Cost Summary'!A1"/>
    <hyperlink ref="DXU8" location="'Cost Summary'!A1" display="'Cost Summary'!A1"/>
    <hyperlink ref="DXV8" location="'Cost Summary'!A1" display="'Cost Summary'!A1"/>
    <hyperlink ref="DXW8" location="'Cost Summary'!A1" display="'Cost Summary'!A1"/>
    <hyperlink ref="DXX8" location="'Cost Summary'!A1" display="'Cost Summary'!A1"/>
    <hyperlink ref="DXY8" location="'Cost Summary'!A1" display="'Cost Summary'!A1"/>
    <hyperlink ref="DXZ8" location="'Cost Summary'!A1" display="'Cost Summary'!A1"/>
    <hyperlink ref="DYA8" location="'Cost Summary'!A1" display="'Cost Summary'!A1"/>
    <hyperlink ref="DYB8" location="'Cost Summary'!A1" display="'Cost Summary'!A1"/>
    <hyperlink ref="DYC8" location="'Cost Summary'!A1" display="'Cost Summary'!A1"/>
    <hyperlink ref="DYD8" location="'Cost Summary'!A1" display="'Cost Summary'!A1"/>
    <hyperlink ref="DYE8" location="'Cost Summary'!A1" display="'Cost Summary'!A1"/>
    <hyperlink ref="DYF8" location="'Cost Summary'!A1" display="'Cost Summary'!A1"/>
    <hyperlink ref="DYG8" location="'Cost Summary'!A1" display="'Cost Summary'!A1"/>
    <hyperlink ref="DYH8" location="'Cost Summary'!A1" display="'Cost Summary'!A1"/>
    <hyperlink ref="DYI8" location="'Cost Summary'!A1" display="'Cost Summary'!A1"/>
    <hyperlink ref="DYJ8" location="'Cost Summary'!A1" display="'Cost Summary'!A1"/>
    <hyperlink ref="DYK8" location="'Cost Summary'!A1" display="'Cost Summary'!A1"/>
    <hyperlink ref="DYL8" location="'Cost Summary'!A1" display="'Cost Summary'!A1"/>
    <hyperlink ref="DYM8" location="'Cost Summary'!A1" display="'Cost Summary'!A1"/>
    <hyperlink ref="DYN8" location="'Cost Summary'!A1" display="'Cost Summary'!A1"/>
    <hyperlink ref="DYO8" location="'Cost Summary'!A1" display="'Cost Summary'!A1"/>
    <hyperlink ref="DYP8" location="'Cost Summary'!A1" display="'Cost Summary'!A1"/>
    <hyperlink ref="DYQ8" location="'Cost Summary'!A1" display="'Cost Summary'!A1"/>
    <hyperlink ref="DYR8" location="'Cost Summary'!A1" display="'Cost Summary'!A1"/>
    <hyperlink ref="DYS8" location="'Cost Summary'!A1" display="'Cost Summary'!A1"/>
    <hyperlink ref="DYT8" location="'Cost Summary'!A1" display="'Cost Summary'!A1"/>
    <hyperlink ref="DYU8" location="'Cost Summary'!A1" display="'Cost Summary'!A1"/>
    <hyperlink ref="DYV8" location="'Cost Summary'!A1" display="'Cost Summary'!A1"/>
    <hyperlink ref="DYW8" location="'Cost Summary'!A1" display="'Cost Summary'!A1"/>
    <hyperlink ref="DYX8" location="'Cost Summary'!A1" display="'Cost Summary'!A1"/>
    <hyperlink ref="DYY8" location="'Cost Summary'!A1" display="'Cost Summary'!A1"/>
    <hyperlink ref="DYZ8" location="'Cost Summary'!A1" display="'Cost Summary'!A1"/>
    <hyperlink ref="DZA8" location="'Cost Summary'!A1" display="'Cost Summary'!A1"/>
    <hyperlink ref="DZB8" location="'Cost Summary'!A1" display="'Cost Summary'!A1"/>
    <hyperlink ref="DZC8" location="'Cost Summary'!A1" display="'Cost Summary'!A1"/>
    <hyperlink ref="DZD8" location="'Cost Summary'!A1" display="'Cost Summary'!A1"/>
    <hyperlink ref="DZE8" location="'Cost Summary'!A1" display="'Cost Summary'!A1"/>
    <hyperlink ref="DZF8" location="'Cost Summary'!A1" display="'Cost Summary'!A1"/>
    <hyperlink ref="DZG8" location="'Cost Summary'!A1" display="'Cost Summary'!A1"/>
    <hyperlink ref="DZH8" location="'Cost Summary'!A1" display="'Cost Summary'!A1"/>
    <hyperlink ref="DZI8" location="'Cost Summary'!A1" display="'Cost Summary'!A1"/>
    <hyperlink ref="DZJ8" location="'Cost Summary'!A1" display="'Cost Summary'!A1"/>
    <hyperlink ref="DZK8" location="'Cost Summary'!A1" display="'Cost Summary'!A1"/>
    <hyperlink ref="DZL8" location="'Cost Summary'!A1" display="'Cost Summary'!A1"/>
    <hyperlink ref="DZM8" location="'Cost Summary'!A1" display="'Cost Summary'!A1"/>
    <hyperlink ref="DZN8" location="'Cost Summary'!A1" display="'Cost Summary'!A1"/>
    <hyperlink ref="DZO8" location="'Cost Summary'!A1" display="'Cost Summary'!A1"/>
    <hyperlink ref="DZP8" location="'Cost Summary'!A1" display="'Cost Summary'!A1"/>
    <hyperlink ref="DZQ8" location="'Cost Summary'!A1" display="'Cost Summary'!A1"/>
    <hyperlink ref="DZR8" location="'Cost Summary'!A1" display="'Cost Summary'!A1"/>
    <hyperlink ref="DZS8" location="'Cost Summary'!A1" display="'Cost Summary'!A1"/>
    <hyperlink ref="DZT8" location="'Cost Summary'!A1" display="'Cost Summary'!A1"/>
    <hyperlink ref="DZU8" location="'Cost Summary'!A1" display="'Cost Summary'!A1"/>
    <hyperlink ref="DZV8" location="'Cost Summary'!A1" display="'Cost Summary'!A1"/>
    <hyperlink ref="DZW8" location="'Cost Summary'!A1" display="'Cost Summary'!A1"/>
    <hyperlink ref="DZX8" location="'Cost Summary'!A1" display="'Cost Summary'!A1"/>
    <hyperlink ref="DZY8" location="'Cost Summary'!A1" display="'Cost Summary'!A1"/>
    <hyperlink ref="DZZ8" location="'Cost Summary'!A1" display="'Cost Summary'!A1"/>
    <hyperlink ref="EAA8" location="'Cost Summary'!A1" display="'Cost Summary'!A1"/>
    <hyperlink ref="EAB8" location="'Cost Summary'!A1" display="'Cost Summary'!A1"/>
    <hyperlink ref="EAC8" location="'Cost Summary'!A1" display="'Cost Summary'!A1"/>
    <hyperlink ref="EAD8" location="'Cost Summary'!A1" display="'Cost Summary'!A1"/>
    <hyperlink ref="EAE8" location="'Cost Summary'!A1" display="'Cost Summary'!A1"/>
    <hyperlink ref="EAF8" location="'Cost Summary'!A1" display="'Cost Summary'!A1"/>
    <hyperlink ref="EAG8" location="'Cost Summary'!A1" display="'Cost Summary'!A1"/>
    <hyperlink ref="EAH8" location="'Cost Summary'!A1" display="'Cost Summary'!A1"/>
    <hyperlink ref="EAI8" location="'Cost Summary'!A1" display="'Cost Summary'!A1"/>
    <hyperlink ref="EAJ8" location="'Cost Summary'!A1" display="'Cost Summary'!A1"/>
    <hyperlink ref="EAK8" location="'Cost Summary'!A1" display="'Cost Summary'!A1"/>
    <hyperlink ref="EAL8" location="'Cost Summary'!A1" display="'Cost Summary'!A1"/>
    <hyperlink ref="EAM8" location="'Cost Summary'!A1" display="'Cost Summary'!A1"/>
    <hyperlink ref="EAN8" location="'Cost Summary'!A1" display="'Cost Summary'!A1"/>
    <hyperlink ref="EAO8" location="'Cost Summary'!A1" display="'Cost Summary'!A1"/>
    <hyperlink ref="EAP8" location="'Cost Summary'!A1" display="'Cost Summary'!A1"/>
    <hyperlink ref="EAQ8" location="'Cost Summary'!A1" display="'Cost Summary'!A1"/>
    <hyperlink ref="EAR8" location="'Cost Summary'!A1" display="'Cost Summary'!A1"/>
    <hyperlink ref="EAS8" location="'Cost Summary'!A1" display="'Cost Summary'!A1"/>
    <hyperlink ref="EAT8" location="'Cost Summary'!A1" display="'Cost Summary'!A1"/>
    <hyperlink ref="EAU8" location="'Cost Summary'!A1" display="'Cost Summary'!A1"/>
    <hyperlink ref="EAV8" location="'Cost Summary'!A1" display="'Cost Summary'!A1"/>
    <hyperlink ref="EAW8" location="'Cost Summary'!A1" display="'Cost Summary'!A1"/>
    <hyperlink ref="EAX8" location="'Cost Summary'!A1" display="'Cost Summary'!A1"/>
    <hyperlink ref="EAY8" location="'Cost Summary'!A1" display="'Cost Summary'!A1"/>
    <hyperlink ref="EAZ8" location="'Cost Summary'!A1" display="'Cost Summary'!A1"/>
    <hyperlink ref="EBA8" location="'Cost Summary'!A1" display="'Cost Summary'!A1"/>
    <hyperlink ref="EBB8" location="'Cost Summary'!A1" display="'Cost Summary'!A1"/>
    <hyperlink ref="EBC8" location="'Cost Summary'!A1" display="'Cost Summary'!A1"/>
    <hyperlink ref="EBD8" location="'Cost Summary'!A1" display="'Cost Summary'!A1"/>
    <hyperlink ref="EBE8" location="'Cost Summary'!A1" display="'Cost Summary'!A1"/>
    <hyperlink ref="EBF8" location="'Cost Summary'!A1" display="'Cost Summary'!A1"/>
    <hyperlink ref="EBG8" location="'Cost Summary'!A1" display="'Cost Summary'!A1"/>
    <hyperlink ref="EBH8" location="'Cost Summary'!A1" display="'Cost Summary'!A1"/>
    <hyperlink ref="EBI8" location="'Cost Summary'!A1" display="'Cost Summary'!A1"/>
    <hyperlink ref="EBJ8" location="'Cost Summary'!A1" display="'Cost Summary'!A1"/>
    <hyperlink ref="EBK8" location="'Cost Summary'!A1" display="'Cost Summary'!A1"/>
    <hyperlink ref="EBL8" location="'Cost Summary'!A1" display="'Cost Summary'!A1"/>
    <hyperlink ref="EBM8" location="'Cost Summary'!A1" display="'Cost Summary'!A1"/>
    <hyperlink ref="EBN8" location="'Cost Summary'!A1" display="'Cost Summary'!A1"/>
    <hyperlink ref="EBO8" location="'Cost Summary'!A1" display="'Cost Summary'!A1"/>
    <hyperlink ref="EBP8" location="'Cost Summary'!A1" display="'Cost Summary'!A1"/>
    <hyperlink ref="EBQ8" location="'Cost Summary'!A1" display="'Cost Summary'!A1"/>
    <hyperlink ref="EBR8" location="'Cost Summary'!A1" display="'Cost Summary'!A1"/>
    <hyperlink ref="EBS8" location="'Cost Summary'!A1" display="'Cost Summary'!A1"/>
    <hyperlink ref="EBT8" location="'Cost Summary'!A1" display="'Cost Summary'!A1"/>
    <hyperlink ref="EBU8" location="'Cost Summary'!A1" display="'Cost Summary'!A1"/>
    <hyperlink ref="EBV8" location="'Cost Summary'!A1" display="'Cost Summary'!A1"/>
    <hyperlink ref="EBW8" location="'Cost Summary'!A1" display="'Cost Summary'!A1"/>
    <hyperlink ref="EBX8" location="'Cost Summary'!A1" display="'Cost Summary'!A1"/>
    <hyperlink ref="EBY8" location="'Cost Summary'!A1" display="'Cost Summary'!A1"/>
    <hyperlink ref="EBZ8" location="'Cost Summary'!A1" display="'Cost Summary'!A1"/>
    <hyperlink ref="ECA8" location="'Cost Summary'!A1" display="'Cost Summary'!A1"/>
    <hyperlink ref="ECB8" location="'Cost Summary'!A1" display="'Cost Summary'!A1"/>
    <hyperlink ref="ECC8" location="'Cost Summary'!A1" display="'Cost Summary'!A1"/>
    <hyperlink ref="ECD8" location="'Cost Summary'!A1" display="'Cost Summary'!A1"/>
    <hyperlink ref="ECE8" location="'Cost Summary'!A1" display="'Cost Summary'!A1"/>
    <hyperlink ref="ECF8" location="'Cost Summary'!A1" display="'Cost Summary'!A1"/>
    <hyperlink ref="ECG8" location="'Cost Summary'!A1" display="'Cost Summary'!A1"/>
    <hyperlink ref="ECH8" location="'Cost Summary'!A1" display="'Cost Summary'!A1"/>
    <hyperlink ref="ECI8" location="'Cost Summary'!A1" display="'Cost Summary'!A1"/>
    <hyperlink ref="ECJ8" location="'Cost Summary'!A1" display="'Cost Summary'!A1"/>
    <hyperlink ref="ECK8" location="'Cost Summary'!A1" display="'Cost Summary'!A1"/>
    <hyperlink ref="ECL8" location="'Cost Summary'!A1" display="'Cost Summary'!A1"/>
    <hyperlink ref="ECM8" location="'Cost Summary'!A1" display="'Cost Summary'!A1"/>
    <hyperlink ref="ECN8" location="'Cost Summary'!A1" display="'Cost Summary'!A1"/>
    <hyperlink ref="ECO8" location="'Cost Summary'!A1" display="'Cost Summary'!A1"/>
    <hyperlink ref="ECP8" location="'Cost Summary'!A1" display="'Cost Summary'!A1"/>
    <hyperlink ref="ECQ8" location="'Cost Summary'!A1" display="'Cost Summary'!A1"/>
    <hyperlink ref="ECR8" location="'Cost Summary'!A1" display="'Cost Summary'!A1"/>
    <hyperlink ref="ECS8" location="'Cost Summary'!A1" display="'Cost Summary'!A1"/>
    <hyperlink ref="ECT8" location="'Cost Summary'!A1" display="'Cost Summary'!A1"/>
    <hyperlink ref="ECU8" location="'Cost Summary'!A1" display="'Cost Summary'!A1"/>
    <hyperlink ref="ECV8" location="'Cost Summary'!A1" display="'Cost Summary'!A1"/>
    <hyperlink ref="ECW8" location="'Cost Summary'!A1" display="'Cost Summary'!A1"/>
    <hyperlink ref="ECX8" location="'Cost Summary'!A1" display="'Cost Summary'!A1"/>
    <hyperlink ref="ECY8" location="'Cost Summary'!A1" display="'Cost Summary'!A1"/>
    <hyperlink ref="ECZ8" location="'Cost Summary'!A1" display="'Cost Summary'!A1"/>
    <hyperlink ref="EDA8" location="'Cost Summary'!A1" display="'Cost Summary'!A1"/>
    <hyperlink ref="EDB8" location="'Cost Summary'!A1" display="'Cost Summary'!A1"/>
    <hyperlink ref="EDC8" location="'Cost Summary'!A1" display="'Cost Summary'!A1"/>
    <hyperlink ref="EDD8" location="'Cost Summary'!A1" display="'Cost Summary'!A1"/>
    <hyperlink ref="EDE8" location="'Cost Summary'!A1" display="'Cost Summary'!A1"/>
    <hyperlink ref="EDF8" location="'Cost Summary'!A1" display="'Cost Summary'!A1"/>
    <hyperlink ref="EDG8" location="'Cost Summary'!A1" display="'Cost Summary'!A1"/>
    <hyperlink ref="EDH8" location="'Cost Summary'!A1" display="'Cost Summary'!A1"/>
    <hyperlink ref="EDI8" location="'Cost Summary'!A1" display="'Cost Summary'!A1"/>
    <hyperlink ref="EDJ8" location="'Cost Summary'!A1" display="'Cost Summary'!A1"/>
    <hyperlink ref="EDK8" location="'Cost Summary'!A1" display="'Cost Summary'!A1"/>
    <hyperlink ref="EDL8" location="'Cost Summary'!A1" display="'Cost Summary'!A1"/>
    <hyperlink ref="EDM8" location="'Cost Summary'!A1" display="'Cost Summary'!A1"/>
    <hyperlink ref="EDN8" location="'Cost Summary'!A1" display="'Cost Summary'!A1"/>
    <hyperlink ref="EDO8" location="'Cost Summary'!A1" display="'Cost Summary'!A1"/>
    <hyperlink ref="EDP8" location="'Cost Summary'!A1" display="'Cost Summary'!A1"/>
    <hyperlink ref="EDQ8" location="'Cost Summary'!A1" display="'Cost Summary'!A1"/>
    <hyperlink ref="EDR8" location="'Cost Summary'!A1" display="'Cost Summary'!A1"/>
    <hyperlink ref="EDS8" location="'Cost Summary'!A1" display="'Cost Summary'!A1"/>
    <hyperlink ref="EDT8" location="'Cost Summary'!A1" display="'Cost Summary'!A1"/>
    <hyperlink ref="EDU8" location="'Cost Summary'!A1" display="'Cost Summary'!A1"/>
    <hyperlink ref="EDV8" location="'Cost Summary'!A1" display="'Cost Summary'!A1"/>
    <hyperlink ref="EDW8" location="'Cost Summary'!A1" display="'Cost Summary'!A1"/>
    <hyperlink ref="EDX8" location="'Cost Summary'!A1" display="'Cost Summary'!A1"/>
    <hyperlink ref="EDY8" location="'Cost Summary'!A1" display="'Cost Summary'!A1"/>
    <hyperlink ref="EDZ8" location="'Cost Summary'!A1" display="'Cost Summary'!A1"/>
    <hyperlink ref="EEA8" location="'Cost Summary'!A1" display="'Cost Summary'!A1"/>
    <hyperlink ref="EEB8" location="'Cost Summary'!A1" display="'Cost Summary'!A1"/>
    <hyperlink ref="EEC8" location="'Cost Summary'!A1" display="'Cost Summary'!A1"/>
    <hyperlink ref="EED8" location="'Cost Summary'!A1" display="'Cost Summary'!A1"/>
    <hyperlink ref="EEE8" location="'Cost Summary'!A1" display="'Cost Summary'!A1"/>
    <hyperlink ref="EEF8" location="'Cost Summary'!A1" display="'Cost Summary'!A1"/>
    <hyperlink ref="EEG8" location="'Cost Summary'!A1" display="'Cost Summary'!A1"/>
    <hyperlink ref="EEH8" location="'Cost Summary'!A1" display="'Cost Summary'!A1"/>
    <hyperlink ref="EEI8" location="'Cost Summary'!A1" display="'Cost Summary'!A1"/>
    <hyperlink ref="EEJ8" location="'Cost Summary'!A1" display="'Cost Summary'!A1"/>
    <hyperlink ref="EEK8" location="'Cost Summary'!A1" display="'Cost Summary'!A1"/>
    <hyperlink ref="EEL8" location="'Cost Summary'!A1" display="'Cost Summary'!A1"/>
    <hyperlink ref="EEM8" location="'Cost Summary'!A1" display="'Cost Summary'!A1"/>
    <hyperlink ref="EEN8" location="'Cost Summary'!A1" display="'Cost Summary'!A1"/>
    <hyperlink ref="EEO8" location="'Cost Summary'!A1" display="'Cost Summary'!A1"/>
    <hyperlink ref="EEP8" location="'Cost Summary'!A1" display="'Cost Summary'!A1"/>
    <hyperlink ref="EEQ8" location="'Cost Summary'!A1" display="'Cost Summary'!A1"/>
    <hyperlink ref="EER8" location="'Cost Summary'!A1" display="'Cost Summary'!A1"/>
    <hyperlink ref="EES8" location="'Cost Summary'!A1" display="'Cost Summary'!A1"/>
    <hyperlink ref="EET8" location="'Cost Summary'!A1" display="'Cost Summary'!A1"/>
    <hyperlink ref="EEU8" location="'Cost Summary'!A1" display="'Cost Summary'!A1"/>
    <hyperlink ref="EEV8" location="'Cost Summary'!A1" display="'Cost Summary'!A1"/>
    <hyperlink ref="EEW8" location="'Cost Summary'!A1" display="'Cost Summary'!A1"/>
    <hyperlink ref="EEX8" location="'Cost Summary'!A1" display="'Cost Summary'!A1"/>
    <hyperlink ref="EEY8" location="'Cost Summary'!A1" display="'Cost Summary'!A1"/>
    <hyperlink ref="EEZ8" location="'Cost Summary'!A1" display="'Cost Summary'!A1"/>
    <hyperlink ref="EFA8" location="'Cost Summary'!A1" display="'Cost Summary'!A1"/>
    <hyperlink ref="EFB8" location="'Cost Summary'!A1" display="'Cost Summary'!A1"/>
    <hyperlink ref="EFC8" location="'Cost Summary'!A1" display="'Cost Summary'!A1"/>
    <hyperlink ref="EFD8" location="'Cost Summary'!A1" display="'Cost Summary'!A1"/>
    <hyperlink ref="EFE8" location="'Cost Summary'!A1" display="'Cost Summary'!A1"/>
    <hyperlink ref="EFF8" location="'Cost Summary'!A1" display="'Cost Summary'!A1"/>
    <hyperlink ref="EFG8" location="'Cost Summary'!A1" display="'Cost Summary'!A1"/>
    <hyperlink ref="EFH8" location="'Cost Summary'!A1" display="'Cost Summary'!A1"/>
    <hyperlink ref="EFI8" location="'Cost Summary'!A1" display="'Cost Summary'!A1"/>
    <hyperlink ref="EFJ8" location="'Cost Summary'!A1" display="'Cost Summary'!A1"/>
    <hyperlink ref="EFK8" location="'Cost Summary'!A1" display="'Cost Summary'!A1"/>
    <hyperlink ref="EFL8" location="'Cost Summary'!A1" display="'Cost Summary'!A1"/>
    <hyperlink ref="EFM8" location="'Cost Summary'!A1" display="'Cost Summary'!A1"/>
    <hyperlink ref="EFN8" location="'Cost Summary'!A1" display="'Cost Summary'!A1"/>
    <hyperlink ref="EFO8" location="'Cost Summary'!A1" display="'Cost Summary'!A1"/>
    <hyperlink ref="EFP8" location="'Cost Summary'!A1" display="'Cost Summary'!A1"/>
    <hyperlink ref="EFQ8" location="'Cost Summary'!A1" display="'Cost Summary'!A1"/>
    <hyperlink ref="EFR8" location="'Cost Summary'!A1" display="'Cost Summary'!A1"/>
    <hyperlink ref="EFS8" location="'Cost Summary'!A1" display="'Cost Summary'!A1"/>
    <hyperlink ref="EFT8" location="'Cost Summary'!A1" display="'Cost Summary'!A1"/>
    <hyperlink ref="EFU8" location="'Cost Summary'!A1" display="'Cost Summary'!A1"/>
    <hyperlink ref="EFV8" location="'Cost Summary'!A1" display="'Cost Summary'!A1"/>
    <hyperlink ref="EFW8" location="'Cost Summary'!A1" display="'Cost Summary'!A1"/>
    <hyperlink ref="EFX8" location="'Cost Summary'!A1" display="'Cost Summary'!A1"/>
    <hyperlink ref="EFY8" location="'Cost Summary'!A1" display="'Cost Summary'!A1"/>
    <hyperlink ref="EFZ8" location="'Cost Summary'!A1" display="'Cost Summary'!A1"/>
    <hyperlink ref="EGA8" location="'Cost Summary'!A1" display="'Cost Summary'!A1"/>
    <hyperlink ref="EGB8" location="'Cost Summary'!A1" display="'Cost Summary'!A1"/>
    <hyperlink ref="EGC8" location="'Cost Summary'!A1" display="'Cost Summary'!A1"/>
    <hyperlink ref="EGD8" location="'Cost Summary'!A1" display="'Cost Summary'!A1"/>
    <hyperlink ref="EGE8" location="'Cost Summary'!A1" display="'Cost Summary'!A1"/>
    <hyperlink ref="EGF8" location="'Cost Summary'!A1" display="'Cost Summary'!A1"/>
    <hyperlink ref="EGG8" location="'Cost Summary'!A1" display="'Cost Summary'!A1"/>
    <hyperlink ref="EGH8" location="'Cost Summary'!A1" display="'Cost Summary'!A1"/>
    <hyperlink ref="EGI8" location="'Cost Summary'!A1" display="'Cost Summary'!A1"/>
    <hyperlink ref="EGJ8" location="'Cost Summary'!A1" display="'Cost Summary'!A1"/>
    <hyperlink ref="EGK8" location="'Cost Summary'!A1" display="'Cost Summary'!A1"/>
    <hyperlink ref="EGL8" location="'Cost Summary'!A1" display="'Cost Summary'!A1"/>
    <hyperlink ref="EGM8" location="'Cost Summary'!A1" display="'Cost Summary'!A1"/>
    <hyperlink ref="EGN8" location="'Cost Summary'!A1" display="'Cost Summary'!A1"/>
    <hyperlink ref="EGO8" location="'Cost Summary'!A1" display="'Cost Summary'!A1"/>
    <hyperlink ref="EGP8" location="'Cost Summary'!A1" display="'Cost Summary'!A1"/>
    <hyperlink ref="EGQ8" location="'Cost Summary'!A1" display="'Cost Summary'!A1"/>
    <hyperlink ref="EGR8" location="'Cost Summary'!A1" display="'Cost Summary'!A1"/>
    <hyperlink ref="EGS8" location="'Cost Summary'!A1" display="'Cost Summary'!A1"/>
    <hyperlink ref="EGT8" location="'Cost Summary'!A1" display="'Cost Summary'!A1"/>
    <hyperlink ref="EGU8" location="'Cost Summary'!A1" display="'Cost Summary'!A1"/>
    <hyperlink ref="EGV8" location="'Cost Summary'!A1" display="'Cost Summary'!A1"/>
    <hyperlink ref="EGW8" location="'Cost Summary'!A1" display="'Cost Summary'!A1"/>
    <hyperlink ref="EGX8" location="'Cost Summary'!A1" display="'Cost Summary'!A1"/>
    <hyperlink ref="EGY8" location="'Cost Summary'!A1" display="'Cost Summary'!A1"/>
    <hyperlink ref="EGZ8" location="'Cost Summary'!A1" display="'Cost Summary'!A1"/>
    <hyperlink ref="EHA8" location="'Cost Summary'!A1" display="'Cost Summary'!A1"/>
    <hyperlink ref="EHB8" location="'Cost Summary'!A1" display="'Cost Summary'!A1"/>
    <hyperlink ref="EHC8" location="'Cost Summary'!A1" display="'Cost Summary'!A1"/>
    <hyperlink ref="EHD8" location="'Cost Summary'!A1" display="'Cost Summary'!A1"/>
    <hyperlink ref="EHE8" location="'Cost Summary'!A1" display="'Cost Summary'!A1"/>
    <hyperlink ref="EHF8" location="'Cost Summary'!A1" display="'Cost Summary'!A1"/>
    <hyperlink ref="EHG8" location="'Cost Summary'!A1" display="'Cost Summary'!A1"/>
    <hyperlink ref="EHH8" location="'Cost Summary'!A1" display="'Cost Summary'!A1"/>
    <hyperlink ref="EHI8" location="'Cost Summary'!A1" display="'Cost Summary'!A1"/>
    <hyperlink ref="EHJ8" location="'Cost Summary'!A1" display="'Cost Summary'!A1"/>
    <hyperlink ref="EHK8" location="'Cost Summary'!A1" display="'Cost Summary'!A1"/>
    <hyperlink ref="EHL8" location="'Cost Summary'!A1" display="'Cost Summary'!A1"/>
    <hyperlink ref="EHM8" location="'Cost Summary'!A1" display="'Cost Summary'!A1"/>
    <hyperlink ref="EHN8" location="'Cost Summary'!A1" display="'Cost Summary'!A1"/>
    <hyperlink ref="EHO8" location="'Cost Summary'!A1" display="'Cost Summary'!A1"/>
    <hyperlink ref="EHP8" location="'Cost Summary'!A1" display="'Cost Summary'!A1"/>
    <hyperlink ref="EHQ8" location="'Cost Summary'!A1" display="'Cost Summary'!A1"/>
    <hyperlink ref="EHR8" location="'Cost Summary'!A1" display="'Cost Summary'!A1"/>
    <hyperlink ref="EHS8" location="'Cost Summary'!A1" display="'Cost Summary'!A1"/>
    <hyperlink ref="EHT8" location="'Cost Summary'!A1" display="'Cost Summary'!A1"/>
    <hyperlink ref="EHU8" location="'Cost Summary'!A1" display="'Cost Summary'!A1"/>
    <hyperlink ref="EHV8" location="'Cost Summary'!A1" display="'Cost Summary'!A1"/>
    <hyperlink ref="EHW8" location="'Cost Summary'!A1" display="'Cost Summary'!A1"/>
    <hyperlink ref="EHX8" location="'Cost Summary'!A1" display="'Cost Summary'!A1"/>
    <hyperlink ref="EHY8" location="'Cost Summary'!A1" display="'Cost Summary'!A1"/>
    <hyperlink ref="EHZ8" location="'Cost Summary'!A1" display="'Cost Summary'!A1"/>
    <hyperlink ref="EIA8" location="'Cost Summary'!A1" display="'Cost Summary'!A1"/>
    <hyperlink ref="EIB8" location="'Cost Summary'!A1" display="'Cost Summary'!A1"/>
    <hyperlink ref="EIC8" location="'Cost Summary'!A1" display="'Cost Summary'!A1"/>
    <hyperlink ref="EID8" location="'Cost Summary'!A1" display="'Cost Summary'!A1"/>
    <hyperlink ref="EIE8" location="'Cost Summary'!A1" display="'Cost Summary'!A1"/>
    <hyperlink ref="EIF8" location="'Cost Summary'!A1" display="'Cost Summary'!A1"/>
    <hyperlink ref="EIG8" location="'Cost Summary'!A1" display="'Cost Summary'!A1"/>
    <hyperlink ref="EIH8" location="'Cost Summary'!A1" display="'Cost Summary'!A1"/>
    <hyperlink ref="EII8" location="'Cost Summary'!A1" display="'Cost Summary'!A1"/>
    <hyperlink ref="EIJ8" location="'Cost Summary'!A1" display="'Cost Summary'!A1"/>
    <hyperlink ref="EIK8" location="'Cost Summary'!A1" display="'Cost Summary'!A1"/>
    <hyperlink ref="EIL8" location="'Cost Summary'!A1" display="'Cost Summary'!A1"/>
    <hyperlink ref="EIM8" location="'Cost Summary'!A1" display="'Cost Summary'!A1"/>
    <hyperlink ref="EIN8" location="'Cost Summary'!A1" display="'Cost Summary'!A1"/>
    <hyperlink ref="EIO8" location="'Cost Summary'!A1" display="'Cost Summary'!A1"/>
    <hyperlink ref="EIP8" location="'Cost Summary'!A1" display="'Cost Summary'!A1"/>
    <hyperlink ref="EIQ8" location="'Cost Summary'!A1" display="'Cost Summary'!A1"/>
    <hyperlink ref="EIR8" location="'Cost Summary'!A1" display="'Cost Summary'!A1"/>
    <hyperlink ref="EIS8" location="'Cost Summary'!A1" display="'Cost Summary'!A1"/>
    <hyperlink ref="EIT8" location="'Cost Summary'!A1" display="'Cost Summary'!A1"/>
    <hyperlink ref="EIU8" location="'Cost Summary'!A1" display="'Cost Summary'!A1"/>
    <hyperlink ref="EIV8" location="'Cost Summary'!A1" display="'Cost Summary'!A1"/>
    <hyperlink ref="EIW8" location="'Cost Summary'!A1" display="'Cost Summary'!A1"/>
    <hyperlink ref="EIX8" location="'Cost Summary'!A1" display="'Cost Summary'!A1"/>
    <hyperlink ref="EIY8" location="'Cost Summary'!A1" display="'Cost Summary'!A1"/>
    <hyperlink ref="EIZ8" location="'Cost Summary'!A1" display="'Cost Summary'!A1"/>
    <hyperlink ref="EJA8" location="'Cost Summary'!A1" display="'Cost Summary'!A1"/>
    <hyperlink ref="EJB8" location="'Cost Summary'!A1" display="'Cost Summary'!A1"/>
    <hyperlink ref="EJC8" location="'Cost Summary'!A1" display="'Cost Summary'!A1"/>
    <hyperlink ref="EJD8" location="'Cost Summary'!A1" display="'Cost Summary'!A1"/>
    <hyperlink ref="EJE8" location="'Cost Summary'!A1" display="'Cost Summary'!A1"/>
    <hyperlink ref="EJF8" location="'Cost Summary'!A1" display="'Cost Summary'!A1"/>
    <hyperlink ref="EJG8" location="'Cost Summary'!A1" display="'Cost Summary'!A1"/>
    <hyperlink ref="EJH8" location="'Cost Summary'!A1" display="'Cost Summary'!A1"/>
    <hyperlink ref="EJI8" location="'Cost Summary'!A1" display="'Cost Summary'!A1"/>
    <hyperlink ref="EJJ8" location="'Cost Summary'!A1" display="'Cost Summary'!A1"/>
    <hyperlink ref="EJK8" location="'Cost Summary'!A1" display="'Cost Summary'!A1"/>
    <hyperlink ref="EJL8" location="'Cost Summary'!A1" display="'Cost Summary'!A1"/>
    <hyperlink ref="EJM8" location="'Cost Summary'!A1" display="'Cost Summary'!A1"/>
    <hyperlink ref="EJN8" location="'Cost Summary'!A1" display="'Cost Summary'!A1"/>
    <hyperlink ref="EJO8" location="'Cost Summary'!A1" display="'Cost Summary'!A1"/>
    <hyperlink ref="EJP8" location="'Cost Summary'!A1" display="'Cost Summary'!A1"/>
    <hyperlink ref="EJQ8" location="'Cost Summary'!A1" display="'Cost Summary'!A1"/>
    <hyperlink ref="EJR8" location="'Cost Summary'!A1" display="'Cost Summary'!A1"/>
    <hyperlink ref="EJS8" location="'Cost Summary'!A1" display="'Cost Summary'!A1"/>
    <hyperlink ref="EJT8" location="'Cost Summary'!A1" display="'Cost Summary'!A1"/>
    <hyperlink ref="EJU8" location="'Cost Summary'!A1" display="'Cost Summary'!A1"/>
    <hyperlink ref="EJV8" location="'Cost Summary'!A1" display="'Cost Summary'!A1"/>
    <hyperlink ref="EJW8" location="'Cost Summary'!A1" display="'Cost Summary'!A1"/>
    <hyperlink ref="EJX8" location="'Cost Summary'!A1" display="'Cost Summary'!A1"/>
    <hyperlink ref="EJY8" location="'Cost Summary'!A1" display="'Cost Summary'!A1"/>
    <hyperlink ref="EJZ8" location="'Cost Summary'!A1" display="'Cost Summary'!A1"/>
    <hyperlink ref="EKA8" location="'Cost Summary'!A1" display="'Cost Summary'!A1"/>
    <hyperlink ref="EKB8" location="'Cost Summary'!A1" display="'Cost Summary'!A1"/>
    <hyperlink ref="EKC8" location="'Cost Summary'!A1" display="'Cost Summary'!A1"/>
    <hyperlink ref="EKD8" location="'Cost Summary'!A1" display="'Cost Summary'!A1"/>
    <hyperlink ref="EKE8" location="'Cost Summary'!A1" display="'Cost Summary'!A1"/>
    <hyperlink ref="EKF8" location="'Cost Summary'!A1" display="'Cost Summary'!A1"/>
    <hyperlink ref="EKG8" location="'Cost Summary'!A1" display="'Cost Summary'!A1"/>
    <hyperlink ref="EKH8" location="'Cost Summary'!A1" display="'Cost Summary'!A1"/>
    <hyperlink ref="EKI8" location="'Cost Summary'!A1" display="'Cost Summary'!A1"/>
    <hyperlink ref="EKJ8" location="'Cost Summary'!A1" display="'Cost Summary'!A1"/>
    <hyperlink ref="EKK8" location="'Cost Summary'!A1" display="'Cost Summary'!A1"/>
    <hyperlink ref="EKL8" location="'Cost Summary'!A1" display="'Cost Summary'!A1"/>
    <hyperlink ref="EKM8" location="'Cost Summary'!A1" display="'Cost Summary'!A1"/>
    <hyperlink ref="EKN8" location="'Cost Summary'!A1" display="'Cost Summary'!A1"/>
    <hyperlink ref="EKO8" location="'Cost Summary'!A1" display="'Cost Summary'!A1"/>
    <hyperlink ref="EKP8" location="'Cost Summary'!A1" display="'Cost Summary'!A1"/>
    <hyperlink ref="EKQ8" location="'Cost Summary'!A1" display="'Cost Summary'!A1"/>
    <hyperlink ref="EKR8" location="'Cost Summary'!A1" display="'Cost Summary'!A1"/>
    <hyperlink ref="EKS8" location="'Cost Summary'!A1" display="'Cost Summary'!A1"/>
    <hyperlink ref="EKT8" location="'Cost Summary'!A1" display="'Cost Summary'!A1"/>
    <hyperlink ref="EKU8" location="'Cost Summary'!A1" display="'Cost Summary'!A1"/>
    <hyperlink ref="EKV8" location="'Cost Summary'!A1" display="'Cost Summary'!A1"/>
    <hyperlink ref="EKW8" location="'Cost Summary'!A1" display="'Cost Summary'!A1"/>
    <hyperlink ref="EKX8" location="'Cost Summary'!A1" display="'Cost Summary'!A1"/>
    <hyperlink ref="EKY8" location="'Cost Summary'!A1" display="'Cost Summary'!A1"/>
    <hyperlink ref="EKZ8" location="'Cost Summary'!A1" display="'Cost Summary'!A1"/>
    <hyperlink ref="ELA8" location="'Cost Summary'!A1" display="'Cost Summary'!A1"/>
    <hyperlink ref="ELB8" location="'Cost Summary'!A1" display="'Cost Summary'!A1"/>
    <hyperlink ref="ELC8" location="'Cost Summary'!A1" display="'Cost Summary'!A1"/>
    <hyperlink ref="ELD8" location="'Cost Summary'!A1" display="'Cost Summary'!A1"/>
    <hyperlink ref="ELE8" location="'Cost Summary'!A1" display="'Cost Summary'!A1"/>
    <hyperlink ref="ELF8" location="'Cost Summary'!A1" display="'Cost Summary'!A1"/>
    <hyperlink ref="ELG8" location="'Cost Summary'!A1" display="'Cost Summary'!A1"/>
    <hyperlink ref="ELH8" location="'Cost Summary'!A1" display="'Cost Summary'!A1"/>
    <hyperlink ref="ELI8" location="'Cost Summary'!A1" display="'Cost Summary'!A1"/>
    <hyperlink ref="ELJ8" location="'Cost Summary'!A1" display="'Cost Summary'!A1"/>
    <hyperlink ref="ELK8" location="'Cost Summary'!A1" display="'Cost Summary'!A1"/>
    <hyperlink ref="ELL8" location="'Cost Summary'!A1" display="'Cost Summary'!A1"/>
    <hyperlink ref="ELM8" location="'Cost Summary'!A1" display="'Cost Summary'!A1"/>
    <hyperlink ref="ELN8" location="'Cost Summary'!A1" display="'Cost Summary'!A1"/>
    <hyperlink ref="ELO8" location="'Cost Summary'!A1" display="'Cost Summary'!A1"/>
    <hyperlink ref="ELP8" location="'Cost Summary'!A1" display="'Cost Summary'!A1"/>
    <hyperlink ref="ELQ8" location="'Cost Summary'!A1" display="'Cost Summary'!A1"/>
    <hyperlink ref="ELR8" location="'Cost Summary'!A1" display="'Cost Summary'!A1"/>
    <hyperlink ref="ELS8" location="'Cost Summary'!A1" display="'Cost Summary'!A1"/>
    <hyperlink ref="ELT8" location="'Cost Summary'!A1" display="'Cost Summary'!A1"/>
    <hyperlink ref="ELU8" location="'Cost Summary'!A1" display="'Cost Summary'!A1"/>
    <hyperlink ref="ELV8" location="'Cost Summary'!A1" display="'Cost Summary'!A1"/>
    <hyperlink ref="ELW8" location="'Cost Summary'!A1" display="'Cost Summary'!A1"/>
    <hyperlink ref="ELX8" location="'Cost Summary'!A1" display="'Cost Summary'!A1"/>
    <hyperlink ref="ELY8" location="'Cost Summary'!A1" display="'Cost Summary'!A1"/>
    <hyperlink ref="ELZ8" location="'Cost Summary'!A1" display="'Cost Summary'!A1"/>
    <hyperlink ref="EMA8" location="'Cost Summary'!A1" display="'Cost Summary'!A1"/>
    <hyperlink ref="EMB8" location="'Cost Summary'!A1" display="'Cost Summary'!A1"/>
    <hyperlink ref="EMC8" location="'Cost Summary'!A1" display="'Cost Summary'!A1"/>
    <hyperlink ref="EMD8" location="'Cost Summary'!A1" display="'Cost Summary'!A1"/>
    <hyperlink ref="EME8" location="'Cost Summary'!A1" display="'Cost Summary'!A1"/>
    <hyperlink ref="EMF8" location="'Cost Summary'!A1" display="'Cost Summary'!A1"/>
    <hyperlink ref="EMG8" location="'Cost Summary'!A1" display="'Cost Summary'!A1"/>
    <hyperlink ref="EMH8" location="'Cost Summary'!A1" display="'Cost Summary'!A1"/>
    <hyperlink ref="EMI8" location="'Cost Summary'!A1" display="'Cost Summary'!A1"/>
    <hyperlink ref="EMJ8" location="'Cost Summary'!A1" display="'Cost Summary'!A1"/>
    <hyperlink ref="EMK8" location="'Cost Summary'!A1" display="'Cost Summary'!A1"/>
    <hyperlink ref="EML8" location="'Cost Summary'!A1" display="'Cost Summary'!A1"/>
    <hyperlink ref="EMM8" location="'Cost Summary'!A1" display="'Cost Summary'!A1"/>
    <hyperlink ref="EMN8" location="'Cost Summary'!A1" display="'Cost Summary'!A1"/>
    <hyperlink ref="EMO8" location="'Cost Summary'!A1" display="'Cost Summary'!A1"/>
    <hyperlink ref="EMP8" location="'Cost Summary'!A1" display="'Cost Summary'!A1"/>
    <hyperlink ref="EMQ8" location="'Cost Summary'!A1" display="'Cost Summary'!A1"/>
    <hyperlink ref="EMR8" location="'Cost Summary'!A1" display="'Cost Summary'!A1"/>
    <hyperlink ref="EMS8" location="'Cost Summary'!A1" display="'Cost Summary'!A1"/>
    <hyperlink ref="EMT8" location="'Cost Summary'!A1" display="'Cost Summary'!A1"/>
    <hyperlink ref="EMU8" location="'Cost Summary'!A1" display="'Cost Summary'!A1"/>
    <hyperlink ref="EMV8" location="'Cost Summary'!A1" display="'Cost Summary'!A1"/>
    <hyperlink ref="EMW8" location="'Cost Summary'!A1" display="'Cost Summary'!A1"/>
    <hyperlink ref="EMX8" location="'Cost Summary'!A1" display="'Cost Summary'!A1"/>
    <hyperlink ref="EMY8" location="'Cost Summary'!A1" display="'Cost Summary'!A1"/>
    <hyperlink ref="EMZ8" location="'Cost Summary'!A1" display="'Cost Summary'!A1"/>
    <hyperlink ref="ENA8" location="'Cost Summary'!A1" display="'Cost Summary'!A1"/>
    <hyperlink ref="ENB8" location="'Cost Summary'!A1" display="'Cost Summary'!A1"/>
    <hyperlink ref="ENC8" location="'Cost Summary'!A1" display="'Cost Summary'!A1"/>
    <hyperlink ref="END8" location="'Cost Summary'!A1" display="'Cost Summary'!A1"/>
    <hyperlink ref="ENE8" location="'Cost Summary'!A1" display="'Cost Summary'!A1"/>
    <hyperlink ref="ENF8" location="'Cost Summary'!A1" display="'Cost Summary'!A1"/>
    <hyperlink ref="ENG8" location="'Cost Summary'!A1" display="'Cost Summary'!A1"/>
    <hyperlink ref="ENH8" location="'Cost Summary'!A1" display="'Cost Summary'!A1"/>
    <hyperlink ref="ENI8" location="'Cost Summary'!A1" display="'Cost Summary'!A1"/>
    <hyperlink ref="ENJ8" location="'Cost Summary'!A1" display="'Cost Summary'!A1"/>
    <hyperlink ref="ENK8" location="'Cost Summary'!A1" display="'Cost Summary'!A1"/>
    <hyperlink ref="ENL8" location="'Cost Summary'!A1" display="'Cost Summary'!A1"/>
    <hyperlink ref="ENM8" location="'Cost Summary'!A1" display="'Cost Summary'!A1"/>
    <hyperlink ref="ENN8" location="'Cost Summary'!A1" display="'Cost Summary'!A1"/>
    <hyperlink ref="ENO8" location="'Cost Summary'!A1" display="'Cost Summary'!A1"/>
    <hyperlink ref="ENP8" location="'Cost Summary'!A1" display="'Cost Summary'!A1"/>
    <hyperlink ref="ENQ8" location="'Cost Summary'!A1" display="'Cost Summary'!A1"/>
    <hyperlink ref="ENR8" location="'Cost Summary'!A1" display="'Cost Summary'!A1"/>
    <hyperlink ref="ENS8" location="'Cost Summary'!A1" display="'Cost Summary'!A1"/>
    <hyperlink ref="ENT8" location="'Cost Summary'!A1" display="'Cost Summary'!A1"/>
    <hyperlink ref="ENU8" location="'Cost Summary'!A1" display="'Cost Summary'!A1"/>
    <hyperlink ref="ENV8" location="'Cost Summary'!A1" display="'Cost Summary'!A1"/>
    <hyperlink ref="ENW8" location="'Cost Summary'!A1" display="'Cost Summary'!A1"/>
    <hyperlink ref="ENX8" location="'Cost Summary'!A1" display="'Cost Summary'!A1"/>
    <hyperlink ref="ENY8" location="'Cost Summary'!A1" display="'Cost Summary'!A1"/>
    <hyperlink ref="ENZ8" location="'Cost Summary'!A1" display="'Cost Summary'!A1"/>
    <hyperlink ref="EOA8" location="'Cost Summary'!A1" display="'Cost Summary'!A1"/>
    <hyperlink ref="EOB8" location="'Cost Summary'!A1" display="'Cost Summary'!A1"/>
    <hyperlink ref="EOC8" location="'Cost Summary'!A1" display="'Cost Summary'!A1"/>
    <hyperlink ref="EOD8" location="'Cost Summary'!A1" display="'Cost Summary'!A1"/>
    <hyperlink ref="EOE8" location="'Cost Summary'!A1" display="'Cost Summary'!A1"/>
    <hyperlink ref="EOF8" location="'Cost Summary'!A1" display="'Cost Summary'!A1"/>
    <hyperlink ref="EOG8" location="'Cost Summary'!A1" display="'Cost Summary'!A1"/>
    <hyperlink ref="EOH8" location="'Cost Summary'!A1" display="'Cost Summary'!A1"/>
    <hyperlink ref="EOI8" location="'Cost Summary'!A1" display="'Cost Summary'!A1"/>
    <hyperlink ref="EOJ8" location="'Cost Summary'!A1" display="'Cost Summary'!A1"/>
    <hyperlink ref="EOK8" location="'Cost Summary'!A1" display="'Cost Summary'!A1"/>
    <hyperlink ref="EOL8" location="'Cost Summary'!A1" display="'Cost Summary'!A1"/>
    <hyperlink ref="EOM8" location="'Cost Summary'!A1" display="'Cost Summary'!A1"/>
    <hyperlink ref="EON8" location="'Cost Summary'!A1" display="'Cost Summary'!A1"/>
    <hyperlink ref="EOO8" location="'Cost Summary'!A1" display="'Cost Summary'!A1"/>
    <hyperlink ref="EOP8" location="'Cost Summary'!A1" display="'Cost Summary'!A1"/>
    <hyperlink ref="EOQ8" location="'Cost Summary'!A1" display="'Cost Summary'!A1"/>
    <hyperlink ref="EOR8" location="'Cost Summary'!A1" display="'Cost Summary'!A1"/>
    <hyperlink ref="EOS8" location="'Cost Summary'!A1" display="'Cost Summary'!A1"/>
    <hyperlink ref="EOT8" location="'Cost Summary'!A1" display="'Cost Summary'!A1"/>
    <hyperlink ref="EOU8" location="'Cost Summary'!A1" display="'Cost Summary'!A1"/>
    <hyperlink ref="EOV8" location="'Cost Summary'!A1" display="'Cost Summary'!A1"/>
    <hyperlink ref="EOW8" location="'Cost Summary'!A1" display="'Cost Summary'!A1"/>
    <hyperlink ref="EOX8" location="'Cost Summary'!A1" display="'Cost Summary'!A1"/>
    <hyperlink ref="EOY8" location="'Cost Summary'!A1" display="'Cost Summary'!A1"/>
    <hyperlink ref="EOZ8" location="'Cost Summary'!A1" display="'Cost Summary'!A1"/>
    <hyperlink ref="EPA8" location="'Cost Summary'!A1" display="'Cost Summary'!A1"/>
    <hyperlink ref="EPB8" location="'Cost Summary'!A1" display="'Cost Summary'!A1"/>
    <hyperlink ref="EPC8" location="'Cost Summary'!A1" display="'Cost Summary'!A1"/>
    <hyperlink ref="EPD8" location="'Cost Summary'!A1" display="'Cost Summary'!A1"/>
    <hyperlink ref="EPE8" location="'Cost Summary'!A1" display="'Cost Summary'!A1"/>
    <hyperlink ref="EPF8" location="'Cost Summary'!A1" display="'Cost Summary'!A1"/>
    <hyperlink ref="EPG8" location="'Cost Summary'!A1" display="'Cost Summary'!A1"/>
    <hyperlink ref="EPH8" location="'Cost Summary'!A1" display="'Cost Summary'!A1"/>
    <hyperlink ref="EPI8" location="'Cost Summary'!A1" display="'Cost Summary'!A1"/>
    <hyperlink ref="EPJ8" location="'Cost Summary'!A1" display="'Cost Summary'!A1"/>
    <hyperlink ref="EPK8" location="'Cost Summary'!A1" display="'Cost Summary'!A1"/>
    <hyperlink ref="EPL8" location="'Cost Summary'!A1" display="'Cost Summary'!A1"/>
    <hyperlink ref="EPM8" location="'Cost Summary'!A1" display="'Cost Summary'!A1"/>
    <hyperlink ref="EPN8" location="'Cost Summary'!A1" display="'Cost Summary'!A1"/>
    <hyperlink ref="EPO8" location="'Cost Summary'!A1" display="'Cost Summary'!A1"/>
    <hyperlink ref="EPP8" location="'Cost Summary'!A1" display="'Cost Summary'!A1"/>
    <hyperlink ref="EPQ8" location="'Cost Summary'!A1" display="'Cost Summary'!A1"/>
    <hyperlink ref="EPR8" location="'Cost Summary'!A1" display="'Cost Summary'!A1"/>
    <hyperlink ref="EPS8" location="'Cost Summary'!A1" display="'Cost Summary'!A1"/>
    <hyperlink ref="EPT8" location="'Cost Summary'!A1" display="'Cost Summary'!A1"/>
    <hyperlink ref="EPU8" location="'Cost Summary'!A1" display="'Cost Summary'!A1"/>
    <hyperlink ref="EPV8" location="'Cost Summary'!A1" display="'Cost Summary'!A1"/>
    <hyperlink ref="EPW8" location="'Cost Summary'!A1" display="'Cost Summary'!A1"/>
    <hyperlink ref="EPX8" location="'Cost Summary'!A1" display="'Cost Summary'!A1"/>
    <hyperlink ref="EPY8" location="'Cost Summary'!A1" display="'Cost Summary'!A1"/>
    <hyperlink ref="EPZ8" location="'Cost Summary'!A1" display="'Cost Summary'!A1"/>
    <hyperlink ref="EQA8" location="'Cost Summary'!A1" display="'Cost Summary'!A1"/>
    <hyperlink ref="EQB8" location="'Cost Summary'!A1" display="'Cost Summary'!A1"/>
    <hyperlink ref="EQC8" location="'Cost Summary'!A1" display="'Cost Summary'!A1"/>
    <hyperlink ref="EQD8" location="'Cost Summary'!A1" display="'Cost Summary'!A1"/>
    <hyperlink ref="EQE8" location="'Cost Summary'!A1" display="'Cost Summary'!A1"/>
    <hyperlink ref="EQF8" location="'Cost Summary'!A1" display="'Cost Summary'!A1"/>
    <hyperlink ref="EQG8" location="'Cost Summary'!A1" display="'Cost Summary'!A1"/>
    <hyperlink ref="EQH8" location="'Cost Summary'!A1" display="'Cost Summary'!A1"/>
    <hyperlink ref="EQI8" location="'Cost Summary'!A1" display="'Cost Summary'!A1"/>
    <hyperlink ref="EQJ8" location="'Cost Summary'!A1" display="'Cost Summary'!A1"/>
    <hyperlink ref="EQK8" location="'Cost Summary'!A1" display="'Cost Summary'!A1"/>
    <hyperlink ref="EQL8" location="'Cost Summary'!A1" display="'Cost Summary'!A1"/>
    <hyperlink ref="EQM8" location="'Cost Summary'!A1" display="'Cost Summary'!A1"/>
    <hyperlink ref="EQN8" location="'Cost Summary'!A1" display="'Cost Summary'!A1"/>
    <hyperlink ref="EQO8" location="'Cost Summary'!A1" display="'Cost Summary'!A1"/>
    <hyperlink ref="EQP8" location="'Cost Summary'!A1" display="'Cost Summary'!A1"/>
    <hyperlink ref="EQQ8" location="'Cost Summary'!A1" display="'Cost Summary'!A1"/>
    <hyperlink ref="EQR8" location="'Cost Summary'!A1" display="'Cost Summary'!A1"/>
    <hyperlink ref="EQS8" location="'Cost Summary'!A1" display="'Cost Summary'!A1"/>
    <hyperlink ref="EQT8" location="'Cost Summary'!A1" display="'Cost Summary'!A1"/>
    <hyperlink ref="EQU8" location="'Cost Summary'!A1" display="'Cost Summary'!A1"/>
    <hyperlink ref="EQV8" location="'Cost Summary'!A1" display="'Cost Summary'!A1"/>
    <hyperlink ref="EQW8" location="'Cost Summary'!A1" display="'Cost Summary'!A1"/>
    <hyperlink ref="EQX8" location="'Cost Summary'!A1" display="'Cost Summary'!A1"/>
    <hyperlink ref="EQY8" location="'Cost Summary'!A1" display="'Cost Summary'!A1"/>
    <hyperlink ref="EQZ8" location="'Cost Summary'!A1" display="'Cost Summary'!A1"/>
    <hyperlink ref="ERA8" location="'Cost Summary'!A1" display="'Cost Summary'!A1"/>
    <hyperlink ref="ERB8" location="'Cost Summary'!A1" display="'Cost Summary'!A1"/>
    <hyperlink ref="ERC8" location="'Cost Summary'!A1" display="'Cost Summary'!A1"/>
    <hyperlink ref="ERD8" location="'Cost Summary'!A1" display="'Cost Summary'!A1"/>
    <hyperlink ref="ERE8" location="'Cost Summary'!A1" display="'Cost Summary'!A1"/>
    <hyperlink ref="ERF8" location="'Cost Summary'!A1" display="'Cost Summary'!A1"/>
    <hyperlink ref="ERG8" location="'Cost Summary'!A1" display="'Cost Summary'!A1"/>
    <hyperlink ref="ERH8" location="'Cost Summary'!A1" display="'Cost Summary'!A1"/>
    <hyperlink ref="ERI8" location="'Cost Summary'!A1" display="'Cost Summary'!A1"/>
    <hyperlink ref="ERJ8" location="'Cost Summary'!A1" display="'Cost Summary'!A1"/>
    <hyperlink ref="ERK8" location="'Cost Summary'!A1" display="'Cost Summary'!A1"/>
    <hyperlink ref="ERL8" location="'Cost Summary'!A1" display="'Cost Summary'!A1"/>
    <hyperlink ref="ERM8" location="'Cost Summary'!A1" display="'Cost Summary'!A1"/>
    <hyperlink ref="ERN8" location="'Cost Summary'!A1" display="'Cost Summary'!A1"/>
    <hyperlink ref="ERO8" location="'Cost Summary'!A1" display="'Cost Summary'!A1"/>
    <hyperlink ref="ERP8" location="'Cost Summary'!A1" display="'Cost Summary'!A1"/>
    <hyperlink ref="ERQ8" location="'Cost Summary'!A1" display="'Cost Summary'!A1"/>
    <hyperlink ref="ERR8" location="'Cost Summary'!A1" display="'Cost Summary'!A1"/>
    <hyperlink ref="ERS8" location="'Cost Summary'!A1" display="'Cost Summary'!A1"/>
    <hyperlink ref="ERT8" location="'Cost Summary'!A1" display="'Cost Summary'!A1"/>
    <hyperlink ref="ERU8" location="'Cost Summary'!A1" display="'Cost Summary'!A1"/>
    <hyperlink ref="ERV8" location="'Cost Summary'!A1" display="'Cost Summary'!A1"/>
    <hyperlink ref="ERW8" location="'Cost Summary'!A1" display="'Cost Summary'!A1"/>
    <hyperlink ref="ERX8" location="'Cost Summary'!A1" display="'Cost Summary'!A1"/>
    <hyperlink ref="ERY8" location="'Cost Summary'!A1" display="'Cost Summary'!A1"/>
    <hyperlink ref="ERZ8" location="'Cost Summary'!A1" display="'Cost Summary'!A1"/>
    <hyperlink ref="ESA8" location="'Cost Summary'!A1" display="'Cost Summary'!A1"/>
    <hyperlink ref="ESB8" location="'Cost Summary'!A1" display="'Cost Summary'!A1"/>
    <hyperlink ref="ESC8" location="'Cost Summary'!A1" display="'Cost Summary'!A1"/>
    <hyperlink ref="ESD8" location="'Cost Summary'!A1" display="'Cost Summary'!A1"/>
    <hyperlink ref="ESE8" location="'Cost Summary'!A1" display="'Cost Summary'!A1"/>
    <hyperlink ref="ESF8" location="'Cost Summary'!A1" display="'Cost Summary'!A1"/>
    <hyperlink ref="ESG8" location="'Cost Summary'!A1" display="'Cost Summary'!A1"/>
    <hyperlink ref="ESH8" location="'Cost Summary'!A1" display="'Cost Summary'!A1"/>
    <hyperlink ref="ESI8" location="'Cost Summary'!A1" display="'Cost Summary'!A1"/>
    <hyperlink ref="ESJ8" location="'Cost Summary'!A1" display="'Cost Summary'!A1"/>
    <hyperlink ref="ESK8" location="'Cost Summary'!A1" display="'Cost Summary'!A1"/>
    <hyperlink ref="ESL8" location="'Cost Summary'!A1" display="'Cost Summary'!A1"/>
    <hyperlink ref="ESM8" location="'Cost Summary'!A1" display="'Cost Summary'!A1"/>
    <hyperlink ref="ESN8" location="'Cost Summary'!A1" display="'Cost Summary'!A1"/>
    <hyperlink ref="ESO8" location="'Cost Summary'!A1" display="'Cost Summary'!A1"/>
    <hyperlink ref="ESP8" location="'Cost Summary'!A1" display="'Cost Summary'!A1"/>
    <hyperlink ref="ESQ8" location="'Cost Summary'!A1" display="'Cost Summary'!A1"/>
    <hyperlink ref="ESR8" location="'Cost Summary'!A1" display="'Cost Summary'!A1"/>
    <hyperlink ref="ESS8" location="'Cost Summary'!A1" display="'Cost Summary'!A1"/>
    <hyperlink ref="EST8" location="'Cost Summary'!A1" display="'Cost Summary'!A1"/>
    <hyperlink ref="ESU8" location="'Cost Summary'!A1" display="'Cost Summary'!A1"/>
    <hyperlink ref="ESV8" location="'Cost Summary'!A1" display="'Cost Summary'!A1"/>
    <hyperlink ref="ESW8" location="'Cost Summary'!A1" display="'Cost Summary'!A1"/>
    <hyperlink ref="ESX8" location="'Cost Summary'!A1" display="'Cost Summary'!A1"/>
    <hyperlink ref="ESY8" location="'Cost Summary'!A1" display="'Cost Summary'!A1"/>
    <hyperlink ref="ESZ8" location="'Cost Summary'!A1" display="'Cost Summary'!A1"/>
    <hyperlink ref="ETA8" location="'Cost Summary'!A1" display="'Cost Summary'!A1"/>
    <hyperlink ref="ETB8" location="'Cost Summary'!A1" display="'Cost Summary'!A1"/>
    <hyperlink ref="ETC8" location="'Cost Summary'!A1" display="'Cost Summary'!A1"/>
    <hyperlink ref="ETD8" location="'Cost Summary'!A1" display="'Cost Summary'!A1"/>
    <hyperlink ref="ETE8" location="'Cost Summary'!A1" display="'Cost Summary'!A1"/>
    <hyperlink ref="ETF8" location="'Cost Summary'!A1" display="'Cost Summary'!A1"/>
    <hyperlink ref="ETG8" location="'Cost Summary'!A1" display="'Cost Summary'!A1"/>
    <hyperlink ref="ETH8" location="'Cost Summary'!A1" display="'Cost Summary'!A1"/>
    <hyperlink ref="ETI8" location="'Cost Summary'!A1" display="'Cost Summary'!A1"/>
    <hyperlink ref="ETJ8" location="'Cost Summary'!A1" display="'Cost Summary'!A1"/>
    <hyperlink ref="ETK8" location="'Cost Summary'!A1" display="'Cost Summary'!A1"/>
    <hyperlink ref="ETL8" location="'Cost Summary'!A1" display="'Cost Summary'!A1"/>
    <hyperlink ref="ETM8" location="'Cost Summary'!A1" display="'Cost Summary'!A1"/>
    <hyperlink ref="ETN8" location="'Cost Summary'!A1" display="'Cost Summary'!A1"/>
    <hyperlink ref="ETO8" location="'Cost Summary'!A1" display="'Cost Summary'!A1"/>
    <hyperlink ref="ETP8" location="'Cost Summary'!A1" display="'Cost Summary'!A1"/>
    <hyperlink ref="ETQ8" location="'Cost Summary'!A1" display="'Cost Summary'!A1"/>
    <hyperlink ref="ETR8" location="'Cost Summary'!A1" display="'Cost Summary'!A1"/>
    <hyperlink ref="ETS8" location="'Cost Summary'!A1" display="'Cost Summary'!A1"/>
    <hyperlink ref="ETT8" location="'Cost Summary'!A1" display="'Cost Summary'!A1"/>
    <hyperlink ref="ETU8" location="'Cost Summary'!A1" display="'Cost Summary'!A1"/>
    <hyperlink ref="ETV8" location="'Cost Summary'!A1" display="'Cost Summary'!A1"/>
    <hyperlink ref="ETW8" location="'Cost Summary'!A1" display="'Cost Summary'!A1"/>
    <hyperlink ref="ETX8" location="'Cost Summary'!A1" display="'Cost Summary'!A1"/>
    <hyperlink ref="ETY8" location="'Cost Summary'!A1" display="'Cost Summary'!A1"/>
    <hyperlink ref="ETZ8" location="'Cost Summary'!A1" display="'Cost Summary'!A1"/>
    <hyperlink ref="EUA8" location="'Cost Summary'!A1" display="'Cost Summary'!A1"/>
    <hyperlink ref="EUB8" location="'Cost Summary'!A1" display="'Cost Summary'!A1"/>
    <hyperlink ref="EUC8" location="'Cost Summary'!A1" display="'Cost Summary'!A1"/>
    <hyperlink ref="EUD8" location="'Cost Summary'!A1" display="'Cost Summary'!A1"/>
    <hyperlink ref="EUE8" location="'Cost Summary'!A1" display="'Cost Summary'!A1"/>
    <hyperlink ref="EUF8" location="'Cost Summary'!A1" display="'Cost Summary'!A1"/>
    <hyperlink ref="EUG8" location="'Cost Summary'!A1" display="'Cost Summary'!A1"/>
    <hyperlink ref="EUH8" location="'Cost Summary'!A1" display="'Cost Summary'!A1"/>
    <hyperlink ref="EUI8" location="'Cost Summary'!A1" display="'Cost Summary'!A1"/>
    <hyperlink ref="EUJ8" location="'Cost Summary'!A1" display="'Cost Summary'!A1"/>
    <hyperlink ref="EUK8" location="'Cost Summary'!A1" display="'Cost Summary'!A1"/>
    <hyperlink ref="EUL8" location="'Cost Summary'!A1" display="'Cost Summary'!A1"/>
    <hyperlink ref="EUM8" location="'Cost Summary'!A1" display="'Cost Summary'!A1"/>
    <hyperlink ref="EUN8" location="'Cost Summary'!A1" display="'Cost Summary'!A1"/>
    <hyperlink ref="EUO8" location="'Cost Summary'!A1" display="'Cost Summary'!A1"/>
    <hyperlink ref="EUP8" location="'Cost Summary'!A1" display="'Cost Summary'!A1"/>
    <hyperlink ref="EUQ8" location="'Cost Summary'!A1" display="'Cost Summary'!A1"/>
    <hyperlink ref="EUR8" location="'Cost Summary'!A1" display="'Cost Summary'!A1"/>
    <hyperlink ref="EUS8" location="'Cost Summary'!A1" display="'Cost Summary'!A1"/>
    <hyperlink ref="EUT8" location="'Cost Summary'!A1" display="'Cost Summary'!A1"/>
    <hyperlink ref="EUU8" location="'Cost Summary'!A1" display="'Cost Summary'!A1"/>
    <hyperlink ref="EUV8" location="'Cost Summary'!A1" display="'Cost Summary'!A1"/>
    <hyperlink ref="EUW8" location="'Cost Summary'!A1" display="'Cost Summary'!A1"/>
    <hyperlink ref="EUX8" location="'Cost Summary'!A1" display="'Cost Summary'!A1"/>
    <hyperlink ref="EUY8" location="'Cost Summary'!A1" display="'Cost Summary'!A1"/>
    <hyperlink ref="EUZ8" location="'Cost Summary'!A1" display="'Cost Summary'!A1"/>
    <hyperlink ref="EVA8" location="'Cost Summary'!A1" display="'Cost Summary'!A1"/>
    <hyperlink ref="EVB8" location="'Cost Summary'!A1" display="'Cost Summary'!A1"/>
    <hyperlink ref="EVC8" location="'Cost Summary'!A1" display="'Cost Summary'!A1"/>
    <hyperlink ref="EVD8" location="'Cost Summary'!A1" display="'Cost Summary'!A1"/>
    <hyperlink ref="EVE8" location="'Cost Summary'!A1" display="'Cost Summary'!A1"/>
    <hyperlink ref="EVF8" location="'Cost Summary'!A1" display="'Cost Summary'!A1"/>
    <hyperlink ref="EVG8" location="'Cost Summary'!A1" display="'Cost Summary'!A1"/>
    <hyperlink ref="EVH8" location="'Cost Summary'!A1" display="'Cost Summary'!A1"/>
    <hyperlink ref="EVI8" location="'Cost Summary'!A1" display="'Cost Summary'!A1"/>
    <hyperlink ref="EVJ8" location="'Cost Summary'!A1" display="'Cost Summary'!A1"/>
    <hyperlink ref="EVK8" location="'Cost Summary'!A1" display="'Cost Summary'!A1"/>
    <hyperlink ref="EVL8" location="'Cost Summary'!A1" display="'Cost Summary'!A1"/>
    <hyperlink ref="EVM8" location="'Cost Summary'!A1" display="'Cost Summary'!A1"/>
    <hyperlink ref="EVN8" location="'Cost Summary'!A1" display="'Cost Summary'!A1"/>
    <hyperlink ref="EVO8" location="'Cost Summary'!A1" display="'Cost Summary'!A1"/>
    <hyperlink ref="EVP8" location="'Cost Summary'!A1" display="'Cost Summary'!A1"/>
    <hyperlink ref="EVQ8" location="'Cost Summary'!A1" display="'Cost Summary'!A1"/>
    <hyperlink ref="EVR8" location="'Cost Summary'!A1" display="'Cost Summary'!A1"/>
    <hyperlink ref="EVS8" location="'Cost Summary'!A1" display="'Cost Summary'!A1"/>
    <hyperlink ref="EVT8" location="'Cost Summary'!A1" display="'Cost Summary'!A1"/>
    <hyperlink ref="EVU8" location="'Cost Summary'!A1" display="'Cost Summary'!A1"/>
    <hyperlink ref="EVV8" location="'Cost Summary'!A1" display="'Cost Summary'!A1"/>
    <hyperlink ref="EVW8" location="'Cost Summary'!A1" display="'Cost Summary'!A1"/>
    <hyperlink ref="EVX8" location="'Cost Summary'!A1" display="'Cost Summary'!A1"/>
    <hyperlink ref="EVY8" location="'Cost Summary'!A1" display="'Cost Summary'!A1"/>
    <hyperlink ref="EVZ8" location="'Cost Summary'!A1" display="'Cost Summary'!A1"/>
    <hyperlink ref="EWA8" location="'Cost Summary'!A1" display="'Cost Summary'!A1"/>
    <hyperlink ref="EWB8" location="'Cost Summary'!A1" display="'Cost Summary'!A1"/>
    <hyperlink ref="EWC8" location="'Cost Summary'!A1" display="'Cost Summary'!A1"/>
    <hyperlink ref="EWD8" location="'Cost Summary'!A1" display="'Cost Summary'!A1"/>
    <hyperlink ref="EWE8" location="'Cost Summary'!A1" display="'Cost Summary'!A1"/>
    <hyperlink ref="EWF8" location="'Cost Summary'!A1" display="'Cost Summary'!A1"/>
    <hyperlink ref="EWG8" location="'Cost Summary'!A1" display="'Cost Summary'!A1"/>
    <hyperlink ref="EWH8" location="'Cost Summary'!A1" display="'Cost Summary'!A1"/>
    <hyperlink ref="EWI8" location="'Cost Summary'!A1" display="'Cost Summary'!A1"/>
    <hyperlink ref="EWJ8" location="'Cost Summary'!A1" display="'Cost Summary'!A1"/>
    <hyperlink ref="EWK8" location="'Cost Summary'!A1" display="'Cost Summary'!A1"/>
    <hyperlink ref="EWL8" location="'Cost Summary'!A1" display="'Cost Summary'!A1"/>
    <hyperlink ref="EWM8" location="'Cost Summary'!A1" display="'Cost Summary'!A1"/>
    <hyperlink ref="EWN8" location="'Cost Summary'!A1" display="'Cost Summary'!A1"/>
    <hyperlink ref="EWO8" location="'Cost Summary'!A1" display="'Cost Summary'!A1"/>
    <hyperlink ref="EWP8" location="'Cost Summary'!A1" display="'Cost Summary'!A1"/>
    <hyperlink ref="EWQ8" location="'Cost Summary'!A1" display="'Cost Summary'!A1"/>
    <hyperlink ref="EWR8" location="'Cost Summary'!A1" display="'Cost Summary'!A1"/>
    <hyperlink ref="EWS8" location="'Cost Summary'!A1" display="'Cost Summary'!A1"/>
    <hyperlink ref="EWT8" location="'Cost Summary'!A1" display="'Cost Summary'!A1"/>
    <hyperlink ref="EWU8" location="'Cost Summary'!A1" display="'Cost Summary'!A1"/>
    <hyperlink ref="EWV8" location="'Cost Summary'!A1" display="'Cost Summary'!A1"/>
    <hyperlink ref="EWW8" location="'Cost Summary'!A1" display="'Cost Summary'!A1"/>
    <hyperlink ref="EWX8" location="'Cost Summary'!A1" display="'Cost Summary'!A1"/>
    <hyperlink ref="EWY8" location="'Cost Summary'!A1" display="'Cost Summary'!A1"/>
    <hyperlink ref="EWZ8" location="'Cost Summary'!A1" display="'Cost Summary'!A1"/>
    <hyperlink ref="EXA8" location="'Cost Summary'!A1" display="'Cost Summary'!A1"/>
    <hyperlink ref="EXB8" location="'Cost Summary'!A1" display="'Cost Summary'!A1"/>
    <hyperlink ref="EXC8" location="'Cost Summary'!A1" display="'Cost Summary'!A1"/>
    <hyperlink ref="EXD8" location="'Cost Summary'!A1" display="'Cost Summary'!A1"/>
    <hyperlink ref="EXE8" location="'Cost Summary'!A1" display="'Cost Summary'!A1"/>
    <hyperlink ref="EXF8" location="'Cost Summary'!A1" display="'Cost Summary'!A1"/>
    <hyperlink ref="EXG8" location="'Cost Summary'!A1" display="'Cost Summary'!A1"/>
    <hyperlink ref="EXH8" location="'Cost Summary'!A1" display="'Cost Summary'!A1"/>
    <hyperlink ref="EXI8" location="'Cost Summary'!A1" display="'Cost Summary'!A1"/>
    <hyperlink ref="EXJ8" location="'Cost Summary'!A1" display="'Cost Summary'!A1"/>
    <hyperlink ref="EXK8" location="'Cost Summary'!A1" display="'Cost Summary'!A1"/>
    <hyperlink ref="EXL8" location="'Cost Summary'!A1" display="'Cost Summary'!A1"/>
    <hyperlink ref="EXM8" location="'Cost Summary'!A1" display="'Cost Summary'!A1"/>
    <hyperlink ref="EXN8" location="'Cost Summary'!A1" display="'Cost Summary'!A1"/>
    <hyperlink ref="EXO8" location="'Cost Summary'!A1" display="'Cost Summary'!A1"/>
    <hyperlink ref="EXP8" location="'Cost Summary'!A1" display="'Cost Summary'!A1"/>
    <hyperlink ref="EXQ8" location="'Cost Summary'!A1" display="'Cost Summary'!A1"/>
    <hyperlink ref="EXR8" location="'Cost Summary'!A1" display="'Cost Summary'!A1"/>
    <hyperlink ref="EXS8" location="'Cost Summary'!A1" display="'Cost Summary'!A1"/>
    <hyperlink ref="EXT8" location="'Cost Summary'!A1" display="'Cost Summary'!A1"/>
    <hyperlink ref="EXU8" location="'Cost Summary'!A1" display="'Cost Summary'!A1"/>
    <hyperlink ref="EXV8" location="'Cost Summary'!A1" display="'Cost Summary'!A1"/>
    <hyperlink ref="EXW8" location="'Cost Summary'!A1" display="'Cost Summary'!A1"/>
    <hyperlink ref="EXX8" location="'Cost Summary'!A1" display="'Cost Summary'!A1"/>
    <hyperlink ref="EXY8" location="'Cost Summary'!A1" display="'Cost Summary'!A1"/>
    <hyperlink ref="EXZ8" location="'Cost Summary'!A1" display="'Cost Summary'!A1"/>
    <hyperlink ref="EYA8" location="'Cost Summary'!A1" display="'Cost Summary'!A1"/>
    <hyperlink ref="EYB8" location="'Cost Summary'!A1" display="'Cost Summary'!A1"/>
    <hyperlink ref="EYC8" location="'Cost Summary'!A1" display="'Cost Summary'!A1"/>
    <hyperlink ref="EYD8" location="'Cost Summary'!A1" display="'Cost Summary'!A1"/>
    <hyperlink ref="EYE8" location="'Cost Summary'!A1" display="'Cost Summary'!A1"/>
    <hyperlink ref="EYF8" location="'Cost Summary'!A1" display="'Cost Summary'!A1"/>
    <hyperlink ref="EYG8" location="'Cost Summary'!A1" display="'Cost Summary'!A1"/>
    <hyperlink ref="EYH8" location="'Cost Summary'!A1" display="'Cost Summary'!A1"/>
    <hyperlink ref="EYI8" location="'Cost Summary'!A1" display="'Cost Summary'!A1"/>
    <hyperlink ref="EYJ8" location="'Cost Summary'!A1" display="'Cost Summary'!A1"/>
    <hyperlink ref="EYK8" location="'Cost Summary'!A1" display="'Cost Summary'!A1"/>
    <hyperlink ref="EYL8" location="'Cost Summary'!A1" display="'Cost Summary'!A1"/>
    <hyperlink ref="EYM8" location="'Cost Summary'!A1" display="'Cost Summary'!A1"/>
    <hyperlink ref="EYN8" location="'Cost Summary'!A1" display="'Cost Summary'!A1"/>
    <hyperlink ref="EYO8" location="'Cost Summary'!A1" display="'Cost Summary'!A1"/>
    <hyperlink ref="EYP8" location="'Cost Summary'!A1" display="'Cost Summary'!A1"/>
    <hyperlink ref="EYQ8" location="'Cost Summary'!A1" display="'Cost Summary'!A1"/>
    <hyperlink ref="EYR8" location="'Cost Summary'!A1" display="'Cost Summary'!A1"/>
    <hyperlink ref="EYS8" location="'Cost Summary'!A1" display="'Cost Summary'!A1"/>
    <hyperlink ref="EYT8" location="'Cost Summary'!A1" display="'Cost Summary'!A1"/>
    <hyperlink ref="EYU8" location="'Cost Summary'!A1" display="'Cost Summary'!A1"/>
    <hyperlink ref="EYV8" location="'Cost Summary'!A1" display="'Cost Summary'!A1"/>
    <hyperlink ref="EYW8" location="'Cost Summary'!A1" display="'Cost Summary'!A1"/>
    <hyperlink ref="EYX8" location="'Cost Summary'!A1" display="'Cost Summary'!A1"/>
    <hyperlink ref="EYY8" location="'Cost Summary'!A1" display="'Cost Summary'!A1"/>
    <hyperlink ref="EYZ8" location="'Cost Summary'!A1" display="'Cost Summary'!A1"/>
    <hyperlink ref="EZA8" location="'Cost Summary'!A1" display="'Cost Summary'!A1"/>
    <hyperlink ref="EZB8" location="'Cost Summary'!A1" display="'Cost Summary'!A1"/>
    <hyperlink ref="EZC8" location="'Cost Summary'!A1" display="'Cost Summary'!A1"/>
    <hyperlink ref="EZD8" location="'Cost Summary'!A1" display="'Cost Summary'!A1"/>
    <hyperlink ref="EZE8" location="'Cost Summary'!A1" display="'Cost Summary'!A1"/>
    <hyperlink ref="EZF8" location="'Cost Summary'!A1" display="'Cost Summary'!A1"/>
    <hyperlink ref="EZG8" location="'Cost Summary'!A1" display="'Cost Summary'!A1"/>
    <hyperlink ref="EZH8" location="'Cost Summary'!A1" display="'Cost Summary'!A1"/>
    <hyperlink ref="EZI8" location="'Cost Summary'!A1" display="'Cost Summary'!A1"/>
    <hyperlink ref="EZJ8" location="'Cost Summary'!A1" display="'Cost Summary'!A1"/>
    <hyperlink ref="EZK8" location="'Cost Summary'!A1" display="'Cost Summary'!A1"/>
    <hyperlink ref="EZL8" location="'Cost Summary'!A1" display="'Cost Summary'!A1"/>
    <hyperlink ref="EZM8" location="'Cost Summary'!A1" display="'Cost Summary'!A1"/>
    <hyperlink ref="EZN8" location="'Cost Summary'!A1" display="'Cost Summary'!A1"/>
    <hyperlink ref="EZO8" location="'Cost Summary'!A1" display="'Cost Summary'!A1"/>
    <hyperlink ref="EZP8" location="'Cost Summary'!A1" display="'Cost Summary'!A1"/>
    <hyperlink ref="EZQ8" location="'Cost Summary'!A1" display="'Cost Summary'!A1"/>
    <hyperlink ref="EZR8" location="'Cost Summary'!A1" display="'Cost Summary'!A1"/>
    <hyperlink ref="EZS8" location="'Cost Summary'!A1" display="'Cost Summary'!A1"/>
    <hyperlink ref="EZT8" location="'Cost Summary'!A1" display="'Cost Summary'!A1"/>
    <hyperlink ref="EZU8" location="'Cost Summary'!A1" display="'Cost Summary'!A1"/>
    <hyperlink ref="EZV8" location="'Cost Summary'!A1" display="'Cost Summary'!A1"/>
    <hyperlink ref="EZW8" location="'Cost Summary'!A1" display="'Cost Summary'!A1"/>
    <hyperlink ref="EZX8" location="'Cost Summary'!A1" display="'Cost Summary'!A1"/>
    <hyperlink ref="EZY8" location="'Cost Summary'!A1" display="'Cost Summary'!A1"/>
    <hyperlink ref="EZZ8" location="'Cost Summary'!A1" display="'Cost Summary'!A1"/>
    <hyperlink ref="FAA8" location="'Cost Summary'!A1" display="'Cost Summary'!A1"/>
    <hyperlink ref="FAB8" location="'Cost Summary'!A1" display="'Cost Summary'!A1"/>
    <hyperlink ref="FAC8" location="'Cost Summary'!A1" display="'Cost Summary'!A1"/>
    <hyperlink ref="FAD8" location="'Cost Summary'!A1" display="'Cost Summary'!A1"/>
    <hyperlink ref="FAE8" location="'Cost Summary'!A1" display="'Cost Summary'!A1"/>
    <hyperlink ref="FAF8" location="'Cost Summary'!A1" display="'Cost Summary'!A1"/>
    <hyperlink ref="FAG8" location="'Cost Summary'!A1" display="'Cost Summary'!A1"/>
    <hyperlink ref="FAH8" location="'Cost Summary'!A1" display="'Cost Summary'!A1"/>
    <hyperlink ref="FAI8" location="'Cost Summary'!A1" display="'Cost Summary'!A1"/>
    <hyperlink ref="FAJ8" location="'Cost Summary'!A1" display="'Cost Summary'!A1"/>
    <hyperlink ref="FAK8" location="'Cost Summary'!A1" display="'Cost Summary'!A1"/>
    <hyperlink ref="FAL8" location="'Cost Summary'!A1" display="'Cost Summary'!A1"/>
    <hyperlink ref="FAM8" location="'Cost Summary'!A1" display="'Cost Summary'!A1"/>
    <hyperlink ref="FAN8" location="'Cost Summary'!A1" display="'Cost Summary'!A1"/>
    <hyperlink ref="FAO8" location="'Cost Summary'!A1" display="'Cost Summary'!A1"/>
    <hyperlink ref="FAP8" location="'Cost Summary'!A1" display="'Cost Summary'!A1"/>
    <hyperlink ref="FAQ8" location="'Cost Summary'!A1" display="'Cost Summary'!A1"/>
    <hyperlink ref="FAR8" location="'Cost Summary'!A1" display="'Cost Summary'!A1"/>
    <hyperlink ref="FAS8" location="'Cost Summary'!A1" display="'Cost Summary'!A1"/>
    <hyperlink ref="FAT8" location="'Cost Summary'!A1" display="'Cost Summary'!A1"/>
    <hyperlink ref="FAU8" location="'Cost Summary'!A1" display="'Cost Summary'!A1"/>
    <hyperlink ref="FAV8" location="'Cost Summary'!A1" display="'Cost Summary'!A1"/>
    <hyperlink ref="FAW8" location="'Cost Summary'!A1" display="'Cost Summary'!A1"/>
    <hyperlink ref="FAX8" location="'Cost Summary'!A1" display="'Cost Summary'!A1"/>
    <hyperlink ref="FAY8" location="'Cost Summary'!A1" display="'Cost Summary'!A1"/>
    <hyperlink ref="FAZ8" location="'Cost Summary'!A1" display="'Cost Summary'!A1"/>
    <hyperlink ref="FBA8" location="'Cost Summary'!A1" display="'Cost Summary'!A1"/>
    <hyperlink ref="FBB8" location="'Cost Summary'!A1" display="'Cost Summary'!A1"/>
    <hyperlink ref="FBC8" location="'Cost Summary'!A1" display="'Cost Summary'!A1"/>
    <hyperlink ref="FBD8" location="'Cost Summary'!A1" display="'Cost Summary'!A1"/>
    <hyperlink ref="FBE8" location="'Cost Summary'!A1" display="'Cost Summary'!A1"/>
    <hyperlink ref="FBF8" location="'Cost Summary'!A1" display="'Cost Summary'!A1"/>
    <hyperlink ref="FBG8" location="'Cost Summary'!A1" display="'Cost Summary'!A1"/>
    <hyperlink ref="FBH8" location="'Cost Summary'!A1" display="'Cost Summary'!A1"/>
    <hyperlink ref="FBI8" location="'Cost Summary'!A1" display="'Cost Summary'!A1"/>
    <hyperlink ref="FBJ8" location="'Cost Summary'!A1" display="'Cost Summary'!A1"/>
    <hyperlink ref="FBK8" location="'Cost Summary'!A1" display="'Cost Summary'!A1"/>
    <hyperlink ref="FBL8" location="'Cost Summary'!A1" display="'Cost Summary'!A1"/>
    <hyperlink ref="FBM8" location="'Cost Summary'!A1" display="'Cost Summary'!A1"/>
    <hyperlink ref="FBN8" location="'Cost Summary'!A1" display="'Cost Summary'!A1"/>
    <hyperlink ref="FBO8" location="'Cost Summary'!A1" display="'Cost Summary'!A1"/>
    <hyperlink ref="FBP8" location="'Cost Summary'!A1" display="'Cost Summary'!A1"/>
    <hyperlink ref="FBQ8" location="'Cost Summary'!A1" display="'Cost Summary'!A1"/>
    <hyperlink ref="FBR8" location="'Cost Summary'!A1" display="'Cost Summary'!A1"/>
    <hyperlink ref="FBS8" location="'Cost Summary'!A1" display="'Cost Summary'!A1"/>
    <hyperlink ref="FBT8" location="'Cost Summary'!A1" display="'Cost Summary'!A1"/>
    <hyperlink ref="FBU8" location="'Cost Summary'!A1" display="'Cost Summary'!A1"/>
    <hyperlink ref="FBV8" location="'Cost Summary'!A1" display="'Cost Summary'!A1"/>
    <hyperlink ref="FBW8" location="'Cost Summary'!A1" display="'Cost Summary'!A1"/>
    <hyperlink ref="FBX8" location="'Cost Summary'!A1" display="'Cost Summary'!A1"/>
    <hyperlink ref="FBY8" location="'Cost Summary'!A1" display="'Cost Summary'!A1"/>
    <hyperlink ref="FBZ8" location="'Cost Summary'!A1" display="'Cost Summary'!A1"/>
    <hyperlink ref="FCA8" location="'Cost Summary'!A1" display="'Cost Summary'!A1"/>
    <hyperlink ref="FCB8" location="'Cost Summary'!A1" display="'Cost Summary'!A1"/>
    <hyperlink ref="FCC8" location="'Cost Summary'!A1" display="'Cost Summary'!A1"/>
    <hyperlink ref="FCD8" location="'Cost Summary'!A1" display="'Cost Summary'!A1"/>
    <hyperlink ref="FCE8" location="'Cost Summary'!A1" display="'Cost Summary'!A1"/>
    <hyperlink ref="FCF8" location="'Cost Summary'!A1" display="'Cost Summary'!A1"/>
    <hyperlink ref="FCG8" location="'Cost Summary'!A1" display="'Cost Summary'!A1"/>
    <hyperlink ref="FCH8" location="'Cost Summary'!A1" display="'Cost Summary'!A1"/>
    <hyperlink ref="FCI8" location="'Cost Summary'!A1" display="'Cost Summary'!A1"/>
    <hyperlink ref="FCJ8" location="'Cost Summary'!A1" display="'Cost Summary'!A1"/>
    <hyperlink ref="FCK8" location="'Cost Summary'!A1" display="'Cost Summary'!A1"/>
    <hyperlink ref="FCL8" location="'Cost Summary'!A1" display="'Cost Summary'!A1"/>
    <hyperlink ref="FCM8" location="'Cost Summary'!A1" display="'Cost Summary'!A1"/>
    <hyperlink ref="FCN8" location="'Cost Summary'!A1" display="'Cost Summary'!A1"/>
    <hyperlink ref="FCO8" location="'Cost Summary'!A1" display="'Cost Summary'!A1"/>
    <hyperlink ref="FCP8" location="'Cost Summary'!A1" display="'Cost Summary'!A1"/>
    <hyperlink ref="FCQ8" location="'Cost Summary'!A1" display="'Cost Summary'!A1"/>
    <hyperlink ref="FCR8" location="'Cost Summary'!A1" display="'Cost Summary'!A1"/>
    <hyperlink ref="FCS8" location="'Cost Summary'!A1" display="'Cost Summary'!A1"/>
    <hyperlink ref="FCT8" location="'Cost Summary'!A1" display="'Cost Summary'!A1"/>
    <hyperlink ref="FCU8" location="'Cost Summary'!A1" display="'Cost Summary'!A1"/>
    <hyperlink ref="FCV8" location="'Cost Summary'!A1" display="'Cost Summary'!A1"/>
    <hyperlink ref="FCW8" location="'Cost Summary'!A1" display="'Cost Summary'!A1"/>
    <hyperlink ref="FCX8" location="'Cost Summary'!A1" display="'Cost Summary'!A1"/>
    <hyperlink ref="FCY8" location="'Cost Summary'!A1" display="'Cost Summary'!A1"/>
    <hyperlink ref="FCZ8" location="'Cost Summary'!A1" display="'Cost Summary'!A1"/>
    <hyperlink ref="FDA8" location="'Cost Summary'!A1" display="'Cost Summary'!A1"/>
    <hyperlink ref="FDB8" location="'Cost Summary'!A1" display="'Cost Summary'!A1"/>
    <hyperlink ref="FDC8" location="'Cost Summary'!A1" display="'Cost Summary'!A1"/>
    <hyperlink ref="FDD8" location="'Cost Summary'!A1" display="'Cost Summary'!A1"/>
    <hyperlink ref="FDE8" location="'Cost Summary'!A1" display="'Cost Summary'!A1"/>
    <hyperlink ref="FDF8" location="'Cost Summary'!A1" display="'Cost Summary'!A1"/>
    <hyperlink ref="FDG8" location="'Cost Summary'!A1" display="'Cost Summary'!A1"/>
    <hyperlink ref="FDH8" location="'Cost Summary'!A1" display="'Cost Summary'!A1"/>
    <hyperlink ref="FDI8" location="'Cost Summary'!A1" display="'Cost Summary'!A1"/>
    <hyperlink ref="FDJ8" location="'Cost Summary'!A1" display="'Cost Summary'!A1"/>
    <hyperlink ref="FDK8" location="'Cost Summary'!A1" display="'Cost Summary'!A1"/>
    <hyperlink ref="FDL8" location="'Cost Summary'!A1" display="'Cost Summary'!A1"/>
    <hyperlink ref="FDM8" location="'Cost Summary'!A1" display="'Cost Summary'!A1"/>
    <hyperlink ref="FDN8" location="'Cost Summary'!A1" display="'Cost Summary'!A1"/>
    <hyperlink ref="FDO8" location="'Cost Summary'!A1" display="'Cost Summary'!A1"/>
    <hyperlink ref="FDP8" location="'Cost Summary'!A1" display="'Cost Summary'!A1"/>
    <hyperlink ref="FDQ8" location="'Cost Summary'!A1" display="'Cost Summary'!A1"/>
    <hyperlink ref="FDR8" location="'Cost Summary'!A1" display="'Cost Summary'!A1"/>
    <hyperlink ref="FDS8" location="'Cost Summary'!A1" display="'Cost Summary'!A1"/>
    <hyperlink ref="FDT8" location="'Cost Summary'!A1" display="'Cost Summary'!A1"/>
    <hyperlink ref="FDU8" location="'Cost Summary'!A1" display="'Cost Summary'!A1"/>
    <hyperlink ref="FDV8" location="'Cost Summary'!A1" display="'Cost Summary'!A1"/>
    <hyperlink ref="FDW8" location="'Cost Summary'!A1" display="'Cost Summary'!A1"/>
    <hyperlink ref="FDX8" location="'Cost Summary'!A1" display="'Cost Summary'!A1"/>
    <hyperlink ref="FDY8" location="'Cost Summary'!A1" display="'Cost Summary'!A1"/>
    <hyperlink ref="FDZ8" location="'Cost Summary'!A1" display="'Cost Summary'!A1"/>
    <hyperlink ref="FEA8" location="'Cost Summary'!A1" display="'Cost Summary'!A1"/>
    <hyperlink ref="FEB8" location="'Cost Summary'!A1" display="'Cost Summary'!A1"/>
    <hyperlink ref="FEC8" location="'Cost Summary'!A1" display="'Cost Summary'!A1"/>
    <hyperlink ref="FED8" location="'Cost Summary'!A1" display="'Cost Summary'!A1"/>
    <hyperlink ref="FEE8" location="'Cost Summary'!A1" display="'Cost Summary'!A1"/>
    <hyperlink ref="FEF8" location="'Cost Summary'!A1" display="'Cost Summary'!A1"/>
    <hyperlink ref="FEG8" location="'Cost Summary'!A1" display="'Cost Summary'!A1"/>
    <hyperlink ref="FEH8" location="'Cost Summary'!A1" display="'Cost Summary'!A1"/>
    <hyperlink ref="FEI8" location="'Cost Summary'!A1" display="'Cost Summary'!A1"/>
    <hyperlink ref="FEJ8" location="'Cost Summary'!A1" display="'Cost Summary'!A1"/>
    <hyperlink ref="FEK8" location="'Cost Summary'!A1" display="'Cost Summary'!A1"/>
    <hyperlink ref="FEL8" location="'Cost Summary'!A1" display="'Cost Summary'!A1"/>
    <hyperlink ref="FEM8" location="'Cost Summary'!A1" display="'Cost Summary'!A1"/>
    <hyperlink ref="FEN8" location="'Cost Summary'!A1" display="'Cost Summary'!A1"/>
    <hyperlink ref="FEO8" location="'Cost Summary'!A1" display="'Cost Summary'!A1"/>
    <hyperlink ref="FEP8" location="'Cost Summary'!A1" display="'Cost Summary'!A1"/>
    <hyperlink ref="FEQ8" location="'Cost Summary'!A1" display="'Cost Summary'!A1"/>
    <hyperlink ref="FER8" location="'Cost Summary'!A1" display="'Cost Summary'!A1"/>
    <hyperlink ref="FES8" location="'Cost Summary'!A1" display="'Cost Summary'!A1"/>
    <hyperlink ref="FET8" location="'Cost Summary'!A1" display="'Cost Summary'!A1"/>
    <hyperlink ref="FEU8" location="'Cost Summary'!A1" display="'Cost Summary'!A1"/>
    <hyperlink ref="FEV8" location="'Cost Summary'!A1" display="'Cost Summary'!A1"/>
    <hyperlink ref="FEW8" location="'Cost Summary'!A1" display="'Cost Summary'!A1"/>
    <hyperlink ref="FEX8" location="'Cost Summary'!A1" display="'Cost Summary'!A1"/>
    <hyperlink ref="FEY8" location="'Cost Summary'!A1" display="'Cost Summary'!A1"/>
    <hyperlink ref="FEZ8" location="'Cost Summary'!A1" display="'Cost Summary'!A1"/>
    <hyperlink ref="FFA8" location="'Cost Summary'!A1" display="'Cost Summary'!A1"/>
    <hyperlink ref="FFB8" location="'Cost Summary'!A1" display="'Cost Summary'!A1"/>
    <hyperlink ref="FFC8" location="'Cost Summary'!A1" display="'Cost Summary'!A1"/>
    <hyperlink ref="FFD8" location="'Cost Summary'!A1" display="'Cost Summary'!A1"/>
    <hyperlink ref="FFE8" location="'Cost Summary'!A1" display="'Cost Summary'!A1"/>
    <hyperlink ref="FFF8" location="'Cost Summary'!A1" display="'Cost Summary'!A1"/>
    <hyperlink ref="FFG8" location="'Cost Summary'!A1" display="'Cost Summary'!A1"/>
    <hyperlink ref="FFH8" location="'Cost Summary'!A1" display="'Cost Summary'!A1"/>
    <hyperlink ref="FFI8" location="'Cost Summary'!A1" display="'Cost Summary'!A1"/>
    <hyperlink ref="FFJ8" location="'Cost Summary'!A1" display="'Cost Summary'!A1"/>
    <hyperlink ref="FFK8" location="'Cost Summary'!A1" display="'Cost Summary'!A1"/>
    <hyperlink ref="FFL8" location="'Cost Summary'!A1" display="'Cost Summary'!A1"/>
    <hyperlink ref="FFM8" location="'Cost Summary'!A1" display="'Cost Summary'!A1"/>
    <hyperlink ref="FFN8" location="'Cost Summary'!A1" display="'Cost Summary'!A1"/>
    <hyperlink ref="FFO8" location="'Cost Summary'!A1" display="'Cost Summary'!A1"/>
    <hyperlink ref="FFP8" location="'Cost Summary'!A1" display="'Cost Summary'!A1"/>
    <hyperlink ref="FFQ8" location="'Cost Summary'!A1" display="'Cost Summary'!A1"/>
    <hyperlink ref="FFR8" location="'Cost Summary'!A1" display="'Cost Summary'!A1"/>
    <hyperlink ref="FFS8" location="'Cost Summary'!A1" display="'Cost Summary'!A1"/>
    <hyperlink ref="FFT8" location="'Cost Summary'!A1" display="'Cost Summary'!A1"/>
    <hyperlink ref="FFU8" location="'Cost Summary'!A1" display="'Cost Summary'!A1"/>
    <hyperlink ref="FFV8" location="'Cost Summary'!A1" display="'Cost Summary'!A1"/>
    <hyperlink ref="FFW8" location="'Cost Summary'!A1" display="'Cost Summary'!A1"/>
    <hyperlink ref="FFX8" location="'Cost Summary'!A1" display="'Cost Summary'!A1"/>
    <hyperlink ref="FFY8" location="'Cost Summary'!A1" display="'Cost Summary'!A1"/>
    <hyperlink ref="FFZ8" location="'Cost Summary'!A1" display="'Cost Summary'!A1"/>
    <hyperlink ref="FGA8" location="'Cost Summary'!A1" display="'Cost Summary'!A1"/>
    <hyperlink ref="FGB8" location="'Cost Summary'!A1" display="'Cost Summary'!A1"/>
    <hyperlink ref="FGC8" location="'Cost Summary'!A1" display="'Cost Summary'!A1"/>
    <hyperlink ref="FGD8" location="'Cost Summary'!A1" display="'Cost Summary'!A1"/>
    <hyperlink ref="FGE8" location="'Cost Summary'!A1" display="'Cost Summary'!A1"/>
    <hyperlink ref="FGF8" location="'Cost Summary'!A1" display="'Cost Summary'!A1"/>
    <hyperlink ref="FGG8" location="'Cost Summary'!A1" display="'Cost Summary'!A1"/>
    <hyperlink ref="FGH8" location="'Cost Summary'!A1" display="'Cost Summary'!A1"/>
    <hyperlink ref="FGI8" location="'Cost Summary'!A1" display="'Cost Summary'!A1"/>
    <hyperlink ref="FGJ8" location="'Cost Summary'!A1" display="'Cost Summary'!A1"/>
    <hyperlink ref="FGK8" location="'Cost Summary'!A1" display="'Cost Summary'!A1"/>
    <hyperlink ref="FGL8" location="'Cost Summary'!A1" display="'Cost Summary'!A1"/>
    <hyperlink ref="FGM8" location="'Cost Summary'!A1" display="'Cost Summary'!A1"/>
    <hyperlink ref="FGN8" location="'Cost Summary'!A1" display="'Cost Summary'!A1"/>
    <hyperlink ref="FGO8" location="'Cost Summary'!A1" display="'Cost Summary'!A1"/>
    <hyperlink ref="FGP8" location="'Cost Summary'!A1" display="'Cost Summary'!A1"/>
    <hyperlink ref="FGQ8" location="'Cost Summary'!A1" display="'Cost Summary'!A1"/>
    <hyperlink ref="FGR8" location="'Cost Summary'!A1" display="'Cost Summary'!A1"/>
    <hyperlink ref="FGS8" location="'Cost Summary'!A1" display="'Cost Summary'!A1"/>
    <hyperlink ref="FGT8" location="'Cost Summary'!A1" display="'Cost Summary'!A1"/>
    <hyperlink ref="FGU8" location="'Cost Summary'!A1" display="'Cost Summary'!A1"/>
    <hyperlink ref="FGV8" location="'Cost Summary'!A1" display="'Cost Summary'!A1"/>
    <hyperlink ref="FGW8" location="'Cost Summary'!A1" display="'Cost Summary'!A1"/>
    <hyperlink ref="FGX8" location="'Cost Summary'!A1" display="'Cost Summary'!A1"/>
    <hyperlink ref="FGY8" location="'Cost Summary'!A1" display="'Cost Summary'!A1"/>
    <hyperlink ref="FGZ8" location="'Cost Summary'!A1" display="'Cost Summary'!A1"/>
    <hyperlink ref="FHA8" location="'Cost Summary'!A1" display="'Cost Summary'!A1"/>
    <hyperlink ref="FHB8" location="'Cost Summary'!A1" display="'Cost Summary'!A1"/>
    <hyperlink ref="FHC8" location="'Cost Summary'!A1" display="'Cost Summary'!A1"/>
    <hyperlink ref="FHD8" location="'Cost Summary'!A1" display="'Cost Summary'!A1"/>
    <hyperlink ref="FHE8" location="'Cost Summary'!A1" display="'Cost Summary'!A1"/>
    <hyperlink ref="FHF8" location="'Cost Summary'!A1" display="'Cost Summary'!A1"/>
    <hyperlink ref="FHG8" location="'Cost Summary'!A1" display="'Cost Summary'!A1"/>
    <hyperlink ref="FHH8" location="'Cost Summary'!A1" display="'Cost Summary'!A1"/>
    <hyperlink ref="FHI8" location="'Cost Summary'!A1" display="'Cost Summary'!A1"/>
    <hyperlink ref="FHJ8" location="'Cost Summary'!A1" display="'Cost Summary'!A1"/>
    <hyperlink ref="FHK8" location="'Cost Summary'!A1" display="'Cost Summary'!A1"/>
    <hyperlink ref="FHL8" location="'Cost Summary'!A1" display="'Cost Summary'!A1"/>
    <hyperlink ref="FHM8" location="'Cost Summary'!A1" display="'Cost Summary'!A1"/>
    <hyperlink ref="FHN8" location="'Cost Summary'!A1" display="'Cost Summary'!A1"/>
    <hyperlink ref="FHO8" location="'Cost Summary'!A1" display="'Cost Summary'!A1"/>
    <hyperlink ref="FHP8" location="'Cost Summary'!A1" display="'Cost Summary'!A1"/>
    <hyperlink ref="FHQ8" location="'Cost Summary'!A1" display="'Cost Summary'!A1"/>
    <hyperlink ref="FHR8" location="'Cost Summary'!A1" display="'Cost Summary'!A1"/>
    <hyperlink ref="FHS8" location="'Cost Summary'!A1" display="'Cost Summary'!A1"/>
    <hyperlink ref="FHT8" location="'Cost Summary'!A1" display="'Cost Summary'!A1"/>
    <hyperlink ref="FHU8" location="'Cost Summary'!A1" display="'Cost Summary'!A1"/>
    <hyperlink ref="FHV8" location="'Cost Summary'!A1" display="'Cost Summary'!A1"/>
    <hyperlink ref="FHW8" location="'Cost Summary'!A1" display="'Cost Summary'!A1"/>
    <hyperlink ref="FHX8" location="'Cost Summary'!A1" display="'Cost Summary'!A1"/>
    <hyperlink ref="FHY8" location="'Cost Summary'!A1" display="'Cost Summary'!A1"/>
    <hyperlink ref="FHZ8" location="'Cost Summary'!A1" display="'Cost Summary'!A1"/>
    <hyperlink ref="FIA8" location="'Cost Summary'!A1" display="'Cost Summary'!A1"/>
    <hyperlink ref="FIB8" location="'Cost Summary'!A1" display="'Cost Summary'!A1"/>
    <hyperlink ref="FIC8" location="'Cost Summary'!A1" display="'Cost Summary'!A1"/>
    <hyperlink ref="FID8" location="'Cost Summary'!A1" display="'Cost Summary'!A1"/>
    <hyperlink ref="FIE8" location="'Cost Summary'!A1" display="'Cost Summary'!A1"/>
    <hyperlink ref="FIF8" location="'Cost Summary'!A1" display="'Cost Summary'!A1"/>
    <hyperlink ref="FIG8" location="'Cost Summary'!A1" display="'Cost Summary'!A1"/>
    <hyperlink ref="FIH8" location="'Cost Summary'!A1" display="'Cost Summary'!A1"/>
    <hyperlink ref="FII8" location="'Cost Summary'!A1" display="'Cost Summary'!A1"/>
    <hyperlink ref="FIJ8" location="'Cost Summary'!A1" display="'Cost Summary'!A1"/>
    <hyperlink ref="FIK8" location="'Cost Summary'!A1" display="'Cost Summary'!A1"/>
    <hyperlink ref="FIL8" location="'Cost Summary'!A1" display="'Cost Summary'!A1"/>
    <hyperlink ref="FIM8" location="'Cost Summary'!A1" display="'Cost Summary'!A1"/>
    <hyperlink ref="FIN8" location="'Cost Summary'!A1" display="'Cost Summary'!A1"/>
    <hyperlink ref="FIO8" location="'Cost Summary'!A1" display="'Cost Summary'!A1"/>
    <hyperlink ref="FIP8" location="'Cost Summary'!A1" display="'Cost Summary'!A1"/>
    <hyperlink ref="FIQ8" location="'Cost Summary'!A1" display="'Cost Summary'!A1"/>
    <hyperlink ref="FIR8" location="'Cost Summary'!A1" display="'Cost Summary'!A1"/>
    <hyperlink ref="FIS8" location="'Cost Summary'!A1" display="'Cost Summary'!A1"/>
    <hyperlink ref="FIT8" location="'Cost Summary'!A1" display="'Cost Summary'!A1"/>
    <hyperlink ref="FIU8" location="'Cost Summary'!A1" display="'Cost Summary'!A1"/>
    <hyperlink ref="FIV8" location="'Cost Summary'!A1" display="'Cost Summary'!A1"/>
    <hyperlink ref="FIW8" location="'Cost Summary'!A1" display="'Cost Summary'!A1"/>
    <hyperlink ref="FIX8" location="'Cost Summary'!A1" display="'Cost Summary'!A1"/>
    <hyperlink ref="FIY8" location="'Cost Summary'!A1" display="'Cost Summary'!A1"/>
    <hyperlink ref="FIZ8" location="'Cost Summary'!A1" display="'Cost Summary'!A1"/>
    <hyperlink ref="FJA8" location="'Cost Summary'!A1" display="'Cost Summary'!A1"/>
    <hyperlink ref="FJB8" location="'Cost Summary'!A1" display="'Cost Summary'!A1"/>
    <hyperlink ref="FJC8" location="'Cost Summary'!A1" display="'Cost Summary'!A1"/>
    <hyperlink ref="FJD8" location="'Cost Summary'!A1" display="'Cost Summary'!A1"/>
    <hyperlink ref="FJE8" location="'Cost Summary'!A1" display="'Cost Summary'!A1"/>
    <hyperlink ref="FJF8" location="'Cost Summary'!A1" display="'Cost Summary'!A1"/>
    <hyperlink ref="FJG8" location="'Cost Summary'!A1" display="'Cost Summary'!A1"/>
    <hyperlink ref="FJH8" location="'Cost Summary'!A1" display="'Cost Summary'!A1"/>
    <hyperlink ref="FJI8" location="'Cost Summary'!A1" display="'Cost Summary'!A1"/>
    <hyperlink ref="FJJ8" location="'Cost Summary'!A1" display="'Cost Summary'!A1"/>
    <hyperlink ref="FJK8" location="'Cost Summary'!A1" display="'Cost Summary'!A1"/>
    <hyperlink ref="FJL8" location="'Cost Summary'!A1" display="'Cost Summary'!A1"/>
    <hyperlink ref="FJM8" location="'Cost Summary'!A1" display="'Cost Summary'!A1"/>
    <hyperlink ref="FJN8" location="'Cost Summary'!A1" display="'Cost Summary'!A1"/>
    <hyperlink ref="FJO8" location="'Cost Summary'!A1" display="'Cost Summary'!A1"/>
    <hyperlink ref="FJP8" location="'Cost Summary'!A1" display="'Cost Summary'!A1"/>
    <hyperlink ref="FJQ8" location="'Cost Summary'!A1" display="'Cost Summary'!A1"/>
    <hyperlink ref="FJR8" location="'Cost Summary'!A1" display="'Cost Summary'!A1"/>
    <hyperlink ref="FJS8" location="'Cost Summary'!A1" display="'Cost Summary'!A1"/>
    <hyperlink ref="FJT8" location="'Cost Summary'!A1" display="'Cost Summary'!A1"/>
    <hyperlink ref="FJU8" location="'Cost Summary'!A1" display="'Cost Summary'!A1"/>
    <hyperlink ref="FJV8" location="'Cost Summary'!A1" display="'Cost Summary'!A1"/>
    <hyperlink ref="FJW8" location="'Cost Summary'!A1" display="'Cost Summary'!A1"/>
    <hyperlink ref="FJX8" location="'Cost Summary'!A1" display="'Cost Summary'!A1"/>
    <hyperlink ref="FJY8" location="'Cost Summary'!A1" display="'Cost Summary'!A1"/>
    <hyperlink ref="FJZ8" location="'Cost Summary'!A1" display="'Cost Summary'!A1"/>
    <hyperlink ref="FKA8" location="'Cost Summary'!A1" display="'Cost Summary'!A1"/>
    <hyperlink ref="FKB8" location="'Cost Summary'!A1" display="'Cost Summary'!A1"/>
    <hyperlink ref="FKC8" location="'Cost Summary'!A1" display="'Cost Summary'!A1"/>
    <hyperlink ref="FKD8" location="'Cost Summary'!A1" display="'Cost Summary'!A1"/>
    <hyperlink ref="FKE8" location="'Cost Summary'!A1" display="'Cost Summary'!A1"/>
    <hyperlink ref="FKF8" location="'Cost Summary'!A1" display="'Cost Summary'!A1"/>
    <hyperlink ref="FKG8" location="'Cost Summary'!A1" display="'Cost Summary'!A1"/>
    <hyperlink ref="FKH8" location="'Cost Summary'!A1" display="'Cost Summary'!A1"/>
    <hyperlink ref="FKI8" location="'Cost Summary'!A1" display="'Cost Summary'!A1"/>
    <hyperlink ref="FKJ8" location="'Cost Summary'!A1" display="'Cost Summary'!A1"/>
    <hyperlink ref="FKK8" location="'Cost Summary'!A1" display="'Cost Summary'!A1"/>
    <hyperlink ref="FKL8" location="'Cost Summary'!A1" display="'Cost Summary'!A1"/>
    <hyperlink ref="FKM8" location="'Cost Summary'!A1" display="'Cost Summary'!A1"/>
    <hyperlink ref="FKN8" location="'Cost Summary'!A1" display="'Cost Summary'!A1"/>
    <hyperlink ref="FKO8" location="'Cost Summary'!A1" display="'Cost Summary'!A1"/>
    <hyperlink ref="FKP8" location="'Cost Summary'!A1" display="'Cost Summary'!A1"/>
    <hyperlink ref="FKQ8" location="'Cost Summary'!A1" display="'Cost Summary'!A1"/>
    <hyperlink ref="FKR8" location="'Cost Summary'!A1" display="'Cost Summary'!A1"/>
    <hyperlink ref="FKS8" location="'Cost Summary'!A1" display="'Cost Summary'!A1"/>
    <hyperlink ref="FKT8" location="'Cost Summary'!A1" display="'Cost Summary'!A1"/>
    <hyperlink ref="FKU8" location="'Cost Summary'!A1" display="'Cost Summary'!A1"/>
    <hyperlink ref="FKV8" location="'Cost Summary'!A1" display="'Cost Summary'!A1"/>
    <hyperlink ref="FKW8" location="'Cost Summary'!A1" display="'Cost Summary'!A1"/>
    <hyperlink ref="FKX8" location="'Cost Summary'!A1" display="'Cost Summary'!A1"/>
    <hyperlink ref="FKY8" location="'Cost Summary'!A1" display="'Cost Summary'!A1"/>
    <hyperlink ref="FKZ8" location="'Cost Summary'!A1" display="'Cost Summary'!A1"/>
    <hyperlink ref="FLA8" location="'Cost Summary'!A1" display="'Cost Summary'!A1"/>
    <hyperlink ref="FLB8" location="'Cost Summary'!A1" display="'Cost Summary'!A1"/>
    <hyperlink ref="FLC8" location="'Cost Summary'!A1" display="'Cost Summary'!A1"/>
    <hyperlink ref="FLD8" location="'Cost Summary'!A1" display="'Cost Summary'!A1"/>
    <hyperlink ref="FLE8" location="'Cost Summary'!A1" display="'Cost Summary'!A1"/>
    <hyperlink ref="FLF8" location="'Cost Summary'!A1" display="'Cost Summary'!A1"/>
    <hyperlink ref="FLG8" location="'Cost Summary'!A1" display="'Cost Summary'!A1"/>
    <hyperlink ref="FLH8" location="'Cost Summary'!A1" display="'Cost Summary'!A1"/>
    <hyperlink ref="FLI8" location="'Cost Summary'!A1" display="'Cost Summary'!A1"/>
    <hyperlink ref="FLJ8" location="'Cost Summary'!A1" display="'Cost Summary'!A1"/>
    <hyperlink ref="FLK8" location="'Cost Summary'!A1" display="'Cost Summary'!A1"/>
    <hyperlink ref="FLL8" location="'Cost Summary'!A1" display="'Cost Summary'!A1"/>
    <hyperlink ref="FLM8" location="'Cost Summary'!A1" display="'Cost Summary'!A1"/>
    <hyperlink ref="FLN8" location="'Cost Summary'!A1" display="'Cost Summary'!A1"/>
    <hyperlink ref="FLO8" location="'Cost Summary'!A1" display="'Cost Summary'!A1"/>
    <hyperlink ref="FLP8" location="'Cost Summary'!A1" display="'Cost Summary'!A1"/>
    <hyperlink ref="FLQ8" location="'Cost Summary'!A1" display="'Cost Summary'!A1"/>
    <hyperlink ref="FLR8" location="'Cost Summary'!A1" display="'Cost Summary'!A1"/>
    <hyperlink ref="FLS8" location="'Cost Summary'!A1" display="'Cost Summary'!A1"/>
    <hyperlink ref="FLT8" location="'Cost Summary'!A1" display="'Cost Summary'!A1"/>
    <hyperlink ref="FLU8" location="'Cost Summary'!A1" display="'Cost Summary'!A1"/>
    <hyperlink ref="FLV8" location="'Cost Summary'!A1" display="'Cost Summary'!A1"/>
    <hyperlink ref="FLW8" location="'Cost Summary'!A1" display="'Cost Summary'!A1"/>
    <hyperlink ref="FLX8" location="'Cost Summary'!A1" display="'Cost Summary'!A1"/>
    <hyperlink ref="FLY8" location="'Cost Summary'!A1" display="'Cost Summary'!A1"/>
    <hyperlink ref="FLZ8" location="'Cost Summary'!A1" display="'Cost Summary'!A1"/>
    <hyperlink ref="FMA8" location="'Cost Summary'!A1" display="'Cost Summary'!A1"/>
    <hyperlink ref="FMB8" location="'Cost Summary'!A1" display="'Cost Summary'!A1"/>
    <hyperlink ref="FMC8" location="'Cost Summary'!A1" display="'Cost Summary'!A1"/>
    <hyperlink ref="FMD8" location="'Cost Summary'!A1" display="'Cost Summary'!A1"/>
    <hyperlink ref="FME8" location="'Cost Summary'!A1" display="'Cost Summary'!A1"/>
    <hyperlink ref="FMF8" location="'Cost Summary'!A1" display="'Cost Summary'!A1"/>
    <hyperlink ref="FMG8" location="'Cost Summary'!A1" display="'Cost Summary'!A1"/>
    <hyperlink ref="FMH8" location="'Cost Summary'!A1" display="'Cost Summary'!A1"/>
    <hyperlink ref="FMI8" location="'Cost Summary'!A1" display="'Cost Summary'!A1"/>
    <hyperlink ref="FMJ8" location="'Cost Summary'!A1" display="'Cost Summary'!A1"/>
    <hyperlink ref="FMK8" location="'Cost Summary'!A1" display="'Cost Summary'!A1"/>
    <hyperlink ref="FML8" location="'Cost Summary'!A1" display="'Cost Summary'!A1"/>
    <hyperlink ref="FMM8" location="'Cost Summary'!A1" display="'Cost Summary'!A1"/>
    <hyperlink ref="FMN8" location="'Cost Summary'!A1" display="'Cost Summary'!A1"/>
    <hyperlink ref="FMO8" location="'Cost Summary'!A1" display="'Cost Summary'!A1"/>
    <hyperlink ref="FMP8" location="'Cost Summary'!A1" display="'Cost Summary'!A1"/>
    <hyperlink ref="FMQ8" location="'Cost Summary'!A1" display="'Cost Summary'!A1"/>
    <hyperlink ref="FMR8" location="'Cost Summary'!A1" display="'Cost Summary'!A1"/>
    <hyperlink ref="FMS8" location="'Cost Summary'!A1" display="'Cost Summary'!A1"/>
    <hyperlink ref="FMT8" location="'Cost Summary'!A1" display="'Cost Summary'!A1"/>
    <hyperlink ref="FMU8" location="'Cost Summary'!A1" display="'Cost Summary'!A1"/>
    <hyperlink ref="FMV8" location="'Cost Summary'!A1" display="'Cost Summary'!A1"/>
    <hyperlink ref="FMW8" location="'Cost Summary'!A1" display="'Cost Summary'!A1"/>
    <hyperlink ref="FMX8" location="'Cost Summary'!A1" display="'Cost Summary'!A1"/>
    <hyperlink ref="FMY8" location="'Cost Summary'!A1" display="'Cost Summary'!A1"/>
    <hyperlink ref="FMZ8" location="'Cost Summary'!A1" display="'Cost Summary'!A1"/>
    <hyperlink ref="FNA8" location="'Cost Summary'!A1" display="'Cost Summary'!A1"/>
    <hyperlink ref="FNB8" location="'Cost Summary'!A1" display="'Cost Summary'!A1"/>
    <hyperlink ref="FNC8" location="'Cost Summary'!A1" display="'Cost Summary'!A1"/>
    <hyperlink ref="FND8" location="'Cost Summary'!A1" display="'Cost Summary'!A1"/>
    <hyperlink ref="FNE8" location="'Cost Summary'!A1" display="'Cost Summary'!A1"/>
    <hyperlink ref="FNF8" location="'Cost Summary'!A1" display="'Cost Summary'!A1"/>
    <hyperlink ref="FNG8" location="'Cost Summary'!A1" display="'Cost Summary'!A1"/>
    <hyperlink ref="FNH8" location="'Cost Summary'!A1" display="'Cost Summary'!A1"/>
    <hyperlink ref="FNI8" location="'Cost Summary'!A1" display="'Cost Summary'!A1"/>
    <hyperlink ref="FNJ8" location="'Cost Summary'!A1" display="'Cost Summary'!A1"/>
    <hyperlink ref="FNK8" location="'Cost Summary'!A1" display="'Cost Summary'!A1"/>
    <hyperlink ref="FNL8" location="'Cost Summary'!A1" display="'Cost Summary'!A1"/>
    <hyperlink ref="FNM8" location="'Cost Summary'!A1" display="'Cost Summary'!A1"/>
    <hyperlink ref="FNN8" location="'Cost Summary'!A1" display="'Cost Summary'!A1"/>
    <hyperlink ref="FNO8" location="'Cost Summary'!A1" display="'Cost Summary'!A1"/>
    <hyperlink ref="FNP8" location="'Cost Summary'!A1" display="'Cost Summary'!A1"/>
    <hyperlink ref="FNQ8" location="'Cost Summary'!A1" display="'Cost Summary'!A1"/>
    <hyperlink ref="FNR8" location="'Cost Summary'!A1" display="'Cost Summary'!A1"/>
    <hyperlink ref="FNS8" location="'Cost Summary'!A1" display="'Cost Summary'!A1"/>
    <hyperlink ref="FNT8" location="'Cost Summary'!A1" display="'Cost Summary'!A1"/>
    <hyperlink ref="FNU8" location="'Cost Summary'!A1" display="'Cost Summary'!A1"/>
    <hyperlink ref="FNV8" location="'Cost Summary'!A1" display="'Cost Summary'!A1"/>
    <hyperlink ref="FNW8" location="'Cost Summary'!A1" display="'Cost Summary'!A1"/>
    <hyperlink ref="FNX8" location="'Cost Summary'!A1" display="'Cost Summary'!A1"/>
    <hyperlink ref="FNY8" location="'Cost Summary'!A1" display="'Cost Summary'!A1"/>
    <hyperlink ref="FNZ8" location="'Cost Summary'!A1" display="'Cost Summary'!A1"/>
    <hyperlink ref="FOA8" location="'Cost Summary'!A1" display="'Cost Summary'!A1"/>
    <hyperlink ref="FOB8" location="'Cost Summary'!A1" display="'Cost Summary'!A1"/>
    <hyperlink ref="FOC8" location="'Cost Summary'!A1" display="'Cost Summary'!A1"/>
    <hyperlink ref="FOD8" location="'Cost Summary'!A1" display="'Cost Summary'!A1"/>
    <hyperlink ref="FOE8" location="'Cost Summary'!A1" display="'Cost Summary'!A1"/>
    <hyperlink ref="FOF8" location="'Cost Summary'!A1" display="'Cost Summary'!A1"/>
    <hyperlink ref="FOG8" location="'Cost Summary'!A1" display="'Cost Summary'!A1"/>
    <hyperlink ref="FOH8" location="'Cost Summary'!A1" display="'Cost Summary'!A1"/>
    <hyperlink ref="FOI8" location="'Cost Summary'!A1" display="'Cost Summary'!A1"/>
    <hyperlink ref="FOJ8" location="'Cost Summary'!A1" display="'Cost Summary'!A1"/>
    <hyperlink ref="FOK8" location="'Cost Summary'!A1" display="'Cost Summary'!A1"/>
    <hyperlink ref="FOL8" location="'Cost Summary'!A1" display="'Cost Summary'!A1"/>
    <hyperlink ref="FOM8" location="'Cost Summary'!A1" display="'Cost Summary'!A1"/>
    <hyperlink ref="FON8" location="'Cost Summary'!A1" display="'Cost Summary'!A1"/>
    <hyperlink ref="FOO8" location="'Cost Summary'!A1" display="'Cost Summary'!A1"/>
    <hyperlink ref="FOP8" location="'Cost Summary'!A1" display="'Cost Summary'!A1"/>
    <hyperlink ref="FOQ8" location="'Cost Summary'!A1" display="'Cost Summary'!A1"/>
    <hyperlink ref="FOR8" location="'Cost Summary'!A1" display="'Cost Summary'!A1"/>
    <hyperlink ref="FOS8" location="'Cost Summary'!A1" display="'Cost Summary'!A1"/>
    <hyperlink ref="FOT8" location="'Cost Summary'!A1" display="'Cost Summary'!A1"/>
    <hyperlink ref="FOU8" location="'Cost Summary'!A1" display="'Cost Summary'!A1"/>
    <hyperlink ref="FOV8" location="'Cost Summary'!A1" display="'Cost Summary'!A1"/>
    <hyperlink ref="FOW8" location="'Cost Summary'!A1" display="'Cost Summary'!A1"/>
    <hyperlink ref="FOX8" location="'Cost Summary'!A1" display="'Cost Summary'!A1"/>
    <hyperlink ref="FOY8" location="'Cost Summary'!A1" display="'Cost Summary'!A1"/>
    <hyperlink ref="FOZ8" location="'Cost Summary'!A1" display="'Cost Summary'!A1"/>
    <hyperlink ref="FPA8" location="'Cost Summary'!A1" display="'Cost Summary'!A1"/>
    <hyperlink ref="FPB8" location="'Cost Summary'!A1" display="'Cost Summary'!A1"/>
    <hyperlink ref="FPC8" location="'Cost Summary'!A1" display="'Cost Summary'!A1"/>
    <hyperlink ref="FPD8" location="'Cost Summary'!A1" display="'Cost Summary'!A1"/>
    <hyperlink ref="FPE8" location="'Cost Summary'!A1" display="'Cost Summary'!A1"/>
    <hyperlink ref="FPF8" location="'Cost Summary'!A1" display="'Cost Summary'!A1"/>
    <hyperlink ref="FPG8" location="'Cost Summary'!A1" display="'Cost Summary'!A1"/>
    <hyperlink ref="FPH8" location="'Cost Summary'!A1" display="'Cost Summary'!A1"/>
    <hyperlink ref="FPI8" location="'Cost Summary'!A1" display="'Cost Summary'!A1"/>
    <hyperlink ref="FPJ8" location="'Cost Summary'!A1" display="'Cost Summary'!A1"/>
    <hyperlink ref="FPK8" location="'Cost Summary'!A1" display="'Cost Summary'!A1"/>
    <hyperlink ref="FPL8" location="'Cost Summary'!A1" display="'Cost Summary'!A1"/>
    <hyperlink ref="FPM8" location="'Cost Summary'!A1" display="'Cost Summary'!A1"/>
    <hyperlink ref="FPN8" location="'Cost Summary'!A1" display="'Cost Summary'!A1"/>
    <hyperlink ref="FPO8" location="'Cost Summary'!A1" display="'Cost Summary'!A1"/>
    <hyperlink ref="FPP8" location="'Cost Summary'!A1" display="'Cost Summary'!A1"/>
    <hyperlink ref="FPQ8" location="'Cost Summary'!A1" display="'Cost Summary'!A1"/>
    <hyperlink ref="FPR8" location="'Cost Summary'!A1" display="'Cost Summary'!A1"/>
    <hyperlink ref="FPS8" location="'Cost Summary'!A1" display="'Cost Summary'!A1"/>
    <hyperlink ref="FPT8" location="'Cost Summary'!A1" display="'Cost Summary'!A1"/>
    <hyperlink ref="FPU8" location="'Cost Summary'!A1" display="'Cost Summary'!A1"/>
    <hyperlink ref="FPV8" location="'Cost Summary'!A1" display="'Cost Summary'!A1"/>
    <hyperlink ref="FPW8" location="'Cost Summary'!A1" display="'Cost Summary'!A1"/>
    <hyperlink ref="FPX8" location="'Cost Summary'!A1" display="'Cost Summary'!A1"/>
    <hyperlink ref="FPY8" location="'Cost Summary'!A1" display="'Cost Summary'!A1"/>
    <hyperlink ref="FPZ8" location="'Cost Summary'!A1" display="'Cost Summary'!A1"/>
    <hyperlink ref="FQA8" location="'Cost Summary'!A1" display="'Cost Summary'!A1"/>
    <hyperlink ref="FQB8" location="'Cost Summary'!A1" display="'Cost Summary'!A1"/>
    <hyperlink ref="FQC8" location="'Cost Summary'!A1" display="'Cost Summary'!A1"/>
    <hyperlink ref="FQD8" location="'Cost Summary'!A1" display="'Cost Summary'!A1"/>
    <hyperlink ref="FQE8" location="'Cost Summary'!A1" display="'Cost Summary'!A1"/>
    <hyperlink ref="FQF8" location="'Cost Summary'!A1" display="'Cost Summary'!A1"/>
    <hyperlink ref="FQG8" location="'Cost Summary'!A1" display="'Cost Summary'!A1"/>
    <hyperlink ref="FQH8" location="'Cost Summary'!A1" display="'Cost Summary'!A1"/>
    <hyperlink ref="FQI8" location="'Cost Summary'!A1" display="'Cost Summary'!A1"/>
    <hyperlink ref="FQJ8" location="'Cost Summary'!A1" display="'Cost Summary'!A1"/>
    <hyperlink ref="FQK8" location="'Cost Summary'!A1" display="'Cost Summary'!A1"/>
    <hyperlink ref="FQL8" location="'Cost Summary'!A1" display="'Cost Summary'!A1"/>
    <hyperlink ref="FQM8" location="'Cost Summary'!A1" display="'Cost Summary'!A1"/>
    <hyperlink ref="FQN8" location="'Cost Summary'!A1" display="'Cost Summary'!A1"/>
    <hyperlink ref="FQO8" location="'Cost Summary'!A1" display="'Cost Summary'!A1"/>
    <hyperlink ref="FQP8" location="'Cost Summary'!A1" display="'Cost Summary'!A1"/>
    <hyperlink ref="FQQ8" location="'Cost Summary'!A1" display="'Cost Summary'!A1"/>
    <hyperlink ref="FQR8" location="'Cost Summary'!A1" display="'Cost Summary'!A1"/>
    <hyperlink ref="FQS8" location="'Cost Summary'!A1" display="'Cost Summary'!A1"/>
    <hyperlink ref="FQT8" location="'Cost Summary'!A1" display="'Cost Summary'!A1"/>
    <hyperlink ref="FQU8" location="'Cost Summary'!A1" display="'Cost Summary'!A1"/>
    <hyperlink ref="FQV8" location="'Cost Summary'!A1" display="'Cost Summary'!A1"/>
    <hyperlink ref="FQW8" location="'Cost Summary'!A1" display="'Cost Summary'!A1"/>
    <hyperlink ref="FQX8" location="'Cost Summary'!A1" display="'Cost Summary'!A1"/>
    <hyperlink ref="FQY8" location="'Cost Summary'!A1" display="'Cost Summary'!A1"/>
    <hyperlink ref="FQZ8" location="'Cost Summary'!A1" display="'Cost Summary'!A1"/>
    <hyperlink ref="FRA8" location="'Cost Summary'!A1" display="'Cost Summary'!A1"/>
    <hyperlink ref="FRB8" location="'Cost Summary'!A1" display="'Cost Summary'!A1"/>
    <hyperlink ref="FRC8" location="'Cost Summary'!A1" display="'Cost Summary'!A1"/>
    <hyperlink ref="FRD8" location="'Cost Summary'!A1" display="'Cost Summary'!A1"/>
    <hyperlink ref="FRE8" location="'Cost Summary'!A1" display="'Cost Summary'!A1"/>
    <hyperlink ref="FRF8" location="'Cost Summary'!A1" display="'Cost Summary'!A1"/>
    <hyperlink ref="FRG8" location="'Cost Summary'!A1" display="'Cost Summary'!A1"/>
    <hyperlink ref="FRH8" location="'Cost Summary'!A1" display="'Cost Summary'!A1"/>
    <hyperlink ref="FRI8" location="'Cost Summary'!A1" display="'Cost Summary'!A1"/>
    <hyperlink ref="FRJ8" location="'Cost Summary'!A1" display="'Cost Summary'!A1"/>
    <hyperlink ref="FRK8" location="'Cost Summary'!A1" display="'Cost Summary'!A1"/>
    <hyperlink ref="FRL8" location="'Cost Summary'!A1" display="'Cost Summary'!A1"/>
    <hyperlink ref="FRM8" location="'Cost Summary'!A1" display="'Cost Summary'!A1"/>
    <hyperlink ref="FRN8" location="'Cost Summary'!A1" display="'Cost Summary'!A1"/>
    <hyperlink ref="FRO8" location="'Cost Summary'!A1" display="'Cost Summary'!A1"/>
    <hyperlink ref="FRP8" location="'Cost Summary'!A1" display="'Cost Summary'!A1"/>
    <hyperlink ref="FRQ8" location="'Cost Summary'!A1" display="'Cost Summary'!A1"/>
    <hyperlink ref="FRR8" location="'Cost Summary'!A1" display="'Cost Summary'!A1"/>
    <hyperlink ref="FRS8" location="'Cost Summary'!A1" display="'Cost Summary'!A1"/>
    <hyperlink ref="FRT8" location="'Cost Summary'!A1" display="'Cost Summary'!A1"/>
    <hyperlink ref="FRU8" location="'Cost Summary'!A1" display="'Cost Summary'!A1"/>
    <hyperlink ref="FRV8" location="'Cost Summary'!A1" display="'Cost Summary'!A1"/>
    <hyperlink ref="FRW8" location="'Cost Summary'!A1" display="'Cost Summary'!A1"/>
    <hyperlink ref="FRX8" location="'Cost Summary'!A1" display="'Cost Summary'!A1"/>
    <hyperlink ref="FRY8" location="'Cost Summary'!A1" display="'Cost Summary'!A1"/>
    <hyperlink ref="FRZ8" location="'Cost Summary'!A1" display="'Cost Summary'!A1"/>
    <hyperlink ref="FSA8" location="'Cost Summary'!A1" display="'Cost Summary'!A1"/>
    <hyperlink ref="FSB8" location="'Cost Summary'!A1" display="'Cost Summary'!A1"/>
    <hyperlink ref="FSC8" location="'Cost Summary'!A1" display="'Cost Summary'!A1"/>
    <hyperlink ref="FSD8" location="'Cost Summary'!A1" display="'Cost Summary'!A1"/>
    <hyperlink ref="FSE8" location="'Cost Summary'!A1" display="'Cost Summary'!A1"/>
    <hyperlink ref="FSF8" location="'Cost Summary'!A1" display="'Cost Summary'!A1"/>
    <hyperlink ref="FSG8" location="'Cost Summary'!A1" display="'Cost Summary'!A1"/>
    <hyperlink ref="FSH8" location="'Cost Summary'!A1" display="'Cost Summary'!A1"/>
    <hyperlink ref="FSI8" location="'Cost Summary'!A1" display="'Cost Summary'!A1"/>
    <hyperlink ref="FSJ8" location="'Cost Summary'!A1" display="'Cost Summary'!A1"/>
    <hyperlink ref="FSK8" location="'Cost Summary'!A1" display="'Cost Summary'!A1"/>
    <hyperlink ref="FSL8" location="'Cost Summary'!A1" display="'Cost Summary'!A1"/>
    <hyperlink ref="FSM8" location="'Cost Summary'!A1" display="'Cost Summary'!A1"/>
    <hyperlink ref="FSN8" location="'Cost Summary'!A1" display="'Cost Summary'!A1"/>
    <hyperlink ref="FSO8" location="'Cost Summary'!A1" display="'Cost Summary'!A1"/>
    <hyperlink ref="FSP8" location="'Cost Summary'!A1" display="'Cost Summary'!A1"/>
    <hyperlink ref="FSQ8" location="'Cost Summary'!A1" display="'Cost Summary'!A1"/>
    <hyperlink ref="FSR8" location="'Cost Summary'!A1" display="'Cost Summary'!A1"/>
    <hyperlink ref="FSS8" location="'Cost Summary'!A1" display="'Cost Summary'!A1"/>
    <hyperlink ref="FST8" location="'Cost Summary'!A1" display="'Cost Summary'!A1"/>
    <hyperlink ref="FSU8" location="'Cost Summary'!A1" display="'Cost Summary'!A1"/>
    <hyperlink ref="FSV8" location="'Cost Summary'!A1" display="'Cost Summary'!A1"/>
    <hyperlink ref="FSW8" location="'Cost Summary'!A1" display="'Cost Summary'!A1"/>
    <hyperlink ref="FSX8" location="'Cost Summary'!A1" display="'Cost Summary'!A1"/>
    <hyperlink ref="FSY8" location="'Cost Summary'!A1" display="'Cost Summary'!A1"/>
    <hyperlink ref="FSZ8" location="'Cost Summary'!A1" display="'Cost Summary'!A1"/>
    <hyperlink ref="FTA8" location="'Cost Summary'!A1" display="'Cost Summary'!A1"/>
    <hyperlink ref="FTB8" location="'Cost Summary'!A1" display="'Cost Summary'!A1"/>
    <hyperlink ref="FTC8" location="'Cost Summary'!A1" display="'Cost Summary'!A1"/>
    <hyperlink ref="FTD8" location="'Cost Summary'!A1" display="'Cost Summary'!A1"/>
    <hyperlink ref="FTE8" location="'Cost Summary'!A1" display="'Cost Summary'!A1"/>
    <hyperlink ref="FTF8" location="'Cost Summary'!A1" display="'Cost Summary'!A1"/>
    <hyperlink ref="FTG8" location="'Cost Summary'!A1" display="'Cost Summary'!A1"/>
    <hyperlink ref="FTH8" location="'Cost Summary'!A1" display="'Cost Summary'!A1"/>
    <hyperlink ref="FTI8" location="'Cost Summary'!A1" display="'Cost Summary'!A1"/>
    <hyperlink ref="FTJ8" location="'Cost Summary'!A1" display="'Cost Summary'!A1"/>
    <hyperlink ref="FTK8" location="'Cost Summary'!A1" display="'Cost Summary'!A1"/>
    <hyperlink ref="FTL8" location="'Cost Summary'!A1" display="'Cost Summary'!A1"/>
    <hyperlink ref="FTM8" location="'Cost Summary'!A1" display="'Cost Summary'!A1"/>
    <hyperlink ref="FTN8" location="'Cost Summary'!A1" display="'Cost Summary'!A1"/>
    <hyperlink ref="FTO8" location="'Cost Summary'!A1" display="'Cost Summary'!A1"/>
    <hyperlink ref="FTP8" location="'Cost Summary'!A1" display="'Cost Summary'!A1"/>
    <hyperlink ref="FTQ8" location="'Cost Summary'!A1" display="'Cost Summary'!A1"/>
    <hyperlink ref="FTR8" location="'Cost Summary'!A1" display="'Cost Summary'!A1"/>
    <hyperlink ref="FTS8" location="'Cost Summary'!A1" display="'Cost Summary'!A1"/>
    <hyperlink ref="FTT8" location="'Cost Summary'!A1" display="'Cost Summary'!A1"/>
    <hyperlink ref="FTU8" location="'Cost Summary'!A1" display="'Cost Summary'!A1"/>
    <hyperlink ref="FTV8" location="'Cost Summary'!A1" display="'Cost Summary'!A1"/>
    <hyperlink ref="FTW8" location="'Cost Summary'!A1" display="'Cost Summary'!A1"/>
    <hyperlink ref="FTX8" location="'Cost Summary'!A1" display="'Cost Summary'!A1"/>
    <hyperlink ref="FTY8" location="'Cost Summary'!A1" display="'Cost Summary'!A1"/>
    <hyperlink ref="FTZ8" location="'Cost Summary'!A1" display="'Cost Summary'!A1"/>
    <hyperlink ref="FUA8" location="'Cost Summary'!A1" display="'Cost Summary'!A1"/>
    <hyperlink ref="FUB8" location="'Cost Summary'!A1" display="'Cost Summary'!A1"/>
    <hyperlink ref="FUC8" location="'Cost Summary'!A1" display="'Cost Summary'!A1"/>
    <hyperlink ref="FUD8" location="'Cost Summary'!A1" display="'Cost Summary'!A1"/>
    <hyperlink ref="FUE8" location="'Cost Summary'!A1" display="'Cost Summary'!A1"/>
    <hyperlink ref="FUF8" location="'Cost Summary'!A1" display="'Cost Summary'!A1"/>
    <hyperlink ref="FUG8" location="'Cost Summary'!A1" display="'Cost Summary'!A1"/>
    <hyperlink ref="FUH8" location="'Cost Summary'!A1" display="'Cost Summary'!A1"/>
    <hyperlink ref="FUI8" location="'Cost Summary'!A1" display="'Cost Summary'!A1"/>
    <hyperlink ref="FUJ8" location="'Cost Summary'!A1" display="'Cost Summary'!A1"/>
    <hyperlink ref="FUK8" location="'Cost Summary'!A1" display="'Cost Summary'!A1"/>
    <hyperlink ref="FUL8" location="'Cost Summary'!A1" display="'Cost Summary'!A1"/>
    <hyperlink ref="FUM8" location="'Cost Summary'!A1" display="'Cost Summary'!A1"/>
    <hyperlink ref="FUN8" location="'Cost Summary'!A1" display="'Cost Summary'!A1"/>
    <hyperlink ref="FUO8" location="'Cost Summary'!A1" display="'Cost Summary'!A1"/>
    <hyperlink ref="FUP8" location="'Cost Summary'!A1" display="'Cost Summary'!A1"/>
    <hyperlink ref="FUQ8" location="'Cost Summary'!A1" display="'Cost Summary'!A1"/>
    <hyperlink ref="FUR8" location="'Cost Summary'!A1" display="'Cost Summary'!A1"/>
    <hyperlink ref="FUS8" location="'Cost Summary'!A1" display="'Cost Summary'!A1"/>
    <hyperlink ref="FUT8" location="'Cost Summary'!A1" display="'Cost Summary'!A1"/>
    <hyperlink ref="FUU8" location="'Cost Summary'!A1" display="'Cost Summary'!A1"/>
    <hyperlink ref="FUV8" location="'Cost Summary'!A1" display="'Cost Summary'!A1"/>
    <hyperlink ref="FUW8" location="'Cost Summary'!A1" display="'Cost Summary'!A1"/>
    <hyperlink ref="FUX8" location="'Cost Summary'!A1" display="'Cost Summary'!A1"/>
    <hyperlink ref="FUY8" location="'Cost Summary'!A1" display="'Cost Summary'!A1"/>
    <hyperlink ref="FUZ8" location="'Cost Summary'!A1" display="'Cost Summary'!A1"/>
    <hyperlink ref="FVA8" location="'Cost Summary'!A1" display="'Cost Summary'!A1"/>
    <hyperlink ref="FVB8" location="'Cost Summary'!A1" display="'Cost Summary'!A1"/>
    <hyperlink ref="FVC8" location="'Cost Summary'!A1" display="'Cost Summary'!A1"/>
    <hyperlink ref="FVD8" location="'Cost Summary'!A1" display="'Cost Summary'!A1"/>
    <hyperlink ref="FVE8" location="'Cost Summary'!A1" display="'Cost Summary'!A1"/>
    <hyperlink ref="FVF8" location="'Cost Summary'!A1" display="'Cost Summary'!A1"/>
    <hyperlink ref="FVG8" location="'Cost Summary'!A1" display="'Cost Summary'!A1"/>
    <hyperlink ref="FVH8" location="'Cost Summary'!A1" display="'Cost Summary'!A1"/>
    <hyperlink ref="FVI8" location="'Cost Summary'!A1" display="'Cost Summary'!A1"/>
    <hyperlink ref="FVJ8" location="'Cost Summary'!A1" display="'Cost Summary'!A1"/>
    <hyperlink ref="FVK8" location="'Cost Summary'!A1" display="'Cost Summary'!A1"/>
    <hyperlink ref="FVL8" location="'Cost Summary'!A1" display="'Cost Summary'!A1"/>
    <hyperlink ref="FVM8" location="'Cost Summary'!A1" display="'Cost Summary'!A1"/>
    <hyperlink ref="FVN8" location="'Cost Summary'!A1" display="'Cost Summary'!A1"/>
    <hyperlink ref="FVO8" location="'Cost Summary'!A1" display="'Cost Summary'!A1"/>
    <hyperlink ref="FVP8" location="'Cost Summary'!A1" display="'Cost Summary'!A1"/>
    <hyperlink ref="FVQ8" location="'Cost Summary'!A1" display="'Cost Summary'!A1"/>
    <hyperlink ref="FVR8" location="'Cost Summary'!A1" display="'Cost Summary'!A1"/>
    <hyperlink ref="FVS8" location="'Cost Summary'!A1" display="'Cost Summary'!A1"/>
    <hyperlink ref="FVT8" location="'Cost Summary'!A1" display="'Cost Summary'!A1"/>
    <hyperlink ref="FVU8" location="'Cost Summary'!A1" display="'Cost Summary'!A1"/>
    <hyperlink ref="FVV8" location="'Cost Summary'!A1" display="'Cost Summary'!A1"/>
    <hyperlink ref="FVW8" location="'Cost Summary'!A1" display="'Cost Summary'!A1"/>
    <hyperlink ref="FVX8" location="'Cost Summary'!A1" display="'Cost Summary'!A1"/>
    <hyperlink ref="FVY8" location="'Cost Summary'!A1" display="'Cost Summary'!A1"/>
    <hyperlink ref="FVZ8" location="'Cost Summary'!A1" display="'Cost Summary'!A1"/>
    <hyperlink ref="FWA8" location="'Cost Summary'!A1" display="'Cost Summary'!A1"/>
    <hyperlink ref="FWB8" location="'Cost Summary'!A1" display="'Cost Summary'!A1"/>
    <hyperlink ref="FWC8" location="'Cost Summary'!A1" display="'Cost Summary'!A1"/>
    <hyperlink ref="FWD8" location="'Cost Summary'!A1" display="'Cost Summary'!A1"/>
    <hyperlink ref="FWE8" location="'Cost Summary'!A1" display="'Cost Summary'!A1"/>
    <hyperlink ref="FWF8" location="'Cost Summary'!A1" display="'Cost Summary'!A1"/>
    <hyperlink ref="FWG8" location="'Cost Summary'!A1" display="'Cost Summary'!A1"/>
    <hyperlink ref="FWH8" location="'Cost Summary'!A1" display="'Cost Summary'!A1"/>
    <hyperlink ref="FWI8" location="'Cost Summary'!A1" display="'Cost Summary'!A1"/>
    <hyperlink ref="FWJ8" location="'Cost Summary'!A1" display="'Cost Summary'!A1"/>
    <hyperlink ref="FWK8" location="'Cost Summary'!A1" display="'Cost Summary'!A1"/>
    <hyperlink ref="FWL8" location="'Cost Summary'!A1" display="'Cost Summary'!A1"/>
    <hyperlink ref="FWM8" location="'Cost Summary'!A1" display="'Cost Summary'!A1"/>
    <hyperlink ref="FWN8" location="'Cost Summary'!A1" display="'Cost Summary'!A1"/>
    <hyperlink ref="FWO8" location="'Cost Summary'!A1" display="'Cost Summary'!A1"/>
    <hyperlink ref="FWP8" location="'Cost Summary'!A1" display="'Cost Summary'!A1"/>
    <hyperlink ref="FWQ8" location="'Cost Summary'!A1" display="'Cost Summary'!A1"/>
    <hyperlink ref="FWR8" location="'Cost Summary'!A1" display="'Cost Summary'!A1"/>
    <hyperlink ref="FWS8" location="'Cost Summary'!A1" display="'Cost Summary'!A1"/>
    <hyperlink ref="FWT8" location="'Cost Summary'!A1" display="'Cost Summary'!A1"/>
    <hyperlink ref="FWU8" location="'Cost Summary'!A1" display="'Cost Summary'!A1"/>
    <hyperlink ref="FWV8" location="'Cost Summary'!A1" display="'Cost Summary'!A1"/>
    <hyperlink ref="FWW8" location="'Cost Summary'!A1" display="'Cost Summary'!A1"/>
    <hyperlink ref="FWX8" location="'Cost Summary'!A1" display="'Cost Summary'!A1"/>
    <hyperlink ref="FWY8" location="'Cost Summary'!A1" display="'Cost Summary'!A1"/>
    <hyperlink ref="FWZ8" location="'Cost Summary'!A1" display="'Cost Summary'!A1"/>
    <hyperlink ref="FXA8" location="'Cost Summary'!A1" display="'Cost Summary'!A1"/>
    <hyperlink ref="FXB8" location="'Cost Summary'!A1" display="'Cost Summary'!A1"/>
    <hyperlink ref="FXC8" location="'Cost Summary'!A1" display="'Cost Summary'!A1"/>
    <hyperlink ref="FXD8" location="'Cost Summary'!A1" display="'Cost Summary'!A1"/>
    <hyperlink ref="FXE8" location="'Cost Summary'!A1" display="'Cost Summary'!A1"/>
    <hyperlink ref="FXF8" location="'Cost Summary'!A1" display="'Cost Summary'!A1"/>
    <hyperlink ref="FXG8" location="'Cost Summary'!A1" display="'Cost Summary'!A1"/>
    <hyperlink ref="FXH8" location="'Cost Summary'!A1" display="'Cost Summary'!A1"/>
    <hyperlink ref="FXI8" location="'Cost Summary'!A1" display="'Cost Summary'!A1"/>
    <hyperlink ref="FXJ8" location="'Cost Summary'!A1" display="'Cost Summary'!A1"/>
    <hyperlink ref="FXK8" location="'Cost Summary'!A1" display="'Cost Summary'!A1"/>
    <hyperlink ref="FXL8" location="'Cost Summary'!A1" display="'Cost Summary'!A1"/>
    <hyperlink ref="FXM8" location="'Cost Summary'!A1" display="'Cost Summary'!A1"/>
    <hyperlink ref="FXN8" location="'Cost Summary'!A1" display="'Cost Summary'!A1"/>
    <hyperlink ref="FXO8" location="'Cost Summary'!A1" display="'Cost Summary'!A1"/>
    <hyperlink ref="FXP8" location="'Cost Summary'!A1" display="'Cost Summary'!A1"/>
    <hyperlink ref="FXQ8" location="'Cost Summary'!A1" display="'Cost Summary'!A1"/>
    <hyperlink ref="FXR8" location="'Cost Summary'!A1" display="'Cost Summary'!A1"/>
    <hyperlink ref="FXS8" location="'Cost Summary'!A1" display="'Cost Summary'!A1"/>
    <hyperlink ref="FXT8" location="'Cost Summary'!A1" display="'Cost Summary'!A1"/>
    <hyperlink ref="FXU8" location="'Cost Summary'!A1" display="'Cost Summary'!A1"/>
    <hyperlink ref="FXV8" location="'Cost Summary'!A1" display="'Cost Summary'!A1"/>
    <hyperlink ref="FXW8" location="'Cost Summary'!A1" display="'Cost Summary'!A1"/>
    <hyperlink ref="FXX8" location="'Cost Summary'!A1" display="'Cost Summary'!A1"/>
    <hyperlink ref="FXY8" location="'Cost Summary'!A1" display="'Cost Summary'!A1"/>
    <hyperlink ref="FXZ8" location="'Cost Summary'!A1" display="'Cost Summary'!A1"/>
    <hyperlink ref="FYA8" location="'Cost Summary'!A1" display="'Cost Summary'!A1"/>
    <hyperlink ref="FYB8" location="'Cost Summary'!A1" display="'Cost Summary'!A1"/>
    <hyperlink ref="FYC8" location="'Cost Summary'!A1" display="'Cost Summary'!A1"/>
    <hyperlink ref="FYD8" location="'Cost Summary'!A1" display="'Cost Summary'!A1"/>
    <hyperlink ref="FYE8" location="'Cost Summary'!A1" display="'Cost Summary'!A1"/>
    <hyperlink ref="FYF8" location="'Cost Summary'!A1" display="'Cost Summary'!A1"/>
    <hyperlink ref="FYG8" location="'Cost Summary'!A1" display="'Cost Summary'!A1"/>
    <hyperlink ref="FYH8" location="'Cost Summary'!A1" display="'Cost Summary'!A1"/>
    <hyperlink ref="FYI8" location="'Cost Summary'!A1" display="'Cost Summary'!A1"/>
    <hyperlink ref="FYJ8" location="'Cost Summary'!A1" display="'Cost Summary'!A1"/>
    <hyperlink ref="FYK8" location="'Cost Summary'!A1" display="'Cost Summary'!A1"/>
    <hyperlink ref="FYL8" location="'Cost Summary'!A1" display="'Cost Summary'!A1"/>
    <hyperlink ref="FYM8" location="'Cost Summary'!A1" display="'Cost Summary'!A1"/>
    <hyperlink ref="FYN8" location="'Cost Summary'!A1" display="'Cost Summary'!A1"/>
    <hyperlink ref="FYO8" location="'Cost Summary'!A1" display="'Cost Summary'!A1"/>
    <hyperlink ref="FYP8" location="'Cost Summary'!A1" display="'Cost Summary'!A1"/>
    <hyperlink ref="FYQ8" location="'Cost Summary'!A1" display="'Cost Summary'!A1"/>
    <hyperlink ref="FYR8" location="'Cost Summary'!A1" display="'Cost Summary'!A1"/>
    <hyperlink ref="FYS8" location="'Cost Summary'!A1" display="'Cost Summary'!A1"/>
    <hyperlink ref="FYT8" location="'Cost Summary'!A1" display="'Cost Summary'!A1"/>
    <hyperlink ref="FYU8" location="'Cost Summary'!A1" display="'Cost Summary'!A1"/>
    <hyperlink ref="FYV8" location="'Cost Summary'!A1" display="'Cost Summary'!A1"/>
    <hyperlink ref="FYW8" location="'Cost Summary'!A1" display="'Cost Summary'!A1"/>
    <hyperlink ref="FYX8" location="'Cost Summary'!A1" display="'Cost Summary'!A1"/>
    <hyperlink ref="FYY8" location="'Cost Summary'!A1" display="'Cost Summary'!A1"/>
    <hyperlink ref="FYZ8" location="'Cost Summary'!A1" display="'Cost Summary'!A1"/>
    <hyperlink ref="FZA8" location="'Cost Summary'!A1" display="'Cost Summary'!A1"/>
    <hyperlink ref="FZB8" location="'Cost Summary'!A1" display="'Cost Summary'!A1"/>
    <hyperlink ref="FZC8" location="'Cost Summary'!A1" display="'Cost Summary'!A1"/>
    <hyperlink ref="FZD8" location="'Cost Summary'!A1" display="'Cost Summary'!A1"/>
    <hyperlink ref="FZE8" location="'Cost Summary'!A1" display="'Cost Summary'!A1"/>
    <hyperlink ref="FZF8" location="'Cost Summary'!A1" display="'Cost Summary'!A1"/>
    <hyperlink ref="FZG8" location="'Cost Summary'!A1" display="'Cost Summary'!A1"/>
    <hyperlink ref="FZH8" location="'Cost Summary'!A1" display="'Cost Summary'!A1"/>
    <hyperlink ref="FZI8" location="'Cost Summary'!A1" display="'Cost Summary'!A1"/>
    <hyperlink ref="FZJ8" location="'Cost Summary'!A1" display="'Cost Summary'!A1"/>
    <hyperlink ref="FZK8" location="'Cost Summary'!A1" display="'Cost Summary'!A1"/>
    <hyperlink ref="FZL8" location="'Cost Summary'!A1" display="'Cost Summary'!A1"/>
    <hyperlink ref="FZM8" location="'Cost Summary'!A1" display="'Cost Summary'!A1"/>
    <hyperlink ref="FZN8" location="'Cost Summary'!A1" display="'Cost Summary'!A1"/>
    <hyperlink ref="FZO8" location="'Cost Summary'!A1" display="'Cost Summary'!A1"/>
    <hyperlink ref="FZP8" location="'Cost Summary'!A1" display="'Cost Summary'!A1"/>
    <hyperlink ref="FZQ8" location="'Cost Summary'!A1" display="'Cost Summary'!A1"/>
    <hyperlink ref="FZR8" location="'Cost Summary'!A1" display="'Cost Summary'!A1"/>
    <hyperlink ref="FZS8" location="'Cost Summary'!A1" display="'Cost Summary'!A1"/>
    <hyperlink ref="FZT8" location="'Cost Summary'!A1" display="'Cost Summary'!A1"/>
    <hyperlink ref="FZU8" location="'Cost Summary'!A1" display="'Cost Summary'!A1"/>
    <hyperlink ref="FZV8" location="'Cost Summary'!A1" display="'Cost Summary'!A1"/>
    <hyperlink ref="FZW8" location="'Cost Summary'!A1" display="'Cost Summary'!A1"/>
    <hyperlink ref="FZX8" location="'Cost Summary'!A1" display="'Cost Summary'!A1"/>
    <hyperlink ref="FZY8" location="'Cost Summary'!A1" display="'Cost Summary'!A1"/>
    <hyperlink ref="FZZ8" location="'Cost Summary'!A1" display="'Cost Summary'!A1"/>
    <hyperlink ref="GAA8" location="'Cost Summary'!A1" display="'Cost Summary'!A1"/>
    <hyperlink ref="GAB8" location="'Cost Summary'!A1" display="'Cost Summary'!A1"/>
    <hyperlink ref="GAC8" location="'Cost Summary'!A1" display="'Cost Summary'!A1"/>
    <hyperlink ref="GAD8" location="'Cost Summary'!A1" display="'Cost Summary'!A1"/>
    <hyperlink ref="GAE8" location="'Cost Summary'!A1" display="'Cost Summary'!A1"/>
    <hyperlink ref="GAF8" location="'Cost Summary'!A1" display="'Cost Summary'!A1"/>
    <hyperlink ref="GAG8" location="'Cost Summary'!A1" display="'Cost Summary'!A1"/>
    <hyperlink ref="GAH8" location="'Cost Summary'!A1" display="'Cost Summary'!A1"/>
    <hyperlink ref="GAI8" location="'Cost Summary'!A1" display="'Cost Summary'!A1"/>
    <hyperlink ref="GAJ8" location="'Cost Summary'!A1" display="'Cost Summary'!A1"/>
    <hyperlink ref="GAK8" location="'Cost Summary'!A1" display="'Cost Summary'!A1"/>
    <hyperlink ref="GAL8" location="'Cost Summary'!A1" display="'Cost Summary'!A1"/>
    <hyperlink ref="GAM8" location="'Cost Summary'!A1" display="'Cost Summary'!A1"/>
    <hyperlink ref="GAN8" location="'Cost Summary'!A1" display="'Cost Summary'!A1"/>
    <hyperlink ref="GAO8" location="'Cost Summary'!A1" display="'Cost Summary'!A1"/>
    <hyperlink ref="GAP8" location="'Cost Summary'!A1" display="'Cost Summary'!A1"/>
    <hyperlink ref="GAQ8" location="'Cost Summary'!A1" display="'Cost Summary'!A1"/>
    <hyperlink ref="GAR8" location="'Cost Summary'!A1" display="'Cost Summary'!A1"/>
    <hyperlink ref="GAS8" location="'Cost Summary'!A1" display="'Cost Summary'!A1"/>
    <hyperlink ref="GAT8" location="'Cost Summary'!A1" display="'Cost Summary'!A1"/>
    <hyperlink ref="GAU8" location="'Cost Summary'!A1" display="'Cost Summary'!A1"/>
    <hyperlink ref="GAV8" location="'Cost Summary'!A1" display="'Cost Summary'!A1"/>
    <hyperlink ref="GAW8" location="'Cost Summary'!A1" display="'Cost Summary'!A1"/>
    <hyperlink ref="GAX8" location="'Cost Summary'!A1" display="'Cost Summary'!A1"/>
    <hyperlink ref="GAY8" location="'Cost Summary'!A1" display="'Cost Summary'!A1"/>
    <hyperlink ref="GAZ8" location="'Cost Summary'!A1" display="'Cost Summary'!A1"/>
    <hyperlink ref="GBA8" location="'Cost Summary'!A1" display="'Cost Summary'!A1"/>
    <hyperlink ref="GBB8" location="'Cost Summary'!A1" display="'Cost Summary'!A1"/>
    <hyperlink ref="GBC8" location="'Cost Summary'!A1" display="'Cost Summary'!A1"/>
    <hyperlink ref="GBD8" location="'Cost Summary'!A1" display="'Cost Summary'!A1"/>
    <hyperlink ref="GBE8" location="'Cost Summary'!A1" display="'Cost Summary'!A1"/>
    <hyperlink ref="GBF8" location="'Cost Summary'!A1" display="'Cost Summary'!A1"/>
    <hyperlink ref="GBG8" location="'Cost Summary'!A1" display="'Cost Summary'!A1"/>
    <hyperlink ref="GBH8" location="'Cost Summary'!A1" display="'Cost Summary'!A1"/>
    <hyperlink ref="GBI8" location="'Cost Summary'!A1" display="'Cost Summary'!A1"/>
    <hyperlink ref="GBJ8" location="'Cost Summary'!A1" display="'Cost Summary'!A1"/>
    <hyperlink ref="GBK8" location="'Cost Summary'!A1" display="'Cost Summary'!A1"/>
    <hyperlink ref="GBL8" location="'Cost Summary'!A1" display="'Cost Summary'!A1"/>
    <hyperlink ref="GBM8" location="'Cost Summary'!A1" display="'Cost Summary'!A1"/>
    <hyperlink ref="GBN8" location="'Cost Summary'!A1" display="'Cost Summary'!A1"/>
    <hyperlink ref="GBO8" location="'Cost Summary'!A1" display="'Cost Summary'!A1"/>
    <hyperlink ref="GBP8" location="'Cost Summary'!A1" display="'Cost Summary'!A1"/>
    <hyperlink ref="GBQ8" location="'Cost Summary'!A1" display="'Cost Summary'!A1"/>
    <hyperlink ref="GBR8" location="'Cost Summary'!A1" display="'Cost Summary'!A1"/>
    <hyperlink ref="GBS8" location="'Cost Summary'!A1" display="'Cost Summary'!A1"/>
    <hyperlink ref="GBT8" location="'Cost Summary'!A1" display="'Cost Summary'!A1"/>
    <hyperlink ref="GBU8" location="'Cost Summary'!A1" display="'Cost Summary'!A1"/>
    <hyperlink ref="GBV8" location="'Cost Summary'!A1" display="'Cost Summary'!A1"/>
    <hyperlink ref="GBW8" location="'Cost Summary'!A1" display="'Cost Summary'!A1"/>
    <hyperlink ref="GBX8" location="'Cost Summary'!A1" display="'Cost Summary'!A1"/>
    <hyperlink ref="GBY8" location="'Cost Summary'!A1" display="'Cost Summary'!A1"/>
    <hyperlink ref="GBZ8" location="'Cost Summary'!A1" display="'Cost Summary'!A1"/>
    <hyperlink ref="GCA8" location="'Cost Summary'!A1" display="'Cost Summary'!A1"/>
    <hyperlink ref="GCB8" location="'Cost Summary'!A1" display="'Cost Summary'!A1"/>
    <hyperlink ref="GCC8" location="'Cost Summary'!A1" display="'Cost Summary'!A1"/>
    <hyperlink ref="GCD8" location="'Cost Summary'!A1" display="'Cost Summary'!A1"/>
    <hyperlink ref="GCE8" location="'Cost Summary'!A1" display="'Cost Summary'!A1"/>
    <hyperlink ref="GCF8" location="'Cost Summary'!A1" display="'Cost Summary'!A1"/>
    <hyperlink ref="GCG8" location="'Cost Summary'!A1" display="'Cost Summary'!A1"/>
    <hyperlink ref="GCH8" location="'Cost Summary'!A1" display="'Cost Summary'!A1"/>
    <hyperlink ref="GCI8" location="'Cost Summary'!A1" display="'Cost Summary'!A1"/>
    <hyperlink ref="GCJ8" location="'Cost Summary'!A1" display="'Cost Summary'!A1"/>
    <hyperlink ref="GCK8" location="'Cost Summary'!A1" display="'Cost Summary'!A1"/>
    <hyperlink ref="GCL8" location="'Cost Summary'!A1" display="'Cost Summary'!A1"/>
    <hyperlink ref="GCM8" location="'Cost Summary'!A1" display="'Cost Summary'!A1"/>
    <hyperlink ref="GCN8" location="'Cost Summary'!A1" display="'Cost Summary'!A1"/>
    <hyperlink ref="GCO8" location="'Cost Summary'!A1" display="'Cost Summary'!A1"/>
    <hyperlink ref="GCP8" location="'Cost Summary'!A1" display="'Cost Summary'!A1"/>
    <hyperlink ref="GCQ8" location="'Cost Summary'!A1" display="'Cost Summary'!A1"/>
    <hyperlink ref="GCR8" location="'Cost Summary'!A1" display="'Cost Summary'!A1"/>
    <hyperlink ref="GCS8" location="'Cost Summary'!A1" display="'Cost Summary'!A1"/>
    <hyperlink ref="GCT8" location="'Cost Summary'!A1" display="'Cost Summary'!A1"/>
    <hyperlink ref="GCU8" location="'Cost Summary'!A1" display="'Cost Summary'!A1"/>
    <hyperlink ref="GCV8" location="'Cost Summary'!A1" display="'Cost Summary'!A1"/>
    <hyperlink ref="GCW8" location="'Cost Summary'!A1" display="'Cost Summary'!A1"/>
    <hyperlink ref="GCX8" location="'Cost Summary'!A1" display="'Cost Summary'!A1"/>
    <hyperlink ref="GCY8" location="'Cost Summary'!A1" display="'Cost Summary'!A1"/>
    <hyperlink ref="GCZ8" location="'Cost Summary'!A1" display="'Cost Summary'!A1"/>
    <hyperlink ref="GDA8" location="'Cost Summary'!A1" display="'Cost Summary'!A1"/>
    <hyperlink ref="GDB8" location="'Cost Summary'!A1" display="'Cost Summary'!A1"/>
    <hyperlink ref="GDC8" location="'Cost Summary'!A1" display="'Cost Summary'!A1"/>
    <hyperlink ref="GDD8" location="'Cost Summary'!A1" display="'Cost Summary'!A1"/>
    <hyperlink ref="GDE8" location="'Cost Summary'!A1" display="'Cost Summary'!A1"/>
    <hyperlink ref="GDF8" location="'Cost Summary'!A1" display="'Cost Summary'!A1"/>
    <hyperlink ref="GDG8" location="'Cost Summary'!A1" display="'Cost Summary'!A1"/>
    <hyperlink ref="GDH8" location="'Cost Summary'!A1" display="'Cost Summary'!A1"/>
    <hyperlink ref="GDI8" location="'Cost Summary'!A1" display="'Cost Summary'!A1"/>
    <hyperlink ref="GDJ8" location="'Cost Summary'!A1" display="'Cost Summary'!A1"/>
    <hyperlink ref="GDK8" location="'Cost Summary'!A1" display="'Cost Summary'!A1"/>
    <hyperlink ref="GDL8" location="'Cost Summary'!A1" display="'Cost Summary'!A1"/>
    <hyperlink ref="GDM8" location="'Cost Summary'!A1" display="'Cost Summary'!A1"/>
    <hyperlink ref="GDN8" location="'Cost Summary'!A1" display="'Cost Summary'!A1"/>
    <hyperlink ref="GDO8" location="'Cost Summary'!A1" display="'Cost Summary'!A1"/>
    <hyperlink ref="GDP8" location="'Cost Summary'!A1" display="'Cost Summary'!A1"/>
    <hyperlink ref="GDQ8" location="'Cost Summary'!A1" display="'Cost Summary'!A1"/>
    <hyperlink ref="GDR8" location="'Cost Summary'!A1" display="'Cost Summary'!A1"/>
    <hyperlink ref="GDS8" location="'Cost Summary'!A1" display="'Cost Summary'!A1"/>
    <hyperlink ref="GDT8" location="'Cost Summary'!A1" display="'Cost Summary'!A1"/>
    <hyperlink ref="GDU8" location="'Cost Summary'!A1" display="'Cost Summary'!A1"/>
    <hyperlink ref="GDV8" location="'Cost Summary'!A1" display="'Cost Summary'!A1"/>
    <hyperlink ref="GDW8" location="'Cost Summary'!A1" display="'Cost Summary'!A1"/>
    <hyperlink ref="GDX8" location="'Cost Summary'!A1" display="'Cost Summary'!A1"/>
    <hyperlink ref="GDY8" location="'Cost Summary'!A1" display="'Cost Summary'!A1"/>
    <hyperlink ref="GDZ8" location="'Cost Summary'!A1" display="'Cost Summary'!A1"/>
    <hyperlink ref="GEA8" location="'Cost Summary'!A1" display="'Cost Summary'!A1"/>
    <hyperlink ref="GEB8" location="'Cost Summary'!A1" display="'Cost Summary'!A1"/>
    <hyperlink ref="GEC8" location="'Cost Summary'!A1" display="'Cost Summary'!A1"/>
    <hyperlink ref="GED8" location="'Cost Summary'!A1" display="'Cost Summary'!A1"/>
    <hyperlink ref="GEE8" location="'Cost Summary'!A1" display="'Cost Summary'!A1"/>
    <hyperlink ref="GEF8" location="'Cost Summary'!A1" display="'Cost Summary'!A1"/>
    <hyperlink ref="GEG8" location="'Cost Summary'!A1" display="'Cost Summary'!A1"/>
    <hyperlink ref="GEH8" location="'Cost Summary'!A1" display="'Cost Summary'!A1"/>
    <hyperlink ref="GEI8" location="'Cost Summary'!A1" display="'Cost Summary'!A1"/>
    <hyperlink ref="GEJ8" location="'Cost Summary'!A1" display="'Cost Summary'!A1"/>
    <hyperlink ref="GEK8" location="'Cost Summary'!A1" display="'Cost Summary'!A1"/>
    <hyperlink ref="GEL8" location="'Cost Summary'!A1" display="'Cost Summary'!A1"/>
    <hyperlink ref="GEM8" location="'Cost Summary'!A1" display="'Cost Summary'!A1"/>
    <hyperlink ref="GEN8" location="'Cost Summary'!A1" display="'Cost Summary'!A1"/>
    <hyperlink ref="GEO8" location="'Cost Summary'!A1" display="'Cost Summary'!A1"/>
    <hyperlink ref="GEP8" location="'Cost Summary'!A1" display="'Cost Summary'!A1"/>
    <hyperlink ref="GEQ8" location="'Cost Summary'!A1" display="'Cost Summary'!A1"/>
    <hyperlink ref="GER8" location="'Cost Summary'!A1" display="'Cost Summary'!A1"/>
    <hyperlink ref="GES8" location="'Cost Summary'!A1" display="'Cost Summary'!A1"/>
    <hyperlink ref="GET8" location="'Cost Summary'!A1" display="'Cost Summary'!A1"/>
    <hyperlink ref="GEU8" location="'Cost Summary'!A1" display="'Cost Summary'!A1"/>
    <hyperlink ref="GEV8" location="'Cost Summary'!A1" display="'Cost Summary'!A1"/>
    <hyperlink ref="GEW8" location="'Cost Summary'!A1" display="'Cost Summary'!A1"/>
    <hyperlink ref="GEX8" location="'Cost Summary'!A1" display="'Cost Summary'!A1"/>
    <hyperlink ref="GEY8" location="'Cost Summary'!A1" display="'Cost Summary'!A1"/>
    <hyperlink ref="GEZ8" location="'Cost Summary'!A1" display="'Cost Summary'!A1"/>
    <hyperlink ref="GFA8" location="'Cost Summary'!A1" display="'Cost Summary'!A1"/>
    <hyperlink ref="GFB8" location="'Cost Summary'!A1" display="'Cost Summary'!A1"/>
    <hyperlink ref="GFC8" location="'Cost Summary'!A1" display="'Cost Summary'!A1"/>
    <hyperlink ref="GFD8" location="'Cost Summary'!A1" display="'Cost Summary'!A1"/>
    <hyperlink ref="GFE8" location="'Cost Summary'!A1" display="'Cost Summary'!A1"/>
    <hyperlink ref="GFF8" location="'Cost Summary'!A1" display="'Cost Summary'!A1"/>
    <hyperlink ref="GFG8" location="'Cost Summary'!A1" display="'Cost Summary'!A1"/>
    <hyperlink ref="GFH8" location="'Cost Summary'!A1" display="'Cost Summary'!A1"/>
    <hyperlink ref="GFI8" location="'Cost Summary'!A1" display="'Cost Summary'!A1"/>
    <hyperlink ref="GFJ8" location="'Cost Summary'!A1" display="'Cost Summary'!A1"/>
    <hyperlink ref="GFK8" location="'Cost Summary'!A1" display="'Cost Summary'!A1"/>
    <hyperlink ref="GFL8" location="'Cost Summary'!A1" display="'Cost Summary'!A1"/>
    <hyperlink ref="GFM8" location="'Cost Summary'!A1" display="'Cost Summary'!A1"/>
    <hyperlink ref="GFN8" location="'Cost Summary'!A1" display="'Cost Summary'!A1"/>
    <hyperlink ref="GFO8" location="'Cost Summary'!A1" display="'Cost Summary'!A1"/>
    <hyperlink ref="GFP8" location="'Cost Summary'!A1" display="'Cost Summary'!A1"/>
    <hyperlink ref="GFQ8" location="'Cost Summary'!A1" display="'Cost Summary'!A1"/>
    <hyperlink ref="GFR8" location="'Cost Summary'!A1" display="'Cost Summary'!A1"/>
    <hyperlink ref="GFS8" location="'Cost Summary'!A1" display="'Cost Summary'!A1"/>
    <hyperlink ref="GFT8" location="'Cost Summary'!A1" display="'Cost Summary'!A1"/>
    <hyperlink ref="GFU8" location="'Cost Summary'!A1" display="'Cost Summary'!A1"/>
    <hyperlink ref="GFV8" location="'Cost Summary'!A1" display="'Cost Summary'!A1"/>
    <hyperlink ref="GFW8" location="'Cost Summary'!A1" display="'Cost Summary'!A1"/>
    <hyperlink ref="GFX8" location="'Cost Summary'!A1" display="'Cost Summary'!A1"/>
    <hyperlink ref="GFY8" location="'Cost Summary'!A1" display="'Cost Summary'!A1"/>
    <hyperlink ref="GFZ8" location="'Cost Summary'!A1" display="'Cost Summary'!A1"/>
    <hyperlink ref="GGA8" location="'Cost Summary'!A1" display="'Cost Summary'!A1"/>
    <hyperlink ref="GGB8" location="'Cost Summary'!A1" display="'Cost Summary'!A1"/>
    <hyperlink ref="GGC8" location="'Cost Summary'!A1" display="'Cost Summary'!A1"/>
    <hyperlink ref="GGD8" location="'Cost Summary'!A1" display="'Cost Summary'!A1"/>
    <hyperlink ref="GGE8" location="'Cost Summary'!A1" display="'Cost Summary'!A1"/>
    <hyperlink ref="GGF8" location="'Cost Summary'!A1" display="'Cost Summary'!A1"/>
    <hyperlink ref="GGG8" location="'Cost Summary'!A1" display="'Cost Summary'!A1"/>
    <hyperlink ref="GGH8" location="'Cost Summary'!A1" display="'Cost Summary'!A1"/>
    <hyperlink ref="GGI8" location="'Cost Summary'!A1" display="'Cost Summary'!A1"/>
    <hyperlink ref="GGJ8" location="'Cost Summary'!A1" display="'Cost Summary'!A1"/>
    <hyperlink ref="GGK8" location="'Cost Summary'!A1" display="'Cost Summary'!A1"/>
    <hyperlink ref="GGL8" location="'Cost Summary'!A1" display="'Cost Summary'!A1"/>
    <hyperlink ref="GGM8" location="'Cost Summary'!A1" display="'Cost Summary'!A1"/>
    <hyperlink ref="GGN8" location="'Cost Summary'!A1" display="'Cost Summary'!A1"/>
    <hyperlink ref="GGO8" location="'Cost Summary'!A1" display="'Cost Summary'!A1"/>
    <hyperlink ref="GGP8" location="'Cost Summary'!A1" display="'Cost Summary'!A1"/>
    <hyperlink ref="GGQ8" location="'Cost Summary'!A1" display="'Cost Summary'!A1"/>
    <hyperlink ref="GGR8" location="'Cost Summary'!A1" display="'Cost Summary'!A1"/>
    <hyperlink ref="GGS8" location="'Cost Summary'!A1" display="'Cost Summary'!A1"/>
    <hyperlink ref="GGT8" location="'Cost Summary'!A1" display="'Cost Summary'!A1"/>
    <hyperlink ref="GGU8" location="'Cost Summary'!A1" display="'Cost Summary'!A1"/>
    <hyperlink ref="GGV8" location="'Cost Summary'!A1" display="'Cost Summary'!A1"/>
    <hyperlink ref="GGW8" location="'Cost Summary'!A1" display="'Cost Summary'!A1"/>
    <hyperlink ref="GGX8" location="'Cost Summary'!A1" display="'Cost Summary'!A1"/>
    <hyperlink ref="GGY8" location="'Cost Summary'!A1" display="'Cost Summary'!A1"/>
    <hyperlink ref="GGZ8" location="'Cost Summary'!A1" display="'Cost Summary'!A1"/>
    <hyperlink ref="GHA8" location="'Cost Summary'!A1" display="'Cost Summary'!A1"/>
    <hyperlink ref="GHB8" location="'Cost Summary'!A1" display="'Cost Summary'!A1"/>
    <hyperlink ref="GHC8" location="'Cost Summary'!A1" display="'Cost Summary'!A1"/>
    <hyperlink ref="GHD8" location="'Cost Summary'!A1" display="'Cost Summary'!A1"/>
    <hyperlink ref="GHE8" location="'Cost Summary'!A1" display="'Cost Summary'!A1"/>
    <hyperlink ref="GHF8" location="'Cost Summary'!A1" display="'Cost Summary'!A1"/>
    <hyperlink ref="GHG8" location="'Cost Summary'!A1" display="'Cost Summary'!A1"/>
    <hyperlink ref="GHH8" location="'Cost Summary'!A1" display="'Cost Summary'!A1"/>
    <hyperlink ref="GHI8" location="'Cost Summary'!A1" display="'Cost Summary'!A1"/>
    <hyperlink ref="GHJ8" location="'Cost Summary'!A1" display="'Cost Summary'!A1"/>
    <hyperlink ref="GHK8" location="'Cost Summary'!A1" display="'Cost Summary'!A1"/>
    <hyperlink ref="GHL8" location="'Cost Summary'!A1" display="'Cost Summary'!A1"/>
    <hyperlink ref="GHM8" location="'Cost Summary'!A1" display="'Cost Summary'!A1"/>
    <hyperlink ref="GHN8" location="'Cost Summary'!A1" display="'Cost Summary'!A1"/>
    <hyperlink ref="GHO8" location="'Cost Summary'!A1" display="'Cost Summary'!A1"/>
    <hyperlink ref="GHP8" location="'Cost Summary'!A1" display="'Cost Summary'!A1"/>
    <hyperlink ref="GHQ8" location="'Cost Summary'!A1" display="'Cost Summary'!A1"/>
    <hyperlink ref="GHR8" location="'Cost Summary'!A1" display="'Cost Summary'!A1"/>
    <hyperlink ref="GHS8" location="'Cost Summary'!A1" display="'Cost Summary'!A1"/>
    <hyperlink ref="GHT8" location="'Cost Summary'!A1" display="'Cost Summary'!A1"/>
    <hyperlink ref="GHU8" location="'Cost Summary'!A1" display="'Cost Summary'!A1"/>
    <hyperlink ref="GHV8" location="'Cost Summary'!A1" display="'Cost Summary'!A1"/>
    <hyperlink ref="GHW8" location="'Cost Summary'!A1" display="'Cost Summary'!A1"/>
    <hyperlink ref="GHX8" location="'Cost Summary'!A1" display="'Cost Summary'!A1"/>
    <hyperlink ref="GHY8" location="'Cost Summary'!A1" display="'Cost Summary'!A1"/>
    <hyperlink ref="GHZ8" location="'Cost Summary'!A1" display="'Cost Summary'!A1"/>
    <hyperlink ref="GIA8" location="'Cost Summary'!A1" display="'Cost Summary'!A1"/>
    <hyperlink ref="GIB8" location="'Cost Summary'!A1" display="'Cost Summary'!A1"/>
    <hyperlink ref="GIC8" location="'Cost Summary'!A1" display="'Cost Summary'!A1"/>
    <hyperlink ref="GID8" location="'Cost Summary'!A1" display="'Cost Summary'!A1"/>
    <hyperlink ref="GIE8" location="'Cost Summary'!A1" display="'Cost Summary'!A1"/>
    <hyperlink ref="GIF8" location="'Cost Summary'!A1" display="'Cost Summary'!A1"/>
    <hyperlink ref="GIG8" location="'Cost Summary'!A1" display="'Cost Summary'!A1"/>
    <hyperlink ref="GIH8" location="'Cost Summary'!A1" display="'Cost Summary'!A1"/>
    <hyperlink ref="GII8" location="'Cost Summary'!A1" display="'Cost Summary'!A1"/>
    <hyperlink ref="GIJ8" location="'Cost Summary'!A1" display="'Cost Summary'!A1"/>
    <hyperlink ref="GIK8" location="'Cost Summary'!A1" display="'Cost Summary'!A1"/>
    <hyperlink ref="GIL8" location="'Cost Summary'!A1" display="'Cost Summary'!A1"/>
    <hyperlink ref="GIM8" location="'Cost Summary'!A1" display="'Cost Summary'!A1"/>
    <hyperlink ref="GIN8" location="'Cost Summary'!A1" display="'Cost Summary'!A1"/>
    <hyperlink ref="GIO8" location="'Cost Summary'!A1" display="'Cost Summary'!A1"/>
    <hyperlink ref="GIP8" location="'Cost Summary'!A1" display="'Cost Summary'!A1"/>
    <hyperlink ref="GIQ8" location="'Cost Summary'!A1" display="'Cost Summary'!A1"/>
    <hyperlink ref="GIR8" location="'Cost Summary'!A1" display="'Cost Summary'!A1"/>
    <hyperlink ref="GIS8" location="'Cost Summary'!A1" display="'Cost Summary'!A1"/>
    <hyperlink ref="GIT8" location="'Cost Summary'!A1" display="'Cost Summary'!A1"/>
    <hyperlink ref="GIU8" location="'Cost Summary'!A1" display="'Cost Summary'!A1"/>
    <hyperlink ref="GIV8" location="'Cost Summary'!A1" display="'Cost Summary'!A1"/>
    <hyperlink ref="GIW8" location="'Cost Summary'!A1" display="'Cost Summary'!A1"/>
    <hyperlink ref="GIX8" location="'Cost Summary'!A1" display="'Cost Summary'!A1"/>
    <hyperlink ref="GIY8" location="'Cost Summary'!A1" display="'Cost Summary'!A1"/>
    <hyperlink ref="GIZ8" location="'Cost Summary'!A1" display="'Cost Summary'!A1"/>
    <hyperlink ref="GJA8" location="'Cost Summary'!A1" display="'Cost Summary'!A1"/>
    <hyperlink ref="GJB8" location="'Cost Summary'!A1" display="'Cost Summary'!A1"/>
    <hyperlink ref="GJC8" location="'Cost Summary'!A1" display="'Cost Summary'!A1"/>
    <hyperlink ref="GJD8" location="'Cost Summary'!A1" display="'Cost Summary'!A1"/>
    <hyperlink ref="GJE8" location="'Cost Summary'!A1" display="'Cost Summary'!A1"/>
    <hyperlink ref="GJF8" location="'Cost Summary'!A1" display="'Cost Summary'!A1"/>
    <hyperlink ref="GJG8" location="'Cost Summary'!A1" display="'Cost Summary'!A1"/>
    <hyperlink ref="GJH8" location="'Cost Summary'!A1" display="'Cost Summary'!A1"/>
    <hyperlink ref="GJI8" location="'Cost Summary'!A1" display="'Cost Summary'!A1"/>
    <hyperlink ref="GJJ8" location="'Cost Summary'!A1" display="'Cost Summary'!A1"/>
    <hyperlink ref="GJK8" location="'Cost Summary'!A1" display="'Cost Summary'!A1"/>
    <hyperlink ref="GJL8" location="'Cost Summary'!A1" display="'Cost Summary'!A1"/>
    <hyperlink ref="GJM8" location="'Cost Summary'!A1" display="'Cost Summary'!A1"/>
    <hyperlink ref="GJN8" location="'Cost Summary'!A1" display="'Cost Summary'!A1"/>
    <hyperlink ref="GJO8" location="'Cost Summary'!A1" display="'Cost Summary'!A1"/>
    <hyperlink ref="GJP8" location="'Cost Summary'!A1" display="'Cost Summary'!A1"/>
    <hyperlink ref="GJQ8" location="'Cost Summary'!A1" display="'Cost Summary'!A1"/>
    <hyperlink ref="GJR8" location="'Cost Summary'!A1" display="'Cost Summary'!A1"/>
    <hyperlink ref="GJS8" location="'Cost Summary'!A1" display="'Cost Summary'!A1"/>
    <hyperlink ref="GJT8" location="'Cost Summary'!A1" display="'Cost Summary'!A1"/>
    <hyperlink ref="GJU8" location="'Cost Summary'!A1" display="'Cost Summary'!A1"/>
    <hyperlink ref="GJV8" location="'Cost Summary'!A1" display="'Cost Summary'!A1"/>
    <hyperlink ref="GJW8" location="'Cost Summary'!A1" display="'Cost Summary'!A1"/>
    <hyperlink ref="GJX8" location="'Cost Summary'!A1" display="'Cost Summary'!A1"/>
    <hyperlink ref="GJY8" location="'Cost Summary'!A1" display="'Cost Summary'!A1"/>
    <hyperlink ref="GJZ8" location="'Cost Summary'!A1" display="'Cost Summary'!A1"/>
    <hyperlink ref="GKA8" location="'Cost Summary'!A1" display="'Cost Summary'!A1"/>
    <hyperlink ref="GKB8" location="'Cost Summary'!A1" display="'Cost Summary'!A1"/>
    <hyperlink ref="GKC8" location="'Cost Summary'!A1" display="'Cost Summary'!A1"/>
    <hyperlink ref="GKD8" location="'Cost Summary'!A1" display="'Cost Summary'!A1"/>
    <hyperlink ref="GKE8" location="'Cost Summary'!A1" display="'Cost Summary'!A1"/>
    <hyperlink ref="GKF8" location="'Cost Summary'!A1" display="'Cost Summary'!A1"/>
    <hyperlink ref="GKG8" location="'Cost Summary'!A1" display="'Cost Summary'!A1"/>
    <hyperlink ref="GKH8" location="'Cost Summary'!A1" display="'Cost Summary'!A1"/>
    <hyperlink ref="GKI8" location="'Cost Summary'!A1" display="'Cost Summary'!A1"/>
    <hyperlink ref="GKJ8" location="'Cost Summary'!A1" display="'Cost Summary'!A1"/>
    <hyperlink ref="GKK8" location="'Cost Summary'!A1" display="'Cost Summary'!A1"/>
    <hyperlink ref="GKL8" location="'Cost Summary'!A1" display="'Cost Summary'!A1"/>
    <hyperlink ref="GKM8" location="'Cost Summary'!A1" display="'Cost Summary'!A1"/>
    <hyperlink ref="GKN8" location="'Cost Summary'!A1" display="'Cost Summary'!A1"/>
    <hyperlink ref="GKO8" location="'Cost Summary'!A1" display="'Cost Summary'!A1"/>
    <hyperlink ref="GKP8" location="'Cost Summary'!A1" display="'Cost Summary'!A1"/>
    <hyperlink ref="GKQ8" location="'Cost Summary'!A1" display="'Cost Summary'!A1"/>
    <hyperlink ref="GKR8" location="'Cost Summary'!A1" display="'Cost Summary'!A1"/>
    <hyperlink ref="GKS8" location="'Cost Summary'!A1" display="'Cost Summary'!A1"/>
    <hyperlink ref="GKT8" location="'Cost Summary'!A1" display="'Cost Summary'!A1"/>
    <hyperlink ref="GKU8" location="'Cost Summary'!A1" display="'Cost Summary'!A1"/>
    <hyperlink ref="GKV8" location="'Cost Summary'!A1" display="'Cost Summary'!A1"/>
    <hyperlink ref="GKW8" location="'Cost Summary'!A1" display="'Cost Summary'!A1"/>
    <hyperlink ref="GKX8" location="'Cost Summary'!A1" display="'Cost Summary'!A1"/>
    <hyperlink ref="GKY8" location="'Cost Summary'!A1" display="'Cost Summary'!A1"/>
    <hyperlink ref="GKZ8" location="'Cost Summary'!A1" display="'Cost Summary'!A1"/>
    <hyperlink ref="GLA8" location="'Cost Summary'!A1" display="'Cost Summary'!A1"/>
    <hyperlink ref="GLB8" location="'Cost Summary'!A1" display="'Cost Summary'!A1"/>
    <hyperlink ref="GLC8" location="'Cost Summary'!A1" display="'Cost Summary'!A1"/>
    <hyperlink ref="GLD8" location="'Cost Summary'!A1" display="'Cost Summary'!A1"/>
    <hyperlink ref="GLE8" location="'Cost Summary'!A1" display="'Cost Summary'!A1"/>
    <hyperlink ref="GLF8" location="'Cost Summary'!A1" display="'Cost Summary'!A1"/>
    <hyperlink ref="GLG8" location="'Cost Summary'!A1" display="'Cost Summary'!A1"/>
    <hyperlink ref="GLH8" location="'Cost Summary'!A1" display="'Cost Summary'!A1"/>
    <hyperlink ref="GLI8" location="'Cost Summary'!A1" display="'Cost Summary'!A1"/>
    <hyperlink ref="GLJ8" location="'Cost Summary'!A1" display="'Cost Summary'!A1"/>
    <hyperlink ref="GLK8" location="'Cost Summary'!A1" display="'Cost Summary'!A1"/>
    <hyperlink ref="GLL8" location="'Cost Summary'!A1" display="'Cost Summary'!A1"/>
    <hyperlink ref="GLM8" location="'Cost Summary'!A1" display="'Cost Summary'!A1"/>
    <hyperlink ref="GLN8" location="'Cost Summary'!A1" display="'Cost Summary'!A1"/>
    <hyperlink ref="GLO8" location="'Cost Summary'!A1" display="'Cost Summary'!A1"/>
    <hyperlink ref="GLP8" location="'Cost Summary'!A1" display="'Cost Summary'!A1"/>
    <hyperlink ref="GLQ8" location="'Cost Summary'!A1" display="'Cost Summary'!A1"/>
    <hyperlink ref="GLR8" location="'Cost Summary'!A1" display="'Cost Summary'!A1"/>
    <hyperlink ref="GLS8" location="'Cost Summary'!A1" display="'Cost Summary'!A1"/>
    <hyperlink ref="GLT8" location="'Cost Summary'!A1" display="'Cost Summary'!A1"/>
    <hyperlink ref="GLU8" location="'Cost Summary'!A1" display="'Cost Summary'!A1"/>
    <hyperlink ref="GLV8" location="'Cost Summary'!A1" display="'Cost Summary'!A1"/>
    <hyperlink ref="GLW8" location="'Cost Summary'!A1" display="'Cost Summary'!A1"/>
    <hyperlink ref="GLX8" location="'Cost Summary'!A1" display="'Cost Summary'!A1"/>
    <hyperlink ref="GLY8" location="'Cost Summary'!A1" display="'Cost Summary'!A1"/>
    <hyperlink ref="GLZ8" location="'Cost Summary'!A1" display="'Cost Summary'!A1"/>
    <hyperlink ref="GMA8" location="'Cost Summary'!A1" display="'Cost Summary'!A1"/>
    <hyperlink ref="GMB8" location="'Cost Summary'!A1" display="'Cost Summary'!A1"/>
    <hyperlink ref="GMC8" location="'Cost Summary'!A1" display="'Cost Summary'!A1"/>
    <hyperlink ref="GMD8" location="'Cost Summary'!A1" display="'Cost Summary'!A1"/>
    <hyperlink ref="GME8" location="'Cost Summary'!A1" display="'Cost Summary'!A1"/>
    <hyperlink ref="GMF8" location="'Cost Summary'!A1" display="'Cost Summary'!A1"/>
    <hyperlink ref="GMG8" location="'Cost Summary'!A1" display="'Cost Summary'!A1"/>
    <hyperlink ref="GMH8" location="'Cost Summary'!A1" display="'Cost Summary'!A1"/>
    <hyperlink ref="GMI8" location="'Cost Summary'!A1" display="'Cost Summary'!A1"/>
    <hyperlink ref="GMJ8" location="'Cost Summary'!A1" display="'Cost Summary'!A1"/>
    <hyperlink ref="GMK8" location="'Cost Summary'!A1" display="'Cost Summary'!A1"/>
    <hyperlink ref="GML8" location="'Cost Summary'!A1" display="'Cost Summary'!A1"/>
    <hyperlink ref="GMM8" location="'Cost Summary'!A1" display="'Cost Summary'!A1"/>
    <hyperlink ref="GMN8" location="'Cost Summary'!A1" display="'Cost Summary'!A1"/>
    <hyperlink ref="GMO8" location="'Cost Summary'!A1" display="'Cost Summary'!A1"/>
    <hyperlink ref="GMP8" location="'Cost Summary'!A1" display="'Cost Summary'!A1"/>
    <hyperlink ref="GMQ8" location="'Cost Summary'!A1" display="'Cost Summary'!A1"/>
    <hyperlink ref="GMR8" location="'Cost Summary'!A1" display="'Cost Summary'!A1"/>
    <hyperlink ref="GMS8" location="'Cost Summary'!A1" display="'Cost Summary'!A1"/>
    <hyperlink ref="GMT8" location="'Cost Summary'!A1" display="'Cost Summary'!A1"/>
    <hyperlink ref="GMU8" location="'Cost Summary'!A1" display="'Cost Summary'!A1"/>
    <hyperlink ref="GMV8" location="'Cost Summary'!A1" display="'Cost Summary'!A1"/>
    <hyperlink ref="GMW8" location="'Cost Summary'!A1" display="'Cost Summary'!A1"/>
    <hyperlink ref="GMX8" location="'Cost Summary'!A1" display="'Cost Summary'!A1"/>
    <hyperlink ref="GMY8" location="'Cost Summary'!A1" display="'Cost Summary'!A1"/>
    <hyperlink ref="GMZ8" location="'Cost Summary'!A1" display="'Cost Summary'!A1"/>
    <hyperlink ref="GNA8" location="'Cost Summary'!A1" display="'Cost Summary'!A1"/>
    <hyperlink ref="GNB8" location="'Cost Summary'!A1" display="'Cost Summary'!A1"/>
    <hyperlink ref="GNC8" location="'Cost Summary'!A1" display="'Cost Summary'!A1"/>
    <hyperlink ref="GND8" location="'Cost Summary'!A1" display="'Cost Summary'!A1"/>
    <hyperlink ref="GNE8" location="'Cost Summary'!A1" display="'Cost Summary'!A1"/>
    <hyperlink ref="GNF8" location="'Cost Summary'!A1" display="'Cost Summary'!A1"/>
    <hyperlink ref="GNG8" location="'Cost Summary'!A1" display="'Cost Summary'!A1"/>
    <hyperlink ref="GNH8" location="'Cost Summary'!A1" display="'Cost Summary'!A1"/>
    <hyperlink ref="GNI8" location="'Cost Summary'!A1" display="'Cost Summary'!A1"/>
    <hyperlink ref="GNJ8" location="'Cost Summary'!A1" display="'Cost Summary'!A1"/>
    <hyperlink ref="GNK8" location="'Cost Summary'!A1" display="'Cost Summary'!A1"/>
    <hyperlink ref="GNL8" location="'Cost Summary'!A1" display="'Cost Summary'!A1"/>
    <hyperlink ref="GNM8" location="'Cost Summary'!A1" display="'Cost Summary'!A1"/>
    <hyperlink ref="GNN8" location="'Cost Summary'!A1" display="'Cost Summary'!A1"/>
    <hyperlink ref="GNO8" location="'Cost Summary'!A1" display="'Cost Summary'!A1"/>
    <hyperlink ref="GNP8" location="'Cost Summary'!A1" display="'Cost Summary'!A1"/>
    <hyperlink ref="GNQ8" location="'Cost Summary'!A1" display="'Cost Summary'!A1"/>
    <hyperlink ref="GNR8" location="'Cost Summary'!A1" display="'Cost Summary'!A1"/>
    <hyperlink ref="GNS8" location="'Cost Summary'!A1" display="'Cost Summary'!A1"/>
    <hyperlink ref="GNT8" location="'Cost Summary'!A1" display="'Cost Summary'!A1"/>
    <hyperlink ref="GNU8" location="'Cost Summary'!A1" display="'Cost Summary'!A1"/>
    <hyperlink ref="GNV8" location="'Cost Summary'!A1" display="'Cost Summary'!A1"/>
    <hyperlink ref="GNW8" location="'Cost Summary'!A1" display="'Cost Summary'!A1"/>
    <hyperlink ref="GNX8" location="'Cost Summary'!A1" display="'Cost Summary'!A1"/>
    <hyperlink ref="GNY8" location="'Cost Summary'!A1" display="'Cost Summary'!A1"/>
    <hyperlink ref="GNZ8" location="'Cost Summary'!A1" display="'Cost Summary'!A1"/>
    <hyperlink ref="GOA8" location="'Cost Summary'!A1" display="'Cost Summary'!A1"/>
    <hyperlink ref="GOB8" location="'Cost Summary'!A1" display="'Cost Summary'!A1"/>
    <hyperlink ref="GOC8" location="'Cost Summary'!A1" display="'Cost Summary'!A1"/>
    <hyperlink ref="GOD8" location="'Cost Summary'!A1" display="'Cost Summary'!A1"/>
    <hyperlink ref="GOE8" location="'Cost Summary'!A1" display="'Cost Summary'!A1"/>
    <hyperlink ref="GOF8" location="'Cost Summary'!A1" display="'Cost Summary'!A1"/>
    <hyperlink ref="GOG8" location="'Cost Summary'!A1" display="'Cost Summary'!A1"/>
    <hyperlink ref="GOH8" location="'Cost Summary'!A1" display="'Cost Summary'!A1"/>
    <hyperlink ref="GOI8" location="'Cost Summary'!A1" display="'Cost Summary'!A1"/>
    <hyperlink ref="GOJ8" location="'Cost Summary'!A1" display="'Cost Summary'!A1"/>
    <hyperlink ref="GOK8" location="'Cost Summary'!A1" display="'Cost Summary'!A1"/>
    <hyperlink ref="GOL8" location="'Cost Summary'!A1" display="'Cost Summary'!A1"/>
    <hyperlink ref="GOM8" location="'Cost Summary'!A1" display="'Cost Summary'!A1"/>
    <hyperlink ref="GON8" location="'Cost Summary'!A1" display="'Cost Summary'!A1"/>
    <hyperlink ref="GOO8" location="'Cost Summary'!A1" display="'Cost Summary'!A1"/>
    <hyperlink ref="GOP8" location="'Cost Summary'!A1" display="'Cost Summary'!A1"/>
    <hyperlink ref="GOQ8" location="'Cost Summary'!A1" display="'Cost Summary'!A1"/>
    <hyperlink ref="GOR8" location="'Cost Summary'!A1" display="'Cost Summary'!A1"/>
    <hyperlink ref="GOS8" location="'Cost Summary'!A1" display="'Cost Summary'!A1"/>
    <hyperlink ref="GOT8" location="'Cost Summary'!A1" display="'Cost Summary'!A1"/>
    <hyperlink ref="GOU8" location="'Cost Summary'!A1" display="'Cost Summary'!A1"/>
    <hyperlink ref="GOV8" location="'Cost Summary'!A1" display="'Cost Summary'!A1"/>
    <hyperlink ref="GOW8" location="'Cost Summary'!A1" display="'Cost Summary'!A1"/>
    <hyperlink ref="GOX8" location="'Cost Summary'!A1" display="'Cost Summary'!A1"/>
    <hyperlink ref="GOY8" location="'Cost Summary'!A1" display="'Cost Summary'!A1"/>
    <hyperlink ref="GOZ8" location="'Cost Summary'!A1" display="'Cost Summary'!A1"/>
    <hyperlink ref="GPA8" location="'Cost Summary'!A1" display="'Cost Summary'!A1"/>
    <hyperlink ref="GPB8" location="'Cost Summary'!A1" display="'Cost Summary'!A1"/>
    <hyperlink ref="GPC8" location="'Cost Summary'!A1" display="'Cost Summary'!A1"/>
    <hyperlink ref="GPD8" location="'Cost Summary'!A1" display="'Cost Summary'!A1"/>
    <hyperlink ref="GPE8" location="'Cost Summary'!A1" display="'Cost Summary'!A1"/>
    <hyperlink ref="GPF8" location="'Cost Summary'!A1" display="'Cost Summary'!A1"/>
    <hyperlink ref="GPG8" location="'Cost Summary'!A1" display="'Cost Summary'!A1"/>
    <hyperlink ref="GPH8" location="'Cost Summary'!A1" display="'Cost Summary'!A1"/>
    <hyperlink ref="GPI8" location="'Cost Summary'!A1" display="'Cost Summary'!A1"/>
    <hyperlink ref="GPJ8" location="'Cost Summary'!A1" display="'Cost Summary'!A1"/>
    <hyperlink ref="GPK8" location="'Cost Summary'!A1" display="'Cost Summary'!A1"/>
    <hyperlink ref="GPL8" location="'Cost Summary'!A1" display="'Cost Summary'!A1"/>
    <hyperlink ref="GPM8" location="'Cost Summary'!A1" display="'Cost Summary'!A1"/>
    <hyperlink ref="GPN8" location="'Cost Summary'!A1" display="'Cost Summary'!A1"/>
    <hyperlink ref="GPO8" location="'Cost Summary'!A1" display="'Cost Summary'!A1"/>
    <hyperlink ref="GPP8" location="'Cost Summary'!A1" display="'Cost Summary'!A1"/>
    <hyperlink ref="GPQ8" location="'Cost Summary'!A1" display="'Cost Summary'!A1"/>
    <hyperlink ref="GPR8" location="'Cost Summary'!A1" display="'Cost Summary'!A1"/>
    <hyperlink ref="GPS8" location="'Cost Summary'!A1" display="'Cost Summary'!A1"/>
    <hyperlink ref="GPT8" location="'Cost Summary'!A1" display="'Cost Summary'!A1"/>
    <hyperlink ref="GPU8" location="'Cost Summary'!A1" display="'Cost Summary'!A1"/>
    <hyperlink ref="GPV8" location="'Cost Summary'!A1" display="'Cost Summary'!A1"/>
    <hyperlink ref="GPW8" location="'Cost Summary'!A1" display="'Cost Summary'!A1"/>
    <hyperlink ref="GPX8" location="'Cost Summary'!A1" display="'Cost Summary'!A1"/>
    <hyperlink ref="GPY8" location="'Cost Summary'!A1" display="'Cost Summary'!A1"/>
    <hyperlink ref="GPZ8" location="'Cost Summary'!A1" display="'Cost Summary'!A1"/>
    <hyperlink ref="GQA8" location="'Cost Summary'!A1" display="'Cost Summary'!A1"/>
    <hyperlink ref="GQB8" location="'Cost Summary'!A1" display="'Cost Summary'!A1"/>
    <hyperlink ref="GQC8" location="'Cost Summary'!A1" display="'Cost Summary'!A1"/>
    <hyperlink ref="GQD8" location="'Cost Summary'!A1" display="'Cost Summary'!A1"/>
    <hyperlink ref="GQE8" location="'Cost Summary'!A1" display="'Cost Summary'!A1"/>
    <hyperlink ref="GQF8" location="'Cost Summary'!A1" display="'Cost Summary'!A1"/>
    <hyperlink ref="GQG8" location="'Cost Summary'!A1" display="'Cost Summary'!A1"/>
    <hyperlink ref="GQH8" location="'Cost Summary'!A1" display="'Cost Summary'!A1"/>
    <hyperlink ref="GQI8" location="'Cost Summary'!A1" display="'Cost Summary'!A1"/>
    <hyperlink ref="GQJ8" location="'Cost Summary'!A1" display="'Cost Summary'!A1"/>
    <hyperlink ref="GQK8" location="'Cost Summary'!A1" display="'Cost Summary'!A1"/>
    <hyperlink ref="GQL8" location="'Cost Summary'!A1" display="'Cost Summary'!A1"/>
    <hyperlink ref="GQM8" location="'Cost Summary'!A1" display="'Cost Summary'!A1"/>
    <hyperlink ref="GQN8" location="'Cost Summary'!A1" display="'Cost Summary'!A1"/>
    <hyperlink ref="GQO8" location="'Cost Summary'!A1" display="'Cost Summary'!A1"/>
    <hyperlink ref="GQP8" location="'Cost Summary'!A1" display="'Cost Summary'!A1"/>
    <hyperlink ref="GQQ8" location="'Cost Summary'!A1" display="'Cost Summary'!A1"/>
    <hyperlink ref="GQR8" location="'Cost Summary'!A1" display="'Cost Summary'!A1"/>
    <hyperlink ref="GQS8" location="'Cost Summary'!A1" display="'Cost Summary'!A1"/>
    <hyperlink ref="GQT8" location="'Cost Summary'!A1" display="'Cost Summary'!A1"/>
    <hyperlink ref="GQU8" location="'Cost Summary'!A1" display="'Cost Summary'!A1"/>
    <hyperlink ref="GQV8" location="'Cost Summary'!A1" display="'Cost Summary'!A1"/>
    <hyperlink ref="GQW8" location="'Cost Summary'!A1" display="'Cost Summary'!A1"/>
    <hyperlink ref="GQX8" location="'Cost Summary'!A1" display="'Cost Summary'!A1"/>
    <hyperlink ref="GQY8" location="'Cost Summary'!A1" display="'Cost Summary'!A1"/>
    <hyperlink ref="GQZ8" location="'Cost Summary'!A1" display="'Cost Summary'!A1"/>
    <hyperlink ref="GRA8" location="'Cost Summary'!A1" display="'Cost Summary'!A1"/>
    <hyperlink ref="GRB8" location="'Cost Summary'!A1" display="'Cost Summary'!A1"/>
    <hyperlink ref="GRC8" location="'Cost Summary'!A1" display="'Cost Summary'!A1"/>
    <hyperlink ref="GRD8" location="'Cost Summary'!A1" display="'Cost Summary'!A1"/>
    <hyperlink ref="GRE8" location="'Cost Summary'!A1" display="'Cost Summary'!A1"/>
    <hyperlink ref="GRF8" location="'Cost Summary'!A1" display="'Cost Summary'!A1"/>
    <hyperlink ref="GRG8" location="'Cost Summary'!A1" display="'Cost Summary'!A1"/>
    <hyperlink ref="GRH8" location="'Cost Summary'!A1" display="'Cost Summary'!A1"/>
    <hyperlink ref="GRI8" location="'Cost Summary'!A1" display="'Cost Summary'!A1"/>
    <hyperlink ref="GRJ8" location="'Cost Summary'!A1" display="'Cost Summary'!A1"/>
    <hyperlink ref="GRK8" location="'Cost Summary'!A1" display="'Cost Summary'!A1"/>
    <hyperlink ref="GRL8" location="'Cost Summary'!A1" display="'Cost Summary'!A1"/>
    <hyperlink ref="GRM8" location="'Cost Summary'!A1" display="'Cost Summary'!A1"/>
    <hyperlink ref="GRN8" location="'Cost Summary'!A1" display="'Cost Summary'!A1"/>
    <hyperlink ref="GRO8" location="'Cost Summary'!A1" display="'Cost Summary'!A1"/>
    <hyperlink ref="GRP8" location="'Cost Summary'!A1" display="'Cost Summary'!A1"/>
    <hyperlink ref="GRQ8" location="'Cost Summary'!A1" display="'Cost Summary'!A1"/>
    <hyperlink ref="GRR8" location="'Cost Summary'!A1" display="'Cost Summary'!A1"/>
    <hyperlink ref="GRS8" location="'Cost Summary'!A1" display="'Cost Summary'!A1"/>
    <hyperlink ref="GRT8" location="'Cost Summary'!A1" display="'Cost Summary'!A1"/>
    <hyperlink ref="GRU8" location="'Cost Summary'!A1" display="'Cost Summary'!A1"/>
    <hyperlink ref="GRV8" location="'Cost Summary'!A1" display="'Cost Summary'!A1"/>
    <hyperlink ref="GRW8" location="'Cost Summary'!A1" display="'Cost Summary'!A1"/>
    <hyperlink ref="GRX8" location="'Cost Summary'!A1" display="'Cost Summary'!A1"/>
    <hyperlink ref="GRY8" location="'Cost Summary'!A1" display="'Cost Summary'!A1"/>
    <hyperlink ref="GRZ8" location="'Cost Summary'!A1" display="'Cost Summary'!A1"/>
    <hyperlink ref="GSA8" location="'Cost Summary'!A1" display="'Cost Summary'!A1"/>
    <hyperlink ref="GSB8" location="'Cost Summary'!A1" display="'Cost Summary'!A1"/>
    <hyperlink ref="GSC8" location="'Cost Summary'!A1" display="'Cost Summary'!A1"/>
    <hyperlink ref="GSD8" location="'Cost Summary'!A1" display="'Cost Summary'!A1"/>
    <hyperlink ref="GSE8" location="'Cost Summary'!A1" display="'Cost Summary'!A1"/>
    <hyperlink ref="GSF8" location="'Cost Summary'!A1" display="'Cost Summary'!A1"/>
    <hyperlink ref="GSG8" location="'Cost Summary'!A1" display="'Cost Summary'!A1"/>
    <hyperlink ref="GSH8" location="'Cost Summary'!A1" display="'Cost Summary'!A1"/>
    <hyperlink ref="GSI8" location="'Cost Summary'!A1" display="'Cost Summary'!A1"/>
    <hyperlink ref="GSJ8" location="'Cost Summary'!A1" display="'Cost Summary'!A1"/>
    <hyperlink ref="GSK8" location="'Cost Summary'!A1" display="'Cost Summary'!A1"/>
    <hyperlink ref="GSL8" location="'Cost Summary'!A1" display="'Cost Summary'!A1"/>
    <hyperlink ref="GSM8" location="'Cost Summary'!A1" display="'Cost Summary'!A1"/>
    <hyperlink ref="GSN8" location="'Cost Summary'!A1" display="'Cost Summary'!A1"/>
    <hyperlink ref="GSO8" location="'Cost Summary'!A1" display="'Cost Summary'!A1"/>
    <hyperlink ref="GSP8" location="'Cost Summary'!A1" display="'Cost Summary'!A1"/>
    <hyperlink ref="GSQ8" location="'Cost Summary'!A1" display="'Cost Summary'!A1"/>
    <hyperlink ref="GSR8" location="'Cost Summary'!A1" display="'Cost Summary'!A1"/>
    <hyperlink ref="GSS8" location="'Cost Summary'!A1" display="'Cost Summary'!A1"/>
    <hyperlink ref="GST8" location="'Cost Summary'!A1" display="'Cost Summary'!A1"/>
    <hyperlink ref="GSU8" location="'Cost Summary'!A1" display="'Cost Summary'!A1"/>
    <hyperlink ref="GSV8" location="'Cost Summary'!A1" display="'Cost Summary'!A1"/>
    <hyperlink ref="GSW8" location="'Cost Summary'!A1" display="'Cost Summary'!A1"/>
    <hyperlink ref="GSX8" location="'Cost Summary'!A1" display="'Cost Summary'!A1"/>
    <hyperlink ref="GSY8" location="'Cost Summary'!A1" display="'Cost Summary'!A1"/>
    <hyperlink ref="GSZ8" location="'Cost Summary'!A1" display="'Cost Summary'!A1"/>
    <hyperlink ref="GTA8" location="'Cost Summary'!A1" display="'Cost Summary'!A1"/>
    <hyperlink ref="GTB8" location="'Cost Summary'!A1" display="'Cost Summary'!A1"/>
    <hyperlink ref="GTC8" location="'Cost Summary'!A1" display="'Cost Summary'!A1"/>
    <hyperlink ref="GTD8" location="'Cost Summary'!A1" display="'Cost Summary'!A1"/>
    <hyperlink ref="GTE8" location="'Cost Summary'!A1" display="'Cost Summary'!A1"/>
    <hyperlink ref="GTF8" location="'Cost Summary'!A1" display="'Cost Summary'!A1"/>
    <hyperlink ref="GTG8" location="'Cost Summary'!A1" display="'Cost Summary'!A1"/>
    <hyperlink ref="GTH8" location="'Cost Summary'!A1" display="'Cost Summary'!A1"/>
    <hyperlink ref="GTI8" location="'Cost Summary'!A1" display="'Cost Summary'!A1"/>
    <hyperlink ref="GTJ8" location="'Cost Summary'!A1" display="'Cost Summary'!A1"/>
    <hyperlink ref="GTK8" location="'Cost Summary'!A1" display="'Cost Summary'!A1"/>
    <hyperlink ref="GTL8" location="'Cost Summary'!A1" display="'Cost Summary'!A1"/>
    <hyperlink ref="GTM8" location="'Cost Summary'!A1" display="'Cost Summary'!A1"/>
    <hyperlink ref="GTN8" location="'Cost Summary'!A1" display="'Cost Summary'!A1"/>
    <hyperlink ref="GTO8" location="'Cost Summary'!A1" display="'Cost Summary'!A1"/>
    <hyperlink ref="GTP8" location="'Cost Summary'!A1" display="'Cost Summary'!A1"/>
    <hyperlink ref="GTQ8" location="'Cost Summary'!A1" display="'Cost Summary'!A1"/>
    <hyperlink ref="GTR8" location="'Cost Summary'!A1" display="'Cost Summary'!A1"/>
    <hyperlink ref="GTS8" location="'Cost Summary'!A1" display="'Cost Summary'!A1"/>
    <hyperlink ref="GTT8" location="'Cost Summary'!A1" display="'Cost Summary'!A1"/>
    <hyperlink ref="GTU8" location="'Cost Summary'!A1" display="'Cost Summary'!A1"/>
    <hyperlink ref="GTV8" location="'Cost Summary'!A1" display="'Cost Summary'!A1"/>
    <hyperlink ref="GTW8" location="'Cost Summary'!A1" display="'Cost Summary'!A1"/>
    <hyperlink ref="GTX8" location="'Cost Summary'!A1" display="'Cost Summary'!A1"/>
    <hyperlink ref="GTY8" location="'Cost Summary'!A1" display="'Cost Summary'!A1"/>
    <hyperlink ref="GTZ8" location="'Cost Summary'!A1" display="'Cost Summary'!A1"/>
    <hyperlink ref="GUA8" location="'Cost Summary'!A1" display="'Cost Summary'!A1"/>
    <hyperlink ref="GUB8" location="'Cost Summary'!A1" display="'Cost Summary'!A1"/>
    <hyperlink ref="GUC8" location="'Cost Summary'!A1" display="'Cost Summary'!A1"/>
    <hyperlink ref="GUD8" location="'Cost Summary'!A1" display="'Cost Summary'!A1"/>
    <hyperlink ref="GUE8" location="'Cost Summary'!A1" display="'Cost Summary'!A1"/>
    <hyperlink ref="GUF8" location="'Cost Summary'!A1" display="'Cost Summary'!A1"/>
    <hyperlink ref="GUG8" location="'Cost Summary'!A1" display="'Cost Summary'!A1"/>
    <hyperlink ref="GUH8" location="'Cost Summary'!A1" display="'Cost Summary'!A1"/>
    <hyperlink ref="GUI8" location="'Cost Summary'!A1" display="'Cost Summary'!A1"/>
    <hyperlink ref="GUJ8" location="'Cost Summary'!A1" display="'Cost Summary'!A1"/>
    <hyperlink ref="GUK8" location="'Cost Summary'!A1" display="'Cost Summary'!A1"/>
    <hyperlink ref="GUL8" location="'Cost Summary'!A1" display="'Cost Summary'!A1"/>
    <hyperlink ref="GUM8" location="'Cost Summary'!A1" display="'Cost Summary'!A1"/>
    <hyperlink ref="GUN8" location="'Cost Summary'!A1" display="'Cost Summary'!A1"/>
    <hyperlink ref="GUO8" location="'Cost Summary'!A1" display="'Cost Summary'!A1"/>
    <hyperlink ref="GUP8" location="'Cost Summary'!A1" display="'Cost Summary'!A1"/>
    <hyperlink ref="GUQ8" location="'Cost Summary'!A1" display="'Cost Summary'!A1"/>
    <hyperlink ref="GUR8" location="'Cost Summary'!A1" display="'Cost Summary'!A1"/>
    <hyperlink ref="GUS8" location="'Cost Summary'!A1" display="'Cost Summary'!A1"/>
    <hyperlink ref="GUT8" location="'Cost Summary'!A1" display="'Cost Summary'!A1"/>
    <hyperlink ref="GUU8" location="'Cost Summary'!A1" display="'Cost Summary'!A1"/>
    <hyperlink ref="GUV8" location="'Cost Summary'!A1" display="'Cost Summary'!A1"/>
    <hyperlink ref="GUW8" location="'Cost Summary'!A1" display="'Cost Summary'!A1"/>
    <hyperlink ref="GUX8" location="'Cost Summary'!A1" display="'Cost Summary'!A1"/>
    <hyperlink ref="GUY8" location="'Cost Summary'!A1" display="'Cost Summary'!A1"/>
    <hyperlink ref="GUZ8" location="'Cost Summary'!A1" display="'Cost Summary'!A1"/>
    <hyperlink ref="GVA8" location="'Cost Summary'!A1" display="'Cost Summary'!A1"/>
    <hyperlink ref="GVB8" location="'Cost Summary'!A1" display="'Cost Summary'!A1"/>
    <hyperlink ref="GVC8" location="'Cost Summary'!A1" display="'Cost Summary'!A1"/>
    <hyperlink ref="GVD8" location="'Cost Summary'!A1" display="'Cost Summary'!A1"/>
    <hyperlink ref="GVE8" location="'Cost Summary'!A1" display="'Cost Summary'!A1"/>
    <hyperlink ref="GVF8" location="'Cost Summary'!A1" display="'Cost Summary'!A1"/>
    <hyperlink ref="GVG8" location="'Cost Summary'!A1" display="'Cost Summary'!A1"/>
    <hyperlink ref="GVH8" location="'Cost Summary'!A1" display="'Cost Summary'!A1"/>
    <hyperlink ref="GVI8" location="'Cost Summary'!A1" display="'Cost Summary'!A1"/>
    <hyperlink ref="GVJ8" location="'Cost Summary'!A1" display="'Cost Summary'!A1"/>
    <hyperlink ref="GVK8" location="'Cost Summary'!A1" display="'Cost Summary'!A1"/>
    <hyperlink ref="GVL8" location="'Cost Summary'!A1" display="'Cost Summary'!A1"/>
    <hyperlink ref="GVM8" location="'Cost Summary'!A1" display="'Cost Summary'!A1"/>
    <hyperlink ref="GVN8" location="'Cost Summary'!A1" display="'Cost Summary'!A1"/>
    <hyperlink ref="GVO8" location="'Cost Summary'!A1" display="'Cost Summary'!A1"/>
    <hyperlink ref="GVP8" location="'Cost Summary'!A1" display="'Cost Summary'!A1"/>
    <hyperlink ref="GVQ8" location="'Cost Summary'!A1" display="'Cost Summary'!A1"/>
    <hyperlink ref="GVR8" location="'Cost Summary'!A1" display="'Cost Summary'!A1"/>
    <hyperlink ref="GVS8" location="'Cost Summary'!A1" display="'Cost Summary'!A1"/>
    <hyperlink ref="GVT8" location="'Cost Summary'!A1" display="'Cost Summary'!A1"/>
    <hyperlink ref="GVU8" location="'Cost Summary'!A1" display="'Cost Summary'!A1"/>
    <hyperlink ref="GVV8" location="'Cost Summary'!A1" display="'Cost Summary'!A1"/>
    <hyperlink ref="GVW8" location="'Cost Summary'!A1" display="'Cost Summary'!A1"/>
    <hyperlink ref="GVX8" location="'Cost Summary'!A1" display="'Cost Summary'!A1"/>
    <hyperlink ref="GVY8" location="'Cost Summary'!A1" display="'Cost Summary'!A1"/>
    <hyperlink ref="GVZ8" location="'Cost Summary'!A1" display="'Cost Summary'!A1"/>
    <hyperlink ref="GWA8" location="'Cost Summary'!A1" display="'Cost Summary'!A1"/>
    <hyperlink ref="GWB8" location="'Cost Summary'!A1" display="'Cost Summary'!A1"/>
    <hyperlink ref="GWC8" location="'Cost Summary'!A1" display="'Cost Summary'!A1"/>
    <hyperlink ref="GWD8" location="'Cost Summary'!A1" display="'Cost Summary'!A1"/>
    <hyperlink ref="GWE8" location="'Cost Summary'!A1" display="'Cost Summary'!A1"/>
    <hyperlink ref="GWF8" location="'Cost Summary'!A1" display="'Cost Summary'!A1"/>
    <hyperlink ref="GWG8" location="'Cost Summary'!A1" display="'Cost Summary'!A1"/>
    <hyperlink ref="GWH8" location="'Cost Summary'!A1" display="'Cost Summary'!A1"/>
    <hyperlink ref="GWI8" location="'Cost Summary'!A1" display="'Cost Summary'!A1"/>
    <hyperlink ref="GWJ8" location="'Cost Summary'!A1" display="'Cost Summary'!A1"/>
    <hyperlink ref="GWK8" location="'Cost Summary'!A1" display="'Cost Summary'!A1"/>
    <hyperlink ref="GWL8" location="'Cost Summary'!A1" display="'Cost Summary'!A1"/>
    <hyperlink ref="GWM8" location="'Cost Summary'!A1" display="'Cost Summary'!A1"/>
    <hyperlink ref="GWN8" location="'Cost Summary'!A1" display="'Cost Summary'!A1"/>
    <hyperlink ref="GWO8" location="'Cost Summary'!A1" display="'Cost Summary'!A1"/>
    <hyperlink ref="GWP8" location="'Cost Summary'!A1" display="'Cost Summary'!A1"/>
    <hyperlink ref="GWQ8" location="'Cost Summary'!A1" display="'Cost Summary'!A1"/>
    <hyperlink ref="GWR8" location="'Cost Summary'!A1" display="'Cost Summary'!A1"/>
    <hyperlink ref="GWS8" location="'Cost Summary'!A1" display="'Cost Summary'!A1"/>
    <hyperlink ref="GWT8" location="'Cost Summary'!A1" display="'Cost Summary'!A1"/>
    <hyperlink ref="GWU8" location="'Cost Summary'!A1" display="'Cost Summary'!A1"/>
    <hyperlink ref="GWV8" location="'Cost Summary'!A1" display="'Cost Summary'!A1"/>
    <hyperlink ref="GWW8" location="'Cost Summary'!A1" display="'Cost Summary'!A1"/>
    <hyperlink ref="GWX8" location="'Cost Summary'!A1" display="'Cost Summary'!A1"/>
    <hyperlink ref="GWY8" location="'Cost Summary'!A1" display="'Cost Summary'!A1"/>
    <hyperlink ref="GWZ8" location="'Cost Summary'!A1" display="'Cost Summary'!A1"/>
    <hyperlink ref="GXA8" location="'Cost Summary'!A1" display="'Cost Summary'!A1"/>
    <hyperlink ref="GXB8" location="'Cost Summary'!A1" display="'Cost Summary'!A1"/>
    <hyperlink ref="GXC8" location="'Cost Summary'!A1" display="'Cost Summary'!A1"/>
    <hyperlink ref="GXD8" location="'Cost Summary'!A1" display="'Cost Summary'!A1"/>
    <hyperlink ref="GXE8" location="'Cost Summary'!A1" display="'Cost Summary'!A1"/>
    <hyperlink ref="GXF8" location="'Cost Summary'!A1" display="'Cost Summary'!A1"/>
    <hyperlink ref="GXG8" location="'Cost Summary'!A1" display="'Cost Summary'!A1"/>
    <hyperlink ref="GXH8" location="'Cost Summary'!A1" display="'Cost Summary'!A1"/>
    <hyperlink ref="GXI8" location="'Cost Summary'!A1" display="'Cost Summary'!A1"/>
    <hyperlink ref="GXJ8" location="'Cost Summary'!A1" display="'Cost Summary'!A1"/>
    <hyperlink ref="GXK8" location="'Cost Summary'!A1" display="'Cost Summary'!A1"/>
    <hyperlink ref="GXL8" location="'Cost Summary'!A1" display="'Cost Summary'!A1"/>
    <hyperlink ref="GXM8" location="'Cost Summary'!A1" display="'Cost Summary'!A1"/>
    <hyperlink ref="GXN8" location="'Cost Summary'!A1" display="'Cost Summary'!A1"/>
    <hyperlink ref="GXO8" location="'Cost Summary'!A1" display="'Cost Summary'!A1"/>
    <hyperlink ref="GXP8" location="'Cost Summary'!A1" display="'Cost Summary'!A1"/>
    <hyperlink ref="GXQ8" location="'Cost Summary'!A1" display="'Cost Summary'!A1"/>
    <hyperlink ref="GXR8" location="'Cost Summary'!A1" display="'Cost Summary'!A1"/>
    <hyperlink ref="GXS8" location="'Cost Summary'!A1" display="'Cost Summary'!A1"/>
    <hyperlink ref="GXT8" location="'Cost Summary'!A1" display="'Cost Summary'!A1"/>
    <hyperlink ref="GXU8" location="'Cost Summary'!A1" display="'Cost Summary'!A1"/>
    <hyperlink ref="GXV8" location="'Cost Summary'!A1" display="'Cost Summary'!A1"/>
    <hyperlink ref="GXW8" location="'Cost Summary'!A1" display="'Cost Summary'!A1"/>
    <hyperlink ref="GXX8" location="'Cost Summary'!A1" display="'Cost Summary'!A1"/>
    <hyperlink ref="GXY8" location="'Cost Summary'!A1" display="'Cost Summary'!A1"/>
    <hyperlink ref="GXZ8" location="'Cost Summary'!A1" display="'Cost Summary'!A1"/>
    <hyperlink ref="GYA8" location="'Cost Summary'!A1" display="'Cost Summary'!A1"/>
    <hyperlink ref="GYB8" location="'Cost Summary'!A1" display="'Cost Summary'!A1"/>
    <hyperlink ref="GYC8" location="'Cost Summary'!A1" display="'Cost Summary'!A1"/>
    <hyperlink ref="GYD8" location="'Cost Summary'!A1" display="'Cost Summary'!A1"/>
    <hyperlink ref="GYE8" location="'Cost Summary'!A1" display="'Cost Summary'!A1"/>
    <hyperlink ref="GYF8" location="'Cost Summary'!A1" display="'Cost Summary'!A1"/>
    <hyperlink ref="GYG8" location="'Cost Summary'!A1" display="'Cost Summary'!A1"/>
    <hyperlink ref="GYH8" location="'Cost Summary'!A1" display="'Cost Summary'!A1"/>
    <hyperlink ref="GYI8" location="'Cost Summary'!A1" display="'Cost Summary'!A1"/>
    <hyperlink ref="GYJ8" location="'Cost Summary'!A1" display="'Cost Summary'!A1"/>
    <hyperlink ref="GYK8" location="'Cost Summary'!A1" display="'Cost Summary'!A1"/>
    <hyperlink ref="GYL8" location="'Cost Summary'!A1" display="'Cost Summary'!A1"/>
    <hyperlink ref="GYM8" location="'Cost Summary'!A1" display="'Cost Summary'!A1"/>
    <hyperlink ref="GYN8" location="'Cost Summary'!A1" display="'Cost Summary'!A1"/>
    <hyperlink ref="GYO8" location="'Cost Summary'!A1" display="'Cost Summary'!A1"/>
    <hyperlink ref="GYP8" location="'Cost Summary'!A1" display="'Cost Summary'!A1"/>
    <hyperlink ref="GYQ8" location="'Cost Summary'!A1" display="'Cost Summary'!A1"/>
    <hyperlink ref="GYR8" location="'Cost Summary'!A1" display="'Cost Summary'!A1"/>
    <hyperlink ref="GYS8" location="'Cost Summary'!A1" display="'Cost Summary'!A1"/>
    <hyperlink ref="GYT8" location="'Cost Summary'!A1" display="'Cost Summary'!A1"/>
    <hyperlink ref="GYU8" location="'Cost Summary'!A1" display="'Cost Summary'!A1"/>
    <hyperlink ref="GYV8" location="'Cost Summary'!A1" display="'Cost Summary'!A1"/>
    <hyperlink ref="GYW8" location="'Cost Summary'!A1" display="'Cost Summary'!A1"/>
    <hyperlink ref="GYX8" location="'Cost Summary'!A1" display="'Cost Summary'!A1"/>
    <hyperlink ref="GYY8" location="'Cost Summary'!A1" display="'Cost Summary'!A1"/>
    <hyperlink ref="GYZ8" location="'Cost Summary'!A1" display="'Cost Summary'!A1"/>
    <hyperlink ref="GZA8" location="'Cost Summary'!A1" display="'Cost Summary'!A1"/>
    <hyperlink ref="GZB8" location="'Cost Summary'!A1" display="'Cost Summary'!A1"/>
    <hyperlink ref="GZC8" location="'Cost Summary'!A1" display="'Cost Summary'!A1"/>
    <hyperlink ref="GZD8" location="'Cost Summary'!A1" display="'Cost Summary'!A1"/>
    <hyperlink ref="GZE8" location="'Cost Summary'!A1" display="'Cost Summary'!A1"/>
    <hyperlink ref="GZF8" location="'Cost Summary'!A1" display="'Cost Summary'!A1"/>
    <hyperlink ref="GZG8" location="'Cost Summary'!A1" display="'Cost Summary'!A1"/>
    <hyperlink ref="GZH8" location="'Cost Summary'!A1" display="'Cost Summary'!A1"/>
    <hyperlink ref="GZI8" location="'Cost Summary'!A1" display="'Cost Summary'!A1"/>
    <hyperlink ref="GZJ8" location="'Cost Summary'!A1" display="'Cost Summary'!A1"/>
    <hyperlink ref="GZK8" location="'Cost Summary'!A1" display="'Cost Summary'!A1"/>
    <hyperlink ref="GZL8" location="'Cost Summary'!A1" display="'Cost Summary'!A1"/>
    <hyperlink ref="GZM8" location="'Cost Summary'!A1" display="'Cost Summary'!A1"/>
    <hyperlink ref="GZN8" location="'Cost Summary'!A1" display="'Cost Summary'!A1"/>
    <hyperlink ref="GZO8" location="'Cost Summary'!A1" display="'Cost Summary'!A1"/>
    <hyperlink ref="GZP8" location="'Cost Summary'!A1" display="'Cost Summary'!A1"/>
    <hyperlink ref="GZQ8" location="'Cost Summary'!A1" display="'Cost Summary'!A1"/>
    <hyperlink ref="GZR8" location="'Cost Summary'!A1" display="'Cost Summary'!A1"/>
    <hyperlink ref="GZS8" location="'Cost Summary'!A1" display="'Cost Summary'!A1"/>
    <hyperlink ref="GZT8" location="'Cost Summary'!A1" display="'Cost Summary'!A1"/>
    <hyperlink ref="GZU8" location="'Cost Summary'!A1" display="'Cost Summary'!A1"/>
    <hyperlink ref="GZV8" location="'Cost Summary'!A1" display="'Cost Summary'!A1"/>
    <hyperlink ref="GZW8" location="'Cost Summary'!A1" display="'Cost Summary'!A1"/>
    <hyperlink ref="GZX8" location="'Cost Summary'!A1" display="'Cost Summary'!A1"/>
    <hyperlink ref="GZY8" location="'Cost Summary'!A1" display="'Cost Summary'!A1"/>
    <hyperlink ref="GZZ8" location="'Cost Summary'!A1" display="'Cost Summary'!A1"/>
    <hyperlink ref="HAA8" location="'Cost Summary'!A1" display="'Cost Summary'!A1"/>
    <hyperlink ref="HAB8" location="'Cost Summary'!A1" display="'Cost Summary'!A1"/>
    <hyperlink ref="HAC8" location="'Cost Summary'!A1" display="'Cost Summary'!A1"/>
    <hyperlink ref="HAD8" location="'Cost Summary'!A1" display="'Cost Summary'!A1"/>
    <hyperlink ref="HAE8" location="'Cost Summary'!A1" display="'Cost Summary'!A1"/>
    <hyperlink ref="HAF8" location="'Cost Summary'!A1" display="'Cost Summary'!A1"/>
    <hyperlink ref="HAG8" location="'Cost Summary'!A1" display="'Cost Summary'!A1"/>
    <hyperlink ref="HAH8" location="'Cost Summary'!A1" display="'Cost Summary'!A1"/>
    <hyperlink ref="HAI8" location="'Cost Summary'!A1" display="'Cost Summary'!A1"/>
    <hyperlink ref="HAJ8" location="'Cost Summary'!A1" display="'Cost Summary'!A1"/>
    <hyperlink ref="HAK8" location="'Cost Summary'!A1" display="'Cost Summary'!A1"/>
    <hyperlink ref="HAL8" location="'Cost Summary'!A1" display="'Cost Summary'!A1"/>
    <hyperlink ref="HAM8" location="'Cost Summary'!A1" display="'Cost Summary'!A1"/>
    <hyperlink ref="HAN8" location="'Cost Summary'!A1" display="'Cost Summary'!A1"/>
    <hyperlink ref="HAO8" location="'Cost Summary'!A1" display="'Cost Summary'!A1"/>
    <hyperlink ref="HAP8" location="'Cost Summary'!A1" display="'Cost Summary'!A1"/>
    <hyperlink ref="HAQ8" location="'Cost Summary'!A1" display="'Cost Summary'!A1"/>
    <hyperlink ref="HAR8" location="'Cost Summary'!A1" display="'Cost Summary'!A1"/>
    <hyperlink ref="HAS8" location="'Cost Summary'!A1" display="'Cost Summary'!A1"/>
    <hyperlink ref="HAT8" location="'Cost Summary'!A1" display="'Cost Summary'!A1"/>
    <hyperlink ref="HAU8" location="'Cost Summary'!A1" display="'Cost Summary'!A1"/>
    <hyperlink ref="HAV8" location="'Cost Summary'!A1" display="'Cost Summary'!A1"/>
    <hyperlink ref="HAW8" location="'Cost Summary'!A1" display="'Cost Summary'!A1"/>
    <hyperlink ref="HAX8" location="'Cost Summary'!A1" display="'Cost Summary'!A1"/>
    <hyperlink ref="HAY8" location="'Cost Summary'!A1" display="'Cost Summary'!A1"/>
    <hyperlink ref="HAZ8" location="'Cost Summary'!A1" display="'Cost Summary'!A1"/>
    <hyperlink ref="HBA8" location="'Cost Summary'!A1" display="'Cost Summary'!A1"/>
    <hyperlink ref="HBB8" location="'Cost Summary'!A1" display="'Cost Summary'!A1"/>
    <hyperlink ref="HBC8" location="'Cost Summary'!A1" display="'Cost Summary'!A1"/>
    <hyperlink ref="HBD8" location="'Cost Summary'!A1" display="'Cost Summary'!A1"/>
    <hyperlink ref="HBE8" location="'Cost Summary'!A1" display="'Cost Summary'!A1"/>
    <hyperlink ref="HBF8" location="'Cost Summary'!A1" display="'Cost Summary'!A1"/>
    <hyperlink ref="HBG8" location="'Cost Summary'!A1" display="'Cost Summary'!A1"/>
    <hyperlink ref="HBH8" location="'Cost Summary'!A1" display="'Cost Summary'!A1"/>
    <hyperlink ref="HBI8" location="'Cost Summary'!A1" display="'Cost Summary'!A1"/>
    <hyperlink ref="HBJ8" location="'Cost Summary'!A1" display="'Cost Summary'!A1"/>
    <hyperlink ref="HBK8" location="'Cost Summary'!A1" display="'Cost Summary'!A1"/>
    <hyperlink ref="HBL8" location="'Cost Summary'!A1" display="'Cost Summary'!A1"/>
    <hyperlink ref="HBM8" location="'Cost Summary'!A1" display="'Cost Summary'!A1"/>
    <hyperlink ref="HBN8" location="'Cost Summary'!A1" display="'Cost Summary'!A1"/>
    <hyperlink ref="HBO8" location="'Cost Summary'!A1" display="'Cost Summary'!A1"/>
    <hyperlink ref="HBP8" location="'Cost Summary'!A1" display="'Cost Summary'!A1"/>
    <hyperlink ref="HBQ8" location="'Cost Summary'!A1" display="'Cost Summary'!A1"/>
    <hyperlink ref="HBR8" location="'Cost Summary'!A1" display="'Cost Summary'!A1"/>
    <hyperlink ref="HBS8" location="'Cost Summary'!A1" display="'Cost Summary'!A1"/>
    <hyperlink ref="HBT8" location="'Cost Summary'!A1" display="'Cost Summary'!A1"/>
    <hyperlink ref="HBU8" location="'Cost Summary'!A1" display="'Cost Summary'!A1"/>
    <hyperlink ref="HBV8" location="'Cost Summary'!A1" display="'Cost Summary'!A1"/>
    <hyperlink ref="HBW8" location="'Cost Summary'!A1" display="'Cost Summary'!A1"/>
    <hyperlink ref="HBX8" location="'Cost Summary'!A1" display="'Cost Summary'!A1"/>
    <hyperlink ref="HBY8" location="'Cost Summary'!A1" display="'Cost Summary'!A1"/>
    <hyperlink ref="HBZ8" location="'Cost Summary'!A1" display="'Cost Summary'!A1"/>
    <hyperlink ref="HCA8" location="'Cost Summary'!A1" display="'Cost Summary'!A1"/>
    <hyperlink ref="HCB8" location="'Cost Summary'!A1" display="'Cost Summary'!A1"/>
    <hyperlink ref="HCC8" location="'Cost Summary'!A1" display="'Cost Summary'!A1"/>
    <hyperlink ref="HCD8" location="'Cost Summary'!A1" display="'Cost Summary'!A1"/>
    <hyperlink ref="HCE8" location="'Cost Summary'!A1" display="'Cost Summary'!A1"/>
    <hyperlink ref="HCF8" location="'Cost Summary'!A1" display="'Cost Summary'!A1"/>
    <hyperlink ref="HCG8" location="'Cost Summary'!A1" display="'Cost Summary'!A1"/>
    <hyperlink ref="HCH8" location="'Cost Summary'!A1" display="'Cost Summary'!A1"/>
    <hyperlink ref="HCI8" location="'Cost Summary'!A1" display="'Cost Summary'!A1"/>
    <hyperlink ref="HCJ8" location="'Cost Summary'!A1" display="'Cost Summary'!A1"/>
    <hyperlink ref="HCK8" location="'Cost Summary'!A1" display="'Cost Summary'!A1"/>
    <hyperlink ref="HCL8" location="'Cost Summary'!A1" display="'Cost Summary'!A1"/>
    <hyperlink ref="HCM8" location="'Cost Summary'!A1" display="'Cost Summary'!A1"/>
    <hyperlink ref="HCN8" location="'Cost Summary'!A1" display="'Cost Summary'!A1"/>
    <hyperlink ref="HCO8" location="'Cost Summary'!A1" display="'Cost Summary'!A1"/>
    <hyperlink ref="HCP8" location="'Cost Summary'!A1" display="'Cost Summary'!A1"/>
    <hyperlink ref="HCQ8" location="'Cost Summary'!A1" display="'Cost Summary'!A1"/>
    <hyperlink ref="HCR8" location="'Cost Summary'!A1" display="'Cost Summary'!A1"/>
    <hyperlink ref="HCS8" location="'Cost Summary'!A1" display="'Cost Summary'!A1"/>
    <hyperlink ref="HCT8" location="'Cost Summary'!A1" display="'Cost Summary'!A1"/>
    <hyperlink ref="HCU8" location="'Cost Summary'!A1" display="'Cost Summary'!A1"/>
    <hyperlink ref="HCV8" location="'Cost Summary'!A1" display="'Cost Summary'!A1"/>
    <hyperlink ref="HCW8" location="'Cost Summary'!A1" display="'Cost Summary'!A1"/>
    <hyperlink ref="HCX8" location="'Cost Summary'!A1" display="'Cost Summary'!A1"/>
    <hyperlink ref="HCY8" location="'Cost Summary'!A1" display="'Cost Summary'!A1"/>
    <hyperlink ref="HCZ8" location="'Cost Summary'!A1" display="'Cost Summary'!A1"/>
    <hyperlink ref="HDA8" location="'Cost Summary'!A1" display="'Cost Summary'!A1"/>
    <hyperlink ref="HDB8" location="'Cost Summary'!A1" display="'Cost Summary'!A1"/>
    <hyperlink ref="HDC8" location="'Cost Summary'!A1" display="'Cost Summary'!A1"/>
    <hyperlink ref="HDD8" location="'Cost Summary'!A1" display="'Cost Summary'!A1"/>
    <hyperlink ref="HDE8" location="'Cost Summary'!A1" display="'Cost Summary'!A1"/>
    <hyperlink ref="HDF8" location="'Cost Summary'!A1" display="'Cost Summary'!A1"/>
    <hyperlink ref="HDG8" location="'Cost Summary'!A1" display="'Cost Summary'!A1"/>
    <hyperlink ref="HDH8" location="'Cost Summary'!A1" display="'Cost Summary'!A1"/>
    <hyperlink ref="HDI8" location="'Cost Summary'!A1" display="'Cost Summary'!A1"/>
    <hyperlink ref="HDJ8" location="'Cost Summary'!A1" display="'Cost Summary'!A1"/>
    <hyperlink ref="HDK8" location="'Cost Summary'!A1" display="'Cost Summary'!A1"/>
    <hyperlink ref="HDL8" location="'Cost Summary'!A1" display="'Cost Summary'!A1"/>
    <hyperlink ref="HDM8" location="'Cost Summary'!A1" display="'Cost Summary'!A1"/>
    <hyperlink ref="HDN8" location="'Cost Summary'!A1" display="'Cost Summary'!A1"/>
    <hyperlink ref="HDO8" location="'Cost Summary'!A1" display="'Cost Summary'!A1"/>
    <hyperlink ref="HDP8" location="'Cost Summary'!A1" display="'Cost Summary'!A1"/>
    <hyperlink ref="HDQ8" location="'Cost Summary'!A1" display="'Cost Summary'!A1"/>
    <hyperlink ref="HDR8" location="'Cost Summary'!A1" display="'Cost Summary'!A1"/>
    <hyperlink ref="HDS8" location="'Cost Summary'!A1" display="'Cost Summary'!A1"/>
    <hyperlink ref="HDT8" location="'Cost Summary'!A1" display="'Cost Summary'!A1"/>
    <hyperlink ref="HDU8" location="'Cost Summary'!A1" display="'Cost Summary'!A1"/>
    <hyperlink ref="HDV8" location="'Cost Summary'!A1" display="'Cost Summary'!A1"/>
    <hyperlink ref="HDW8" location="'Cost Summary'!A1" display="'Cost Summary'!A1"/>
    <hyperlink ref="HDX8" location="'Cost Summary'!A1" display="'Cost Summary'!A1"/>
    <hyperlink ref="HDY8" location="'Cost Summary'!A1" display="'Cost Summary'!A1"/>
    <hyperlink ref="HDZ8" location="'Cost Summary'!A1" display="'Cost Summary'!A1"/>
    <hyperlink ref="HEA8" location="'Cost Summary'!A1" display="'Cost Summary'!A1"/>
    <hyperlink ref="HEB8" location="'Cost Summary'!A1" display="'Cost Summary'!A1"/>
    <hyperlink ref="HEC8" location="'Cost Summary'!A1" display="'Cost Summary'!A1"/>
    <hyperlink ref="HED8" location="'Cost Summary'!A1" display="'Cost Summary'!A1"/>
    <hyperlink ref="HEE8" location="'Cost Summary'!A1" display="'Cost Summary'!A1"/>
    <hyperlink ref="HEF8" location="'Cost Summary'!A1" display="'Cost Summary'!A1"/>
    <hyperlink ref="HEG8" location="'Cost Summary'!A1" display="'Cost Summary'!A1"/>
    <hyperlink ref="HEH8" location="'Cost Summary'!A1" display="'Cost Summary'!A1"/>
    <hyperlink ref="HEI8" location="'Cost Summary'!A1" display="'Cost Summary'!A1"/>
    <hyperlink ref="HEJ8" location="'Cost Summary'!A1" display="'Cost Summary'!A1"/>
    <hyperlink ref="HEK8" location="'Cost Summary'!A1" display="'Cost Summary'!A1"/>
    <hyperlink ref="HEL8" location="'Cost Summary'!A1" display="'Cost Summary'!A1"/>
    <hyperlink ref="HEM8" location="'Cost Summary'!A1" display="'Cost Summary'!A1"/>
    <hyperlink ref="HEN8" location="'Cost Summary'!A1" display="'Cost Summary'!A1"/>
    <hyperlink ref="HEO8" location="'Cost Summary'!A1" display="'Cost Summary'!A1"/>
    <hyperlink ref="HEP8" location="'Cost Summary'!A1" display="'Cost Summary'!A1"/>
    <hyperlink ref="HEQ8" location="'Cost Summary'!A1" display="'Cost Summary'!A1"/>
    <hyperlink ref="HER8" location="'Cost Summary'!A1" display="'Cost Summary'!A1"/>
    <hyperlink ref="HES8" location="'Cost Summary'!A1" display="'Cost Summary'!A1"/>
    <hyperlink ref="HET8" location="'Cost Summary'!A1" display="'Cost Summary'!A1"/>
    <hyperlink ref="HEU8" location="'Cost Summary'!A1" display="'Cost Summary'!A1"/>
    <hyperlink ref="HEV8" location="'Cost Summary'!A1" display="'Cost Summary'!A1"/>
    <hyperlink ref="HEW8" location="'Cost Summary'!A1" display="'Cost Summary'!A1"/>
    <hyperlink ref="HEX8" location="'Cost Summary'!A1" display="'Cost Summary'!A1"/>
    <hyperlink ref="HEY8" location="'Cost Summary'!A1" display="'Cost Summary'!A1"/>
    <hyperlink ref="HEZ8" location="'Cost Summary'!A1" display="'Cost Summary'!A1"/>
    <hyperlink ref="HFA8" location="'Cost Summary'!A1" display="'Cost Summary'!A1"/>
    <hyperlink ref="HFB8" location="'Cost Summary'!A1" display="'Cost Summary'!A1"/>
    <hyperlink ref="HFC8" location="'Cost Summary'!A1" display="'Cost Summary'!A1"/>
    <hyperlink ref="HFD8" location="'Cost Summary'!A1" display="'Cost Summary'!A1"/>
    <hyperlink ref="HFE8" location="'Cost Summary'!A1" display="'Cost Summary'!A1"/>
    <hyperlink ref="HFF8" location="'Cost Summary'!A1" display="'Cost Summary'!A1"/>
    <hyperlink ref="HFG8" location="'Cost Summary'!A1" display="'Cost Summary'!A1"/>
    <hyperlink ref="HFH8" location="'Cost Summary'!A1" display="'Cost Summary'!A1"/>
    <hyperlink ref="HFI8" location="'Cost Summary'!A1" display="'Cost Summary'!A1"/>
    <hyperlink ref="HFJ8" location="'Cost Summary'!A1" display="'Cost Summary'!A1"/>
    <hyperlink ref="HFK8" location="'Cost Summary'!A1" display="'Cost Summary'!A1"/>
    <hyperlink ref="HFL8" location="'Cost Summary'!A1" display="'Cost Summary'!A1"/>
    <hyperlink ref="HFM8" location="'Cost Summary'!A1" display="'Cost Summary'!A1"/>
    <hyperlink ref="HFN8" location="'Cost Summary'!A1" display="'Cost Summary'!A1"/>
    <hyperlink ref="HFO8" location="'Cost Summary'!A1" display="'Cost Summary'!A1"/>
    <hyperlink ref="HFP8" location="'Cost Summary'!A1" display="'Cost Summary'!A1"/>
    <hyperlink ref="HFQ8" location="'Cost Summary'!A1" display="'Cost Summary'!A1"/>
    <hyperlink ref="HFR8" location="'Cost Summary'!A1" display="'Cost Summary'!A1"/>
    <hyperlink ref="HFS8" location="'Cost Summary'!A1" display="'Cost Summary'!A1"/>
    <hyperlink ref="HFT8" location="'Cost Summary'!A1" display="'Cost Summary'!A1"/>
    <hyperlink ref="HFU8" location="'Cost Summary'!A1" display="'Cost Summary'!A1"/>
    <hyperlink ref="HFV8" location="'Cost Summary'!A1" display="'Cost Summary'!A1"/>
    <hyperlink ref="HFW8" location="'Cost Summary'!A1" display="'Cost Summary'!A1"/>
    <hyperlink ref="HFX8" location="'Cost Summary'!A1" display="'Cost Summary'!A1"/>
    <hyperlink ref="HFY8" location="'Cost Summary'!A1" display="'Cost Summary'!A1"/>
    <hyperlink ref="HFZ8" location="'Cost Summary'!A1" display="'Cost Summary'!A1"/>
    <hyperlink ref="HGA8" location="'Cost Summary'!A1" display="'Cost Summary'!A1"/>
    <hyperlink ref="HGB8" location="'Cost Summary'!A1" display="'Cost Summary'!A1"/>
    <hyperlink ref="HGC8" location="'Cost Summary'!A1" display="'Cost Summary'!A1"/>
    <hyperlink ref="HGD8" location="'Cost Summary'!A1" display="'Cost Summary'!A1"/>
    <hyperlink ref="HGE8" location="'Cost Summary'!A1" display="'Cost Summary'!A1"/>
    <hyperlink ref="HGF8" location="'Cost Summary'!A1" display="'Cost Summary'!A1"/>
    <hyperlink ref="HGG8" location="'Cost Summary'!A1" display="'Cost Summary'!A1"/>
    <hyperlink ref="HGH8" location="'Cost Summary'!A1" display="'Cost Summary'!A1"/>
    <hyperlink ref="HGI8" location="'Cost Summary'!A1" display="'Cost Summary'!A1"/>
    <hyperlink ref="HGJ8" location="'Cost Summary'!A1" display="'Cost Summary'!A1"/>
    <hyperlink ref="HGK8" location="'Cost Summary'!A1" display="'Cost Summary'!A1"/>
    <hyperlink ref="HGL8" location="'Cost Summary'!A1" display="'Cost Summary'!A1"/>
    <hyperlink ref="HGM8" location="'Cost Summary'!A1" display="'Cost Summary'!A1"/>
    <hyperlink ref="HGN8" location="'Cost Summary'!A1" display="'Cost Summary'!A1"/>
    <hyperlink ref="HGO8" location="'Cost Summary'!A1" display="'Cost Summary'!A1"/>
    <hyperlink ref="HGP8" location="'Cost Summary'!A1" display="'Cost Summary'!A1"/>
    <hyperlink ref="HGQ8" location="'Cost Summary'!A1" display="'Cost Summary'!A1"/>
    <hyperlink ref="HGR8" location="'Cost Summary'!A1" display="'Cost Summary'!A1"/>
    <hyperlink ref="HGS8" location="'Cost Summary'!A1" display="'Cost Summary'!A1"/>
    <hyperlink ref="HGT8" location="'Cost Summary'!A1" display="'Cost Summary'!A1"/>
    <hyperlink ref="HGU8" location="'Cost Summary'!A1" display="'Cost Summary'!A1"/>
    <hyperlink ref="HGV8" location="'Cost Summary'!A1" display="'Cost Summary'!A1"/>
    <hyperlink ref="HGW8" location="'Cost Summary'!A1" display="'Cost Summary'!A1"/>
    <hyperlink ref="HGX8" location="'Cost Summary'!A1" display="'Cost Summary'!A1"/>
    <hyperlink ref="HGY8" location="'Cost Summary'!A1" display="'Cost Summary'!A1"/>
    <hyperlink ref="HGZ8" location="'Cost Summary'!A1" display="'Cost Summary'!A1"/>
    <hyperlink ref="HHA8" location="'Cost Summary'!A1" display="'Cost Summary'!A1"/>
    <hyperlink ref="HHB8" location="'Cost Summary'!A1" display="'Cost Summary'!A1"/>
    <hyperlink ref="HHC8" location="'Cost Summary'!A1" display="'Cost Summary'!A1"/>
    <hyperlink ref="HHD8" location="'Cost Summary'!A1" display="'Cost Summary'!A1"/>
    <hyperlink ref="HHE8" location="'Cost Summary'!A1" display="'Cost Summary'!A1"/>
    <hyperlink ref="HHF8" location="'Cost Summary'!A1" display="'Cost Summary'!A1"/>
    <hyperlink ref="HHG8" location="'Cost Summary'!A1" display="'Cost Summary'!A1"/>
    <hyperlink ref="HHH8" location="'Cost Summary'!A1" display="'Cost Summary'!A1"/>
    <hyperlink ref="HHI8" location="'Cost Summary'!A1" display="'Cost Summary'!A1"/>
    <hyperlink ref="HHJ8" location="'Cost Summary'!A1" display="'Cost Summary'!A1"/>
    <hyperlink ref="HHK8" location="'Cost Summary'!A1" display="'Cost Summary'!A1"/>
    <hyperlink ref="HHL8" location="'Cost Summary'!A1" display="'Cost Summary'!A1"/>
    <hyperlink ref="HHM8" location="'Cost Summary'!A1" display="'Cost Summary'!A1"/>
    <hyperlink ref="HHN8" location="'Cost Summary'!A1" display="'Cost Summary'!A1"/>
    <hyperlink ref="HHO8" location="'Cost Summary'!A1" display="'Cost Summary'!A1"/>
    <hyperlink ref="HHP8" location="'Cost Summary'!A1" display="'Cost Summary'!A1"/>
    <hyperlink ref="HHQ8" location="'Cost Summary'!A1" display="'Cost Summary'!A1"/>
    <hyperlink ref="HHR8" location="'Cost Summary'!A1" display="'Cost Summary'!A1"/>
    <hyperlink ref="HHS8" location="'Cost Summary'!A1" display="'Cost Summary'!A1"/>
    <hyperlink ref="HHT8" location="'Cost Summary'!A1" display="'Cost Summary'!A1"/>
    <hyperlink ref="HHU8" location="'Cost Summary'!A1" display="'Cost Summary'!A1"/>
    <hyperlink ref="HHV8" location="'Cost Summary'!A1" display="'Cost Summary'!A1"/>
    <hyperlink ref="HHW8" location="'Cost Summary'!A1" display="'Cost Summary'!A1"/>
    <hyperlink ref="HHX8" location="'Cost Summary'!A1" display="'Cost Summary'!A1"/>
    <hyperlink ref="HHY8" location="'Cost Summary'!A1" display="'Cost Summary'!A1"/>
    <hyperlink ref="HHZ8" location="'Cost Summary'!A1" display="'Cost Summary'!A1"/>
    <hyperlink ref="HIA8" location="'Cost Summary'!A1" display="'Cost Summary'!A1"/>
    <hyperlink ref="HIB8" location="'Cost Summary'!A1" display="'Cost Summary'!A1"/>
    <hyperlink ref="HIC8" location="'Cost Summary'!A1" display="'Cost Summary'!A1"/>
    <hyperlink ref="HID8" location="'Cost Summary'!A1" display="'Cost Summary'!A1"/>
    <hyperlink ref="HIE8" location="'Cost Summary'!A1" display="'Cost Summary'!A1"/>
    <hyperlink ref="HIF8" location="'Cost Summary'!A1" display="'Cost Summary'!A1"/>
    <hyperlink ref="HIG8" location="'Cost Summary'!A1" display="'Cost Summary'!A1"/>
    <hyperlink ref="HIH8" location="'Cost Summary'!A1" display="'Cost Summary'!A1"/>
    <hyperlink ref="HII8" location="'Cost Summary'!A1" display="'Cost Summary'!A1"/>
    <hyperlink ref="HIJ8" location="'Cost Summary'!A1" display="'Cost Summary'!A1"/>
    <hyperlink ref="HIK8" location="'Cost Summary'!A1" display="'Cost Summary'!A1"/>
    <hyperlink ref="HIL8" location="'Cost Summary'!A1" display="'Cost Summary'!A1"/>
    <hyperlink ref="HIM8" location="'Cost Summary'!A1" display="'Cost Summary'!A1"/>
    <hyperlink ref="HIN8" location="'Cost Summary'!A1" display="'Cost Summary'!A1"/>
    <hyperlink ref="HIO8" location="'Cost Summary'!A1" display="'Cost Summary'!A1"/>
    <hyperlink ref="HIP8" location="'Cost Summary'!A1" display="'Cost Summary'!A1"/>
    <hyperlink ref="HIQ8" location="'Cost Summary'!A1" display="'Cost Summary'!A1"/>
    <hyperlink ref="HIR8" location="'Cost Summary'!A1" display="'Cost Summary'!A1"/>
    <hyperlink ref="HIS8" location="'Cost Summary'!A1" display="'Cost Summary'!A1"/>
    <hyperlink ref="HIT8" location="'Cost Summary'!A1" display="'Cost Summary'!A1"/>
    <hyperlink ref="HIU8" location="'Cost Summary'!A1" display="'Cost Summary'!A1"/>
    <hyperlink ref="HIV8" location="'Cost Summary'!A1" display="'Cost Summary'!A1"/>
    <hyperlink ref="HIW8" location="'Cost Summary'!A1" display="'Cost Summary'!A1"/>
    <hyperlink ref="HIX8" location="'Cost Summary'!A1" display="'Cost Summary'!A1"/>
    <hyperlink ref="HIY8" location="'Cost Summary'!A1" display="'Cost Summary'!A1"/>
    <hyperlink ref="HIZ8" location="'Cost Summary'!A1" display="'Cost Summary'!A1"/>
    <hyperlink ref="HJA8" location="'Cost Summary'!A1" display="'Cost Summary'!A1"/>
    <hyperlink ref="HJB8" location="'Cost Summary'!A1" display="'Cost Summary'!A1"/>
    <hyperlink ref="HJC8" location="'Cost Summary'!A1" display="'Cost Summary'!A1"/>
    <hyperlink ref="HJD8" location="'Cost Summary'!A1" display="'Cost Summary'!A1"/>
    <hyperlink ref="HJE8" location="'Cost Summary'!A1" display="'Cost Summary'!A1"/>
    <hyperlink ref="HJF8" location="'Cost Summary'!A1" display="'Cost Summary'!A1"/>
    <hyperlink ref="HJG8" location="'Cost Summary'!A1" display="'Cost Summary'!A1"/>
    <hyperlink ref="HJH8" location="'Cost Summary'!A1" display="'Cost Summary'!A1"/>
    <hyperlink ref="HJI8" location="'Cost Summary'!A1" display="'Cost Summary'!A1"/>
    <hyperlink ref="HJJ8" location="'Cost Summary'!A1" display="'Cost Summary'!A1"/>
    <hyperlink ref="HJK8" location="'Cost Summary'!A1" display="'Cost Summary'!A1"/>
    <hyperlink ref="HJL8" location="'Cost Summary'!A1" display="'Cost Summary'!A1"/>
    <hyperlink ref="HJM8" location="'Cost Summary'!A1" display="'Cost Summary'!A1"/>
    <hyperlink ref="HJN8" location="'Cost Summary'!A1" display="'Cost Summary'!A1"/>
    <hyperlink ref="HJO8" location="'Cost Summary'!A1" display="'Cost Summary'!A1"/>
    <hyperlink ref="HJP8" location="'Cost Summary'!A1" display="'Cost Summary'!A1"/>
    <hyperlink ref="HJQ8" location="'Cost Summary'!A1" display="'Cost Summary'!A1"/>
    <hyperlink ref="HJR8" location="'Cost Summary'!A1" display="'Cost Summary'!A1"/>
    <hyperlink ref="HJS8" location="'Cost Summary'!A1" display="'Cost Summary'!A1"/>
    <hyperlink ref="HJT8" location="'Cost Summary'!A1" display="'Cost Summary'!A1"/>
    <hyperlink ref="HJU8" location="'Cost Summary'!A1" display="'Cost Summary'!A1"/>
    <hyperlink ref="HJV8" location="'Cost Summary'!A1" display="'Cost Summary'!A1"/>
    <hyperlink ref="HJW8" location="'Cost Summary'!A1" display="'Cost Summary'!A1"/>
    <hyperlink ref="HJX8" location="'Cost Summary'!A1" display="'Cost Summary'!A1"/>
    <hyperlink ref="HJY8" location="'Cost Summary'!A1" display="'Cost Summary'!A1"/>
    <hyperlink ref="HJZ8" location="'Cost Summary'!A1" display="'Cost Summary'!A1"/>
    <hyperlink ref="HKA8" location="'Cost Summary'!A1" display="'Cost Summary'!A1"/>
    <hyperlink ref="HKB8" location="'Cost Summary'!A1" display="'Cost Summary'!A1"/>
    <hyperlink ref="HKC8" location="'Cost Summary'!A1" display="'Cost Summary'!A1"/>
    <hyperlink ref="HKD8" location="'Cost Summary'!A1" display="'Cost Summary'!A1"/>
    <hyperlink ref="HKE8" location="'Cost Summary'!A1" display="'Cost Summary'!A1"/>
    <hyperlink ref="HKF8" location="'Cost Summary'!A1" display="'Cost Summary'!A1"/>
    <hyperlink ref="HKG8" location="'Cost Summary'!A1" display="'Cost Summary'!A1"/>
    <hyperlink ref="HKH8" location="'Cost Summary'!A1" display="'Cost Summary'!A1"/>
    <hyperlink ref="HKI8" location="'Cost Summary'!A1" display="'Cost Summary'!A1"/>
    <hyperlink ref="HKJ8" location="'Cost Summary'!A1" display="'Cost Summary'!A1"/>
    <hyperlink ref="HKK8" location="'Cost Summary'!A1" display="'Cost Summary'!A1"/>
    <hyperlink ref="HKL8" location="'Cost Summary'!A1" display="'Cost Summary'!A1"/>
    <hyperlink ref="HKM8" location="'Cost Summary'!A1" display="'Cost Summary'!A1"/>
    <hyperlink ref="HKN8" location="'Cost Summary'!A1" display="'Cost Summary'!A1"/>
    <hyperlink ref="HKO8" location="'Cost Summary'!A1" display="'Cost Summary'!A1"/>
    <hyperlink ref="HKP8" location="'Cost Summary'!A1" display="'Cost Summary'!A1"/>
    <hyperlink ref="HKQ8" location="'Cost Summary'!A1" display="'Cost Summary'!A1"/>
    <hyperlink ref="HKR8" location="'Cost Summary'!A1" display="'Cost Summary'!A1"/>
    <hyperlink ref="HKS8" location="'Cost Summary'!A1" display="'Cost Summary'!A1"/>
    <hyperlink ref="HKT8" location="'Cost Summary'!A1" display="'Cost Summary'!A1"/>
    <hyperlink ref="HKU8" location="'Cost Summary'!A1" display="'Cost Summary'!A1"/>
    <hyperlink ref="HKV8" location="'Cost Summary'!A1" display="'Cost Summary'!A1"/>
    <hyperlink ref="HKW8" location="'Cost Summary'!A1" display="'Cost Summary'!A1"/>
    <hyperlink ref="HKX8" location="'Cost Summary'!A1" display="'Cost Summary'!A1"/>
    <hyperlink ref="HKY8" location="'Cost Summary'!A1" display="'Cost Summary'!A1"/>
    <hyperlink ref="HKZ8" location="'Cost Summary'!A1" display="'Cost Summary'!A1"/>
    <hyperlink ref="HLA8" location="'Cost Summary'!A1" display="'Cost Summary'!A1"/>
    <hyperlink ref="HLB8" location="'Cost Summary'!A1" display="'Cost Summary'!A1"/>
    <hyperlink ref="HLC8" location="'Cost Summary'!A1" display="'Cost Summary'!A1"/>
    <hyperlink ref="HLD8" location="'Cost Summary'!A1" display="'Cost Summary'!A1"/>
    <hyperlink ref="HLE8" location="'Cost Summary'!A1" display="'Cost Summary'!A1"/>
    <hyperlink ref="HLF8" location="'Cost Summary'!A1" display="'Cost Summary'!A1"/>
    <hyperlink ref="HLG8" location="'Cost Summary'!A1" display="'Cost Summary'!A1"/>
    <hyperlink ref="HLH8" location="'Cost Summary'!A1" display="'Cost Summary'!A1"/>
    <hyperlink ref="HLI8" location="'Cost Summary'!A1" display="'Cost Summary'!A1"/>
    <hyperlink ref="HLJ8" location="'Cost Summary'!A1" display="'Cost Summary'!A1"/>
    <hyperlink ref="HLK8" location="'Cost Summary'!A1" display="'Cost Summary'!A1"/>
    <hyperlink ref="HLL8" location="'Cost Summary'!A1" display="'Cost Summary'!A1"/>
    <hyperlink ref="HLM8" location="'Cost Summary'!A1" display="'Cost Summary'!A1"/>
    <hyperlink ref="HLN8" location="'Cost Summary'!A1" display="'Cost Summary'!A1"/>
    <hyperlink ref="HLO8" location="'Cost Summary'!A1" display="'Cost Summary'!A1"/>
    <hyperlink ref="HLP8" location="'Cost Summary'!A1" display="'Cost Summary'!A1"/>
    <hyperlink ref="HLQ8" location="'Cost Summary'!A1" display="'Cost Summary'!A1"/>
    <hyperlink ref="HLR8" location="'Cost Summary'!A1" display="'Cost Summary'!A1"/>
    <hyperlink ref="HLS8" location="'Cost Summary'!A1" display="'Cost Summary'!A1"/>
    <hyperlink ref="HLT8" location="'Cost Summary'!A1" display="'Cost Summary'!A1"/>
    <hyperlink ref="HLU8" location="'Cost Summary'!A1" display="'Cost Summary'!A1"/>
    <hyperlink ref="HLV8" location="'Cost Summary'!A1" display="'Cost Summary'!A1"/>
    <hyperlink ref="HLW8" location="'Cost Summary'!A1" display="'Cost Summary'!A1"/>
    <hyperlink ref="HLX8" location="'Cost Summary'!A1" display="'Cost Summary'!A1"/>
    <hyperlink ref="HLY8" location="'Cost Summary'!A1" display="'Cost Summary'!A1"/>
    <hyperlink ref="HLZ8" location="'Cost Summary'!A1" display="'Cost Summary'!A1"/>
    <hyperlink ref="HMA8" location="'Cost Summary'!A1" display="'Cost Summary'!A1"/>
    <hyperlink ref="HMB8" location="'Cost Summary'!A1" display="'Cost Summary'!A1"/>
    <hyperlink ref="HMC8" location="'Cost Summary'!A1" display="'Cost Summary'!A1"/>
    <hyperlink ref="HMD8" location="'Cost Summary'!A1" display="'Cost Summary'!A1"/>
    <hyperlink ref="HME8" location="'Cost Summary'!A1" display="'Cost Summary'!A1"/>
    <hyperlink ref="HMF8" location="'Cost Summary'!A1" display="'Cost Summary'!A1"/>
    <hyperlink ref="HMG8" location="'Cost Summary'!A1" display="'Cost Summary'!A1"/>
    <hyperlink ref="HMH8" location="'Cost Summary'!A1" display="'Cost Summary'!A1"/>
    <hyperlink ref="HMI8" location="'Cost Summary'!A1" display="'Cost Summary'!A1"/>
    <hyperlink ref="HMJ8" location="'Cost Summary'!A1" display="'Cost Summary'!A1"/>
    <hyperlink ref="HMK8" location="'Cost Summary'!A1" display="'Cost Summary'!A1"/>
    <hyperlink ref="HML8" location="'Cost Summary'!A1" display="'Cost Summary'!A1"/>
    <hyperlink ref="HMM8" location="'Cost Summary'!A1" display="'Cost Summary'!A1"/>
    <hyperlink ref="HMN8" location="'Cost Summary'!A1" display="'Cost Summary'!A1"/>
    <hyperlink ref="HMO8" location="'Cost Summary'!A1" display="'Cost Summary'!A1"/>
    <hyperlink ref="HMP8" location="'Cost Summary'!A1" display="'Cost Summary'!A1"/>
    <hyperlink ref="HMQ8" location="'Cost Summary'!A1" display="'Cost Summary'!A1"/>
    <hyperlink ref="HMR8" location="'Cost Summary'!A1" display="'Cost Summary'!A1"/>
    <hyperlink ref="HMS8" location="'Cost Summary'!A1" display="'Cost Summary'!A1"/>
    <hyperlink ref="HMT8" location="'Cost Summary'!A1" display="'Cost Summary'!A1"/>
    <hyperlink ref="HMU8" location="'Cost Summary'!A1" display="'Cost Summary'!A1"/>
    <hyperlink ref="HMV8" location="'Cost Summary'!A1" display="'Cost Summary'!A1"/>
    <hyperlink ref="HMW8" location="'Cost Summary'!A1" display="'Cost Summary'!A1"/>
    <hyperlink ref="HMX8" location="'Cost Summary'!A1" display="'Cost Summary'!A1"/>
    <hyperlink ref="HMY8" location="'Cost Summary'!A1" display="'Cost Summary'!A1"/>
    <hyperlink ref="HMZ8" location="'Cost Summary'!A1" display="'Cost Summary'!A1"/>
    <hyperlink ref="HNA8" location="'Cost Summary'!A1" display="'Cost Summary'!A1"/>
    <hyperlink ref="HNB8" location="'Cost Summary'!A1" display="'Cost Summary'!A1"/>
    <hyperlink ref="HNC8" location="'Cost Summary'!A1" display="'Cost Summary'!A1"/>
    <hyperlink ref="HND8" location="'Cost Summary'!A1" display="'Cost Summary'!A1"/>
    <hyperlink ref="HNE8" location="'Cost Summary'!A1" display="'Cost Summary'!A1"/>
    <hyperlink ref="HNF8" location="'Cost Summary'!A1" display="'Cost Summary'!A1"/>
    <hyperlink ref="HNG8" location="'Cost Summary'!A1" display="'Cost Summary'!A1"/>
    <hyperlink ref="HNH8" location="'Cost Summary'!A1" display="'Cost Summary'!A1"/>
    <hyperlink ref="HNI8" location="'Cost Summary'!A1" display="'Cost Summary'!A1"/>
    <hyperlink ref="HNJ8" location="'Cost Summary'!A1" display="'Cost Summary'!A1"/>
    <hyperlink ref="HNK8" location="'Cost Summary'!A1" display="'Cost Summary'!A1"/>
    <hyperlink ref="HNL8" location="'Cost Summary'!A1" display="'Cost Summary'!A1"/>
    <hyperlink ref="HNM8" location="'Cost Summary'!A1" display="'Cost Summary'!A1"/>
    <hyperlink ref="HNN8" location="'Cost Summary'!A1" display="'Cost Summary'!A1"/>
    <hyperlink ref="HNO8" location="'Cost Summary'!A1" display="'Cost Summary'!A1"/>
    <hyperlink ref="HNP8" location="'Cost Summary'!A1" display="'Cost Summary'!A1"/>
    <hyperlink ref="HNQ8" location="'Cost Summary'!A1" display="'Cost Summary'!A1"/>
    <hyperlink ref="HNR8" location="'Cost Summary'!A1" display="'Cost Summary'!A1"/>
    <hyperlink ref="HNS8" location="'Cost Summary'!A1" display="'Cost Summary'!A1"/>
    <hyperlink ref="HNT8" location="'Cost Summary'!A1" display="'Cost Summary'!A1"/>
    <hyperlink ref="HNU8" location="'Cost Summary'!A1" display="'Cost Summary'!A1"/>
    <hyperlink ref="HNV8" location="'Cost Summary'!A1" display="'Cost Summary'!A1"/>
    <hyperlink ref="HNW8" location="'Cost Summary'!A1" display="'Cost Summary'!A1"/>
    <hyperlink ref="HNX8" location="'Cost Summary'!A1" display="'Cost Summary'!A1"/>
    <hyperlink ref="HNY8" location="'Cost Summary'!A1" display="'Cost Summary'!A1"/>
    <hyperlink ref="HNZ8" location="'Cost Summary'!A1" display="'Cost Summary'!A1"/>
    <hyperlink ref="HOA8" location="'Cost Summary'!A1" display="'Cost Summary'!A1"/>
    <hyperlink ref="HOB8" location="'Cost Summary'!A1" display="'Cost Summary'!A1"/>
    <hyperlink ref="HOC8" location="'Cost Summary'!A1" display="'Cost Summary'!A1"/>
    <hyperlink ref="HOD8" location="'Cost Summary'!A1" display="'Cost Summary'!A1"/>
    <hyperlink ref="HOE8" location="'Cost Summary'!A1" display="'Cost Summary'!A1"/>
    <hyperlink ref="HOF8" location="'Cost Summary'!A1" display="'Cost Summary'!A1"/>
    <hyperlink ref="HOG8" location="'Cost Summary'!A1" display="'Cost Summary'!A1"/>
    <hyperlink ref="HOH8" location="'Cost Summary'!A1" display="'Cost Summary'!A1"/>
    <hyperlink ref="HOI8" location="'Cost Summary'!A1" display="'Cost Summary'!A1"/>
    <hyperlink ref="HOJ8" location="'Cost Summary'!A1" display="'Cost Summary'!A1"/>
    <hyperlink ref="HOK8" location="'Cost Summary'!A1" display="'Cost Summary'!A1"/>
    <hyperlink ref="HOL8" location="'Cost Summary'!A1" display="'Cost Summary'!A1"/>
    <hyperlink ref="HOM8" location="'Cost Summary'!A1" display="'Cost Summary'!A1"/>
    <hyperlink ref="HON8" location="'Cost Summary'!A1" display="'Cost Summary'!A1"/>
    <hyperlink ref="HOO8" location="'Cost Summary'!A1" display="'Cost Summary'!A1"/>
    <hyperlink ref="HOP8" location="'Cost Summary'!A1" display="'Cost Summary'!A1"/>
    <hyperlink ref="HOQ8" location="'Cost Summary'!A1" display="'Cost Summary'!A1"/>
    <hyperlink ref="HOR8" location="'Cost Summary'!A1" display="'Cost Summary'!A1"/>
    <hyperlink ref="HOS8" location="'Cost Summary'!A1" display="'Cost Summary'!A1"/>
    <hyperlink ref="HOT8" location="'Cost Summary'!A1" display="'Cost Summary'!A1"/>
    <hyperlink ref="HOU8" location="'Cost Summary'!A1" display="'Cost Summary'!A1"/>
    <hyperlink ref="HOV8" location="'Cost Summary'!A1" display="'Cost Summary'!A1"/>
    <hyperlink ref="HOW8" location="'Cost Summary'!A1" display="'Cost Summary'!A1"/>
    <hyperlink ref="HOX8" location="'Cost Summary'!A1" display="'Cost Summary'!A1"/>
    <hyperlink ref="HOY8" location="'Cost Summary'!A1" display="'Cost Summary'!A1"/>
    <hyperlink ref="HOZ8" location="'Cost Summary'!A1" display="'Cost Summary'!A1"/>
    <hyperlink ref="HPA8" location="'Cost Summary'!A1" display="'Cost Summary'!A1"/>
    <hyperlink ref="HPB8" location="'Cost Summary'!A1" display="'Cost Summary'!A1"/>
    <hyperlink ref="HPC8" location="'Cost Summary'!A1" display="'Cost Summary'!A1"/>
    <hyperlink ref="HPD8" location="'Cost Summary'!A1" display="'Cost Summary'!A1"/>
    <hyperlink ref="HPE8" location="'Cost Summary'!A1" display="'Cost Summary'!A1"/>
    <hyperlink ref="HPF8" location="'Cost Summary'!A1" display="'Cost Summary'!A1"/>
    <hyperlink ref="HPG8" location="'Cost Summary'!A1" display="'Cost Summary'!A1"/>
    <hyperlink ref="HPH8" location="'Cost Summary'!A1" display="'Cost Summary'!A1"/>
    <hyperlink ref="HPI8" location="'Cost Summary'!A1" display="'Cost Summary'!A1"/>
    <hyperlink ref="HPJ8" location="'Cost Summary'!A1" display="'Cost Summary'!A1"/>
    <hyperlink ref="HPK8" location="'Cost Summary'!A1" display="'Cost Summary'!A1"/>
    <hyperlink ref="HPL8" location="'Cost Summary'!A1" display="'Cost Summary'!A1"/>
    <hyperlink ref="HPM8" location="'Cost Summary'!A1" display="'Cost Summary'!A1"/>
    <hyperlink ref="HPN8" location="'Cost Summary'!A1" display="'Cost Summary'!A1"/>
    <hyperlink ref="HPO8" location="'Cost Summary'!A1" display="'Cost Summary'!A1"/>
    <hyperlink ref="HPP8" location="'Cost Summary'!A1" display="'Cost Summary'!A1"/>
    <hyperlink ref="HPQ8" location="'Cost Summary'!A1" display="'Cost Summary'!A1"/>
    <hyperlink ref="HPR8" location="'Cost Summary'!A1" display="'Cost Summary'!A1"/>
    <hyperlink ref="HPS8" location="'Cost Summary'!A1" display="'Cost Summary'!A1"/>
    <hyperlink ref="HPT8" location="'Cost Summary'!A1" display="'Cost Summary'!A1"/>
    <hyperlink ref="HPU8" location="'Cost Summary'!A1" display="'Cost Summary'!A1"/>
    <hyperlink ref="HPV8" location="'Cost Summary'!A1" display="'Cost Summary'!A1"/>
    <hyperlink ref="HPW8" location="'Cost Summary'!A1" display="'Cost Summary'!A1"/>
    <hyperlink ref="HPX8" location="'Cost Summary'!A1" display="'Cost Summary'!A1"/>
    <hyperlink ref="HPY8" location="'Cost Summary'!A1" display="'Cost Summary'!A1"/>
    <hyperlink ref="HPZ8" location="'Cost Summary'!A1" display="'Cost Summary'!A1"/>
    <hyperlink ref="HQA8" location="'Cost Summary'!A1" display="'Cost Summary'!A1"/>
    <hyperlink ref="HQB8" location="'Cost Summary'!A1" display="'Cost Summary'!A1"/>
    <hyperlink ref="HQC8" location="'Cost Summary'!A1" display="'Cost Summary'!A1"/>
    <hyperlink ref="HQD8" location="'Cost Summary'!A1" display="'Cost Summary'!A1"/>
    <hyperlink ref="HQE8" location="'Cost Summary'!A1" display="'Cost Summary'!A1"/>
    <hyperlink ref="HQF8" location="'Cost Summary'!A1" display="'Cost Summary'!A1"/>
    <hyperlink ref="HQG8" location="'Cost Summary'!A1" display="'Cost Summary'!A1"/>
    <hyperlink ref="HQH8" location="'Cost Summary'!A1" display="'Cost Summary'!A1"/>
    <hyperlink ref="HQI8" location="'Cost Summary'!A1" display="'Cost Summary'!A1"/>
    <hyperlink ref="HQJ8" location="'Cost Summary'!A1" display="'Cost Summary'!A1"/>
    <hyperlink ref="HQK8" location="'Cost Summary'!A1" display="'Cost Summary'!A1"/>
    <hyperlink ref="HQL8" location="'Cost Summary'!A1" display="'Cost Summary'!A1"/>
    <hyperlink ref="HQM8" location="'Cost Summary'!A1" display="'Cost Summary'!A1"/>
    <hyperlink ref="HQN8" location="'Cost Summary'!A1" display="'Cost Summary'!A1"/>
    <hyperlink ref="HQO8" location="'Cost Summary'!A1" display="'Cost Summary'!A1"/>
    <hyperlink ref="HQP8" location="'Cost Summary'!A1" display="'Cost Summary'!A1"/>
    <hyperlink ref="HQQ8" location="'Cost Summary'!A1" display="'Cost Summary'!A1"/>
    <hyperlink ref="HQR8" location="'Cost Summary'!A1" display="'Cost Summary'!A1"/>
    <hyperlink ref="HQS8" location="'Cost Summary'!A1" display="'Cost Summary'!A1"/>
    <hyperlink ref="HQT8" location="'Cost Summary'!A1" display="'Cost Summary'!A1"/>
    <hyperlink ref="HQU8" location="'Cost Summary'!A1" display="'Cost Summary'!A1"/>
    <hyperlink ref="HQV8" location="'Cost Summary'!A1" display="'Cost Summary'!A1"/>
    <hyperlink ref="HQW8" location="'Cost Summary'!A1" display="'Cost Summary'!A1"/>
    <hyperlink ref="HQX8" location="'Cost Summary'!A1" display="'Cost Summary'!A1"/>
    <hyperlink ref="HQY8" location="'Cost Summary'!A1" display="'Cost Summary'!A1"/>
    <hyperlink ref="HQZ8" location="'Cost Summary'!A1" display="'Cost Summary'!A1"/>
    <hyperlink ref="HRA8" location="'Cost Summary'!A1" display="'Cost Summary'!A1"/>
    <hyperlink ref="HRB8" location="'Cost Summary'!A1" display="'Cost Summary'!A1"/>
    <hyperlink ref="HRC8" location="'Cost Summary'!A1" display="'Cost Summary'!A1"/>
    <hyperlink ref="HRD8" location="'Cost Summary'!A1" display="'Cost Summary'!A1"/>
    <hyperlink ref="HRE8" location="'Cost Summary'!A1" display="'Cost Summary'!A1"/>
    <hyperlink ref="HRF8" location="'Cost Summary'!A1" display="'Cost Summary'!A1"/>
    <hyperlink ref="HRG8" location="'Cost Summary'!A1" display="'Cost Summary'!A1"/>
    <hyperlink ref="HRH8" location="'Cost Summary'!A1" display="'Cost Summary'!A1"/>
    <hyperlink ref="HRI8" location="'Cost Summary'!A1" display="'Cost Summary'!A1"/>
    <hyperlink ref="HRJ8" location="'Cost Summary'!A1" display="'Cost Summary'!A1"/>
    <hyperlink ref="HRK8" location="'Cost Summary'!A1" display="'Cost Summary'!A1"/>
    <hyperlink ref="HRL8" location="'Cost Summary'!A1" display="'Cost Summary'!A1"/>
    <hyperlink ref="HRM8" location="'Cost Summary'!A1" display="'Cost Summary'!A1"/>
    <hyperlink ref="HRN8" location="'Cost Summary'!A1" display="'Cost Summary'!A1"/>
    <hyperlink ref="HRO8" location="'Cost Summary'!A1" display="'Cost Summary'!A1"/>
    <hyperlink ref="HRP8" location="'Cost Summary'!A1" display="'Cost Summary'!A1"/>
    <hyperlink ref="HRQ8" location="'Cost Summary'!A1" display="'Cost Summary'!A1"/>
    <hyperlink ref="HRR8" location="'Cost Summary'!A1" display="'Cost Summary'!A1"/>
    <hyperlink ref="HRS8" location="'Cost Summary'!A1" display="'Cost Summary'!A1"/>
    <hyperlink ref="HRT8" location="'Cost Summary'!A1" display="'Cost Summary'!A1"/>
    <hyperlink ref="HRU8" location="'Cost Summary'!A1" display="'Cost Summary'!A1"/>
    <hyperlink ref="HRV8" location="'Cost Summary'!A1" display="'Cost Summary'!A1"/>
    <hyperlink ref="HRW8" location="'Cost Summary'!A1" display="'Cost Summary'!A1"/>
    <hyperlink ref="HRX8" location="'Cost Summary'!A1" display="'Cost Summary'!A1"/>
    <hyperlink ref="HRY8" location="'Cost Summary'!A1" display="'Cost Summary'!A1"/>
    <hyperlink ref="HRZ8" location="'Cost Summary'!A1" display="'Cost Summary'!A1"/>
    <hyperlink ref="HSA8" location="'Cost Summary'!A1" display="'Cost Summary'!A1"/>
    <hyperlink ref="HSB8" location="'Cost Summary'!A1" display="'Cost Summary'!A1"/>
    <hyperlink ref="HSC8" location="'Cost Summary'!A1" display="'Cost Summary'!A1"/>
    <hyperlink ref="HSD8" location="'Cost Summary'!A1" display="'Cost Summary'!A1"/>
    <hyperlink ref="HSE8" location="'Cost Summary'!A1" display="'Cost Summary'!A1"/>
    <hyperlink ref="HSF8" location="'Cost Summary'!A1" display="'Cost Summary'!A1"/>
    <hyperlink ref="HSG8" location="'Cost Summary'!A1" display="'Cost Summary'!A1"/>
    <hyperlink ref="HSH8" location="'Cost Summary'!A1" display="'Cost Summary'!A1"/>
    <hyperlink ref="HSI8" location="'Cost Summary'!A1" display="'Cost Summary'!A1"/>
    <hyperlink ref="HSJ8" location="'Cost Summary'!A1" display="'Cost Summary'!A1"/>
    <hyperlink ref="HSK8" location="'Cost Summary'!A1" display="'Cost Summary'!A1"/>
    <hyperlink ref="HSL8" location="'Cost Summary'!A1" display="'Cost Summary'!A1"/>
    <hyperlink ref="HSM8" location="'Cost Summary'!A1" display="'Cost Summary'!A1"/>
    <hyperlink ref="HSN8" location="'Cost Summary'!A1" display="'Cost Summary'!A1"/>
    <hyperlink ref="HSO8" location="'Cost Summary'!A1" display="'Cost Summary'!A1"/>
    <hyperlink ref="HSP8" location="'Cost Summary'!A1" display="'Cost Summary'!A1"/>
    <hyperlink ref="HSQ8" location="'Cost Summary'!A1" display="'Cost Summary'!A1"/>
    <hyperlink ref="HSR8" location="'Cost Summary'!A1" display="'Cost Summary'!A1"/>
    <hyperlink ref="HSS8" location="'Cost Summary'!A1" display="'Cost Summary'!A1"/>
    <hyperlink ref="HST8" location="'Cost Summary'!A1" display="'Cost Summary'!A1"/>
    <hyperlink ref="HSU8" location="'Cost Summary'!A1" display="'Cost Summary'!A1"/>
    <hyperlink ref="HSV8" location="'Cost Summary'!A1" display="'Cost Summary'!A1"/>
    <hyperlink ref="HSW8" location="'Cost Summary'!A1" display="'Cost Summary'!A1"/>
    <hyperlink ref="HSX8" location="'Cost Summary'!A1" display="'Cost Summary'!A1"/>
    <hyperlink ref="HSY8" location="'Cost Summary'!A1" display="'Cost Summary'!A1"/>
    <hyperlink ref="HSZ8" location="'Cost Summary'!A1" display="'Cost Summary'!A1"/>
    <hyperlink ref="HTA8" location="'Cost Summary'!A1" display="'Cost Summary'!A1"/>
    <hyperlink ref="HTB8" location="'Cost Summary'!A1" display="'Cost Summary'!A1"/>
    <hyperlink ref="HTC8" location="'Cost Summary'!A1" display="'Cost Summary'!A1"/>
    <hyperlink ref="HTD8" location="'Cost Summary'!A1" display="'Cost Summary'!A1"/>
    <hyperlink ref="HTE8" location="'Cost Summary'!A1" display="'Cost Summary'!A1"/>
    <hyperlink ref="HTF8" location="'Cost Summary'!A1" display="'Cost Summary'!A1"/>
    <hyperlink ref="HTG8" location="'Cost Summary'!A1" display="'Cost Summary'!A1"/>
    <hyperlink ref="HTH8" location="'Cost Summary'!A1" display="'Cost Summary'!A1"/>
    <hyperlink ref="HTI8" location="'Cost Summary'!A1" display="'Cost Summary'!A1"/>
    <hyperlink ref="HTJ8" location="'Cost Summary'!A1" display="'Cost Summary'!A1"/>
    <hyperlink ref="HTK8" location="'Cost Summary'!A1" display="'Cost Summary'!A1"/>
    <hyperlink ref="HTL8" location="'Cost Summary'!A1" display="'Cost Summary'!A1"/>
    <hyperlink ref="HTM8" location="'Cost Summary'!A1" display="'Cost Summary'!A1"/>
    <hyperlink ref="HTN8" location="'Cost Summary'!A1" display="'Cost Summary'!A1"/>
    <hyperlink ref="HTO8" location="'Cost Summary'!A1" display="'Cost Summary'!A1"/>
    <hyperlink ref="HTP8" location="'Cost Summary'!A1" display="'Cost Summary'!A1"/>
    <hyperlink ref="HTQ8" location="'Cost Summary'!A1" display="'Cost Summary'!A1"/>
    <hyperlink ref="HTR8" location="'Cost Summary'!A1" display="'Cost Summary'!A1"/>
    <hyperlink ref="HTS8" location="'Cost Summary'!A1" display="'Cost Summary'!A1"/>
    <hyperlink ref="HTT8" location="'Cost Summary'!A1" display="'Cost Summary'!A1"/>
    <hyperlink ref="HTU8" location="'Cost Summary'!A1" display="'Cost Summary'!A1"/>
    <hyperlink ref="HTV8" location="'Cost Summary'!A1" display="'Cost Summary'!A1"/>
    <hyperlink ref="HTW8" location="'Cost Summary'!A1" display="'Cost Summary'!A1"/>
    <hyperlink ref="HTX8" location="'Cost Summary'!A1" display="'Cost Summary'!A1"/>
    <hyperlink ref="HTY8" location="'Cost Summary'!A1" display="'Cost Summary'!A1"/>
    <hyperlink ref="HTZ8" location="'Cost Summary'!A1" display="'Cost Summary'!A1"/>
    <hyperlink ref="HUA8" location="'Cost Summary'!A1" display="'Cost Summary'!A1"/>
    <hyperlink ref="HUB8" location="'Cost Summary'!A1" display="'Cost Summary'!A1"/>
    <hyperlink ref="HUC8" location="'Cost Summary'!A1" display="'Cost Summary'!A1"/>
    <hyperlink ref="HUD8" location="'Cost Summary'!A1" display="'Cost Summary'!A1"/>
    <hyperlink ref="HUE8" location="'Cost Summary'!A1" display="'Cost Summary'!A1"/>
    <hyperlink ref="HUF8" location="'Cost Summary'!A1" display="'Cost Summary'!A1"/>
    <hyperlink ref="HUG8" location="'Cost Summary'!A1" display="'Cost Summary'!A1"/>
    <hyperlink ref="HUH8" location="'Cost Summary'!A1" display="'Cost Summary'!A1"/>
    <hyperlink ref="HUI8" location="'Cost Summary'!A1" display="'Cost Summary'!A1"/>
    <hyperlink ref="HUJ8" location="'Cost Summary'!A1" display="'Cost Summary'!A1"/>
    <hyperlink ref="HUK8" location="'Cost Summary'!A1" display="'Cost Summary'!A1"/>
    <hyperlink ref="HUL8" location="'Cost Summary'!A1" display="'Cost Summary'!A1"/>
    <hyperlink ref="HUM8" location="'Cost Summary'!A1" display="'Cost Summary'!A1"/>
    <hyperlink ref="HUN8" location="'Cost Summary'!A1" display="'Cost Summary'!A1"/>
    <hyperlink ref="HUO8" location="'Cost Summary'!A1" display="'Cost Summary'!A1"/>
    <hyperlink ref="HUP8" location="'Cost Summary'!A1" display="'Cost Summary'!A1"/>
    <hyperlink ref="HUQ8" location="'Cost Summary'!A1" display="'Cost Summary'!A1"/>
    <hyperlink ref="HUR8" location="'Cost Summary'!A1" display="'Cost Summary'!A1"/>
    <hyperlink ref="HUS8" location="'Cost Summary'!A1" display="'Cost Summary'!A1"/>
    <hyperlink ref="HUT8" location="'Cost Summary'!A1" display="'Cost Summary'!A1"/>
    <hyperlink ref="HUU8" location="'Cost Summary'!A1" display="'Cost Summary'!A1"/>
    <hyperlink ref="HUV8" location="'Cost Summary'!A1" display="'Cost Summary'!A1"/>
    <hyperlink ref="HUW8" location="'Cost Summary'!A1" display="'Cost Summary'!A1"/>
    <hyperlink ref="HUX8" location="'Cost Summary'!A1" display="'Cost Summary'!A1"/>
    <hyperlink ref="HUY8" location="'Cost Summary'!A1" display="'Cost Summary'!A1"/>
    <hyperlink ref="HUZ8" location="'Cost Summary'!A1" display="'Cost Summary'!A1"/>
    <hyperlink ref="HVA8" location="'Cost Summary'!A1" display="'Cost Summary'!A1"/>
    <hyperlink ref="HVB8" location="'Cost Summary'!A1" display="'Cost Summary'!A1"/>
    <hyperlink ref="HVC8" location="'Cost Summary'!A1" display="'Cost Summary'!A1"/>
    <hyperlink ref="HVD8" location="'Cost Summary'!A1" display="'Cost Summary'!A1"/>
    <hyperlink ref="HVE8" location="'Cost Summary'!A1" display="'Cost Summary'!A1"/>
    <hyperlink ref="HVF8" location="'Cost Summary'!A1" display="'Cost Summary'!A1"/>
    <hyperlink ref="HVG8" location="'Cost Summary'!A1" display="'Cost Summary'!A1"/>
    <hyperlink ref="HVH8" location="'Cost Summary'!A1" display="'Cost Summary'!A1"/>
    <hyperlink ref="HVI8" location="'Cost Summary'!A1" display="'Cost Summary'!A1"/>
    <hyperlink ref="HVJ8" location="'Cost Summary'!A1" display="'Cost Summary'!A1"/>
    <hyperlink ref="HVK8" location="'Cost Summary'!A1" display="'Cost Summary'!A1"/>
    <hyperlink ref="HVL8" location="'Cost Summary'!A1" display="'Cost Summary'!A1"/>
    <hyperlink ref="HVM8" location="'Cost Summary'!A1" display="'Cost Summary'!A1"/>
    <hyperlink ref="HVN8" location="'Cost Summary'!A1" display="'Cost Summary'!A1"/>
    <hyperlink ref="HVO8" location="'Cost Summary'!A1" display="'Cost Summary'!A1"/>
    <hyperlink ref="HVP8" location="'Cost Summary'!A1" display="'Cost Summary'!A1"/>
    <hyperlink ref="HVQ8" location="'Cost Summary'!A1" display="'Cost Summary'!A1"/>
    <hyperlink ref="HVR8" location="'Cost Summary'!A1" display="'Cost Summary'!A1"/>
    <hyperlink ref="HVS8" location="'Cost Summary'!A1" display="'Cost Summary'!A1"/>
    <hyperlink ref="HVT8" location="'Cost Summary'!A1" display="'Cost Summary'!A1"/>
    <hyperlink ref="HVU8" location="'Cost Summary'!A1" display="'Cost Summary'!A1"/>
    <hyperlink ref="HVV8" location="'Cost Summary'!A1" display="'Cost Summary'!A1"/>
    <hyperlink ref="HVW8" location="'Cost Summary'!A1" display="'Cost Summary'!A1"/>
    <hyperlink ref="HVX8" location="'Cost Summary'!A1" display="'Cost Summary'!A1"/>
    <hyperlink ref="HVY8" location="'Cost Summary'!A1" display="'Cost Summary'!A1"/>
    <hyperlink ref="HVZ8" location="'Cost Summary'!A1" display="'Cost Summary'!A1"/>
    <hyperlink ref="HWA8" location="'Cost Summary'!A1" display="'Cost Summary'!A1"/>
    <hyperlink ref="HWB8" location="'Cost Summary'!A1" display="'Cost Summary'!A1"/>
    <hyperlink ref="HWC8" location="'Cost Summary'!A1" display="'Cost Summary'!A1"/>
    <hyperlink ref="HWD8" location="'Cost Summary'!A1" display="'Cost Summary'!A1"/>
    <hyperlink ref="HWE8" location="'Cost Summary'!A1" display="'Cost Summary'!A1"/>
    <hyperlink ref="HWF8" location="'Cost Summary'!A1" display="'Cost Summary'!A1"/>
    <hyperlink ref="HWG8" location="'Cost Summary'!A1" display="'Cost Summary'!A1"/>
    <hyperlink ref="HWH8" location="'Cost Summary'!A1" display="'Cost Summary'!A1"/>
    <hyperlink ref="HWI8" location="'Cost Summary'!A1" display="'Cost Summary'!A1"/>
    <hyperlink ref="HWJ8" location="'Cost Summary'!A1" display="'Cost Summary'!A1"/>
    <hyperlink ref="HWK8" location="'Cost Summary'!A1" display="'Cost Summary'!A1"/>
    <hyperlink ref="HWL8" location="'Cost Summary'!A1" display="'Cost Summary'!A1"/>
    <hyperlink ref="HWM8" location="'Cost Summary'!A1" display="'Cost Summary'!A1"/>
    <hyperlink ref="HWN8" location="'Cost Summary'!A1" display="'Cost Summary'!A1"/>
    <hyperlink ref="HWO8" location="'Cost Summary'!A1" display="'Cost Summary'!A1"/>
    <hyperlink ref="HWP8" location="'Cost Summary'!A1" display="'Cost Summary'!A1"/>
    <hyperlink ref="HWQ8" location="'Cost Summary'!A1" display="'Cost Summary'!A1"/>
    <hyperlink ref="HWR8" location="'Cost Summary'!A1" display="'Cost Summary'!A1"/>
    <hyperlink ref="HWS8" location="'Cost Summary'!A1" display="'Cost Summary'!A1"/>
    <hyperlink ref="HWT8" location="'Cost Summary'!A1" display="'Cost Summary'!A1"/>
    <hyperlink ref="HWU8" location="'Cost Summary'!A1" display="'Cost Summary'!A1"/>
    <hyperlink ref="HWV8" location="'Cost Summary'!A1" display="'Cost Summary'!A1"/>
    <hyperlink ref="HWW8" location="'Cost Summary'!A1" display="'Cost Summary'!A1"/>
    <hyperlink ref="HWX8" location="'Cost Summary'!A1" display="'Cost Summary'!A1"/>
    <hyperlink ref="HWY8" location="'Cost Summary'!A1" display="'Cost Summary'!A1"/>
    <hyperlink ref="HWZ8" location="'Cost Summary'!A1" display="'Cost Summary'!A1"/>
    <hyperlink ref="HXA8" location="'Cost Summary'!A1" display="'Cost Summary'!A1"/>
    <hyperlink ref="HXB8" location="'Cost Summary'!A1" display="'Cost Summary'!A1"/>
    <hyperlink ref="HXC8" location="'Cost Summary'!A1" display="'Cost Summary'!A1"/>
    <hyperlink ref="HXD8" location="'Cost Summary'!A1" display="'Cost Summary'!A1"/>
    <hyperlink ref="HXE8" location="'Cost Summary'!A1" display="'Cost Summary'!A1"/>
    <hyperlink ref="HXF8" location="'Cost Summary'!A1" display="'Cost Summary'!A1"/>
    <hyperlink ref="HXG8" location="'Cost Summary'!A1" display="'Cost Summary'!A1"/>
    <hyperlink ref="HXH8" location="'Cost Summary'!A1" display="'Cost Summary'!A1"/>
    <hyperlink ref="HXI8" location="'Cost Summary'!A1" display="'Cost Summary'!A1"/>
    <hyperlink ref="HXJ8" location="'Cost Summary'!A1" display="'Cost Summary'!A1"/>
    <hyperlink ref="HXK8" location="'Cost Summary'!A1" display="'Cost Summary'!A1"/>
    <hyperlink ref="HXL8" location="'Cost Summary'!A1" display="'Cost Summary'!A1"/>
    <hyperlink ref="HXM8" location="'Cost Summary'!A1" display="'Cost Summary'!A1"/>
    <hyperlink ref="HXN8" location="'Cost Summary'!A1" display="'Cost Summary'!A1"/>
    <hyperlink ref="HXO8" location="'Cost Summary'!A1" display="'Cost Summary'!A1"/>
    <hyperlink ref="HXP8" location="'Cost Summary'!A1" display="'Cost Summary'!A1"/>
    <hyperlink ref="HXQ8" location="'Cost Summary'!A1" display="'Cost Summary'!A1"/>
    <hyperlink ref="HXR8" location="'Cost Summary'!A1" display="'Cost Summary'!A1"/>
    <hyperlink ref="HXS8" location="'Cost Summary'!A1" display="'Cost Summary'!A1"/>
    <hyperlink ref="HXT8" location="'Cost Summary'!A1" display="'Cost Summary'!A1"/>
    <hyperlink ref="HXU8" location="'Cost Summary'!A1" display="'Cost Summary'!A1"/>
    <hyperlink ref="HXV8" location="'Cost Summary'!A1" display="'Cost Summary'!A1"/>
    <hyperlink ref="HXW8" location="'Cost Summary'!A1" display="'Cost Summary'!A1"/>
    <hyperlink ref="HXX8" location="'Cost Summary'!A1" display="'Cost Summary'!A1"/>
    <hyperlink ref="HXY8" location="'Cost Summary'!A1" display="'Cost Summary'!A1"/>
    <hyperlink ref="HXZ8" location="'Cost Summary'!A1" display="'Cost Summary'!A1"/>
    <hyperlink ref="HYA8" location="'Cost Summary'!A1" display="'Cost Summary'!A1"/>
    <hyperlink ref="HYB8" location="'Cost Summary'!A1" display="'Cost Summary'!A1"/>
    <hyperlink ref="HYC8" location="'Cost Summary'!A1" display="'Cost Summary'!A1"/>
    <hyperlink ref="HYD8" location="'Cost Summary'!A1" display="'Cost Summary'!A1"/>
    <hyperlink ref="HYE8" location="'Cost Summary'!A1" display="'Cost Summary'!A1"/>
    <hyperlink ref="HYF8" location="'Cost Summary'!A1" display="'Cost Summary'!A1"/>
    <hyperlink ref="HYG8" location="'Cost Summary'!A1" display="'Cost Summary'!A1"/>
    <hyperlink ref="HYH8" location="'Cost Summary'!A1" display="'Cost Summary'!A1"/>
    <hyperlink ref="HYI8" location="'Cost Summary'!A1" display="'Cost Summary'!A1"/>
    <hyperlink ref="HYJ8" location="'Cost Summary'!A1" display="'Cost Summary'!A1"/>
    <hyperlink ref="HYK8" location="'Cost Summary'!A1" display="'Cost Summary'!A1"/>
    <hyperlink ref="HYL8" location="'Cost Summary'!A1" display="'Cost Summary'!A1"/>
    <hyperlink ref="HYM8" location="'Cost Summary'!A1" display="'Cost Summary'!A1"/>
    <hyperlink ref="HYN8" location="'Cost Summary'!A1" display="'Cost Summary'!A1"/>
    <hyperlink ref="HYO8" location="'Cost Summary'!A1" display="'Cost Summary'!A1"/>
    <hyperlink ref="HYP8" location="'Cost Summary'!A1" display="'Cost Summary'!A1"/>
    <hyperlink ref="HYQ8" location="'Cost Summary'!A1" display="'Cost Summary'!A1"/>
    <hyperlink ref="HYR8" location="'Cost Summary'!A1" display="'Cost Summary'!A1"/>
    <hyperlink ref="HYS8" location="'Cost Summary'!A1" display="'Cost Summary'!A1"/>
    <hyperlink ref="HYT8" location="'Cost Summary'!A1" display="'Cost Summary'!A1"/>
    <hyperlink ref="HYU8" location="'Cost Summary'!A1" display="'Cost Summary'!A1"/>
    <hyperlink ref="HYV8" location="'Cost Summary'!A1" display="'Cost Summary'!A1"/>
    <hyperlink ref="HYW8" location="'Cost Summary'!A1" display="'Cost Summary'!A1"/>
    <hyperlink ref="HYX8" location="'Cost Summary'!A1" display="'Cost Summary'!A1"/>
    <hyperlink ref="HYY8" location="'Cost Summary'!A1" display="'Cost Summary'!A1"/>
    <hyperlink ref="HYZ8" location="'Cost Summary'!A1" display="'Cost Summary'!A1"/>
    <hyperlink ref="HZA8" location="'Cost Summary'!A1" display="'Cost Summary'!A1"/>
    <hyperlink ref="HZB8" location="'Cost Summary'!A1" display="'Cost Summary'!A1"/>
    <hyperlink ref="HZC8" location="'Cost Summary'!A1" display="'Cost Summary'!A1"/>
    <hyperlink ref="HZD8" location="'Cost Summary'!A1" display="'Cost Summary'!A1"/>
    <hyperlink ref="HZE8" location="'Cost Summary'!A1" display="'Cost Summary'!A1"/>
    <hyperlink ref="HZF8" location="'Cost Summary'!A1" display="'Cost Summary'!A1"/>
    <hyperlink ref="HZG8" location="'Cost Summary'!A1" display="'Cost Summary'!A1"/>
    <hyperlink ref="HZH8" location="'Cost Summary'!A1" display="'Cost Summary'!A1"/>
    <hyperlink ref="HZI8" location="'Cost Summary'!A1" display="'Cost Summary'!A1"/>
    <hyperlink ref="HZJ8" location="'Cost Summary'!A1" display="'Cost Summary'!A1"/>
    <hyperlink ref="HZK8" location="'Cost Summary'!A1" display="'Cost Summary'!A1"/>
    <hyperlink ref="HZL8" location="'Cost Summary'!A1" display="'Cost Summary'!A1"/>
    <hyperlink ref="HZM8" location="'Cost Summary'!A1" display="'Cost Summary'!A1"/>
    <hyperlink ref="HZN8" location="'Cost Summary'!A1" display="'Cost Summary'!A1"/>
    <hyperlink ref="HZO8" location="'Cost Summary'!A1" display="'Cost Summary'!A1"/>
    <hyperlink ref="HZP8" location="'Cost Summary'!A1" display="'Cost Summary'!A1"/>
    <hyperlink ref="HZQ8" location="'Cost Summary'!A1" display="'Cost Summary'!A1"/>
    <hyperlink ref="HZR8" location="'Cost Summary'!A1" display="'Cost Summary'!A1"/>
    <hyperlink ref="HZS8" location="'Cost Summary'!A1" display="'Cost Summary'!A1"/>
    <hyperlink ref="HZT8" location="'Cost Summary'!A1" display="'Cost Summary'!A1"/>
    <hyperlink ref="HZU8" location="'Cost Summary'!A1" display="'Cost Summary'!A1"/>
    <hyperlink ref="HZV8" location="'Cost Summary'!A1" display="'Cost Summary'!A1"/>
    <hyperlink ref="HZW8" location="'Cost Summary'!A1" display="'Cost Summary'!A1"/>
    <hyperlink ref="HZX8" location="'Cost Summary'!A1" display="'Cost Summary'!A1"/>
    <hyperlink ref="HZY8" location="'Cost Summary'!A1" display="'Cost Summary'!A1"/>
    <hyperlink ref="HZZ8" location="'Cost Summary'!A1" display="'Cost Summary'!A1"/>
    <hyperlink ref="IAA8" location="'Cost Summary'!A1" display="'Cost Summary'!A1"/>
    <hyperlink ref="IAB8" location="'Cost Summary'!A1" display="'Cost Summary'!A1"/>
    <hyperlink ref="IAC8" location="'Cost Summary'!A1" display="'Cost Summary'!A1"/>
    <hyperlink ref="IAD8" location="'Cost Summary'!A1" display="'Cost Summary'!A1"/>
    <hyperlink ref="IAE8" location="'Cost Summary'!A1" display="'Cost Summary'!A1"/>
    <hyperlink ref="IAF8" location="'Cost Summary'!A1" display="'Cost Summary'!A1"/>
    <hyperlink ref="IAG8" location="'Cost Summary'!A1" display="'Cost Summary'!A1"/>
    <hyperlink ref="IAH8" location="'Cost Summary'!A1" display="'Cost Summary'!A1"/>
    <hyperlink ref="IAI8" location="'Cost Summary'!A1" display="'Cost Summary'!A1"/>
    <hyperlink ref="IAJ8" location="'Cost Summary'!A1" display="'Cost Summary'!A1"/>
    <hyperlink ref="IAK8" location="'Cost Summary'!A1" display="'Cost Summary'!A1"/>
    <hyperlink ref="IAL8" location="'Cost Summary'!A1" display="'Cost Summary'!A1"/>
    <hyperlink ref="IAM8" location="'Cost Summary'!A1" display="'Cost Summary'!A1"/>
    <hyperlink ref="IAN8" location="'Cost Summary'!A1" display="'Cost Summary'!A1"/>
    <hyperlink ref="IAO8" location="'Cost Summary'!A1" display="'Cost Summary'!A1"/>
    <hyperlink ref="IAP8" location="'Cost Summary'!A1" display="'Cost Summary'!A1"/>
    <hyperlink ref="IAQ8" location="'Cost Summary'!A1" display="'Cost Summary'!A1"/>
    <hyperlink ref="IAR8" location="'Cost Summary'!A1" display="'Cost Summary'!A1"/>
    <hyperlink ref="IAS8" location="'Cost Summary'!A1" display="'Cost Summary'!A1"/>
    <hyperlink ref="IAT8" location="'Cost Summary'!A1" display="'Cost Summary'!A1"/>
    <hyperlink ref="IAU8" location="'Cost Summary'!A1" display="'Cost Summary'!A1"/>
    <hyperlink ref="IAV8" location="'Cost Summary'!A1" display="'Cost Summary'!A1"/>
    <hyperlink ref="IAW8" location="'Cost Summary'!A1" display="'Cost Summary'!A1"/>
    <hyperlink ref="IAX8" location="'Cost Summary'!A1" display="'Cost Summary'!A1"/>
    <hyperlink ref="IAY8" location="'Cost Summary'!A1" display="'Cost Summary'!A1"/>
    <hyperlink ref="IAZ8" location="'Cost Summary'!A1" display="'Cost Summary'!A1"/>
    <hyperlink ref="IBA8" location="'Cost Summary'!A1" display="'Cost Summary'!A1"/>
    <hyperlink ref="IBB8" location="'Cost Summary'!A1" display="'Cost Summary'!A1"/>
    <hyperlink ref="IBC8" location="'Cost Summary'!A1" display="'Cost Summary'!A1"/>
    <hyperlink ref="IBD8" location="'Cost Summary'!A1" display="'Cost Summary'!A1"/>
    <hyperlink ref="IBE8" location="'Cost Summary'!A1" display="'Cost Summary'!A1"/>
    <hyperlink ref="IBF8" location="'Cost Summary'!A1" display="'Cost Summary'!A1"/>
    <hyperlink ref="IBG8" location="'Cost Summary'!A1" display="'Cost Summary'!A1"/>
    <hyperlink ref="IBH8" location="'Cost Summary'!A1" display="'Cost Summary'!A1"/>
    <hyperlink ref="IBI8" location="'Cost Summary'!A1" display="'Cost Summary'!A1"/>
    <hyperlink ref="IBJ8" location="'Cost Summary'!A1" display="'Cost Summary'!A1"/>
    <hyperlink ref="IBK8" location="'Cost Summary'!A1" display="'Cost Summary'!A1"/>
    <hyperlink ref="IBL8" location="'Cost Summary'!A1" display="'Cost Summary'!A1"/>
    <hyperlink ref="IBM8" location="'Cost Summary'!A1" display="'Cost Summary'!A1"/>
    <hyperlink ref="IBN8" location="'Cost Summary'!A1" display="'Cost Summary'!A1"/>
    <hyperlink ref="IBO8" location="'Cost Summary'!A1" display="'Cost Summary'!A1"/>
    <hyperlink ref="IBP8" location="'Cost Summary'!A1" display="'Cost Summary'!A1"/>
    <hyperlink ref="IBQ8" location="'Cost Summary'!A1" display="'Cost Summary'!A1"/>
    <hyperlink ref="IBR8" location="'Cost Summary'!A1" display="'Cost Summary'!A1"/>
    <hyperlink ref="IBS8" location="'Cost Summary'!A1" display="'Cost Summary'!A1"/>
    <hyperlink ref="IBT8" location="'Cost Summary'!A1" display="'Cost Summary'!A1"/>
    <hyperlink ref="IBU8" location="'Cost Summary'!A1" display="'Cost Summary'!A1"/>
    <hyperlink ref="IBV8" location="'Cost Summary'!A1" display="'Cost Summary'!A1"/>
    <hyperlink ref="IBW8" location="'Cost Summary'!A1" display="'Cost Summary'!A1"/>
    <hyperlink ref="IBX8" location="'Cost Summary'!A1" display="'Cost Summary'!A1"/>
    <hyperlink ref="IBY8" location="'Cost Summary'!A1" display="'Cost Summary'!A1"/>
    <hyperlink ref="IBZ8" location="'Cost Summary'!A1" display="'Cost Summary'!A1"/>
    <hyperlink ref="ICA8" location="'Cost Summary'!A1" display="'Cost Summary'!A1"/>
    <hyperlink ref="ICB8" location="'Cost Summary'!A1" display="'Cost Summary'!A1"/>
    <hyperlink ref="ICC8" location="'Cost Summary'!A1" display="'Cost Summary'!A1"/>
    <hyperlink ref="ICD8" location="'Cost Summary'!A1" display="'Cost Summary'!A1"/>
    <hyperlink ref="ICE8" location="'Cost Summary'!A1" display="'Cost Summary'!A1"/>
    <hyperlink ref="ICF8" location="'Cost Summary'!A1" display="'Cost Summary'!A1"/>
    <hyperlink ref="ICG8" location="'Cost Summary'!A1" display="'Cost Summary'!A1"/>
    <hyperlink ref="ICH8" location="'Cost Summary'!A1" display="'Cost Summary'!A1"/>
    <hyperlink ref="ICI8" location="'Cost Summary'!A1" display="'Cost Summary'!A1"/>
    <hyperlink ref="ICJ8" location="'Cost Summary'!A1" display="'Cost Summary'!A1"/>
    <hyperlink ref="ICK8" location="'Cost Summary'!A1" display="'Cost Summary'!A1"/>
    <hyperlink ref="ICL8" location="'Cost Summary'!A1" display="'Cost Summary'!A1"/>
    <hyperlink ref="ICM8" location="'Cost Summary'!A1" display="'Cost Summary'!A1"/>
    <hyperlink ref="ICN8" location="'Cost Summary'!A1" display="'Cost Summary'!A1"/>
    <hyperlink ref="ICO8" location="'Cost Summary'!A1" display="'Cost Summary'!A1"/>
    <hyperlink ref="ICP8" location="'Cost Summary'!A1" display="'Cost Summary'!A1"/>
    <hyperlink ref="ICQ8" location="'Cost Summary'!A1" display="'Cost Summary'!A1"/>
    <hyperlink ref="ICR8" location="'Cost Summary'!A1" display="'Cost Summary'!A1"/>
    <hyperlink ref="ICS8" location="'Cost Summary'!A1" display="'Cost Summary'!A1"/>
    <hyperlink ref="ICT8" location="'Cost Summary'!A1" display="'Cost Summary'!A1"/>
    <hyperlink ref="ICU8" location="'Cost Summary'!A1" display="'Cost Summary'!A1"/>
    <hyperlink ref="ICV8" location="'Cost Summary'!A1" display="'Cost Summary'!A1"/>
    <hyperlink ref="ICW8" location="'Cost Summary'!A1" display="'Cost Summary'!A1"/>
    <hyperlink ref="ICX8" location="'Cost Summary'!A1" display="'Cost Summary'!A1"/>
    <hyperlink ref="ICY8" location="'Cost Summary'!A1" display="'Cost Summary'!A1"/>
    <hyperlink ref="ICZ8" location="'Cost Summary'!A1" display="'Cost Summary'!A1"/>
    <hyperlink ref="IDA8" location="'Cost Summary'!A1" display="'Cost Summary'!A1"/>
    <hyperlink ref="IDB8" location="'Cost Summary'!A1" display="'Cost Summary'!A1"/>
    <hyperlink ref="IDC8" location="'Cost Summary'!A1" display="'Cost Summary'!A1"/>
    <hyperlink ref="IDD8" location="'Cost Summary'!A1" display="'Cost Summary'!A1"/>
    <hyperlink ref="IDE8" location="'Cost Summary'!A1" display="'Cost Summary'!A1"/>
    <hyperlink ref="IDF8" location="'Cost Summary'!A1" display="'Cost Summary'!A1"/>
    <hyperlink ref="IDG8" location="'Cost Summary'!A1" display="'Cost Summary'!A1"/>
    <hyperlink ref="IDH8" location="'Cost Summary'!A1" display="'Cost Summary'!A1"/>
    <hyperlink ref="IDI8" location="'Cost Summary'!A1" display="'Cost Summary'!A1"/>
    <hyperlink ref="IDJ8" location="'Cost Summary'!A1" display="'Cost Summary'!A1"/>
    <hyperlink ref="IDK8" location="'Cost Summary'!A1" display="'Cost Summary'!A1"/>
    <hyperlink ref="IDL8" location="'Cost Summary'!A1" display="'Cost Summary'!A1"/>
    <hyperlink ref="IDM8" location="'Cost Summary'!A1" display="'Cost Summary'!A1"/>
    <hyperlink ref="IDN8" location="'Cost Summary'!A1" display="'Cost Summary'!A1"/>
    <hyperlink ref="IDO8" location="'Cost Summary'!A1" display="'Cost Summary'!A1"/>
    <hyperlink ref="IDP8" location="'Cost Summary'!A1" display="'Cost Summary'!A1"/>
    <hyperlink ref="IDQ8" location="'Cost Summary'!A1" display="'Cost Summary'!A1"/>
    <hyperlink ref="IDR8" location="'Cost Summary'!A1" display="'Cost Summary'!A1"/>
    <hyperlink ref="IDS8" location="'Cost Summary'!A1" display="'Cost Summary'!A1"/>
    <hyperlink ref="IDT8" location="'Cost Summary'!A1" display="'Cost Summary'!A1"/>
    <hyperlink ref="IDU8" location="'Cost Summary'!A1" display="'Cost Summary'!A1"/>
    <hyperlink ref="IDV8" location="'Cost Summary'!A1" display="'Cost Summary'!A1"/>
    <hyperlink ref="IDW8" location="'Cost Summary'!A1" display="'Cost Summary'!A1"/>
    <hyperlink ref="IDX8" location="'Cost Summary'!A1" display="'Cost Summary'!A1"/>
    <hyperlink ref="IDY8" location="'Cost Summary'!A1" display="'Cost Summary'!A1"/>
    <hyperlink ref="IDZ8" location="'Cost Summary'!A1" display="'Cost Summary'!A1"/>
    <hyperlink ref="IEA8" location="'Cost Summary'!A1" display="'Cost Summary'!A1"/>
    <hyperlink ref="IEB8" location="'Cost Summary'!A1" display="'Cost Summary'!A1"/>
    <hyperlink ref="IEC8" location="'Cost Summary'!A1" display="'Cost Summary'!A1"/>
    <hyperlink ref="IED8" location="'Cost Summary'!A1" display="'Cost Summary'!A1"/>
    <hyperlink ref="IEE8" location="'Cost Summary'!A1" display="'Cost Summary'!A1"/>
    <hyperlink ref="IEF8" location="'Cost Summary'!A1" display="'Cost Summary'!A1"/>
    <hyperlink ref="IEG8" location="'Cost Summary'!A1" display="'Cost Summary'!A1"/>
    <hyperlink ref="IEH8" location="'Cost Summary'!A1" display="'Cost Summary'!A1"/>
    <hyperlink ref="IEI8" location="'Cost Summary'!A1" display="'Cost Summary'!A1"/>
    <hyperlink ref="IEJ8" location="'Cost Summary'!A1" display="'Cost Summary'!A1"/>
    <hyperlink ref="IEK8" location="'Cost Summary'!A1" display="'Cost Summary'!A1"/>
    <hyperlink ref="IEL8" location="'Cost Summary'!A1" display="'Cost Summary'!A1"/>
    <hyperlink ref="IEM8" location="'Cost Summary'!A1" display="'Cost Summary'!A1"/>
    <hyperlink ref="IEN8" location="'Cost Summary'!A1" display="'Cost Summary'!A1"/>
    <hyperlink ref="IEO8" location="'Cost Summary'!A1" display="'Cost Summary'!A1"/>
    <hyperlink ref="IEP8" location="'Cost Summary'!A1" display="'Cost Summary'!A1"/>
    <hyperlink ref="IEQ8" location="'Cost Summary'!A1" display="'Cost Summary'!A1"/>
    <hyperlink ref="IER8" location="'Cost Summary'!A1" display="'Cost Summary'!A1"/>
    <hyperlink ref="IES8" location="'Cost Summary'!A1" display="'Cost Summary'!A1"/>
    <hyperlink ref="IET8" location="'Cost Summary'!A1" display="'Cost Summary'!A1"/>
    <hyperlink ref="IEU8" location="'Cost Summary'!A1" display="'Cost Summary'!A1"/>
    <hyperlink ref="IEV8" location="'Cost Summary'!A1" display="'Cost Summary'!A1"/>
    <hyperlink ref="IEW8" location="'Cost Summary'!A1" display="'Cost Summary'!A1"/>
    <hyperlink ref="IEX8" location="'Cost Summary'!A1" display="'Cost Summary'!A1"/>
    <hyperlink ref="IEY8" location="'Cost Summary'!A1" display="'Cost Summary'!A1"/>
    <hyperlink ref="IEZ8" location="'Cost Summary'!A1" display="'Cost Summary'!A1"/>
    <hyperlink ref="IFA8" location="'Cost Summary'!A1" display="'Cost Summary'!A1"/>
    <hyperlink ref="IFB8" location="'Cost Summary'!A1" display="'Cost Summary'!A1"/>
    <hyperlink ref="IFC8" location="'Cost Summary'!A1" display="'Cost Summary'!A1"/>
    <hyperlink ref="IFD8" location="'Cost Summary'!A1" display="'Cost Summary'!A1"/>
    <hyperlink ref="IFE8" location="'Cost Summary'!A1" display="'Cost Summary'!A1"/>
    <hyperlink ref="IFF8" location="'Cost Summary'!A1" display="'Cost Summary'!A1"/>
    <hyperlink ref="IFG8" location="'Cost Summary'!A1" display="'Cost Summary'!A1"/>
    <hyperlink ref="IFH8" location="'Cost Summary'!A1" display="'Cost Summary'!A1"/>
    <hyperlink ref="IFI8" location="'Cost Summary'!A1" display="'Cost Summary'!A1"/>
    <hyperlink ref="IFJ8" location="'Cost Summary'!A1" display="'Cost Summary'!A1"/>
    <hyperlink ref="IFK8" location="'Cost Summary'!A1" display="'Cost Summary'!A1"/>
    <hyperlink ref="IFL8" location="'Cost Summary'!A1" display="'Cost Summary'!A1"/>
    <hyperlink ref="IFM8" location="'Cost Summary'!A1" display="'Cost Summary'!A1"/>
    <hyperlink ref="IFN8" location="'Cost Summary'!A1" display="'Cost Summary'!A1"/>
    <hyperlink ref="IFO8" location="'Cost Summary'!A1" display="'Cost Summary'!A1"/>
    <hyperlink ref="IFP8" location="'Cost Summary'!A1" display="'Cost Summary'!A1"/>
    <hyperlink ref="IFQ8" location="'Cost Summary'!A1" display="'Cost Summary'!A1"/>
    <hyperlink ref="IFR8" location="'Cost Summary'!A1" display="'Cost Summary'!A1"/>
    <hyperlink ref="IFS8" location="'Cost Summary'!A1" display="'Cost Summary'!A1"/>
    <hyperlink ref="IFT8" location="'Cost Summary'!A1" display="'Cost Summary'!A1"/>
    <hyperlink ref="IFU8" location="'Cost Summary'!A1" display="'Cost Summary'!A1"/>
    <hyperlink ref="IFV8" location="'Cost Summary'!A1" display="'Cost Summary'!A1"/>
    <hyperlink ref="IFW8" location="'Cost Summary'!A1" display="'Cost Summary'!A1"/>
    <hyperlink ref="IFX8" location="'Cost Summary'!A1" display="'Cost Summary'!A1"/>
    <hyperlink ref="IFY8" location="'Cost Summary'!A1" display="'Cost Summary'!A1"/>
    <hyperlink ref="IFZ8" location="'Cost Summary'!A1" display="'Cost Summary'!A1"/>
    <hyperlink ref="IGA8" location="'Cost Summary'!A1" display="'Cost Summary'!A1"/>
    <hyperlink ref="IGB8" location="'Cost Summary'!A1" display="'Cost Summary'!A1"/>
    <hyperlink ref="IGC8" location="'Cost Summary'!A1" display="'Cost Summary'!A1"/>
    <hyperlink ref="IGD8" location="'Cost Summary'!A1" display="'Cost Summary'!A1"/>
    <hyperlink ref="IGE8" location="'Cost Summary'!A1" display="'Cost Summary'!A1"/>
    <hyperlink ref="IGF8" location="'Cost Summary'!A1" display="'Cost Summary'!A1"/>
    <hyperlink ref="IGG8" location="'Cost Summary'!A1" display="'Cost Summary'!A1"/>
    <hyperlink ref="IGH8" location="'Cost Summary'!A1" display="'Cost Summary'!A1"/>
    <hyperlink ref="IGI8" location="'Cost Summary'!A1" display="'Cost Summary'!A1"/>
    <hyperlink ref="IGJ8" location="'Cost Summary'!A1" display="'Cost Summary'!A1"/>
    <hyperlink ref="IGK8" location="'Cost Summary'!A1" display="'Cost Summary'!A1"/>
    <hyperlink ref="IGL8" location="'Cost Summary'!A1" display="'Cost Summary'!A1"/>
    <hyperlink ref="IGM8" location="'Cost Summary'!A1" display="'Cost Summary'!A1"/>
    <hyperlink ref="IGN8" location="'Cost Summary'!A1" display="'Cost Summary'!A1"/>
    <hyperlink ref="IGO8" location="'Cost Summary'!A1" display="'Cost Summary'!A1"/>
    <hyperlink ref="IGP8" location="'Cost Summary'!A1" display="'Cost Summary'!A1"/>
    <hyperlink ref="IGQ8" location="'Cost Summary'!A1" display="'Cost Summary'!A1"/>
    <hyperlink ref="IGR8" location="'Cost Summary'!A1" display="'Cost Summary'!A1"/>
    <hyperlink ref="IGS8" location="'Cost Summary'!A1" display="'Cost Summary'!A1"/>
    <hyperlink ref="IGT8" location="'Cost Summary'!A1" display="'Cost Summary'!A1"/>
    <hyperlink ref="IGU8" location="'Cost Summary'!A1" display="'Cost Summary'!A1"/>
    <hyperlink ref="IGV8" location="'Cost Summary'!A1" display="'Cost Summary'!A1"/>
    <hyperlink ref="IGW8" location="'Cost Summary'!A1" display="'Cost Summary'!A1"/>
    <hyperlink ref="IGX8" location="'Cost Summary'!A1" display="'Cost Summary'!A1"/>
    <hyperlink ref="IGY8" location="'Cost Summary'!A1" display="'Cost Summary'!A1"/>
    <hyperlink ref="IGZ8" location="'Cost Summary'!A1" display="'Cost Summary'!A1"/>
    <hyperlink ref="IHA8" location="'Cost Summary'!A1" display="'Cost Summary'!A1"/>
    <hyperlink ref="IHB8" location="'Cost Summary'!A1" display="'Cost Summary'!A1"/>
    <hyperlink ref="IHC8" location="'Cost Summary'!A1" display="'Cost Summary'!A1"/>
    <hyperlink ref="IHD8" location="'Cost Summary'!A1" display="'Cost Summary'!A1"/>
    <hyperlink ref="IHE8" location="'Cost Summary'!A1" display="'Cost Summary'!A1"/>
    <hyperlink ref="IHF8" location="'Cost Summary'!A1" display="'Cost Summary'!A1"/>
    <hyperlink ref="IHG8" location="'Cost Summary'!A1" display="'Cost Summary'!A1"/>
    <hyperlink ref="IHH8" location="'Cost Summary'!A1" display="'Cost Summary'!A1"/>
    <hyperlink ref="IHI8" location="'Cost Summary'!A1" display="'Cost Summary'!A1"/>
    <hyperlink ref="IHJ8" location="'Cost Summary'!A1" display="'Cost Summary'!A1"/>
    <hyperlink ref="IHK8" location="'Cost Summary'!A1" display="'Cost Summary'!A1"/>
    <hyperlink ref="IHL8" location="'Cost Summary'!A1" display="'Cost Summary'!A1"/>
    <hyperlink ref="IHM8" location="'Cost Summary'!A1" display="'Cost Summary'!A1"/>
    <hyperlink ref="IHN8" location="'Cost Summary'!A1" display="'Cost Summary'!A1"/>
    <hyperlink ref="IHO8" location="'Cost Summary'!A1" display="'Cost Summary'!A1"/>
    <hyperlink ref="IHP8" location="'Cost Summary'!A1" display="'Cost Summary'!A1"/>
    <hyperlink ref="IHQ8" location="'Cost Summary'!A1" display="'Cost Summary'!A1"/>
    <hyperlink ref="IHR8" location="'Cost Summary'!A1" display="'Cost Summary'!A1"/>
    <hyperlink ref="IHS8" location="'Cost Summary'!A1" display="'Cost Summary'!A1"/>
    <hyperlink ref="IHT8" location="'Cost Summary'!A1" display="'Cost Summary'!A1"/>
    <hyperlink ref="IHU8" location="'Cost Summary'!A1" display="'Cost Summary'!A1"/>
    <hyperlink ref="IHV8" location="'Cost Summary'!A1" display="'Cost Summary'!A1"/>
    <hyperlink ref="IHW8" location="'Cost Summary'!A1" display="'Cost Summary'!A1"/>
    <hyperlink ref="IHX8" location="'Cost Summary'!A1" display="'Cost Summary'!A1"/>
    <hyperlink ref="IHY8" location="'Cost Summary'!A1" display="'Cost Summary'!A1"/>
    <hyperlink ref="IHZ8" location="'Cost Summary'!A1" display="'Cost Summary'!A1"/>
    <hyperlink ref="IIA8" location="'Cost Summary'!A1" display="'Cost Summary'!A1"/>
    <hyperlink ref="IIB8" location="'Cost Summary'!A1" display="'Cost Summary'!A1"/>
    <hyperlink ref="IIC8" location="'Cost Summary'!A1" display="'Cost Summary'!A1"/>
    <hyperlink ref="IID8" location="'Cost Summary'!A1" display="'Cost Summary'!A1"/>
    <hyperlink ref="IIE8" location="'Cost Summary'!A1" display="'Cost Summary'!A1"/>
    <hyperlink ref="IIF8" location="'Cost Summary'!A1" display="'Cost Summary'!A1"/>
    <hyperlink ref="IIG8" location="'Cost Summary'!A1" display="'Cost Summary'!A1"/>
    <hyperlink ref="IIH8" location="'Cost Summary'!A1" display="'Cost Summary'!A1"/>
    <hyperlink ref="III8" location="'Cost Summary'!A1" display="'Cost Summary'!A1"/>
    <hyperlink ref="IIJ8" location="'Cost Summary'!A1" display="'Cost Summary'!A1"/>
    <hyperlink ref="IIK8" location="'Cost Summary'!A1" display="'Cost Summary'!A1"/>
    <hyperlink ref="IIL8" location="'Cost Summary'!A1" display="'Cost Summary'!A1"/>
    <hyperlink ref="IIM8" location="'Cost Summary'!A1" display="'Cost Summary'!A1"/>
    <hyperlink ref="IIN8" location="'Cost Summary'!A1" display="'Cost Summary'!A1"/>
    <hyperlink ref="IIO8" location="'Cost Summary'!A1" display="'Cost Summary'!A1"/>
    <hyperlink ref="IIP8" location="'Cost Summary'!A1" display="'Cost Summary'!A1"/>
    <hyperlink ref="IIQ8" location="'Cost Summary'!A1" display="'Cost Summary'!A1"/>
    <hyperlink ref="IIR8" location="'Cost Summary'!A1" display="'Cost Summary'!A1"/>
    <hyperlink ref="IIS8" location="'Cost Summary'!A1" display="'Cost Summary'!A1"/>
    <hyperlink ref="IIT8" location="'Cost Summary'!A1" display="'Cost Summary'!A1"/>
    <hyperlink ref="IIU8" location="'Cost Summary'!A1" display="'Cost Summary'!A1"/>
    <hyperlink ref="IIV8" location="'Cost Summary'!A1" display="'Cost Summary'!A1"/>
    <hyperlink ref="IIW8" location="'Cost Summary'!A1" display="'Cost Summary'!A1"/>
    <hyperlink ref="IIX8" location="'Cost Summary'!A1" display="'Cost Summary'!A1"/>
    <hyperlink ref="IIY8" location="'Cost Summary'!A1" display="'Cost Summary'!A1"/>
    <hyperlink ref="IIZ8" location="'Cost Summary'!A1" display="'Cost Summary'!A1"/>
    <hyperlink ref="IJA8" location="'Cost Summary'!A1" display="'Cost Summary'!A1"/>
    <hyperlink ref="IJB8" location="'Cost Summary'!A1" display="'Cost Summary'!A1"/>
    <hyperlink ref="IJC8" location="'Cost Summary'!A1" display="'Cost Summary'!A1"/>
    <hyperlink ref="IJD8" location="'Cost Summary'!A1" display="'Cost Summary'!A1"/>
    <hyperlink ref="IJE8" location="'Cost Summary'!A1" display="'Cost Summary'!A1"/>
    <hyperlink ref="IJF8" location="'Cost Summary'!A1" display="'Cost Summary'!A1"/>
    <hyperlink ref="IJG8" location="'Cost Summary'!A1" display="'Cost Summary'!A1"/>
    <hyperlink ref="IJH8" location="'Cost Summary'!A1" display="'Cost Summary'!A1"/>
    <hyperlink ref="IJI8" location="'Cost Summary'!A1" display="'Cost Summary'!A1"/>
    <hyperlink ref="IJJ8" location="'Cost Summary'!A1" display="'Cost Summary'!A1"/>
    <hyperlink ref="IJK8" location="'Cost Summary'!A1" display="'Cost Summary'!A1"/>
    <hyperlink ref="IJL8" location="'Cost Summary'!A1" display="'Cost Summary'!A1"/>
    <hyperlink ref="IJM8" location="'Cost Summary'!A1" display="'Cost Summary'!A1"/>
    <hyperlink ref="IJN8" location="'Cost Summary'!A1" display="'Cost Summary'!A1"/>
    <hyperlink ref="IJO8" location="'Cost Summary'!A1" display="'Cost Summary'!A1"/>
    <hyperlink ref="IJP8" location="'Cost Summary'!A1" display="'Cost Summary'!A1"/>
    <hyperlink ref="IJQ8" location="'Cost Summary'!A1" display="'Cost Summary'!A1"/>
    <hyperlink ref="IJR8" location="'Cost Summary'!A1" display="'Cost Summary'!A1"/>
    <hyperlink ref="IJS8" location="'Cost Summary'!A1" display="'Cost Summary'!A1"/>
    <hyperlink ref="IJT8" location="'Cost Summary'!A1" display="'Cost Summary'!A1"/>
    <hyperlink ref="IJU8" location="'Cost Summary'!A1" display="'Cost Summary'!A1"/>
    <hyperlink ref="IJV8" location="'Cost Summary'!A1" display="'Cost Summary'!A1"/>
    <hyperlink ref="IJW8" location="'Cost Summary'!A1" display="'Cost Summary'!A1"/>
    <hyperlink ref="IJX8" location="'Cost Summary'!A1" display="'Cost Summary'!A1"/>
    <hyperlink ref="IJY8" location="'Cost Summary'!A1" display="'Cost Summary'!A1"/>
    <hyperlink ref="IJZ8" location="'Cost Summary'!A1" display="'Cost Summary'!A1"/>
    <hyperlink ref="IKA8" location="'Cost Summary'!A1" display="'Cost Summary'!A1"/>
    <hyperlink ref="IKB8" location="'Cost Summary'!A1" display="'Cost Summary'!A1"/>
    <hyperlink ref="IKC8" location="'Cost Summary'!A1" display="'Cost Summary'!A1"/>
    <hyperlink ref="IKD8" location="'Cost Summary'!A1" display="'Cost Summary'!A1"/>
    <hyperlink ref="IKE8" location="'Cost Summary'!A1" display="'Cost Summary'!A1"/>
    <hyperlink ref="IKF8" location="'Cost Summary'!A1" display="'Cost Summary'!A1"/>
    <hyperlink ref="IKG8" location="'Cost Summary'!A1" display="'Cost Summary'!A1"/>
    <hyperlink ref="IKH8" location="'Cost Summary'!A1" display="'Cost Summary'!A1"/>
    <hyperlink ref="IKI8" location="'Cost Summary'!A1" display="'Cost Summary'!A1"/>
    <hyperlink ref="IKJ8" location="'Cost Summary'!A1" display="'Cost Summary'!A1"/>
    <hyperlink ref="IKK8" location="'Cost Summary'!A1" display="'Cost Summary'!A1"/>
    <hyperlink ref="IKL8" location="'Cost Summary'!A1" display="'Cost Summary'!A1"/>
    <hyperlink ref="IKM8" location="'Cost Summary'!A1" display="'Cost Summary'!A1"/>
    <hyperlink ref="IKN8" location="'Cost Summary'!A1" display="'Cost Summary'!A1"/>
    <hyperlink ref="IKO8" location="'Cost Summary'!A1" display="'Cost Summary'!A1"/>
    <hyperlink ref="IKP8" location="'Cost Summary'!A1" display="'Cost Summary'!A1"/>
    <hyperlink ref="IKQ8" location="'Cost Summary'!A1" display="'Cost Summary'!A1"/>
    <hyperlink ref="IKR8" location="'Cost Summary'!A1" display="'Cost Summary'!A1"/>
    <hyperlink ref="IKS8" location="'Cost Summary'!A1" display="'Cost Summary'!A1"/>
    <hyperlink ref="IKT8" location="'Cost Summary'!A1" display="'Cost Summary'!A1"/>
    <hyperlink ref="IKU8" location="'Cost Summary'!A1" display="'Cost Summary'!A1"/>
    <hyperlink ref="IKV8" location="'Cost Summary'!A1" display="'Cost Summary'!A1"/>
    <hyperlink ref="IKW8" location="'Cost Summary'!A1" display="'Cost Summary'!A1"/>
    <hyperlink ref="IKX8" location="'Cost Summary'!A1" display="'Cost Summary'!A1"/>
    <hyperlink ref="IKY8" location="'Cost Summary'!A1" display="'Cost Summary'!A1"/>
    <hyperlink ref="IKZ8" location="'Cost Summary'!A1" display="'Cost Summary'!A1"/>
    <hyperlink ref="ILA8" location="'Cost Summary'!A1" display="'Cost Summary'!A1"/>
    <hyperlink ref="ILB8" location="'Cost Summary'!A1" display="'Cost Summary'!A1"/>
    <hyperlink ref="ILC8" location="'Cost Summary'!A1" display="'Cost Summary'!A1"/>
    <hyperlink ref="ILD8" location="'Cost Summary'!A1" display="'Cost Summary'!A1"/>
    <hyperlink ref="ILE8" location="'Cost Summary'!A1" display="'Cost Summary'!A1"/>
    <hyperlink ref="ILF8" location="'Cost Summary'!A1" display="'Cost Summary'!A1"/>
    <hyperlink ref="ILG8" location="'Cost Summary'!A1" display="'Cost Summary'!A1"/>
    <hyperlink ref="ILH8" location="'Cost Summary'!A1" display="'Cost Summary'!A1"/>
    <hyperlink ref="ILI8" location="'Cost Summary'!A1" display="'Cost Summary'!A1"/>
    <hyperlink ref="ILJ8" location="'Cost Summary'!A1" display="'Cost Summary'!A1"/>
    <hyperlink ref="ILK8" location="'Cost Summary'!A1" display="'Cost Summary'!A1"/>
    <hyperlink ref="ILL8" location="'Cost Summary'!A1" display="'Cost Summary'!A1"/>
    <hyperlink ref="ILM8" location="'Cost Summary'!A1" display="'Cost Summary'!A1"/>
    <hyperlink ref="ILN8" location="'Cost Summary'!A1" display="'Cost Summary'!A1"/>
    <hyperlink ref="ILO8" location="'Cost Summary'!A1" display="'Cost Summary'!A1"/>
    <hyperlink ref="ILP8" location="'Cost Summary'!A1" display="'Cost Summary'!A1"/>
    <hyperlink ref="ILQ8" location="'Cost Summary'!A1" display="'Cost Summary'!A1"/>
    <hyperlink ref="ILR8" location="'Cost Summary'!A1" display="'Cost Summary'!A1"/>
    <hyperlink ref="ILS8" location="'Cost Summary'!A1" display="'Cost Summary'!A1"/>
    <hyperlink ref="ILT8" location="'Cost Summary'!A1" display="'Cost Summary'!A1"/>
    <hyperlink ref="ILU8" location="'Cost Summary'!A1" display="'Cost Summary'!A1"/>
    <hyperlink ref="ILV8" location="'Cost Summary'!A1" display="'Cost Summary'!A1"/>
    <hyperlink ref="ILW8" location="'Cost Summary'!A1" display="'Cost Summary'!A1"/>
    <hyperlink ref="ILX8" location="'Cost Summary'!A1" display="'Cost Summary'!A1"/>
    <hyperlink ref="ILY8" location="'Cost Summary'!A1" display="'Cost Summary'!A1"/>
    <hyperlink ref="ILZ8" location="'Cost Summary'!A1" display="'Cost Summary'!A1"/>
    <hyperlink ref="IMA8" location="'Cost Summary'!A1" display="'Cost Summary'!A1"/>
    <hyperlink ref="IMB8" location="'Cost Summary'!A1" display="'Cost Summary'!A1"/>
    <hyperlink ref="IMC8" location="'Cost Summary'!A1" display="'Cost Summary'!A1"/>
    <hyperlink ref="IMD8" location="'Cost Summary'!A1" display="'Cost Summary'!A1"/>
    <hyperlink ref="IME8" location="'Cost Summary'!A1" display="'Cost Summary'!A1"/>
    <hyperlink ref="IMF8" location="'Cost Summary'!A1" display="'Cost Summary'!A1"/>
    <hyperlink ref="IMG8" location="'Cost Summary'!A1" display="'Cost Summary'!A1"/>
    <hyperlink ref="IMH8" location="'Cost Summary'!A1" display="'Cost Summary'!A1"/>
    <hyperlink ref="IMI8" location="'Cost Summary'!A1" display="'Cost Summary'!A1"/>
    <hyperlink ref="IMJ8" location="'Cost Summary'!A1" display="'Cost Summary'!A1"/>
    <hyperlink ref="IMK8" location="'Cost Summary'!A1" display="'Cost Summary'!A1"/>
    <hyperlink ref="IML8" location="'Cost Summary'!A1" display="'Cost Summary'!A1"/>
    <hyperlink ref="IMM8" location="'Cost Summary'!A1" display="'Cost Summary'!A1"/>
    <hyperlink ref="IMN8" location="'Cost Summary'!A1" display="'Cost Summary'!A1"/>
    <hyperlink ref="IMO8" location="'Cost Summary'!A1" display="'Cost Summary'!A1"/>
    <hyperlink ref="IMP8" location="'Cost Summary'!A1" display="'Cost Summary'!A1"/>
    <hyperlink ref="IMQ8" location="'Cost Summary'!A1" display="'Cost Summary'!A1"/>
    <hyperlink ref="IMR8" location="'Cost Summary'!A1" display="'Cost Summary'!A1"/>
    <hyperlink ref="IMS8" location="'Cost Summary'!A1" display="'Cost Summary'!A1"/>
    <hyperlink ref="IMT8" location="'Cost Summary'!A1" display="'Cost Summary'!A1"/>
    <hyperlink ref="IMU8" location="'Cost Summary'!A1" display="'Cost Summary'!A1"/>
    <hyperlink ref="IMV8" location="'Cost Summary'!A1" display="'Cost Summary'!A1"/>
    <hyperlink ref="IMW8" location="'Cost Summary'!A1" display="'Cost Summary'!A1"/>
    <hyperlink ref="IMX8" location="'Cost Summary'!A1" display="'Cost Summary'!A1"/>
    <hyperlink ref="IMY8" location="'Cost Summary'!A1" display="'Cost Summary'!A1"/>
    <hyperlink ref="IMZ8" location="'Cost Summary'!A1" display="'Cost Summary'!A1"/>
    <hyperlink ref="INA8" location="'Cost Summary'!A1" display="'Cost Summary'!A1"/>
    <hyperlink ref="INB8" location="'Cost Summary'!A1" display="'Cost Summary'!A1"/>
    <hyperlink ref="INC8" location="'Cost Summary'!A1" display="'Cost Summary'!A1"/>
    <hyperlink ref="IND8" location="'Cost Summary'!A1" display="'Cost Summary'!A1"/>
    <hyperlink ref="INE8" location="'Cost Summary'!A1" display="'Cost Summary'!A1"/>
    <hyperlink ref="INF8" location="'Cost Summary'!A1" display="'Cost Summary'!A1"/>
    <hyperlink ref="ING8" location="'Cost Summary'!A1" display="'Cost Summary'!A1"/>
    <hyperlink ref="INH8" location="'Cost Summary'!A1" display="'Cost Summary'!A1"/>
    <hyperlink ref="INI8" location="'Cost Summary'!A1" display="'Cost Summary'!A1"/>
    <hyperlink ref="INJ8" location="'Cost Summary'!A1" display="'Cost Summary'!A1"/>
    <hyperlink ref="INK8" location="'Cost Summary'!A1" display="'Cost Summary'!A1"/>
    <hyperlink ref="INL8" location="'Cost Summary'!A1" display="'Cost Summary'!A1"/>
    <hyperlink ref="INM8" location="'Cost Summary'!A1" display="'Cost Summary'!A1"/>
    <hyperlink ref="INN8" location="'Cost Summary'!A1" display="'Cost Summary'!A1"/>
    <hyperlink ref="INO8" location="'Cost Summary'!A1" display="'Cost Summary'!A1"/>
    <hyperlink ref="INP8" location="'Cost Summary'!A1" display="'Cost Summary'!A1"/>
    <hyperlink ref="INQ8" location="'Cost Summary'!A1" display="'Cost Summary'!A1"/>
    <hyperlink ref="INR8" location="'Cost Summary'!A1" display="'Cost Summary'!A1"/>
    <hyperlink ref="INS8" location="'Cost Summary'!A1" display="'Cost Summary'!A1"/>
    <hyperlink ref="INT8" location="'Cost Summary'!A1" display="'Cost Summary'!A1"/>
    <hyperlink ref="INU8" location="'Cost Summary'!A1" display="'Cost Summary'!A1"/>
    <hyperlink ref="INV8" location="'Cost Summary'!A1" display="'Cost Summary'!A1"/>
    <hyperlink ref="INW8" location="'Cost Summary'!A1" display="'Cost Summary'!A1"/>
    <hyperlink ref="INX8" location="'Cost Summary'!A1" display="'Cost Summary'!A1"/>
    <hyperlink ref="INY8" location="'Cost Summary'!A1" display="'Cost Summary'!A1"/>
    <hyperlink ref="INZ8" location="'Cost Summary'!A1" display="'Cost Summary'!A1"/>
    <hyperlink ref="IOA8" location="'Cost Summary'!A1" display="'Cost Summary'!A1"/>
    <hyperlink ref="IOB8" location="'Cost Summary'!A1" display="'Cost Summary'!A1"/>
    <hyperlink ref="IOC8" location="'Cost Summary'!A1" display="'Cost Summary'!A1"/>
    <hyperlink ref="IOD8" location="'Cost Summary'!A1" display="'Cost Summary'!A1"/>
    <hyperlink ref="IOE8" location="'Cost Summary'!A1" display="'Cost Summary'!A1"/>
    <hyperlink ref="IOF8" location="'Cost Summary'!A1" display="'Cost Summary'!A1"/>
    <hyperlink ref="IOG8" location="'Cost Summary'!A1" display="'Cost Summary'!A1"/>
    <hyperlink ref="IOH8" location="'Cost Summary'!A1" display="'Cost Summary'!A1"/>
    <hyperlink ref="IOI8" location="'Cost Summary'!A1" display="'Cost Summary'!A1"/>
    <hyperlink ref="IOJ8" location="'Cost Summary'!A1" display="'Cost Summary'!A1"/>
    <hyperlink ref="IOK8" location="'Cost Summary'!A1" display="'Cost Summary'!A1"/>
    <hyperlink ref="IOL8" location="'Cost Summary'!A1" display="'Cost Summary'!A1"/>
    <hyperlink ref="IOM8" location="'Cost Summary'!A1" display="'Cost Summary'!A1"/>
    <hyperlink ref="ION8" location="'Cost Summary'!A1" display="'Cost Summary'!A1"/>
    <hyperlink ref="IOO8" location="'Cost Summary'!A1" display="'Cost Summary'!A1"/>
    <hyperlink ref="IOP8" location="'Cost Summary'!A1" display="'Cost Summary'!A1"/>
    <hyperlink ref="IOQ8" location="'Cost Summary'!A1" display="'Cost Summary'!A1"/>
    <hyperlink ref="IOR8" location="'Cost Summary'!A1" display="'Cost Summary'!A1"/>
    <hyperlink ref="IOS8" location="'Cost Summary'!A1" display="'Cost Summary'!A1"/>
    <hyperlink ref="IOT8" location="'Cost Summary'!A1" display="'Cost Summary'!A1"/>
    <hyperlink ref="IOU8" location="'Cost Summary'!A1" display="'Cost Summary'!A1"/>
    <hyperlink ref="IOV8" location="'Cost Summary'!A1" display="'Cost Summary'!A1"/>
    <hyperlink ref="IOW8" location="'Cost Summary'!A1" display="'Cost Summary'!A1"/>
    <hyperlink ref="IOX8" location="'Cost Summary'!A1" display="'Cost Summary'!A1"/>
    <hyperlink ref="IOY8" location="'Cost Summary'!A1" display="'Cost Summary'!A1"/>
    <hyperlink ref="IOZ8" location="'Cost Summary'!A1" display="'Cost Summary'!A1"/>
    <hyperlink ref="IPA8" location="'Cost Summary'!A1" display="'Cost Summary'!A1"/>
    <hyperlink ref="IPB8" location="'Cost Summary'!A1" display="'Cost Summary'!A1"/>
    <hyperlink ref="IPC8" location="'Cost Summary'!A1" display="'Cost Summary'!A1"/>
    <hyperlink ref="IPD8" location="'Cost Summary'!A1" display="'Cost Summary'!A1"/>
    <hyperlink ref="IPE8" location="'Cost Summary'!A1" display="'Cost Summary'!A1"/>
    <hyperlink ref="IPF8" location="'Cost Summary'!A1" display="'Cost Summary'!A1"/>
    <hyperlink ref="IPG8" location="'Cost Summary'!A1" display="'Cost Summary'!A1"/>
    <hyperlink ref="IPH8" location="'Cost Summary'!A1" display="'Cost Summary'!A1"/>
    <hyperlink ref="IPI8" location="'Cost Summary'!A1" display="'Cost Summary'!A1"/>
    <hyperlink ref="IPJ8" location="'Cost Summary'!A1" display="'Cost Summary'!A1"/>
    <hyperlink ref="IPK8" location="'Cost Summary'!A1" display="'Cost Summary'!A1"/>
    <hyperlink ref="IPL8" location="'Cost Summary'!A1" display="'Cost Summary'!A1"/>
    <hyperlink ref="IPM8" location="'Cost Summary'!A1" display="'Cost Summary'!A1"/>
    <hyperlink ref="IPN8" location="'Cost Summary'!A1" display="'Cost Summary'!A1"/>
    <hyperlink ref="IPO8" location="'Cost Summary'!A1" display="'Cost Summary'!A1"/>
    <hyperlink ref="IPP8" location="'Cost Summary'!A1" display="'Cost Summary'!A1"/>
    <hyperlink ref="IPQ8" location="'Cost Summary'!A1" display="'Cost Summary'!A1"/>
    <hyperlink ref="IPR8" location="'Cost Summary'!A1" display="'Cost Summary'!A1"/>
    <hyperlink ref="IPS8" location="'Cost Summary'!A1" display="'Cost Summary'!A1"/>
    <hyperlink ref="IPT8" location="'Cost Summary'!A1" display="'Cost Summary'!A1"/>
    <hyperlink ref="IPU8" location="'Cost Summary'!A1" display="'Cost Summary'!A1"/>
    <hyperlink ref="IPV8" location="'Cost Summary'!A1" display="'Cost Summary'!A1"/>
    <hyperlink ref="IPW8" location="'Cost Summary'!A1" display="'Cost Summary'!A1"/>
    <hyperlink ref="IPX8" location="'Cost Summary'!A1" display="'Cost Summary'!A1"/>
    <hyperlink ref="IPY8" location="'Cost Summary'!A1" display="'Cost Summary'!A1"/>
    <hyperlink ref="IPZ8" location="'Cost Summary'!A1" display="'Cost Summary'!A1"/>
    <hyperlink ref="IQA8" location="'Cost Summary'!A1" display="'Cost Summary'!A1"/>
    <hyperlink ref="IQB8" location="'Cost Summary'!A1" display="'Cost Summary'!A1"/>
    <hyperlink ref="IQC8" location="'Cost Summary'!A1" display="'Cost Summary'!A1"/>
    <hyperlink ref="IQD8" location="'Cost Summary'!A1" display="'Cost Summary'!A1"/>
    <hyperlink ref="IQE8" location="'Cost Summary'!A1" display="'Cost Summary'!A1"/>
    <hyperlink ref="IQF8" location="'Cost Summary'!A1" display="'Cost Summary'!A1"/>
    <hyperlink ref="IQG8" location="'Cost Summary'!A1" display="'Cost Summary'!A1"/>
    <hyperlink ref="IQH8" location="'Cost Summary'!A1" display="'Cost Summary'!A1"/>
    <hyperlink ref="IQI8" location="'Cost Summary'!A1" display="'Cost Summary'!A1"/>
    <hyperlink ref="IQJ8" location="'Cost Summary'!A1" display="'Cost Summary'!A1"/>
    <hyperlink ref="IQK8" location="'Cost Summary'!A1" display="'Cost Summary'!A1"/>
    <hyperlink ref="IQL8" location="'Cost Summary'!A1" display="'Cost Summary'!A1"/>
    <hyperlink ref="IQM8" location="'Cost Summary'!A1" display="'Cost Summary'!A1"/>
    <hyperlink ref="IQN8" location="'Cost Summary'!A1" display="'Cost Summary'!A1"/>
    <hyperlink ref="IQO8" location="'Cost Summary'!A1" display="'Cost Summary'!A1"/>
    <hyperlink ref="IQP8" location="'Cost Summary'!A1" display="'Cost Summary'!A1"/>
    <hyperlink ref="IQQ8" location="'Cost Summary'!A1" display="'Cost Summary'!A1"/>
    <hyperlink ref="IQR8" location="'Cost Summary'!A1" display="'Cost Summary'!A1"/>
    <hyperlink ref="IQS8" location="'Cost Summary'!A1" display="'Cost Summary'!A1"/>
    <hyperlink ref="IQT8" location="'Cost Summary'!A1" display="'Cost Summary'!A1"/>
    <hyperlink ref="IQU8" location="'Cost Summary'!A1" display="'Cost Summary'!A1"/>
    <hyperlink ref="IQV8" location="'Cost Summary'!A1" display="'Cost Summary'!A1"/>
    <hyperlink ref="IQW8" location="'Cost Summary'!A1" display="'Cost Summary'!A1"/>
    <hyperlink ref="IQX8" location="'Cost Summary'!A1" display="'Cost Summary'!A1"/>
    <hyperlink ref="IQY8" location="'Cost Summary'!A1" display="'Cost Summary'!A1"/>
    <hyperlink ref="IQZ8" location="'Cost Summary'!A1" display="'Cost Summary'!A1"/>
    <hyperlink ref="IRA8" location="'Cost Summary'!A1" display="'Cost Summary'!A1"/>
    <hyperlink ref="IRB8" location="'Cost Summary'!A1" display="'Cost Summary'!A1"/>
    <hyperlink ref="IRC8" location="'Cost Summary'!A1" display="'Cost Summary'!A1"/>
    <hyperlink ref="IRD8" location="'Cost Summary'!A1" display="'Cost Summary'!A1"/>
    <hyperlink ref="IRE8" location="'Cost Summary'!A1" display="'Cost Summary'!A1"/>
    <hyperlink ref="IRF8" location="'Cost Summary'!A1" display="'Cost Summary'!A1"/>
    <hyperlink ref="IRG8" location="'Cost Summary'!A1" display="'Cost Summary'!A1"/>
    <hyperlink ref="IRH8" location="'Cost Summary'!A1" display="'Cost Summary'!A1"/>
    <hyperlink ref="IRI8" location="'Cost Summary'!A1" display="'Cost Summary'!A1"/>
    <hyperlink ref="IRJ8" location="'Cost Summary'!A1" display="'Cost Summary'!A1"/>
    <hyperlink ref="IRK8" location="'Cost Summary'!A1" display="'Cost Summary'!A1"/>
    <hyperlink ref="IRL8" location="'Cost Summary'!A1" display="'Cost Summary'!A1"/>
    <hyperlink ref="IRM8" location="'Cost Summary'!A1" display="'Cost Summary'!A1"/>
    <hyperlink ref="IRN8" location="'Cost Summary'!A1" display="'Cost Summary'!A1"/>
    <hyperlink ref="IRO8" location="'Cost Summary'!A1" display="'Cost Summary'!A1"/>
    <hyperlink ref="IRP8" location="'Cost Summary'!A1" display="'Cost Summary'!A1"/>
    <hyperlink ref="IRQ8" location="'Cost Summary'!A1" display="'Cost Summary'!A1"/>
    <hyperlink ref="IRR8" location="'Cost Summary'!A1" display="'Cost Summary'!A1"/>
    <hyperlink ref="IRS8" location="'Cost Summary'!A1" display="'Cost Summary'!A1"/>
    <hyperlink ref="IRT8" location="'Cost Summary'!A1" display="'Cost Summary'!A1"/>
    <hyperlink ref="IRU8" location="'Cost Summary'!A1" display="'Cost Summary'!A1"/>
    <hyperlink ref="IRV8" location="'Cost Summary'!A1" display="'Cost Summary'!A1"/>
    <hyperlink ref="IRW8" location="'Cost Summary'!A1" display="'Cost Summary'!A1"/>
    <hyperlink ref="IRX8" location="'Cost Summary'!A1" display="'Cost Summary'!A1"/>
    <hyperlink ref="IRY8" location="'Cost Summary'!A1" display="'Cost Summary'!A1"/>
    <hyperlink ref="IRZ8" location="'Cost Summary'!A1" display="'Cost Summary'!A1"/>
    <hyperlink ref="ISA8" location="'Cost Summary'!A1" display="'Cost Summary'!A1"/>
    <hyperlink ref="ISB8" location="'Cost Summary'!A1" display="'Cost Summary'!A1"/>
    <hyperlink ref="ISC8" location="'Cost Summary'!A1" display="'Cost Summary'!A1"/>
    <hyperlink ref="ISD8" location="'Cost Summary'!A1" display="'Cost Summary'!A1"/>
    <hyperlink ref="ISE8" location="'Cost Summary'!A1" display="'Cost Summary'!A1"/>
    <hyperlink ref="ISF8" location="'Cost Summary'!A1" display="'Cost Summary'!A1"/>
    <hyperlink ref="ISG8" location="'Cost Summary'!A1" display="'Cost Summary'!A1"/>
    <hyperlink ref="ISH8" location="'Cost Summary'!A1" display="'Cost Summary'!A1"/>
    <hyperlink ref="ISI8" location="'Cost Summary'!A1" display="'Cost Summary'!A1"/>
    <hyperlink ref="ISJ8" location="'Cost Summary'!A1" display="'Cost Summary'!A1"/>
    <hyperlink ref="ISK8" location="'Cost Summary'!A1" display="'Cost Summary'!A1"/>
    <hyperlink ref="ISL8" location="'Cost Summary'!A1" display="'Cost Summary'!A1"/>
    <hyperlink ref="ISM8" location="'Cost Summary'!A1" display="'Cost Summary'!A1"/>
    <hyperlink ref="ISN8" location="'Cost Summary'!A1" display="'Cost Summary'!A1"/>
    <hyperlink ref="ISO8" location="'Cost Summary'!A1" display="'Cost Summary'!A1"/>
    <hyperlink ref="ISP8" location="'Cost Summary'!A1" display="'Cost Summary'!A1"/>
    <hyperlink ref="ISQ8" location="'Cost Summary'!A1" display="'Cost Summary'!A1"/>
    <hyperlink ref="ISR8" location="'Cost Summary'!A1" display="'Cost Summary'!A1"/>
    <hyperlink ref="ISS8" location="'Cost Summary'!A1" display="'Cost Summary'!A1"/>
    <hyperlink ref="IST8" location="'Cost Summary'!A1" display="'Cost Summary'!A1"/>
    <hyperlink ref="ISU8" location="'Cost Summary'!A1" display="'Cost Summary'!A1"/>
    <hyperlink ref="ISV8" location="'Cost Summary'!A1" display="'Cost Summary'!A1"/>
    <hyperlink ref="ISW8" location="'Cost Summary'!A1" display="'Cost Summary'!A1"/>
    <hyperlink ref="ISX8" location="'Cost Summary'!A1" display="'Cost Summary'!A1"/>
    <hyperlink ref="ISY8" location="'Cost Summary'!A1" display="'Cost Summary'!A1"/>
    <hyperlink ref="ISZ8" location="'Cost Summary'!A1" display="'Cost Summary'!A1"/>
    <hyperlink ref="ITA8" location="'Cost Summary'!A1" display="'Cost Summary'!A1"/>
    <hyperlink ref="ITB8" location="'Cost Summary'!A1" display="'Cost Summary'!A1"/>
    <hyperlink ref="ITC8" location="'Cost Summary'!A1" display="'Cost Summary'!A1"/>
    <hyperlink ref="ITD8" location="'Cost Summary'!A1" display="'Cost Summary'!A1"/>
    <hyperlink ref="ITE8" location="'Cost Summary'!A1" display="'Cost Summary'!A1"/>
    <hyperlink ref="ITF8" location="'Cost Summary'!A1" display="'Cost Summary'!A1"/>
    <hyperlink ref="ITG8" location="'Cost Summary'!A1" display="'Cost Summary'!A1"/>
    <hyperlink ref="ITH8" location="'Cost Summary'!A1" display="'Cost Summary'!A1"/>
    <hyperlink ref="ITI8" location="'Cost Summary'!A1" display="'Cost Summary'!A1"/>
    <hyperlink ref="ITJ8" location="'Cost Summary'!A1" display="'Cost Summary'!A1"/>
    <hyperlink ref="ITK8" location="'Cost Summary'!A1" display="'Cost Summary'!A1"/>
    <hyperlink ref="ITL8" location="'Cost Summary'!A1" display="'Cost Summary'!A1"/>
    <hyperlink ref="ITM8" location="'Cost Summary'!A1" display="'Cost Summary'!A1"/>
    <hyperlink ref="ITN8" location="'Cost Summary'!A1" display="'Cost Summary'!A1"/>
    <hyperlink ref="ITO8" location="'Cost Summary'!A1" display="'Cost Summary'!A1"/>
    <hyperlink ref="ITP8" location="'Cost Summary'!A1" display="'Cost Summary'!A1"/>
    <hyperlink ref="ITQ8" location="'Cost Summary'!A1" display="'Cost Summary'!A1"/>
    <hyperlink ref="ITR8" location="'Cost Summary'!A1" display="'Cost Summary'!A1"/>
    <hyperlink ref="ITS8" location="'Cost Summary'!A1" display="'Cost Summary'!A1"/>
    <hyperlink ref="ITT8" location="'Cost Summary'!A1" display="'Cost Summary'!A1"/>
    <hyperlink ref="ITU8" location="'Cost Summary'!A1" display="'Cost Summary'!A1"/>
    <hyperlink ref="ITV8" location="'Cost Summary'!A1" display="'Cost Summary'!A1"/>
    <hyperlink ref="ITW8" location="'Cost Summary'!A1" display="'Cost Summary'!A1"/>
    <hyperlink ref="ITX8" location="'Cost Summary'!A1" display="'Cost Summary'!A1"/>
    <hyperlink ref="ITY8" location="'Cost Summary'!A1" display="'Cost Summary'!A1"/>
    <hyperlink ref="ITZ8" location="'Cost Summary'!A1" display="'Cost Summary'!A1"/>
    <hyperlink ref="IUA8" location="'Cost Summary'!A1" display="'Cost Summary'!A1"/>
    <hyperlink ref="IUB8" location="'Cost Summary'!A1" display="'Cost Summary'!A1"/>
    <hyperlink ref="IUC8" location="'Cost Summary'!A1" display="'Cost Summary'!A1"/>
    <hyperlink ref="IUD8" location="'Cost Summary'!A1" display="'Cost Summary'!A1"/>
    <hyperlink ref="IUE8" location="'Cost Summary'!A1" display="'Cost Summary'!A1"/>
    <hyperlink ref="IUF8" location="'Cost Summary'!A1" display="'Cost Summary'!A1"/>
    <hyperlink ref="IUG8" location="'Cost Summary'!A1" display="'Cost Summary'!A1"/>
    <hyperlink ref="IUH8" location="'Cost Summary'!A1" display="'Cost Summary'!A1"/>
    <hyperlink ref="IUI8" location="'Cost Summary'!A1" display="'Cost Summary'!A1"/>
    <hyperlink ref="IUJ8" location="'Cost Summary'!A1" display="'Cost Summary'!A1"/>
    <hyperlink ref="IUK8" location="'Cost Summary'!A1" display="'Cost Summary'!A1"/>
    <hyperlink ref="IUL8" location="'Cost Summary'!A1" display="'Cost Summary'!A1"/>
    <hyperlink ref="IUM8" location="'Cost Summary'!A1" display="'Cost Summary'!A1"/>
    <hyperlink ref="IUN8" location="'Cost Summary'!A1" display="'Cost Summary'!A1"/>
    <hyperlink ref="IUO8" location="'Cost Summary'!A1" display="'Cost Summary'!A1"/>
    <hyperlink ref="IUP8" location="'Cost Summary'!A1" display="'Cost Summary'!A1"/>
    <hyperlink ref="IUQ8" location="'Cost Summary'!A1" display="'Cost Summary'!A1"/>
    <hyperlink ref="IUR8" location="'Cost Summary'!A1" display="'Cost Summary'!A1"/>
    <hyperlink ref="IUS8" location="'Cost Summary'!A1" display="'Cost Summary'!A1"/>
    <hyperlink ref="IUT8" location="'Cost Summary'!A1" display="'Cost Summary'!A1"/>
    <hyperlink ref="IUU8" location="'Cost Summary'!A1" display="'Cost Summary'!A1"/>
    <hyperlink ref="IUV8" location="'Cost Summary'!A1" display="'Cost Summary'!A1"/>
    <hyperlink ref="IUW8" location="'Cost Summary'!A1" display="'Cost Summary'!A1"/>
    <hyperlink ref="IUX8" location="'Cost Summary'!A1" display="'Cost Summary'!A1"/>
    <hyperlink ref="IUY8" location="'Cost Summary'!A1" display="'Cost Summary'!A1"/>
    <hyperlink ref="IUZ8" location="'Cost Summary'!A1" display="'Cost Summary'!A1"/>
    <hyperlink ref="IVA8" location="'Cost Summary'!A1" display="'Cost Summary'!A1"/>
    <hyperlink ref="IVB8" location="'Cost Summary'!A1" display="'Cost Summary'!A1"/>
    <hyperlink ref="IVC8" location="'Cost Summary'!A1" display="'Cost Summary'!A1"/>
    <hyperlink ref="IVD8" location="'Cost Summary'!A1" display="'Cost Summary'!A1"/>
    <hyperlink ref="IVE8" location="'Cost Summary'!A1" display="'Cost Summary'!A1"/>
    <hyperlink ref="IVF8" location="'Cost Summary'!A1" display="'Cost Summary'!A1"/>
    <hyperlink ref="IVG8" location="'Cost Summary'!A1" display="'Cost Summary'!A1"/>
    <hyperlink ref="IVH8" location="'Cost Summary'!A1" display="'Cost Summary'!A1"/>
    <hyperlink ref="IVI8" location="'Cost Summary'!A1" display="'Cost Summary'!A1"/>
    <hyperlink ref="IVJ8" location="'Cost Summary'!A1" display="'Cost Summary'!A1"/>
    <hyperlink ref="IVK8" location="'Cost Summary'!A1" display="'Cost Summary'!A1"/>
    <hyperlink ref="IVL8" location="'Cost Summary'!A1" display="'Cost Summary'!A1"/>
    <hyperlink ref="IVM8" location="'Cost Summary'!A1" display="'Cost Summary'!A1"/>
    <hyperlink ref="IVN8" location="'Cost Summary'!A1" display="'Cost Summary'!A1"/>
    <hyperlink ref="IVO8" location="'Cost Summary'!A1" display="'Cost Summary'!A1"/>
    <hyperlink ref="IVP8" location="'Cost Summary'!A1" display="'Cost Summary'!A1"/>
    <hyperlink ref="IVQ8" location="'Cost Summary'!A1" display="'Cost Summary'!A1"/>
    <hyperlink ref="IVR8" location="'Cost Summary'!A1" display="'Cost Summary'!A1"/>
    <hyperlink ref="IVS8" location="'Cost Summary'!A1" display="'Cost Summary'!A1"/>
    <hyperlink ref="IVT8" location="'Cost Summary'!A1" display="'Cost Summary'!A1"/>
    <hyperlink ref="IVU8" location="'Cost Summary'!A1" display="'Cost Summary'!A1"/>
    <hyperlink ref="IVV8" location="'Cost Summary'!A1" display="'Cost Summary'!A1"/>
    <hyperlink ref="IVW8" location="'Cost Summary'!A1" display="'Cost Summary'!A1"/>
    <hyperlink ref="IVX8" location="'Cost Summary'!A1" display="'Cost Summary'!A1"/>
    <hyperlink ref="IVY8" location="'Cost Summary'!A1" display="'Cost Summary'!A1"/>
    <hyperlink ref="IVZ8" location="'Cost Summary'!A1" display="'Cost Summary'!A1"/>
    <hyperlink ref="IWA8" location="'Cost Summary'!A1" display="'Cost Summary'!A1"/>
    <hyperlink ref="IWB8" location="'Cost Summary'!A1" display="'Cost Summary'!A1"/>
    <hyperlink ref="IWC8" location="'Cost Summary'!A1" display="'Cost Summary'!A1"/>
    <hyperlink ref="IWD8" location="'Cost Summary'!A1" display="'Cost Summary'!A1"/>
    <hyperlink ref="IWE8" location="'Cost Summary'!A1" display="'Cost Summary'!A1"/>
    <hyperlink ref="IWF8" location="'Cost Summary'!A1" display="'Cost Summary'!A1"/>
    <hyperlink ref="IWG8" location="'Cost Summary'!A1" display="'Cost Summary'!A1"/>
    <hyperlink ref="IWH8" location="'Cost Summary'!A1" display="'Cost Summary'!A1"/>
    <hyperlink ref="IWI8" location="'Cost Summary'!A1" display="'Cost Summary'!A1"/>
    <hyperlink ref="IWJ8" location="'Cost Summary'!A1" display="'Cost Summary'!A1"/>
    <hyperlink ref="IWK8" location="'Cost Summary'!A1" display="'Cost Summary'!A1"/>
    <hyperlink ref="IWL8" location="'Cost Summary'!A1" display="'Cost Summary'!A1"/>
    <hyperlink ref="IWM8" location="'Cost Summary'!A1" display="'Cost Summary'!A1"/>
    <hyperlink ref="IWN8" location="'Cost Summary'!A1" display="'Cost Summary'!A1"/>
    <hyperlink ref="IWO8" location="'Cost Summary'!A1" display="'Cost Summary'!A1"/>
    <hyperlink ref="IWP8" location="'Cost Summary'!A1" display="'Cost Summary'!A1"/>
    <hyperlink ref="IWQ8" location="'Cost Summary'!A1" display="'Cost Summary'!A1"/>
    <hyperlink ref="IWR8" location="'Cost Summary'!A1" display="'Cost Summary'!A1"/>
    <hyperlink ref="IWS8" location="'Cost Summary'!A1" display="'Cost Summary'!A1"/>
    <hyperlink ref="IWT8" location="'Cost Summary'!A1" display="'Cost Summary'!A1"/>
    <hyperlink ref="IWU8" location="'Cost Summary'!A1" display="'Cost Summary'!A1"/>
    <hyperlink ref="IWV8" location="'Cost Summary'!A1" display="'Cost Summary'!A1"/>
    <hyperlink ref="IWW8" location="'Cost Summary'!A1" display="'Cost Summary'!A1"/>
    <hyperlink ref="IWX8" location="'Cost Summary'!A1" display="'Cost Summary'!A1"/>
    <hyperlink ref="IWY8" location="'Cost Summary'!A1" display="'Cost Summary'!A1"/>
    <hyperlink ref="IWZ8" location="'Cost Summary'!A1" display="'Cost Summary'!A1"/>
    <hyperlink ref="IXA8" location="'Cost Summary'!A1" display="'Cost Summary'!A1"/>
    <hyperlink ref="IXB8" location="'Cost Summary'!A1" display="'Cost Summary'!A1"/>
    <hyperlink ref="IXC8" location="'Cost Summary'!A1" display="'Cost Summary'!A1"/>
    <hyperlink ref="IXD8" location="'Cost Summary'!A1" display="'Cost Summary'!A1"/>
    <hyperlink ref="IXE8" location="'Cost Summary'!A1" display="'Cost Summary'!A1"/>
    <hyperlink ref="IXF8" location="'Cost Summary'!A1" display="'Cost Summary'!A1"/>
    <hyperlink ref="IXG8" location="'Cost Summary'!A1" display="'Cost Summary'!A1"/>
    <hyperlink ref="IXH8" location="'Cost Summary'!A1" display="'Cost Summary'!A1"/>
    <hyperlink ref="IXI8" location="'Cost Summary'!A1" display="'Cost Summary'!A1"/>
    <hyperlink ref="IXJ8" location="'Cost Summary'!A1" display="'Cost Summary'!A1"/>
    <hyperlink ref="IXK8" location="'Cost Summary'!A1" display="'Cost Summary'!A1"/>
    <hyperlink ref="IXL8" location="'Cost Summary'!A1" display="'Cost Summary'!A1"/>
    <hyperlink ref="IXM8" location="'Cost Summary'!A1" display="'Cost Summary'!A1"/>
    <hyperlink ref="IXN8" location="'Cost Summary'!A1" display="'Cost Summary'!A1"/>
    <hyperlink ref="IXO8" location="'Cost Summary'!A1" display="'Cost Summary'!A1"/>
    <hyperlink ref="IXP8" location="'Cost Summary'!A1" display="'Cost Summary'!A1"/>
    <hyperlink ref="IXQ8" location="'Cost Summary'!A1" display="'Cost Summary'!A1"/>
    <hyperlink ref="IXR8" location="'Cost Summary'!A1" display="'Cost Summary'!A1"/>
    <hyperlink ref="IXS8" location="'Cost Summary'!A1" display="'Cost Summary'!A1"/>
    <hyperlink ref="IXT8" location="'Cost Summary'!A1" display="'Cost Summary'!A1"/>
    <hyperlink ref="IXU8" location="'Cost Summary'!A1" display="'Cost Summary'!A1"/>
    <hyperlink ref="IXV8" location="'Cost Summary'!A1" display="'Cost Summary'!A1"/>
    <hyperlink ref="IXW8" location="'Cost Summary'!A1" display="'Cost Summary'!A1"/>
    <hyperlink ref="IXX8" location="'Cost Summary'!A1" display="'Cost Summary'!A1"/>
    <hyperlink ref="IXY8" location="'Cost Summary'!A1" display="'Cost Summary'!A1"/>
    <hyperlink ref="IXZ8" location="'Cost Summary'!A1" display="'Cost Summary'!A1"/>
    <hyperlink ref="IYA8" location="'Cost Summary'!A1" display="'Cost Summary'!A1"/>
    <hyperlink ref="IYB8" location="'Cost Summary'!A1" display="'Cost Summary'!A1"/>
    <hyperlink ref="IYC8" location="'Cost Summary'!A1" display="'Cost Summary'!A1"/>
    <hyperlink ref="IYD8" location="'Cost Summary'!A1" display="'Cost Summary'!A1"/>
    <hyperlink ref="IYE8" location="'Cost Summary'!A1" display="'Cost Summary'!A1"/>
    <hyperlink ref="IYF8" location="'Cost Summary'!A1" display="'Cost Summary'!A1"/>
    <hyperlink ref="IYG8" location="'Cost Summary'!A1" display="'Cost Summary'!A1"/>
    <hyperlink ref="IYH8" location="'Cost Summary'!A1" display="'Cost Summary'!A1"/>
    <hyperlink ref="IYI8" location="'Cost Summary'!A1" display="'Cost Summary'!A1"/>
    <hyperlink ref="IYJ8" location="'Cost Summary'!A1" display="'Cost Summary'!A1"/>
    <hyperlink ref="IYK8" location="'Cost Summary'!A1" display="'Cost Summary'!A1"/>
    <hyperlink ref="IYL8" location="'Cost Summary'!A1" display="'Cost Summary'!A1"/>
    <hyperlink ref="IYM8" location="'Cost Summary'!A1" display="'Cost Summary'!A1"/>
    <hyperlink ref="IYN8" location="'Cost Summary'!A1" display="'Cost Summary'!A1"/>
    <hyperlink ref="IYO8" location="'Cost Summary'!A1" display="'Cost Summary'!A1"/>
    <hyperlink ref="IYP8" location="'Cost Summary'!A1" display="'Cost Summary'!A1"/>
    <hyperlink ref="IYQ8" location="'Cost Summary'!A1" display="'Cost Summary'!A1"/>
    <hyperlink ref="IYR8" location="'Cost Summary'!A1" display="'Cost Summary'!A1"/>
    <hyperlink ref="IYS8" location="'Cost Summary'!A1" display="'Cost Summary'!A1"/>
    <hyperlink ref="IYT8" location="'Cost Summary'!A1" display="'Cost Summary'!A1"/>
    <hyperlink ref="IYU8" location="'Cost Summary'!A1" display="'Cost Summary'!A1"/>
    <hyperlink ref="IYV8" location="'Cost Summary'!A1" display="'Cost Summary'!A1"/>
    <hyperlink ref="IYW8" location="'Cost Summary'!A1" display="'Cost Summary'!A1"/>
    <hyperlink ref="IYX8" location="'Cost Summary'!A1" display="'Cost Summary'!A1"/>
    <hyperlink ref="IYY8" location="'Cost Summary'!A1" display="'Cost Summary'!A1"/>
    <hyperlink ref="IYZ8" location="'Cost Summary'!A1" display="'Cost Summary'!A1"/>
    <hyperlink ref="IZA8" location="'Cost Summary'!A1" display="'Cost Summary'!A1"/>
    <hyperlink ref="IZB8" location="'Cost Summary'!A1" display="'Cost Summary'!A1"/>
    <hyperlink ref="IZC8" location="'Cost Summary'!A1" display="'Cost Summary'!A1"/>
    <hyperlink ref="IZD8" location="'Cost Summary'!A1" display="'Cost Summary'!A1"/>
    <hyperlink ref="IZE8" location="'Cost Summary'!A1" display="'Cost Summary'!A1"/>
    <hyperlink ref="IZF8" location="'Cost Summary'!A1" display="'Cost Summary'!A1"/>
    <hyperlink ref="IZG8" location="'Cost Summary'!A1" display="'Cost Summary'!A1"/>
    <hyperlink ref="IZH8" location="'Cost Summary'!A1" display="'Cost Summary'!A1"/>
    <hyperlink ref="IZI8" location="'Cost Summary'!A1" display="'Cost Summary'!A1"/>
    <hyperlink ref="IZJ8" location="'Cost Summary'!A1" display="'Cost Summary'!A1"/>
    <hyperlink ref="IZK8" location="'Cost Summary'!A1" display="'Cost Summary'!A1"/>
    <hyperlink ref="IZL8" location="'Cost Summary'!A1" display="'Cost Summary'!A1"/>
    <hyperlink ref="IZM8" location="'Cost Summary'!A1" display="'Cost Summary'!A1"/>
    <hyperlink ref="IZN8" location="'Cost Summary'!A1" display="'Cost Summary'!A1"/>
    <hyperlink ref="IZO8" location="'Cost Summary'!A1" display="'Cost Summary'!A1"/>
    <hyperlink ref="IZP8" location="'Cost Summary'!A1" display="'Cost Summary'!A1"/>
    <hyperlink ref="IZQ8" location="'Cost Summary'!A1" display="'Cost Summary'!A1"/>
    <hyperlink ref="IZR8" location="'Cost Summary'!A1" display="'Cost Summary'!A1"/>
    <hyperlink ref="IZS8" location="'Cost Summary'!A1" display="'Cost Summary'!A1"/>
    <hyperlink ref="IZT8" location="'Cost Summary'!A1" display="'Cost Summary'!A1"/>
    <hyperlink ref="IZU8" location="'Cost Summary'!A1" display="'Cost Summary'!A1"/>
    <hyperlink ref="IZV8" location="'Cost Summary'!A1" display="'Cost Summary'!A1"/>
    <hyperlink ref="IZW8" location="'Cost Summary'!A1" display="'Cost Summary'!A1"/>
    <hyperlink ref="IZX8" location="'Cost Summary'!A1" display="'Cost Summary'!A1"/>
    <hyperlink ref="IZY8" location="'Cost Summary'!A1" display="'Cost Summary'!A1"/>
    <hyperlink ref="IZZ8" location="'Cost Summary'!A1" display="'Cost Summary'!A1"/>
    <hyperlink ref="JAA8" location="'Cost Summary'!A1" display="'Cost Summary'!A1"/>
    <hyperlink ref="JAB8" location="'Cost Summary'!A1" display="'Cost Summary'!A1"/>
    <hyperlink ref="JAC8" location="'Cost Summary'!A1" display="'Cost Summary'!A1"/>
    <hyperlink ref="JAD8" location="'Cost Summary'!A1" display="'Cost Summary'!A1"/>
    <hyperlink ref="JAE8" location="'Cost Summary'!A1" display="'Cost Summary'!A1"/>
    <hyperlink ref="JAF8" location="'Cost Summary'!A1" display="'Cost Summary'!A1"/>
    <hyperlink ref="JAG8" location="'Cost Summary'!A1" display="'Cost Summary'!A1"/>
    <hyperlink ref="JAH8" location="'Cost Summary'!A1" display="'Cost Summary'!A1"/>
    <hyperlink ref="JAI8" location="'Cost Summary'!A1" display="'Cost Summary'!A1"/>
    <hyperlink ref="JAJ8" location="'Cost Summary'!A1" display="'Cost Summary'!A1"/>
    <hyperlink ref="JAK8" location="'Cost Summary'!A1" display="'Cost Summary'!A1"/>
    <hyperlink ref="JAL8" location="'Cost Summary'!A1" display="'Cost Summary'!A1"/>
    <hyperlink ref="JAM8" location="'Cost Summary'!A1" display="'Cost Summary'!A1"/>
    <hyperlink ref="JAN8" location="'Cost Summary'!A1" display="'Cost Summary'!A1"/>
    <hyperlink ref="JAO8" location="'Cost Summary'!A1" display="'Cost Summary'!A1"/>
    <hyperlink ref="JAP8" location="'Cost Summary'!A1" display="'Cost Summary'!A1"/>
    <hyperlink ref="JAQ8" location="'Cost Summary'!A1" display="'Cost Summary'!A1"/>
    <hyperlink ref="JAR8" location="'Cost Summary'!A1" display="'Cost Summary'!A1"/>
    <hyperlink ref="JAS8" location="'Cost Summary'!A1" display="'Cost Summary'!A1"/>
    <hyperlink ref="JAT8" location="'Cost Summary'!A1" display="'Cost Summary'!A1"/>
    <hyperlink ref="JAU8" location="'Cost Summary'!A1" display="'Cost Summary'!A1"/>
    <hyperlink ref="JAV8" location="'Cost Summary'!A1" display="'Cost Summary'!A1"/>
    <hyperlink ref="JAW8" location="'Cost Summary'!A1" display="'Cost Summary'!A1"/>
    <hyperlink ref="JAX8" location="'Cost Summary'!A1" display="'Cost Summary'!A1"/>
    <hyperlink ref="JAY8" location="'Cost Summary'!A1" display="'Cost Summary'!A1"/>
    <hyperlink ref="JAZ8" location="'Cost Summary'!A1" display="'Cost Summary'!A1"/>
    <hyperlink ref="JBA8" location="'Cost Summary'!A1" display="'Cost Summary'!A1"/>
    <hyperlink ref="JBB8" location="'Cost Summary'!A1" display="'Cost Summary'!A1"/>
    <hyperlink ref="JBC8" location="'Cost Summary'!A1" display="'Cost Summary'!A1"/>
    <hyperlink ref="JBD8" location="'Cost Summary'!A1" display="'Cost Summary'!A1"/>
    <hyperlink ref="JBE8" location="'Cost Summary'!A1" display="'Cost Summary'!A1"/>
    <hyperlink ref="JBF8" location="'Cost Summary'!A1" display="'Cost Summary'!A1"/>
    <hyperlink ref="JBG8" location="'Cost Summary'!A1" display="'Cost Summary'!A1"/>
    <hyperlink ref="JBH8" location="'Cost Summary'!A1" display="'Cost Summary'!A1"/>
    <hyperlink ref="JBI8" location="'Cost Summary'!A1" display="'Cost Summary'!A1"/>
    <hyperlink ref="JBJ8" location="'Cost Summary'!A1" display="'Cost Summary'!A1"/>
    <hyperlink ref="JBK8" location="'Cost Summary'!A1" display="'Cost Summary'!A1"/>
    <hyperlink ref="JBL8" location="'Cost Summary'!A1" display="'Cost Summary'!A1"/>
    <hyperlink ref="JBM8" location="'Cost Summary'!A1" display="'Cost Summary'!A1"/>
    <hyperlink ref="JBN8" location="'Cost Summary'!A1" display="'Cost Summary'!A1"/>
    <hyperlink ref="JBO8" location="'Cost Summary'!A1" display="'Cost Summary'!A1"/>
    <hyperlink ref="JBP8" location="'Cost Summary'!A1" display="'Cost Summary'!A1"/>
    <hyperlink ref="JBQ8" location="'Cost Summary'!A1" display="'Cost Summary'!A1"/>
    <hyperlink ref="JBR8" location="'Cost Summary'!A1" display="'Cost Summary'!A1"/>
    <hyperlink ref="JBS8" location="'Cost Summary'!A1" display="'Cost Summary'!A1"/>
    <hyperlink ref="JBT8" location="'Cost Summary'!A1" display="'Cost Summary'!A1"/>
    <hyperlink ref="JBU8" location="'Cost Summary'!A1" display="'Cost Summary'!A1"/>
    <hyperlink ref="JBV8" location="'Cost Summary'!A1" display="'Cost Summary'!A1"/>
    <hyperlink ref="JBW8" location="'Cost Summary'!A1" display="'Cost Summary'!A1"/>
    <hyperlink ref="JBX8" location="'Cost Summary'!A1" display="'Cost Summary'!A1"/>
    <hyperlink ref="JBY8" location="'Cost Summary'!A1" display="'Cost Summary'!A1"/>
    <hyperlink ref="JBZ8" location="'Cost Summary'!A1" display="'Cost Summary'!A1"/>
    <hyperlink ref="JCA8" location="'Cost Summary'!A1" display="'Cost Summary'!A1"/>
    <hyperlink ref="JCB8" location="'Cost Summary'!A1" display="'Cost Summary'!A1"/>
    <hyperlink ref="JCC8" location="'Cost Summary'!A1" display="'Cost Summary'!A1"/>
    <hyperlink ref="JCD8" location="'Cost Summary'!A1" display="'Cost Summary'!A1"/>
    <hyperlink ref="JCE8" location="'Cost Summary'!A1" display="'Cost Summary'!A1"/>
    <hyperlink ref="JCF8" location="'Cost Summary'!A1" display="'Cost Summary'!A1"/>
    <hyperlink ref="JCG8" location="'Cost Summary'!A1" display="'Cost Summary'!A1"/>
    <hyperlink ref="JCH8" location="'Cost Summary'!A1" display="'Cost Summary'!A1"/>
    <hyperlink ref="JCI8" location="'Cost Summary'!A1" display="'Cost Summary'!A1"/>
    <hyperlink ref="JCJ8" location="'Cost Summary'!A1" display="'Cost Summary'!A1"/>
    <hyperlink ref="JCK8" location="'Cost Summary'!A1" display="'Cost Summary'!A1"/>
    <hyperlink ref="JCL8" location="'Cost Summary'!A1" display="'Cost Summary'!A1"/>
    <hyperlink ref="JCM8" location="'Cost Summary'!A1" display="'Cost Summary'!A1"/>
    <hyperlink ref="JCN8" location="'Cost Summary'!A1" display="'Cost Summary'!A1"/>
    <hyperlink ref="JCO8" location="'Cost Summary'!A1" display="'Cost Summary'!A1"/>
    <hyperlink ref="JCP8" location="'Cost Summary'!A1" display="'Cost Summary'!A1"/>
    <hyperlink ref="JCQ8" location="'Cost Summary'!A1" display="'Cost Summary'!A1"/>
    <hyperlink ref="JCR8" location="'Cost Summary'!A1" display="'Cost Summary'!A1"/>
    <hyperlink ref="JCS8" location="'Cost Summary'!A1" display="'Cost Summary'!A1"/>
    <hyperlink ref="JCT8" location="'Cost Summary'!A1" display="'Cost Summary'!A1"/>
    <hyperlink ref="JCU8" location="'Cost Summary'!A1" display="'Cost Summary'!A1"/>
    <hyperlink ref="JCV8" location="'Cost Summary'!A1" display="'Cost Summary'!A1"/>
    <hyperlink ref="JCW8" location="'Cost Summary'!A1" display="'Cost Summary'!A1"/>
    <hyperlink ref="JCX8" location="'Cost Summary'!A1" display="'Cost Summary'!A1"/>
    <hyperlink ref="JCY8" location="'Cost Summary'!A1" display="'Cost Summary'!A1"/>
    <hyperlink ref="JCZ8" location="'Cost Summary'!A1" display="'Cost Summary'!A1"/>
    <hyperlink ref="JDA8" location="'Cost Summary'!A1" display="'Cost Summary'!A1"/>
    <hyperlink ref="JDB8" location="'Cost Summary'!A1" display="'Cost Summary'!A1"/>
    <hyperlink ref="JDC8" location="'Cost Summary'!A1" display="'Cost Summary'!A1"/>
    <hyperlink ref="JDD8" location="'Cost Summary'!A1" display="'Cost Summary'!A1"/>
    <hyperlink ref="JDE8" location="'Cost Summary'!A1" display="'Cost Summary'!A1"/>
    <hyperlink ref="JDF8" location="'Cost Summary'!A1" display="'Cost Summary'!A1"/>
    <hyperlink ref="JDG8" location="'Cost Summary'!A1" display="'Cost Summary'!A1"/>
    <hyperlink ref="JDH8" location="'Cost Summary'!A1" display="'Cost Summary'!A1"/>
    <hyperlink ref="JDI8" location="'Cost Summary'!A1" display="'Cost Summary'!A1"/>
    <hyperlink ref="JDJ8" location="'Cost Summary'!A1" display="'Cost Summary'!A1"/>
    <hyperlink ref="JDK8" location="'Cost Summary'!A1" display="'Cost Summary'!A1"/>
    <hyperlink ref="JDL8" location="'Cost Summary'!A1" display="'Cost Summary'!A1"/>
    <hyperlink ref="JDM8" location="'Cost Summary'!A1" display="'Cost Summary'!A1"/>
    <hyperlink ref="JDN8" location="'Cost Summary'!A1" display="'Cost Summary'!A1"/>
    <hyperlink ref="JDO8" location="'Cost Summary'!A1" display="'Cost Summary'!A1"/>
    <hyperlink ref="JDP8" location="'Cost Summary'!A1" display="'Cost Summary'!A1"/>
    <hyperlink ref="JDQ8" location="'Cost Summary'!A1" display="'Cost Summary'!A1"/>
    <hyperlink ref="JDR8" location="'Cost Summary'!A1" display="'Cost Summary'!A1"/>
    <hyperlink ref="JDS8" location="'Cost Summary'!A1" display="'Cost Summary'!A1"/>
    <hyperlink ref="JDT8" location="'Cost Summary'!A1" display="'Cost Summary'!A1"/>
    <hyperlink ref="JDU8" location="'Cost Summary'!A1" display="'Cost Summary'!A1"/>
    <hyperlink ref="JDV8" location="'Cost Summary'!A1" display="'Cost Summary'!A1"/>
    <hyperlink ref="JDW8" location="'Cost Summary'!A1" display="'Cost Summary'!A1"/>
    <hyperlink ref="JDX8" location="'Cost Summary'!A1" display="'Cost Summary'!A1"/>
    <hyperlink ref="JDY8" location="'Cost Summary'!A1" display="'Cost Summary'!A1"/>
    <hyperlink ref="JDZ8" location="'Cost Summary'!A1" display="'Cost Summary'!A1"/>
    <hyperlink ref="JEA8" location="'Cost Summary'!A1" display="'Cost Summary'!A1"/>
    <hyperlink ref="JEB8" location="'Cost Summary'!A1" display="'Cost Summary'!A1"/>
    <hyperlink ref="JEC8" location="'Cost Summary'!A1" display="'Cost Summary'!A1"/>
    <hyperlink ref="JED8" location="'Cost Summary'!A1" display="'Cost Summary'!A1"/>
    <hyperlink ref="JEE8" location="'Cost Summary'!A1" display="'Cost Summary'!A1"/>
    <hyperlink ref="JEF8" location="'Cost Summary'!A1" display="'Cost Summary'!A1"/>
    <hyperlink ref="JEG8" location="'Cost Summary'!A1" display="'Cost Summary'!A1"/>
    <hyperlink ref="JEH8" location="'Cost Summary'!A1" display="'Cost Summary'!A1"/>
    <hyperlink ref="JEI8" location="'Cost Summary'!A1" display="'Cost Summary'!A1"/>
    <hyperlink ref="JEJ8" location="'Cost Summary'!A1" display="'Cost Summary'!A1"/>
    <hyperlink ref="JEK8" location="'Cost Summary'!A1" display="'Cost Summary'!A1"/>
    <hyperlink ref="JEL8" location="'Cost Summary'!A1" display="'Cost Summary'!A1"/>
    <hyperlink ref="JEM8" location="'Cost Summary'!A1" display="'Cost Summary'!A1"/>
    <hyperlink ref="JEN8" location="'Cost Summary'!A1" display="'Cost Summary'!A1"/>
    <hyperlink ref="JEO8" location="'Cost Summary'!A1" display="'Cost Summary'!A1"/>
    <hyperlink ref="JEP8" location="'Cost Summary'!A1" display="'Cost Summary'!A1"/>
    <hyperlink ref="JEQ8" location="'Cost Summary'!A1" display="'Cost Summary'!A1"/>
    <hyperlink ref="JER8" location="'Cost Summary'!A1" display="'Cost Summary'!A1"/>
    <hyperlink ref="JES8" location="'Cost Summary'!A1" display="'Cost Summary'!A1"/>
    <hyperlink ref="JET8" location="'Cost Summary'!A1" display="'Cost Summary'!A1"/>
    <hyperlink ref="JEU8" location="'Cost Summary'!A1" display="'Cost Summary'!A1"/>
    <hyperlink ref="JEV8" location="'Cost Summary'!A1" display="'Cost Summary'!A1"/>
    <hyperlink ref="JEW8" location="'Cost Summary'!A1" display="'Cost Summary'!A1"/>
    <hyperlink ref="JEX8" location="'Cost Summary'!A1" display="'Cost Summary'!A1"/>
    <hyperlink ref="JEY8" location="'Cost Summary'!A1" display="'Cost Summary'!A1"/>
    <hyperlink ref="JEZ8" location="'Cost Summary'!A1" display="'Cost Summary'!A1"/>
    <hyperlink ref="JFA8" location="'Cost Summary'!A1" display="'Cost Summary'!A1"/>
    <hyperlink ref="JFB8" location="'Cost Summary'!A1" display="'Cost Summary'!A1"/>
    <hyperlink ref="JFC8" location="'Cost Summary'!A1" display="'Cost Summary'!A1"/>
    <hyperlink ref="JFD8" location="'Cost Summary'!A1" display="'Cost Summary'!A1"/>
    <hyperlink ref="JFE8" location="'Cost Summary'!A1" display="'Cost Summary'!A1"/>
    <hyperlink ref="JFF8" location="'Cost Summary'!A1" display="'Cost Summary'!A1"/>
    <hyperlink ref="JFG8" location="'Cost Summary'!A1" display="'Cost Summary'!A1"/>
    <hyperlink ref="JFH8" location="'Cost Summary'!A1" display="'Cost Summary'!A1"/>
    <hyperlink ref="JFI8" location="'Cost Summary'!A1" display="'Cost Summary'!A1"/>
    <hyperlink ref="JFJ8" location="'Cost Summary'!A1" display="'Cost Summary'!A1"/>
    <hyperlink ref="JFK8" location="'Cost Summary'!A1" display="'Cost Summary'!A1"/>
    <hyperlink ref="JFL8" location="'Cost Summary'!A1" display="'Cost Summary'!A1"/>
    <hyperlink ref="JFM8" location="'Cost Summary'!A1" display="'Cost Summary'!A1"/>
    <hyperlink ref="JFN8" location="'Cost Summary'!A1" display="'Cost Summary'!A1"/>
    <hyperlink ref="JFO8" location="'Cost Summary'!A1" display="'Cost Summary'!A1"/>
    <hyperlink ref="JFP8" location="'Cost Summary'!A1" display="'Cost Summary'!A1"/>
    <hyperlink ref="JFQ8" location="'Cost Summary'!A1" display="'Cost Summary'!A1"/>
    <hyperlink ref="JFR8" location="'Cost Summary'!A1" display="'Cost Summary'!A1"/>
    <hyperlink ref="JFS8" location="'Cost Summary'!A1" display="'Cost Summary'!A1"/>
    <hyperlink ref="JFT8" location="'Cost Summary'!A1" display="'Cost Summary'!A1"/>
    <hyperlink ref="JFU8" location="'Cost Summary'!A1" display="'Cost Summary'!A1"/>
    <hyperlink ref="JFV8" location="'Cost Summary'!A1" display="'Cost Summary'!A1"/>
    <hyperlink ref="JFW8" location="'Cost Summary'!A1" display="'Cost Summary'!A1"/>
    <hyperlink ref="JFX8" location="'Cost Summary'!A1" display="'Cost Summary'!A1"/>
    <hyperlink ref="JFY8" location="'Cost Summary'!A1" display="'Cost Summary'!A1"/>
    <hyperlink ref="JFZ8" location="'Cost Summary'!A1" display="'Cost Summary'!A1"/>
    <hyperlink ref="JGA8" location="'Cost Summary'!A1" display="'Cost Summary'!A1"/>
    <hyperlink ref="JGB8" location="'Cost Summary'!A1" display="'Cost Summary'!A1"/>
    <hyperlink ref="JGC8" location="'Cost Summary'!A1" display="'Cost Summary'!A1"/>
    <hyperlink ref="JGD8" location="'Cost Summary'!A1" display="'Cost Summary'!A1"/>
    <hyperlink ref="JGE8" location="'Cost Summary'!A1" display="'Cost Summary'!A1"/>
    <hyperlink ref="JGF8" location="'Cost Summary'!A1" display="'Cost Summary'!A1"/>
    <hyperlink ref="JGG8" location="'Cost Summary'!A1" display="'Cost Summary'!A1"/>
    <hyperlink ref="JGH8" location="'Cost Summary'!A1" display="'Cost Summary'!A1"/>
    <hyperlink ref="JGI8" location="'Cost Summary'!A1" display="'Cost Summary'!A1"/>
    <hyperlink ref="JGJ8" location="'Cost Summary'!A1" display="'Cost Summary'!A1"/>
    <hyperlink ref="JGK8" location="'Cost Summary'!A1" display="'Cost Summary'!A1"/>
    <hyperlink ref="JGL8" location="'Cost Summary'!A1" display="'Cost Summary'!A1"/>
    <hyperlink ref="JGM8" location="'Cost Summary'!A1" display="'Cost Summary'!A1"/>
    <hyperlink ref="JGN8" location="'Cost Summary'!A1" display="'Cost Summary'!A1"/>
    <hyperlink ref="JGO8" location="'Cost Summary'!A1" display="'Cost Summary'!A1"/>
    <hyperlink ref="JGP8" location="'Cost Summary'!A1" display="'Cost Summary'!A1"/>
    <hyperlink ref="JGQ8" location="'Cost Summary'!A1" display="'Cost Summary'!A1"/>
    <hyperlink ref="JGR8" location="'Cost Summary'!A1" display="'Cost Summary'!A1"/>
    <hyperlink ref="JGS8" location="'Cost Summary'!A1" display="'Cost Summary'!A1"/>
    <hyperlink ref="JGT8" location="'Cost Summary'!A1" display="'Cost Summary'!A1"/>
    <hyperlink ref="JGU8" location="'Cost Summary'!A1" display="'Cost Summary'!A1"/>
    <hyperlink ref="JGV8" location="'Cost Summary'!A1" display="'Cost Summary'!A1"/>
    <hyperlink ref="JGW8" location="'Cost Summary'!A1" display="'Cost Summary'!A1"/>
    <hyperlink ref="JGX8" location="'Cost Summary'!A1" display="'Cost Summary'!A1"/>
    <hyperlink ref="JGY8" location="'Cost Summary'!A1" display="'Cost Summary'!A1"/>
    <hyperlink ref="JGZ8" location="'Cost Summary'!A1" display="'Cost Summary'!A1"/>
    <hyperlink ref="JHA8" location="'Cost Summary'!A1" display="'Cost Summary'!A1"/>
    <hyperlink ref="JHB8" location="'Cost Summary'!A1" display="'Cost Summary'!A1"/>
    <hyperlink ref="JHC8" location="'Cost Summary'!A1" display="'Cost Summary'!A1"/>
    <hyperlink ref="JHD8" location="'Cost Summary'!A1" display="'Cost Summary'!A1"/>
    <hyperlink ref="JHE8" location="'Cost Summary'!A1" display="'Cost Summary'!A1"/>
    <hyperlink ref="JHF8" location="'Cost Summary'!A1" display="'Cost Summary'!A1"/>
    <hyperlink ref="JHG8" location="'Cost Summary'!A1" display="'Cost Summary'!A1"/>
    <hyperlink ref="JHH8" location="'Cost Summary'!A1" display="'Cost Summary'!A1"/>
    <hyperlink ref="JHI8" location="'Cost Summary'!A1" display="'Cost Summary'!A1"/>
    <hyperlink ref="JHJ8" location="'Cost Summary'!A1" display="'Cost Summary'!A1"/>
    <hyperlink ref="JHK8" location="'Cost Summary'!A1" display="'Cost Summary'!A1"/>
    <hyperlink ref="JHL8" location="'Cost Summary'!A1" display="'Cost Summary'!A1"/>
    <hyperlink ref="JHM8" location="'Cost Summary'!A1" display="'Cost Summary'!A1"/>
    <hyperlink ref="JHN8" location="'Cost Summary'!A1" display="'Cost Summary'!A1"/>
    <hyperlink ref="JHO8" location="'Cost Summary'!A1" display="'Cost Summary'!A1"/>
    <hyperlink ref="JHP8" location="'Cost Summary'!A1" display="'Cost Summary'!A1"/>
    <hyperlink ref="JHQ8" location="'Cost Summary'!A1" display="'Cost Summary'!A1"/>
    <hyperlink ref="JHR8" location="'Cost Summary'!A1" display="'Cost Summary'!A1"/>
    <hyperlink ref="JHS8" location="'Cost Summary'!A1" display="'Cost Summary'!A1"/>
    <hyperlink ref="JHT8" location="'Cost Summary'!A1" display="'Cost Summary'!A1"/>
    <hyperlink ref="JHU8" location="'Cost Summary'!A1" display="'Cost Summary'!A1"/>
    <hyperlink ref="JHV8" location="'Cost Summary'!A1" display="'Cost Summary'!A1"/>
    <hyperlink ref="JHW8" location="'Cost Summary'!A1" display="'Cost Summary'!A1"/>
    <hyperlink ref="JHX8" location="'Cost Summary'!A1" display="'Cost Summary'!A1"/>
    <hyperlink ref="JHY8" location="'Cost Summary'!A1" display="'Cost Summary'!A1"/>
    <hyperlink ref="JHZ8" location="'Cost Summary'!A1" display="'Cost Summary'!A1"/>
    <hyperlink ref="JIA8" location="'Cost Summary'!A1" display="'Cost Summary'!A1"/>
    <hyperlink ref="JIB8" location="'Cost Summary'!A1" display="'Cost Summary'!A1"/>
    <hyperlink ref="JIC8" location="'Cost Summary'!A1" display="'Cost Summary'!A1"/>
    <hyperlink ref="JID8" location="'Cost Summary'!A1" display="'Cost Summary'!A1"/>
    <hyperlink ref="JIE8" location="'Cost Summary'!A1" display="'Cost Summary'!A1"/>
    <hyperlink ref="JIF8" location="'Cost Summary'!A1" display="'Cost Summary'!A1"/>
    <hyperlink ref="JIG8" location="'Cost Summary'!A1" display="'Cost Summary'!A1"/>
    <hyperlink ref="JIH8" location="'Cost Summary'!A1" display="'Cost Summary'!A1"/>
    <hyperlink ref="JII8" location="'Cost Summary'!A1" display="'Cost Summary'!A1"/>
    <hyperlink ref="JIJ8" location="'Cost Summary'!A1" display="'Cost Summary'!A1"/>
    <hyperlink ref="JIK8" location="'Cost Summary'!A1" display="'Cost Summary'!A1"/>
    <hyperlink ref="JIL8" location="'Cost Summary'!A1" display="'Cost Summary'!A1"/>
    <hyperlink ref="JIM8" location="'Cost Summary'!A1" display="'Cost Summary'!A1"/>
    <hyperlink ref="JIN8" location="'Cost Summary'!A1" display="'Cost Summary'!A1"/>
    <hyperlink ref="JIO8" location="'Cost Summary'!A1" display="'Cost Summary'!A1"/>
    <hyperlink ref="JIP8" location="'Cost Summary'!A1" display="'Cost Summary'!A1"/>
    <hyperlink ref="JIQ8" location="'Cost Summary'!A1" display="'Cost Summary'!A1"/>
    <hyperlink ref="JIR8" location="'Cost Summary'!A1" display="'Cost Summary'!A1"/>
    <hyperlink ref="JIS8" location="'Cost Summary'!A1" display="'Cost Summary'!A1"/>
    <hyperlink ref="JIT8" location="'Cost Summary'!A1" display="'Cost Summary'!A1"/>
    <hyperlink ref="JIU8" location="'Cost Summary'!A1" display="'Cost Summary'!A1"/>
    <hyperlink ref="JIV8" location="'Cost Summary'!A1" display="'Cost Summary'!A1"/>
    <hyperlink ref="JIW8" location="'Cost Summary'!A1" display="'Cost Summary'!A1"/>
    <hyperlink ref="JIX8" location="'Cost Summary'!A1" display="'Cost Summary'!A1"/>
    <hyperlink ref="JIY8" location="'Cost Summary'!A1" display="'Cost Summary'!A1"/>
    <hyperlink ref="JIZ8" location="'Cost Summary'!A1" display="'Cost Summary'!A1"/>
    <hyperlink ref="JJA8" location="'Cost Summary'!A1" display="'Cost Summary'!A1"/>
    <hyperlink ref="JJB8" location="'Cost Summary'!A1" display="'Cost Summary'!A1"/>
    <hyperlink ref="JJC8" location="'Cost Summary'!A1" display="'Cost Summary'!A1"/>
    <hyperlink ref="JJD8" location="'Cost Summary'!A1" display="'Cost Summary'!A1"/>
    <hyperlink ref="JJE8" location="'Cost Summary'!A1" display="'Cost Summary'!A1"/>
    <hyperlink ref="JJF8" location="'Cost Summary'!A1" display="'Cost Summary'!A1"/>
    <hyperlink ref="JJG8" location="'Cost Summary'!A1" display="'Cost Summary'!A1"/>
    <hyperlink ref="JJH8" location="'Cost Summary'!A1" display="'Cost Summary'!A1"/>
    <hyperlink ref="JJI8" location="'Cost Summary'!A1" display="'Cost Summary'!A1"/>
    <hyperlink ref="JJJ8" location="'Cost Summary'!A1" display="'Cost Summary'!A1"/>
    <hyperlink ref="JJK8" location="'Cost Summary'!A1" display="'Cost Summary'!A1"/>
    <hyperlink ref="JJL8" location="'Cost Summary'!A1" display="'Cost Summary'!A1"/>
    <hyperlink ref="JJM8" location="'Cost Summary'!A1" display="'Cost Summary'!A1"/>
    <hyperlink ref="JJN8" location="'Cost Summary'!A1" display="'Cost Summary'!A1"/>
    <hyperlink ref="JJO8" location="'Cost Summary'!A1" display="'Cost Summary'!A1"/>
    <hyperlink ref="JJP8" location="'Cost Summary'!A1" display="'Cost Summary'!A1"/>
    <hyperlink ref="JJQ8" location="'Cost Summary'!A1" display="'Cost Summary'!A1"/>
    <hyperlink ref="JJR8" location="'Cost Summary'!A1" display="'Cost Summary'!A1"/>
    <hyperlink ref="JJS8" location="'Cost Summary'!A1" display="'Cost Summary'!A1"/>
    <hyperlink ref="JJT8" location="'Cost Summary'!A1" display="'Cost Summary'!A1"/>
    <hyperlink ref="JJU8" location="'Cost Summary'!A1" display="'Cost Summary'!A1"/>
    <hyperlink ref="JJV8" location="'Cost Summary'!A1" display="'Cost Summary'!A1"/>
    <hyperlink ref="JJW8" location="'Cost Summary'!A1" display="'Cost Summary'!A1"/>
    <hyperlink ref="JJX8" location="'Cost Summary'!A1" display="'Cost Summary'!A1"/>
    <hyperlink ref="JJY8" location="'Cost Summary'!A1" display="'Cost Summary'!A1"/>
    <hyperlink ref="JJZ8" location="'Cost Summary'!A1" display="'Cost Summary'!A1"/>
    <hyperlink ref="JKA8" location="'Cost Summary'!A1" display="'Cost Summary'!A1"/>
    <hyperlink ref="JKB8" location="'Cost Summary'!A1" display="'Cost Summary'!A1"/>
    <hyperlink ref="JKC8" location="'Cost Summary'!A1" display="'Cost Summary'!A1"/>
    <hyperlink ref="JKD8" location="'Cost Summary'!A1" display="'Cost Summary'!A1"/>
    <hyperlink ref="JKE8" location="'Cost Summary'!A1" display="'Cost Summary'!A1"/>
    <hyperlink ref="JKF8" location="'Cost Summary'!A1" display="'Cost Summary'!A1"/>
    <hyperlink ref="JKG8" location="'Cost Summary'!A1" display="'Cost Summary'!A1"/>
    <hyperlink ref="JKH8" location="'Cost Summary'!A1" display="'Cost Summary'!A1"/>
    <hyperlink ref="JKI8" location="'Cost Summary'!A1" display="'Cost Summary'!A1"/>
    <hyperlink ref="JKJ8" location="'Cost Summary'!A1" display="'Cost Summary'!A1"/>
    <hyperlink ref="JKK8" location="'Cost Summary'!A1" display="'Cost Summary'!A1"/>
    <hyperlink ref="JKL8" location="'Cost Summary'!A1" display="'Cost Summary'!A1"/>
    <hyperlink ref="JKM8" location="'Cost Summary'!A1" display="'Cost Summary'!A1"/>
    <hyperlink ref="JKN8" location="'Cost Summary'!A1" display="'Cost Summary'!A1"/>
    <hyperlink ref="JKO8" location="'Cost Summary'!A1" display="'Cost Summary'!A1"/>
    <hyperlink ref="JKP8" location="'Cost Summary'!A1" display="'Cost Summary'!A1"/>
    <hyperlink ref="JKQ8" location="'Cost Summary'!A1" display="'Cost Summary'!A1"/>
    <hyperlink ref="JKR8" location="'Cost Summary'!A1" display="'Cost Summary'!A1"/>
    <hyperlink ref="JKS8" location="'Cost Summary'!A1" display="'Cost Summary'!A1"/>
    <hyperlink ref="JKT8" location="'Cost Summary'!A1" display="'Cost Summary'!A1"/>
    <hyperlink ref="JKU8" location="'Cost Summary'!A1" display="'Cost Summary'!A1"/>
    <hyperlink ref="JKV8" location="'Cost Summary'!A1" display="'Cost Summary'!A1"/>
    <hyperlink ref="JKW8" location="'Cost Summary'!A1" display="'Cost Summary'!A1"/>
    <hyperlink ref="JKX8" location="'Cost Summary'!A1" display="'Cost Summary'!A1"/>
    <hyperlink ref="JKY8" location="'Cost Summary'!A1" display="'Cost Summary'!A1"/>
    <hyperlink ref="JKZ8" location="'Cost Summary'!A1" display="'Cost Summary'!A1"/>
    <hyperlink ref="JLA8" location="'Cost Summary'!A1" display="'Cost Summary'!A1"/>
    <hyperlink ref="JLB8" location="'Cost Summary'!A1" display="'Cost Summary'!A1"/>
    <hyperlink ref="JLC8" location="'Cost Summary'!A1" display="'Cost Summary'!A1"/>
    <hyperlink ref="JLD8" location="'Cost Summary'!A1" display="'Cost Summary'!A1"/>
    <hyperlink ref="JLE8" location="'Cost Summary'!A1" display="'Cost Summary'!A1"/>
    <hyperlink ref="JLF8" location="'Cost Summary'!A1" display="'Cost Summary'!A1"/>
    <hyperlink ref="JLG8" location="'Cost Summary'!A1" display="'Cost Summary'!A1"/>
    <hyperlink ref="JLH8" location="'Cost Summary'!A1" display="'Cost Summary'!A1"/>
    <hyperlink ref="JLI8" location="'Cost Summary'!A1" display="'Cost Summary'!A1"/>
    <hyperlink ref="JLJ8" location="'Cost Summary'!A1" display="'Cost Summary'!A1"/>
    <hyperlink ref="JLK8" location="'Cost Summary'!A1" display="'Cost Summary'!A1"/>
    <hyperlink ref="JLL8" location="'Cost Summary'!A1" display="'Cost Summary'!A1"/>
    <hyperlink ref="JLM8" location="'Cost Summary'!A1" display="'Cost Summary'!A1"/>
    <hyperlink ref="JLN8" location="'Cost Summary'!A1" display="'Cost Summary'!A1"/>
    <hyperlink ref="JLO8" location="'Cost Summary'!A1" display="'Cost Summary'!A1"/>
    <hyperlink ref="JLP8" location="'Cost Summary'!A1" display="'Cost Summary'!A1"/>
    <hyperlink ref="JLQ8" location="'Cost Summary'!A1" display="'Cost Summary'!A1"/>
    <hyperlink ref="JLR8" location="'Cost Summary'!A1" display="'Cost Summary'!A1"/>
    <hyperlink ref="JLS8" location="'Cost Summary'!A1" display="'Cost Summary'!A1"/>
    <hyperlink ref="JLT8" location="'Cost Summary'!A1" display="'Cost Summary'!A1"/>
    <hyperlink ref="JLU8" location="'Cost Summary'!A1" display="'Cost Summary'!A1"/>
    <hyperlink ref="JLV8" location="'Cost Summary'!A1" display="'Cost Summary'!A1"/>
    <hyperlink ref="JLW8" location="'Cost Summary'!A1" display="'Cost Summary'!A1"/>
    <hyperlink ref="JLX8" location="'Cost Summary'!A1" display="'Cost Summary'!A1"/>
    <hyperlink ref="JLY8" location="'Cost Summary'!A1" display="'Cost Summary'!A1"/>
    <hyperlink ref="JLZ8" location="'Cost Summary'!A1" display="'Cost Summary'!A1"/>
    <hyperlink ref="JMA8" location="'Cost Summary'!A1" display="'Cost Summary'!A1"/>
    <hyperlink ref="JMB8" location="'Cost Summary'!A1" display="'Cost Summary'!A1"/>
    <hyperlink ref="JMC8" location="'Cost Summary'!A1" display="'Cost Summary'!A1"/>
    <hyperlink ref="JMD8" location="'Cost Summary'!A1" display="'Cost Summary'!A1"/>
    <hyperlink ref="JME8" location="'Cost Summary'!A1" display="'Cost Summary'!A1"/>
    <hyperlink ref="JMF8" location="'Cost Summary'!A1" display="'Cost Summary'!A1"/>
    <hyperlink ref="JMG8" location="'Cost Summary'!A1" display="'Cost Summary'!A1"/>
    <hyperlink ref="JMH8" location="'Cost Summary'!A1" display="'Cost Summary'!A1"/>
    <hyperlink ref="JMI8" location="'Cost Summary'!A1" display="'Cost Summary'!A1"/>
    <hyperlink ref="JMJ8" location="'Cost Summary'!A1" display="'Cost Summary'!A1"/>
    <hyperlink ref="JMK8" location="'Cost Summary'!A1" display="'Cost Summary'!A1"/>
    <hyperlink ref="JML8" location="'Cost Summary'!A1" display="'Cost Summary'!A1"/>
    <hyperlink ref="JMM8" location="'Cost Summary'!A1" display="'Cost Summary'!A1"/>
    <hyperlink ref="JMN8" location="'Cost Summary'!A1" display="'Cost Summary'!A1"/>
    <hyperlink ref="JMO8" location="'Cost Summary'!A1" display="'Cost Summary'!A1"/>
    <hyperlink ref="JMP8" location="'Cost Summary'!A1" display="'Cost Summary'!A1"/>
    <hyperlink ref="JMQ8" location="'Cost Summary'!A1" display="'Cost Summary'!A1"/>
    <hyperlink ref="JMR8" location="'Cost Summary'!A1" display="'Cost Summary'!A1"/>
    <hyperlink ref="JMS8" location="'Cost Summary'!A1" display="'Cost Summary'!A1"/>
    <hyperlink ref="JMT8" location="'Cost Summary'!A1" display="'Cost Summary'!A1"/>
    <hyperlink ref="JMU8" location="'Cost Summary'!A1" display="'Cost Summary'!A1"/>
    <hyperlink ref="JMV8" location="'Cost Summary'!A1" display="'Cost Summary'!A1"/>
    <hyperlink ref="JMW8" location="'Cost Summary'!A1" display="'Cost Summary'!A1"/>
    <hyperlink ref="JMX8" location="'Cost Summary'!A1" display="'Cost Summary'!A1"/>
    <hyperlink ref="JMY8" location="'Cost Summary'!A1" display="'Cost Summary'!A1"/>
    <hyperlink ref="JMZ8" location="'Cost Summary'!A1" display="'Cost Summary'!A1"/>
    <hyperlink ref="JNA8" location="'Cost Summary'!A1" display="'Cost Summary'!A1"/>
    <hyperlink ref="JNB8" location="'Cost Summary'!A1" display="'Cost Summary'!A1"/>
    <hyperlink ref="JNC8" location="'Cost Summary'!A1" display="'Cost Summary'!A1"/>
    <hyperlink ref="JND8" location="'Cost Summary'!A1" display="'Cost Summary'!A1"/>
    <hyperlink ref="JNE8" location="'Cost Summary'!A1" display="'Cost Summary'!A1"/>
    <hyperlink ref="JNF8" location="'Cost Summary'!A1" display="'Cost Summary'!A1"/>
    <hyperlink ref="JNG8" location="'Cost Summary'!A1" display="'Cost Summary'!A1"/>
    <hyperlink ref="JNH8" location="'Cost Summary'!A1" display="'Cost Summary'!A1"/>
    <hyperlink ref="JNI8" location="'Cost Summary'!A1" display="'Cost Summary'!A1"/>
    <hyperlink ref="JNJ8" location="'Cost Summary'!A1" display="'Cost Summary'!A1"/>
    <hyperlink ref="JNK8" location="'Cost Summary'!A1" display="'Cost Summary'!A1"/>
    <hyperlink ref="JNL8" location="'Cost Summary'!A1" display="'Cost Summary'!A1"/>
    <hyperlink ref="JNM8" location="'Cost Summary'!A1" display="'Cost Summary'!A1"/>
    <hyperlink ref="JNN8" location="'Cost Summary'!A1" display="'Cost Summary'!A1"/>
    <hyperlink ref="JNO8" location="'Cost Summary'!A1" display="'Cost Summary'!A1"/>
    <hyperlink ref="JNP8" location="'Cost Summary'!A1" display="'Cost Summary'!A1"/>
    <hyperlink ref="JNQ8" location="'Cost Summary'!A1" display="'Cost Summary'!A1"/>
    <hyperlink ref="JNR8" location="'Cost Summary'!A1" display="'Cost Summary'!A1"/>
    <hyperlink ref="JNS8" location="'Cost Summary'!A1" display="'Cost Summary'!A1"/>
    <hyperlink ref="JNT8" location="'Cost Summary'!A1" display="'Cost Summary'!A1"/>
    <hyperlink ref="JNU8" location="'Cost Summary'!A1" display="'Cost Summary'!A1"/>
    <hyperlink ref="JNV8" location="'Cost Summary'!A1" display="'Cost Summary'!A1"/>
    <hyperlink ref="JNW8" location="'Cost Summary'!A1" display="'Cost Summary'!A1"/>
    <hyperlink ref="JNX8" location="'Cost Summary'!A1" display="'Cost Summary'!A1"/>
    <hyperlink ref="JNY8" location="'Cost Summary'!A1" display="'Cost Summary'!A1"/>
    <hyperlink ref="JNZ8" location="'Cost Summary'!A1" display="'Cost Summary'!A1"/>
    <hyperlink ref="JOA8" location="'Cost Summary'!A1" display="'Cost Summary'!A1"/>
    <hyperlink ref="JOB8" location="'Cost Summary'!A1" display="'Cost Summary'!A1"/>
    <hyperlink ref="JOC8" location="'Cost Summary'!A1" display="'Cost Summary'!A1"/>
    <hyperlink ref="JOD8" location="'Cost Summary'!A1" display="'Cost Summary'!A1"/>
    <hyperlink ref="JOE8" location="'Cost Summary'!A1" display="'Cost Summary'!A1"/>
    <hyperlink ref="JOF8" location="'Cost Summary'!A1" display="'Cost Summary'!A1"/>
    <hyperlink ref="JOG8" location="'Cost Summary'!A1" display="'Cost Summary'!A1"/>
    <hyperlink ref="JOH8" location="'Cost Summary'!A1" display="'Cost Summary'!A1"/>
    <hyperlink ref="JOI8" location="'Cost Summary'!A1" display="'Cost Summary'!A1"/>
    <hyperlink ref="JOJ8" location="'Cost Summary'!A1" display="'Cost Summary'!A1"/>
    <hyperlink ref="JOK8" location="'Cost Summary'!A1" display="'Cost Summary'!A1"/>
    <hyperlink ref="JOL8" location="'Cost Summary'!A1" display="'Cost Summary'!A1"/>
    <hyperlink ref="JOM8" location="'Cost Summary'!A1" display="'Cost Summary'!A1"/>
    <hyperlink ref="JON8" location="'Cost Summary'!A1" display="'Cost Summary'!A1"/>
    <hyperlink ref="JOO8" location="'Cost Summary'!A1" display="'Cost Summary'!A1"/>
    <hyperlink ref="JOP8" location="'Cost Summary'!A1" display="'Cost Summary'!A1"/>
    <hyperlink ref="JOQ8" location="'Cost Summary'!A1" display="'Cost Summary'!A1"/>
    <hyperlink ref="JOR8" location="'Cost Summary'!A1" display="'Cost Summary'!A1"/>
    <hyperlink ref="JOS8" location="'Cost Summary'!A1" display="'Cost Summary'!A1"/>
    <hyperlink ref="JOT8" location="'Cost Summary'!A1" display="'Cost Summary'!A1"/>
    <hyperlink ref="JOU8" location="'Cost Summary'!A1" display="'Cost Summary'!A1"/>
    <hyperlink ref="JOV8" location="'Cost Summary'!A1" display="'Cost Summary'!A1"/>
    <hyperlink ref="JOW8" location="'Cost Summary'!A1" display="'Cost Summary'!A1"/>
    <hyperlink ref="JOX8" location="'Cost Summary'!A1" display="'Cost Summary'!A1"/>
    <hyperlink ref="JOY8" location="'Cost Summary'!A1" display="'Cost Summary'!A1"/>
    <hyperlink ref="JOZ8" location="'Cost Summary'!A1" display="'Cost Summary'!A1"/>
    <hyperlink ref="JPA8" location="'Cost Summary'!A1" display="'Cost Summary'!A1"/>
    <hyperlink ref="JPB8" location="'Cost Summary'!A1" display="'Cost Summary'!A1"/>
    <hyperlink ref="JPC8" location="'Cost Summary'!A1" display="'Cost Summary'!A1"/>
    <hyperlink ref="JPD8" location="'Cost Summary'!A1" display="'Cost Summary'!A1"/>
    <hyperlink ref="JPE8" location="'Cost Summary'!A1" display="'Cost Summary'!A1"/>
    <hyperlink ref="JPF8" location="'Cost Summary'!A1" display="'Cost Summary'!A1"/>
    <hyperlink ref="JPG8" location="'Cost Summary'!A1" display="'Cost Summary'!A1"/>
    <hyperlink ref="JPH8" location="'Cost Summary'!A1" display="'Cost Summary'!A1"/>
    <hyperlink ref="JPI8" location="'Cost Summary'!A1" display="'Cost Summary'!A1"/>
    <hyperlink ref="JPJ8" location="'Cost Summary'!A1" display="'Cost Summary'!A1"/>
    <hyperlink ref="JPK8" location="'Cost Summary'!A1" display="'Cost Summary'!A1"/>
    <hyperlink ref="JPL8" location="'Cost Summary'!A1" display="'Cost Summary'!A1"/>
    <hyperlink ref="JPM8" location="'Cost Summary'!A1" display="'Cost Summary'!A1"/>
    <hyperlink ref="JPN8" location="'Cost Summary'!A1" display="'Cost Summary'!A1"/>
    <hyperlink ref="JPO8" location="'Cost Summary'!A1" display="'Cost Summary'!A1"/>
    <hyperlink ref="JPP8" location="'Cost Summary'!A1" display="'Cost Summary'!A1"/>
    <hyperlink ref="JPQ8" location="'Cost Summary'!A1" display="'Cost Summary'!A1"/>
    <hyperlink ref="JPR8" location="'Cost Summary'!A1" display="'Cost Summary'!A1"/>
    <hyperlink ref="JPS8" location="'Cost Summary'!A1" display="'Cost Summary'!A1"/>
    <hyperlink ref="JPT8" location="'Cost Summary'!A1" display="'Cost Summary'!A1"/>
    <hyperlink ref="JPU8" location="'Cost Summary'!A1" display="'Cost Summary'!A1"/>
    <hyperlink ref="JPV8" location="'Cost Summary'!A1" display="'Cost Summary'!A1"/>
    <hyperlink ref="JPW8" location="'Cost Summary'!A1" display="'Cost Summary'!A1"/>
    <hyperlink ref="JPX8" location="'Cost Summary'!A1" display="'Cost Summary'!A1"/>
    <hyperlink ref="JPY8" location="'Cost Summary'!A1" display="'Cost Summary'!A1"/>
    <hyperlink ref="JPZ8" location="'Cost Summary'!A1" display="'Cost Summary'!A1"/>
    <hyperlink ref="JQA8" location="'Cost Summary'!A1" display="'Cost Summary'!A1"/>
    <hyperlink ref="JQB8" location="'Cost Summary'!A1" display="'Cost Summary'!A1"/>
    <hyperlink ref="JQC8" location="'Cost Summary'!A1" display="'Cost Summary'!A1"/>
    <hyperlink ref="JQD8" location="'Cost Summary'!A1" display="'Cost Summary'!A1"/>
    <hyperlink ref="JQE8" location="'Cost Summary'!A1" display="'Cost Summary'!A1"/>
    <hyperlink ref="JQF8" location="'Cost Summary'!A1" display="'Cost Summary'!A1"/>
    <hyperlink ref="JQG8" location="'Cost Summary'!A1" display="'Cost Summary'!A1"/>
    <hyperlink ref="JQH8" location="'Cost Summary'!A1" display="'Cost Summary'!A1"/>
    <hyperlink ref="JQI8" location="'Cost Summary'!A1" display="'Cost Summary'!A1"/>
    <hyperlink ref="JQJ8" location="'Cost Summary'!A1" display="'Cost Summary'!A1"/>
    <hyperlink ref="JQK8" location="'Cost Summary'!A1" display="'Cost Summary'!A1"/>
    <hyperlink ref="JQL8" location="'Cost Summary'!A1" display="'Cost Summary'!A1"/>
    <hyperlink ref="JQM8" location="'Cost Summary'!A1" display="'Cost Summary'!A1"/>
    <hyperlink ref="JQN8" location="'Cost Summary'!A1" display="'Cost Summary'!A1"/>
    <hyperlink ref="JQO8" location="'Cost Summary'!A1" display="'Cost Summary'!A1"/>
    <hyperlink ref="JQP8" location="'Cost Summary'!A1" display="'Cost Summary'!A1"/>
    <hyperlink ref="JQQ8" location="'Cost Summary'!A1" display="'Cost Summary'!A1"/>
    <hyperlink ref="JQR8" location="'Cost Summary'!A1" display="'Cost Summary'!A1"/>
    <hyperlink ref="JQS8" location="'Cost Summary'!A1" display="'Cost Summary'!A1"/>
    <hyperlink ref="JQT8" location="'Cost Summary'!A1" display="'Cost Summary'!A1"/>
    <hyperlink ref="JQU8" location="'Cost Summary'!A1" display="'Cost Summary'!A1"/>
    <hyperlink ref="JQV8" location="'Cost Summary'!A1" display="'Cost Summary'!A1"/>
    <hyperlink ref="JQW8" location="'Cost Summary'!A1" display="'Cost Summary'!A1"/>
    <hyperlink ref="JQX8" location="'Cost Summary'!A1" display="'Cost Summary'!A1"/>
    <hyperlink ref="JQY8" location="'Cost Summary'!A1" display="'Cost Summary'!A1"/>
    <hyperlink ref="JQZ8" location="'Cost Summary'!A1" display="'Cost Summary'!A1"/>
    <hyperlink ref="JRA8" location="'Cost Summary'!A1" display="'Cost Summary'!A1"/>
    <hyperlink ref="JRB8" location="'Cost Summary'!A1" display="'Cost Summary'!A1"/>
    <hyperlink ref="JRC8" location="'Cost Summary'!A1" display="'Cost Summary'!A1"/>
    <hyperlink ref="JRD8" location="'Cost Summary'!A1" display="'Cost Summary'!A1"/>
    <hyperlink ref="JRE8" location="'Cost Summary'!A1" display="'Cost Summary'!A1"/>
    <hyperlink ref="JRF8" location="'Cost Summary'!A1" display="'Cost Summary'!A1"/>
    <hyperlink ref="JRG8" location="'Cost Summary'!A1" display="'Cost Summary'!A1"/>
    <hyperlink ref="JRH8" location="'Cost Summary'!A1" display="'Cost Summary'!A1"/>
    <hyperlink ref="JRI8" location="'Cost Summary'!A1" display="'Cost Summary'!A1"/>
    <hyperlink ref="JRJ8" location="'Cost Summary'!A1" display="'Cost Summary'!A1"/>
    <hyperlink ref="JRK8" location="'Cost Summary'!A1" display="'Cost Summary'!A1"/>
    <hyperlink ref="JRL8" location="'Cost Summary'!A1" display="'Cost Summary'!A1"/>
    <hyperlink ref="JRM8" location="'Cost Summary'!A1" display="'Cost Summary'!A1"/>
    <hyperlink ref="JRN8" location="'Cost Summary'!A1" display="'Cost Summary'!A1"/>
    <hyperlink ref="JRO8" location="'Cost Summary'!A1" display="'Cost Summary'!A1"/>
    <hyperlink ref="JRP8" location="'Cost Summary'!A1" display="'Cost Summary'!A1"/>
    <hyperlink ref="JRQ8" location="'Cost Summary'!A1" display="'Cost Summary'!A1"/>
    <hyperlink ref="JRR8" location="'Cost Summary'!A1" display="'Cost Summary'!A1"/>
    <hyperlink ref="JRS8" location="'Cost Summary'!A1" display="'Cost Summary'!A1"/>
    <hyperlink ref="JRT8" location="'Cost Summary'!A1" display="'Cost Summary'!A1"/>
    <hyperlink ref="JRU8" location="'Cost Summary'!A1" display="'Cost Summary'!A1"/>
    <hyperlink ref="JRV8" location="'Cost Summary'!A1" display="'Cost Summary'!A1"/>
    <hyperlink ref="JRW8" location="'Cost Summary'!A1" display="'Cost Summary'!A1"/>
    <hyperlink ref="JRX8" location="'Cost Summary'!A1" display="'Cost Summary'!A1"/>
    <hyperlink ref="JRY8" location="'Cost Summary'!A1" display="'Cost Summary'!A1"/>
    <hyperlink ref="JRZ8" location="'Cost Summary'!A1" display="'Cost Summary'!A1"/>
    <hyperlink ref="JSA8" location="'Cost Summary'!A1" display="'Cost Summary'!A1"/>
    <hyperlink ref="JSB8" location="'Cost Summary'!A1" display="'Cost Summary'!A1"/>
    <hyperlink ref="JSC8" location="'Cost Summary'!A1" display="'Cost Summary'!A1"/>
    <hyperlink ref="JSD8" location="'Cost Summary'!A1" display="'Cost Summary'!A1"/>
    <hyperlink ref="JSE8" location="'Cost Summary'!A1" display="'Cost Summary'!A1"/>
    <hyperlink ref="JSF8" location="'Cost Summary'!A1" display="'Cost Summary'!A1"/>
    <hyperlink ref="JSG8" location="'Cost Summary'!A1" display="'Cost Summary'!A1"/>
    <hyperlink ref="JSH8" location="'Cost Summary'!A1" display="'Cost Summary'!A1"/>
    <hyperlink ref="JSI8" location="'Cost Summary'!A1" display="'Cost Summary'!A1"/>
    <hyperlink ref="JSJ8" location="'Cost Summary'!A1" display="'Cost Summary'!A1"/>
    <hyperlink ref="JSK8" location="'Cost Summary'!A1" display="'Cost Summary'!A1"/>
    <hyperlink ref="JSL8" location="'Cost Summary'!A1" display="'Cost Summary'!A1"/>
    <hyperlink ref="JSM8" location="'Cost Summary'!A1" display="'Cost Summary'!A1"/>
    <hyperlink ref="JSN8" location="'Cost Summary'!A1" display="'Cost Summary'!A1"/>
    <hyperlink ref="JSO8" location="'Cost Summary'!A1" display="'Cost Summary'!A1"/>
    <hyperlink ref="JSP8" location="'Cost Summary'!A1" display="'Cost Summary'!A1"/>
    <hyperlink ref="JSQ8" location="'Cost Summary'!A1" display="'Cost Summary'!A1"/>
    <hyperlink ref="JSR8" location="'Cost Summary'!A1" display="'Cost Summary'!A1"/>
    <hyperlink ref="JSS8" location="'Cost Summary'!A1" display="'Cost Summary'!A1"/>
    <hyperlink ref="JST8" location="'Cost Summary'!A1" display="'Cost Summary'!A1"/>
    <hyperlink ref="JSU8" location="'Cost Summary'!A1" display="'Cost Summary'!A1"/>
    <hyperlink ref="JSV8" location="'Cost Summary'!A1" display="'Cost Summary'!A1"/>
    <hyperlink ref="JSW8" location="'Cost Summary'!A1" display="'Cost Summary'!A1"/>
    <hyperlink ref="JSX8" location="'Cost Summary'!A1" display="'Cost Summary'!A1"/>
    <hyperlink ref="JSY8" location="'Cost Summary'!A1" display="'Cost Summary'!A1"/>
    <hyperlink ref="JSZ8" location="'Cost Summary'!A1" display="'Cost Summary'!A1"/>
    <hyperlink ref="JTA8" location="'Cost Summary'!A1" display="'Cost Summary'!A1"/>
    <hyperlink ref="JTB8" location="'Cost Summary'!A1" display="'Cost Summary'!A1"/>
    <hyperlink ref="JTC8" location="'Cost Summary'!A1" display="'Cost Summary'!A1"/>
    <hyperlink ref="JTD8" location="'Cost Summary'!A1" display="'Cost Summary'!A1"/>
    <hyperlink ref="JTE8" location="'Cost Summary'!A1" display="'Cost Summary'!A1"/>
    <hyperlink ref="JTF8" location="'Cost Summary'!A1" display="'Cost Summary'!A1"/>
    <hyperlink ref="JTG8" location="'Cost Summary'!A1" display="'Cost Summary'!A1"/>
    <hyperlink ref="JTH8" location="'Cost Summary'!A1" display="'Cost Summary'!A1"/>
    <hyperlink ref="JTI8" location="'Cost Summary'!A1" display="'Cost Summary'!A1"/>
    <hyperlink ref="JTJ8" location="'Cost Summary'!A1" display="'Cost Summary'!A1"/>
    <hyperlink ref="JTK8" location="'Cost Summary'!A1" display="'Cost Summary'!A1"/>
    <hyperlink ref="JTL8" location="'Cost Summary'!A1" display="'Cost Summary'!A1"/>
    <hyperlink ref="JTM8" location="'Cost Summary'!A1" display="'Cost Summary'!A1"/>
    <hyperlink ref="JTN8" location="'Cost Summary'!A1" display="'Cost Summary'!A1"/>
    <hyperlink ref="JTO8" location="'Cost Summary'!A1" display="'Cost Summary'!A1"/>
    <hyperlink ref="JTP8" location="'Cost Summary'!A1" display="'Cost Summary'!A1"/>
    <hyperlink ref="JTQ8" location="'Cost Summary'!A1" display="'Cost Summary'!A1"/>
    <hyperlink ref="JTR8" location="'Cost Summary'!A1" display="'Cost Summary'!A1"/>
    <hyperlink ref="JTS8" location="'Cost Summary'!A1" display="'Cost Summary'!A1"/>
    <hyperlink ref="JTT8" location="'Cost Summary'!A1" display="'Cost Summary'!A1"/>
    <hyperlink ref="JTU8" location="'Cost Summary'!A1" display="'Cost Summary'!A1"/>
    <hyperlink ref="JTV8" location="'Cost Summary'!A1" display="'Cost Summary'!A1"/>
    <hyperlink ref="JTW8" location="'Cost Summary'!A1" display="'Cost Summary'!A1"/>
    <hyperlink ref="JTX8" location="'Cost Summary'!A1" display="'Cost Summary'!A1"/>
    <hyperlink ref="JTY8" location="'Cost Summary'!A1" display="'Cost Summary'!A1"/>
    <hyperlink ref="JTZ8" location="'Cost Summary'!A1" display="'Cost Summary'!A1"/>
    <hyperlink ref="JUA8" location="'Cost Summary'!A1" display="'Cost Summary'!A1"/>
    <hyperlink ref="JUB8" location="'Cost Summary'!A1" display="'Cost Summary'!A1"/>
    <hyperlink ref="JUC8" location="'Cost Summary'!A1" display="'Cost Summary'!A1"/>
    <hyperlink ref="JUD8" location="'Cost Summary'!A1" display="'Cost Summary'!A1"/>
    <hyperlink ref="JUE8" location="'Cost Summary'!A1" display="'Cost Summary'!A1"/>
    <hyperlink ref="JUF8" location="'Cost Summary'!A1" display="'Cost Summary'!A1"/>
    <hyperlink ref="JUG8" location="'Cost Summary'!A1" display="'Cost Summary'!A1"/>
    <hyperlink ref="JUH8" location="'Cost Summary'!A1" display="'Cost Summary'!A1"/>
    <hyperlink ref="JUI8" location="'Cost Summary'!A1" display="'Cost Summary'!A1"/>
    <hyperlink ref="JUJ8" location="'Cost Summary'!A1" display="'Cost Summary'!A1"/>
    <hyperlink ref="JUK8" location="'Cost Summary'!A1" display="'Cost Summary'!A1"/>
    <hyperlink ref="JUL8" location="'Cost Summary'!A1" display="'Cost Summary'!A1"/>
    <hyperlink ref="JUM8" location="'Cost Summary'!A1" display="'Cost Summary'!A1"/>
    <hyperlink ref="JUN8" location="'Cost Summary'!A1" display="'Cost Summary'!A1"/>
    <hyperlink ref="JUO8" location="'Cost Summary'!A1" display="'Cost Summary'!A1"/>
    <hyperlink ref="JUP8" location="'Cost Summary'!A1" display="'Cost Summary'!A1"/>
    <hyperlink ref="JUQ8" location="'Cost Summary'!A1" display="'Cost Summary'!A1"/>
    <hyperlink ref="JUR8" location="'Cost Summary'!A1" display="'Cost Summary'!A1"/>
    <hyperlink ref="JUS8" location="'Cost Summary'!A1" display="'Cost Summary'!A1"/>
    <hyperlink ref="JUT8" location="'Cost Summary'!A1" display="'Cost Summary'!A1"/>
    <hyperlink ref="JUU8" location="'Cost Summary'!A1" display="'Cost Summary'!A1"/>
    <hyperlink ref="JUV8" location="'Cost Summary'!A1" display="'Cost Summary'!A1"/>
    <hyperlink ref="JUW8" location="'Cost Summary'!A1" display="'Cost Summary'!A1"/>
    <hyperlink ref="JUX8" location="'Cost Summary'!A1" display="'Cost Summary'!A1"/>
    <hyperlink ref="JUY8" location="'Cost Summary'!A1" display="'Cost Summary'!A1"/>
    <hyperlink ref="JUZ8" location="'Cost Summary'!A1" display="'Cost Summary'!A1"/>
    <hyperlink ref="JVA8" location="'Cost Summary'!A1" display="'Cost Summary'!A1"/>
    <hyperlink ref="JVB8" location="'Cost Summary'!A1" display="'Cost Summary'!A1"/>
    <hyperlink ref="JVC8" location="'Cost Summary'!A1" display="'Cost Summary'!A1"/>
    <hyperlink ref="JVD8" location="'Cost Summary'!A1" display="'Cost Summary'!A1"/>
    <hyperlink ref="JVE8" location="'Cost Summary'!A1" display="'Cost Summary'!A1"/>
    <hyperlink ref="JVF8" location="'Cost Summary'!A1" display="'Cost Summary'!A1"/>
    <hyperlink ref="JVG8" location="'Cost Summary'!A1" display="'Cost Summary'!A1"/>
    <hyperlink ref="JVH8" location="'Cost Summary'!A1" display="'Cost Summary'!A1"/>
    <hyperlink ref="JVI8" location="'Cost Summary'!A1" display="'Cost Summary'!A1"/>
    <hyperlink ref="JVJ8" location="'Cost Summary'!A1" display="'Cost Summary'!A1"/>
    <hyperlink ref="JVK8" location="'Cost Summary'!A1" display="'Cost Summary'!A1"/>
    <hyperlink ref="JVL8" location="'Cost Summary'!A1" display="'Cost Summary'!A1"/>
    <hyperlink ref="JVM8" location="'Cost Summary'!A1" display="'Cost Summary'!A1"/>
    <hyperlink ref="JVN8" location="'Cost Summary'!A1" display="'Cost Summary'!A1"/>
    <hyperlink ref="JVO8" location="'Cost Summary'!A1" display="'Cost Summary'!A1"/>
    <hyperlink ref="JVP8" location="'Cost Summary'!A1" display="'Cost Summary'!A1"/>
    <hyperlink ref="JVQ8" location="'Cost Summary'!A1" display="'Cost Summary'!A1"/>
    <hyperlink ref="JVR8" location="'Cost Summary'!A1" display="'Cost Summary'!A1"/>
    <hyperlink ref="JVS8" location="'Cost Summary'!A1" display="'Cost Summary'!A1"/>
    <hyperlink ref="JVT8" location="'Cost Summary'!A1" display="'Cost Summary'!A1"/>
    <hyperlink ref="JVU8" location="'Cost Summary'!A1" display="'Cost Summary'!A1"/>
    <hyperlink ref="JVV8" location="'Cost Summary'!A1" display="'Cost Summary'!A1"/>
    <hyperlink ref="JVW8" location="'Cost Summary'!A1" display="'Cost Summary'!A1"/>
    <hyperlink ref="JVX8" location="'Cost Summary'!A1" display="'Cost Summary'!A1"/>
    <hyperlink ref="JVY8" location="'Cost Summary'!A1" display="'Cost Summary'!A1"/>
    <hyperlink ref="JVZ8" location="'Cost Summary'!A1" display="'Cost Summary'!A1"/>
    <hyperlink ref="JWA8" location="'Cost Summary'!A1" display="'Cost Summary'!A1"/>
    <hyperlink ref="JWB8" location="'Cost Summary'!A1" display="'Cost Summary'!A1"/>
    <hyperlink ref="JWC8" location="'Cost Summary'!A1" display="'Cost Summary'!A1"/>
    <hyperlink ref="JWD8" location="'Cost Summary'!A1" display="'Cost Summary'!A1"/>
    <hyperlink ref="JWE8" location="'Cost Summary'!A1" display="'Cost Summary'!A1"/>
    <hyperlink ref="JWF8" location="'Cost Summary'!A1" display="'Cost Summary'!A1"/>
    <hyperlink ref="JWG8" location="'Cost Summary'!A1" display="'Cost Summary'!A1"/>
    <hyperlink ref="JWH8" location="'Cost Summary'!A1" display="'Cost Summary'!A1"/>
    <hyperlink ref="JWI8" location="'Cost Summary'!A1" display="'Cost Summary'!A1"/>
    <hyperlink ref="JWJ8" location="'Cost Summary'!A1" display="'Cost Summary'!A1"/>
    <hyperlink ref="JWK8" location="'Cost Summary'!A1" display="'Cost Summary'!A1"/>
    <hyperlink ref="JWL8" location="'Cost Summary'!A1" display="'Cost Summary'!A1"/>
    <hyperlink ref="JWM8" location="'Cost Summary'!A1" display="'Cost Summary'!A1"/>
    <hyperlink ref="JWN8" location="'Cost Summary'!A1" display="'Cost Summary'!A1"/>
    <hyperlink ref="JWO8" location="'Cost Summary'!A1" display="'Cost Summary'!A1"/>
    <hyperlink ref="JWP8" location="'Cost Summary'!A1" display="'Cost Summary'!A1"/>
    <hyperlink ref="JWQ8" location="'Cost Summary'!A1" display="'Cost Summary'!A1"/>
    <hyperlink ref="JWR8" location="'Cost Summary'!A1" display="'Cost Summary'!A1"/>
    <hyperlink ref="JWS8" location="'Cost Summary'!A1" display="'Cost Summary'!A1"/>
    <hyperlink ref="JWT8" location="'Cost Summary'!A1" display="'Cost Summary'!A1"/>
    <hyperlink ref="JWU8" location="'Cost Summary'!A1" display="'Cost Summary'!A1"/>
    <hyperlink ref="JWV8" location="'Cost Summary'!A1" display="'Cost Summary'!A1"/>
    <hyperlink ref="JWW8" location="'Cost Summary'!A1" display="'Cost Summary'!A1"/>
    <hyperlink ref="JWX8" location="'Cost Summary'!A1" display="'Cost Summary'!A1"/>
    <hyperlink ref="JWY8" location="'Cost Summary'!A1" display="'Cost Summary'!A1"/>
    <hyperlink ref="JWZ8" location="'Cost Summary'!A1" display="'Cost Summary'!A1"/>
    <hyperlink ref="JXA8" location="'Cost Summary'!A1" display="'Cost Summary'!A1"/>
    <hyperlink ref="JXB8" location="'Cost Summary'!A1" display="'Cost Summary'!A1"/>
    <hyperlink ref="JXC8" location="'Cost Summary'!A1" display="'Cost Summary'!A1"/>
    <hyperlink ref="JXD8" location="'Cost Summary'!A1" display="'Cost Summary'!A1"/>
    <hyperlink ref="JXE8" location="'Cost Summary'!A1" display="'Cost Summary'!A1"/>
    <hyperlink ref="JXF8" location="'Cost Summary'!A1" display="'Cost Summary'!A1"/>
    <hyperlink ref="JXG8" location="'Cost Summary'!A1" display="'Cost Summary'!A1"/>
    <hyperlink ref="JXH8" location="'Cost Summary'!A1" display="'Cost Summary'!A1"/>
    <hyperlink ref="JXI8" location="'Cost Summary'!A1" display="'Cost Summary'!A1"/>
    <hyperlink ref="JXJ8" location="'Cost Summary'!A1" display="'Cost Summary'!A1"/>
    <hyperlink ref="JXK8" location="'Cost Summary'!A1" display="'Cost Summary'!A1"/>
    <hyperlink ref="JXL8" location="'Cost Summary'!A1" display="'Cost Summary'!A1"/>
    <hyperlink ref="JXM8" location="'Cost Summary'!A1" display="'Cost Summary'!A1"/>
    <hyperlink ref="JXN8" location="'Cost Summary'!A1" display="'Cost Summary'!A1"/>
    <hyperlink ref="JXO8" location="'Cost Summary'!A1" display="'Cost Summary'!A1"/>
    <hyperlink ref="JXP8" location="'Cost Summary'!A1" display="'Cost Summary'!A1"/>
    <hyperlink ref="JXQ8" location="'Cost Summary'!A1" display="'Cost Summary'!A1"/>
    <hyperlink ref="JXR8" location="'Cost Summary'!A1" display="'Cost Summary'!A1"/>
    <hyperlink ref="JXS8" location="'Cost Summary'!A1" display="'Cost Summary'!A1"/>
    <hyperlink ref="JXT8" location="'Cost Summary'!A1" display="'Cost Summary'!A1"/>
    <hyperlink ref="JXU8" location="'Cost Summary'!A1" display="'Cost Summary'!A1"/>
    <hyperlink ref="JXV8" location="'Cost Summary'!A1" display="'Cost Summary'!A1"/>
    <hyperlink ref="JXW8" location="'Cost Summary'!A1" display="'Cost Summary'!A1"/>
    <hyperlink ref="JXX8" location="'Cost Summary'!A1" display="'Cost Summary'!A1"/>
    <hyperlink ref="JXY8" location="'Cost Summary'!A1" display="'Cost Summary'!A1"/>
    <hyperlink ref="JXZ8" location="'Cost Summary'!A1" display="'Cost Summary'!A1"/>
    <hyperlink ref="JYA8" location="'Cost Summary'!A1" display="'Cost Summary'!A1"/>
    <hyperlink ref="JYB8" location="'Cost Summary'!A1" display="'Cost Summary'!A1"/>
    <hyperlink ref="JYC8" location="'Cost Summary'!A1" display="'Cost Summary'!A1"/>
    <hyperlink ref="JYD8" location="'Cost Summary'!A1" display="'Cost Summary'!A1"/>
    <hyperlink ref="JYE8" location="'Cost Summary'!A1" display="'Cost Summary'!A1"/>
    <hyperlink ref="JYF8" location="'Cost Summary'!A1" display="'Cost Summary'!A1"/>
    <hyperlink ref="JYG8" location="'Cost Summary'!A1" display="'Cost Summary'!A1"/>
    <hyperlink ref="JYH8" location="'Cost Summary'!A1" display="'Cost Summary'!A1"/>
    <hyperlink ref="JYI8" location="'Cost Summary'!A1" display="'Cost Summary'!A1"/>
    <hyperlink ref="JYJ8" location="'Cost Summary'!A1" display="'Cost Summary'!A1"/>
    <hyperlink ref="JYK8" location="'Cost Summary'!A1" display="'Cost Summary'!A1"/>
    <hyperlink ref="JYL8" location="'Cost Summary'!A1" display="'Cost Summary'!A1"/>
    <hyperlink ref="JYM8" location="'Cost Summary'!A1" display="'Cost Summary'!A1"/>
    <hyperlink ref="JYN8" location="'Cost Summary'!A1" display="'Cost Summary'!A1"/>
    <hyperlink ref="JYO8" location="'Cost Summary'!A1" display="'Cost Summary'!A1"/>
    <hyperlink ref="JYP8" location="'Cost Summary'!A1" display="'Cost Summary'!A1"/>
    <hyperlink ref="JYQ8" location="'Cost Summary'!A1" display="'Cost Summary'!A1"/>
    <hyperlink ref="JYR8" location="'Cost Summary'!A1" display="'Cost Summary'!A1"/>
    <hyperlink ref="JYS8" location="'Cost Summary'!A1" display="'Cost Summary'!A1"/>
    <hyperlink ref="JYT8" location="'Cost Summary'!A1" display="'Cost Summary'!A1"/>
    <hyperlink ref="JYU8" location="'Cost Summary'!A1" display="'Cost Summary'!A1"/>
    <hyperlink ref="JYV8" location="'Cost Summary'!A1" display="'Cost Summary'!A1"/>
    <hyperlink ref="JYW8" location="'Cost Summary'!A1" display="'Cost Summary'!A1"/>
    <hyperlink ref="JYX8" location="'Cost Summary'!A1" display="'Cost Summary'!A1"/>
    <hyperlink ref="JYY8" location="'Cost Summary'!A1" display="'Cost Summary'!A1"/>
    <hyperlink ref="JYZ8" location="'Cost Summary'!A1" display="'Cost Summary'!A1"/>
    <hyperlink ref="JZA8" location="'Cost Summary'!A1" display="'Cost Summary'!A1"/>
    <hyperlink ref="JZB8" location="'Cost Summary'!A1" display="'Cost Summary'!A1"/>
    <hyperlink ref="JZC8" location="'Cost Summary'!A1" display="'Cost Summary'!A1"/>
    <hyperlink ref="JZD8" location="'Cost Summary'!A1" display="'Cost Summary'!A1"/>
    <hyperlink ref="JZE8" location="'Cost Summary'!A1" display="'Cost Summary'!A1"/>
    <hyperlink ref="JZF8" location="'Cost Summary'!A1" display="'Cost Summary'!A1"/>
    <hyperlink ref="JZG8" location="'Cost Summary'!A1" display="'Cost Summary'!A1"/>
    <hyperlink ref="JZH8" location="'Cost Summary'!A1" display="'Cost Summary'!A1"/>
    <hyperlink ref="JZI8" location="'Cost Summary'!A1" display="'Cost Summary'!A1"/>
    <hyperlink ref="JZJ8" location="'Cost Summary'!A1" display="'Cost Summary'!A1"/>
    <hyperlink ref="JZK8" location="'Cost Summary'!A1" display="'Cost Summary'!A1"/>
    <hyperlink ref="JZL8" location="'Cost Summary'!A1" display="'Cost Summary'!A1"/>
    <hyperlink ref="JZM8" location="'Cost Summary'!A1" display="'Cost Summary'!A1"/>
    <hyperlink ref="JZN8" location="'Cost Summary'!A1" display="'Cost Summary'!A1"/>
    <hyperlink ref="JZO8" location="'Cost Summary'!A1" display="'Cost Summary'!A1"/>
    <hyperlink ref="JZP8" location="'Cost Summary'!A1" display="'Cost Summary'!A1"/>
    <hyperlink ref="JZQ8" location="'Cost Summary'!A1" display="'Cost Summary'!A1"/>
    <hyperlink ref="JZR8" location="'Cost Summary'!A1" display="'Cost Summary'!A1"/>
    <hyperlink ref="JZS8" location="'Cost Summary'!A1" display="'Cost Summary'!A1"/>
    <hyperlink ref="JZT8" location="'Cost Summary'!A1" display="'Cost Summary'!A1"/>
    <hyperlink ref="JZU8" location="'Cost Summary'!A1" display="'Cost Summary'!A1"/>
    <hyperlink ref="JZV8" location="'Cost Summary'!A1" display="'Cost Summary'!A1"/>
    <hyperlink ref="JZW8" location="'Cost Summary'!A1" display="'Cost Summary'!A1"/>
    <hyperlink ref="JZX8" location="'Cost Summary'!A1" display="'Cost Summary'!A1"/>
    <hyperlink ref="JZY8" location="'Cost Summary'!A1" display="'Cost Summary'!A1"/>
    <hyperlink ref="JZZ8" location="'Cost Summary'!A1" display="'Cost Summary'!A1"/>
    <hyperlink ref="KAA8" location="'Cost Summary'!A1" display="'Cost Summary'!A1"/>
    <hyperlink ref="KAB8" location="'Cost Summary'!A1" display="'Cost Summary'!A1"/>
    <hyperlink ref="KAC8" location="'Cost Summary'!A1" display="'Cost Summary'!A1"/>
    <hyperlink ref="KAD8" location="'Cost Summary'!A1" display="'Cost Summary'!A1"/>
    <hyperlink ref="KAE8" location="'Cost Summary'!A1" display="'Cost Summary'!A1"/>
    <hyperlink ref="KAF8" location="'Cost Summary'!A1" display="'Cost Summary'!A1"/>
    <hyperlink ref="KAG8" location="'Cost Summary'!A1" display="'Cost Summary'!A1"/>
    <hyperlink ref="KAH8" location="'Cost Summary'!A1" display="'Cost Summary'!A1"/>
    <hyperlink ref="KAI8" location="'Cost Summary'!A1" display="'Cost Summary'!A1"/>
    <hyperlink ref="KAJ8" location="'Cost Summary'!A1" display="'Cost Summary'!A1"/>
    <hyperlink ref="KAK8" location="'Cost Summary'!A1" display="'Cost Summary'!A1"/>
    <hyperlink ref="KAL8" location="'Cost Summary'!A1" display="'Cost Summary'!A1"/>
    <hyperlink ref="KAM8" location="'Cost Summary'!A1" display="'Cost Summary'!A1"/>
    <hyperlink ref="KAN8" location="'Cost Summary'!A1" display="'Cost Summary'!A1"/>
    <hyperlink ref="KAO8" location="'Cost Summary'!A1" display="'Cost Summary'!A1"/>
    <hyperlink ref="KAP8" location="'Cost Summary'!A1" display="'Cost Summary'!A1"/>
    <hyperlink ref="KAQ8" location="'Cost Summary'!A1" display="'Cost Summary'!A1"/>
    <hyperlink ref="KAR8" location="'Cost Summary'!A1" display="'Cost Summary'!A1"/>
    <hyperlink ref="KAS8" location="'Cost Summary'!A1" display="'Cost Summary'!A1"/>
    <hyperlink ref="KAT8" location="'Cost Summary'!A1" display="'Cost Summary'!A1"/>
    <hyperlink ref="KAU8" location="'Cost Summary'!A1" display="'Cost Summary'!A1"/>
    <hyperlink ref="KAV8" location="'Cost Summary'!A1" display="'Cost Summary'!A1"/>
    <hyperlink ref="KAW8" location="'Cost Summary'!A1" display="'Cost Summary'!A1"/>
    <hyperlink ref="KAX8" location="'Cost Summary'!A1" display="'Cost Summary'!A1"/>
    <hyperlink ref="KAY8" location="'Cost Summary'!A1" display="'Cost Summary'!A1"/>
    <hyperlink ref="KAZ8" location="'Cost Summary'!A1" display="'Cost Summary'!A1"/>
    <hyperlink ref="KBA8" location="'Cost Summary'!A1" display="'Cost Summary'!A1"/>
    <hyperlink ref="KBB8" location="'Cost Summary'!A1" display="'Cost Summary'!A1"/>
    <hyperlink ref="KBC8" location="'Cost Summary'!A1" display="'Cost Summary'!A1"/>
    <hyperlink ref="KBD8" location="'Cost Summary'!A1" display="'Cost Summary'!A1"/>
    <hyperlink ref="KBE8" location="'Cost Summary'!A1" display="'Cost Summary'!A1"/>
    <hyperlink ref="KBF8" location="'Cost Summary'!A1" display="'Cost Summary'!A1"/>
    <hyperlink ref="KBG8" location="'Cost Summary'!A1" display="'Cost Summary'!A1"/>
    <hyperlink ref="KBH8" location="'Cost Summary'!A1" display="'Cost Summary'!A1"/>
    <hyperlink ref="KBI8" location="'Cost Summary'!A1" display="'Cost Summary'!A1"/>
    <hyperlink ref="KBJ8" location="'Cost Summary'!A1" display="'Cost Summary'!A1"/>
    <hyperlink ref="KBK8" location="'Cost Summary'!A1" display="'Cost Summary'!A1"/>
    <hyperlink ref="KBL8" location="'Cost Summary'!A1" display="'Cost Summary'!A1"/>
    <hyperlink ref="KBM8" location="'Cost Summary'!A1" display="'Cost Summary'!A1"/>
    <hyperlink ref="KBN8" location="'Cost Summary'!A1" display="'Cost Summary'!A1"/>
    <hyperlink ref="KBO8" location="'Cost Summary'!A1" display="'Cost Summary'!A1"/>
    <hyperlink ref="KBP8" location="'Cost Summary'!A1" display="'Cost Summary'!A1"/>
    <hyperlink ref="KBQ8" location="'Cost Summary'!A1" display="'Cost Summary'!A1"/>
    <hyperlink ref="KBR8" location="'Cost Summary'!A1" display="'Cost Summary'!A1"/>
    <hyperlink ref="KBS8" location="'Cost Summary'!A1" display="'Cost Summary'!A1"/>
    <hyperlink ref="KBT8" location="'Cost Summary'!A1" display="'Cost Summary'!A1"/>
    <hyperlink ref="KBU8" location="'Cost Summary'!A1" display="'Cost Summary'!A1"/>
    <hyperlink ref="KBV8" location="'Cost Summary'!A1" display="'Cost Summary'!A1"/>
    <hyperlink ref="KBW8" location="'Cost Summary'!A1" display="'Cost Summary'!A1"/>
    <hyperlink ref="KBX8" location="'Cost Summary'!A1" display="'Cost Summary'!A1"/>
    <hyperlink ref="KBY8" location="'Cost Summary'!A1" display="'Cost Summary'!A1"/>
    <hyperlink ref="KBZ8" location="'Cost Summary'!A1" display="'Cost Summary'!A1"/>
    <hyperlink ref="KCA8" location="'Cost Summary'!A1" display="'Cost Summary'!A1"/>
    <hyperlink ref="KCB8" location="'Cost Summary'!A1" display="'Cost Summary'!A1"/>
    <hyperlink ref="KCC8" location="'Cost Summary'!A1" display="'Cost Summary'!A1"/>
    <hyperlink ref="KCD8" location="'Cost Summary'!A1" display="'Cost Summary'!A1"/>
    <hyperlink ref="KCE8" location="'Cost Summary'!A1" display="'Cost Summary'!A1"/>
    <hyperlink ref="KCF8" location="'Cost Summary'!A1" display="'Cost Summary'!A1"/>
    <hyperlink ref="KCG8" location="'Cost Summary'!A1" display="'Cost Summary'!A1"/>
    <hyperlink ref="KCH8" location="'Cost Summary'!A1" display="'Cost Summary'!A1"/>
    <hyperlink ref="KCI8" location="'Cost Summary'!A1" display="'Cost Summary'!A1"/>
    <hyperlink ref="KCJ8" location="'Cost Summary'!A1" display="'Cost Summary'!A1"/>
    <hyperlink ref="KCK8" location="'Cost Summary'!A1" display="'Cost Summary'!A1"/>
    <hyperlink ref="KCL8" location="'Cost Summary'!A1" display="'Cost Summary'!A1"/>
    <hyperlink ref="KCM8" location="'Cost Summary'!A1" display="'Cost Summary'!A1"/>
    <hyperlink ref="KCN8" location="'Cost Summary'!A1" display="'Cost Summary'!A1"/>
    <hyperlink ref="KCO8" location="'Cost Summary'!A1" display="'Cost Summary'!A1"/>
    <hyperlink ref="KCP8" location="'Cost Summary'!A1" display="'Cost Summary'!A1"/>
    <hyperlink ref="KCQ8" location="'Cost Summary'!A1" display="'Cost Summary'!A1"/>
    <hyperlink ref="KCR8" location="'Cost Summary'!A1" display="'Cost Summary'!A1"/>
    <hyperlink ref="KCS8" location="'Cost Summary'!A1" display="'Cost Summary'!A1"/>
    <hyperlink ref="KCT8" location="'Cost Summary'!A1" display="'Cost Summary'!A1"/>
    <hyperlink ref="KCU8" location="'Cost Summary'!A1" display="'Cost Summary'!A1"/>
    <hyperlink ref="KCV8" location="'Cost Summary'!A1" display="'Cost Summary'!A1"/>
    <hyperlink ref="KCW8" location="'Cost Summary'!A1" display="'Cost Summary'!A1"/>
    <hyperlink ref="KCX8" location="'Cost Summary'!A1" display="'Cost Summary'!A1"/>
    <hyperlink ref="KCY8" location="'Cost Summary'!A1" display="'Cost Summary'!A1"/>
    <hyperlink ref="KCZ8" location="'Cost Summary'!A1" display="'Cost Summary'!A1"/>
    <hyperlink ref="KDA8" location="'Cost Summary'!A1" display="'Cost Summary'!A1"/>
    <hyperlink ref="KDB8" location="'Cost Summary'!A1" display="'Cost Summary'!A1"/>
    <hyperlink ref="KDC8" location="'Cost Summary'!A1" display="'Cost Summary'!A1"/>
    <hyperlink ref="KDD8" location="'Cost Summary'!A1" display="'Cost Summary'!A1"/>
    <hyperlink ref="KDE8" location="'Cost Summary'!A1" display="'Cost Summary'!A1"/>
    <hyperlink ref="KDF8" location="'Cost Summary'!A1" display="'Cost Summary'!A1"/>
    <hyperlink ref="KDG8" location="'Cost Summary'!A1" display="'Cost Summary'!A1"/>
    <hyperlink ref="KDH8" location="'Cost Summary'!A1" display="'Cost Summary'!A1"/>
    <hyperlink ref="KDI8" location="'Cost Summary'!A1" display="'Cost Summary'!A1"/>
    <hyperlink ref="KDJ8" location="'Cost Summary'!A1" display="'Cost Summary'!A1"/>
    <hyperlink ref="KDK8" location="'Cost Summary'!A1" display="'Cost Summary'!A1"/>
    <hyperlink ref="KDL8" location="'Cost Summary'!A1" display="'Cost Summary'!A1"/>
    <hyperlink ref="KDM8" location="'Cost Summary'!A1" display="'Cost Summary'!A1"/>
    <hyperlink ref="KDN8" location="'Cost Summary'!A1" display="'Cost Summary'!A1"/>
    <hyperlink ref="KDO8" location="'Cost Summary'!A1" display="'Cost Summary'!A1"/>
    <hyperlink ref="KDP8" location="'Cost Summary'!A1" display="'Cost Summary'!A1"/>
    <hyperlink ref="KDQ8" location="'Cost Summary'!A1" display="'Cost Summary'!A1"/>
    <hyperlink ref="KDR8" location="'Cost Summary'!A1" display="'Cost Summary'!A1"/>
    <hyperlink ref="KDS8" location="'Cost Summary'!A1" display="'Cost Summary'!A1"/>
    <hyperlink ref="KDT8" location="'Cost Summary'!A1" display="'Cost Summary'!A1"/>
    <hyperlink ref="KDU8" location="'Cost Summary'!A1" display="'Cost Summary'!A1"/>
    <hyperlink ref="KDV8" location="'Cost Summary'!A1" display="'Cost Summary'!A1"/>
    <hyperlink ref="KDW8" location="'Cost Summary'!A1" display="'Cost Summary'!A1"/>
    <hyperlink ref="KDX8" location="'Cost Summary'!A1" display="'Cost Summary'!A1"/>
    <hyperlink ref="KDY8" location="'Cost Summary'!A1" display="'Cost Summary'!A1"/>
    <hyperlink ref="KDZ8" location="'Cost Summary'!A1" display="'Cost Summary'!A1"/>
    <hyperlink ref="KEA8" location="'Cost Summary'!A1" display="'Cost Summary'!A1"/>
    <hyperlink ref="KEB8" location="'Cost Summary'!A1" display="'Cost Summary'!A1"/>
    <hyperlink ref="KEC8" location="'Cost Summary'!A1" display="'Cost Summary'!A1"/>
    <hyperlink ref="KED8" location="'Cost Summary'!A1" display="'Cost Summary'!A1"/>
    <hyperlink ref="KEE8" location="'Cost Summary'!A1" display="'Cost Summary'!A1"/>
    <hyperlink ref="KEF8" location="'Cost Summary'!A1" display="'Cost Summary'!A1"/>
    <hyperlink ref="KEG8" location="'Cost Summary'!A1" display="'Cost Summary'!A1"/>
    <hyperlink ref="KEH8" location="'Cost Summary'!A1" display="'Cost Summary'!A1"/>
    <hyperlink ref="KEI8" location="'Cost Summary'!A1" display="'Cost Summary'!A1"/>
    <hyperlink ref="KEJ8" location="'Cost Summary'!A1" display="'Cost Summary'!A1"/>
    <hyperlink ref="KEK8" location="'Cost Summary'!A1" display="'Cost Summary'!A1"/>
    <hyperlink ref="KEL8" location="'Cost Summary'!A1" display="'Cost Summary'!A1"/>
    <hyperlink ref="KEM8" location="'Cost Summary'!A1" display="'Cost Summary'!A1"/>
    <hyperlink ref="KEN8" location="'Cost Summary'!A1" display="'Cost Summary'!A1"/>
    <hyperlink ref="KEO8" location="'Cost Summary'!A1" display="'Cost Summary'!A1"/>
    <hyperlink ref="KEP8" location="'Cost Summary'!A1" display="'Cost Summary'!A1"/>
    <hyperlink ref="KEQ8" location="'Cost Summary'!A1" display="'Cost Summary'!A1"/>
    <hyperlink ref="KER8" location="'Cost Summary'!A1" display="'Cost Summary'!A1"/>
    <hyperlink ref="KES8" location="'Cost Summary'!A1" display="'Cost Summary'!A1"/>
    <hyperlink ref="KET8" location="'Cost Summary'!A1" display="'Cost Summary'!A1"/>
    <hyperlink ref="KEU8" location="'Cost Summary'!A1" display="'Cost Summary'!A1"/>
    <hyperlink ref="KEV8" location="'Cost Summary'!A1" display="'Cost Summary'!A1"/>
    <hyperlink ref="KEW8" location="'Cost Summary'!A1" display="'Cost Summary'!A1"/>
    <hyperlink ref="KEX8" location="'Cost Summary'!A1" display="'Cost Summary'!A1"/>
    <hyperlink ref="KEY8" location="'Cost Summary'!A1" display="'Cost Summary'!A1"/>
    <hyperlink ref="KEZ8" location="'Cost Summary'!A1" display="'Cost Summary'!A1"/>
    <hyperlink ref="KFA8" location="'Cost Summary'!A1" display="'Cost Summary'!A1"/>
    <hyperlink ref="KFB8" location="'Cost Summary'!A1" display="'Cost Summary'!A1"/>
    <hyperlink ref="KFC8" location="'Cost Summary'!A1" display="'Cost Summary'!A1"/>
    <hyperlink ref="KFD8" location="'Cost Summary'!A1" display="'Cost Summary'!A1"/>
    <hyperlink ref="KFE8" location="'Cost Summary'!A1" display="'Cost Summary'!A1"/>
    <hyperlink ref="KFF8" location="'Cost Summary'!A1" display="'Cost Summary'!A1"/>
    <hyperlink ref="KFG8" location="'Cost Summary'!A1" display="'Cost Summary'!A1"/>
    <hyperlink ref="KFH8" location="'Cost Summary'!A1" display="'Cost Summary'!A1"/>
    <hyperlink ref="KFI8" location="'Cost Summary'!A1" display="'Cost Summary'!A1"/>
    <hyperlink ref="KFJ8" location="'Cost Summary'!A1" display="'Cost Summary'!A1"/>
    <hyperlink ref="KFK8" location="'Cost Summary'!A1" display="'Cost Summary'!A1"/>
    <hyperlink ref="KFL8" location="'Cost Summary'!A1" display="'Cost Summary'!A1"/>
    <hyperlink ref="KFM8" location="'Cost Summary'!A1" display="'Cost Summary'!A1"/>
    <hyperlink ref="KFN8" location="'Cost Summary'!A1" display="'Cost Summary'!A1"/>
    <hyperlink ref="KFO8" location="'Cost Summary'!A1" display="'Cost Summary'!A1"/>
    <hyperlink ref="KFP8" location="'Cost Summary'!A1" display="'Cost Summary'!A1"/>
    <hyperlink ref="KFQ8" location="'Cost Summary'!A1" display="'Cost Summary'!A1"/>
    <hyperlink ref="KFR8" location="'Cost Summary'!A1" display="'Cost Summary'!A1"/>
    <hyperlink ref="KFS8" location="'Cost Summary'!A1" display="'Cost Summary'!A1"/>
    <hyperlink ref="KFT8" location="'Cost Summary'!A1" display="'Cost Summary'!A1"/>
    <hyperlink ref="KFU8" location="'Cost Summary'!A1" display="'Cost Summary'!A1"/>
    <hyperlink ref="KFV8" location="'Cost Summary'!A1" display="'Cost Summary'!A1"/>
    <hyperlink ref="KFW8" location="'Cost Summary'!A1" display="'Cost Summary'!A1"/>
    <hyperlink ref="KFX8" location="'Cost Summary'!A1" display="'Cost Summary'!A1"/>
    <hyperlink ref="KFY8" location="'Cost Summary'!A1" display="'Cost Summary'!A1"/>
    <hyperlink ref="KFZ8" location="'Cost Summary'!A1" display="'Cost Summary'!A1"/>
    <hyperlink ref="KGA8" location="'Cost Summary'!A1" display="'Cost Summary'!A1"/>
    <hyperlink ref="KGB8" location="'Cost Summary'!A1" display="'Cost Summary'!A1"/>
    <hyperlink ref="KGC8" location="'Cost Summary'!A1" display="'Cost Summary'!A1"/>
    <hyperlink ref="KGD8" location="'Cost Summary'!A1" display="'Cost Summary'!A1"/>
    <hyperlink ref="KGE8" location="'Cost Summary'!A1" display="'Cost Summary'!A1"/>
    <hyperlink ref="KGF8" location="'Cost Summary'!A1" display="'Cost Summary'!A1"/>
    <hyperlink ref="KGG8" location="'Cost Summary'!A1" display="'Cost Summary'!A1"/>
    <hyperlink ref="KGH8" location="'Cost Summary'!A1" display="'Cost Summary'!A1"/>
    <hyperlink ref="KGI8" location="'Cost Summary'!A1" display="'Cost Summary'!A1"/>
    <hyperlink ref="KGJ8" location="'Cost Summary'!A1" display="'Cost Summary'!A1"/>
    <hyperlink ref="KGK8" location="'Cost Summary'!A1" display="'Cost Summary'!A1"/>
    <hyperlink ref="KGL8" location="'Cost Summary'!A1" display="'Cost Summary'!A1"/>
    <hyperlink ref="KGM8" location="'Cost Summary'!A1" display="'Cost Summary'!A1"/>
    <hyperlink ref="KGN8" location="'Cost Summary'!A1" display="'Cost Summary'!A1"/>
    <hyperlink ref="KGO8" location="'Cost Summary'!A1" display="'Cost Summary'!A1"/>
    <hyperlink ref="KGP8" location="'Cost Summary'!A1" display="'Cost Summary'!A1"/>
    <hyperlink ref="KGQ8" location="'Cost Summary'!A1" display="'Cost Summary'!A1"/>
    <hyperlink ref="KGR8" location="'Cost Summary'!A1" display="'Cost Summary'!A1"/>
    <hyperlink ref="KGS8" location="'Cost Summary'!A1" display="'Cost Summary'!A1"/>
    <hyperlink ref="KGT8" location="'Cost Summary'!A1" display="'Cost Summary'!A1"/>
    <hyperlink ref="KGU8" location="'Cost Summary'!A1" display="'Cost Summary'!A1"/>
    <hyperlink ref="KGV8" location="'Cost Summary'!A1" display="'Cost Summary'!A1"/>
    <hyperlink ref="KGW8" location="'Cost Summary'!A1" display="'Cost Summary'!A1"/>
    <hyperlink ref="KGX8" location="'Cost Summary'!A1" display="'Cost Summary'!A1"/>
    <hyperlink ref="KGY8" location="'Cost Summary'!A1" display="'Cost Summary'!A1"/>
    <hyperlink ref="KGZ8" location="'Cost Summary'!A1" display="'Cost Summary'!A1"/>
    <hyperlink ref="KHA8" location="'Cost Summary'!A1" display="'Cost Summary'!A1"/>
    <hyperlink ref="KHB8" location="'Cost Summary'!A1" display="'Cost Summary'!A1"/>
    <hyperlink ref="KHC8" location="'Cost Summary'!A1" display="'Cost Summary'!A1"/>
    <hyperlink ref="KHD8" location="'Cost Summary'!A1" display="'Cost Summary'!A1"/>
    <hyperlink ref="KHE8" location="'Cost Summary'!A1" display="'Cost Summary'!A1"/>
    <hyperlink ref="KHF8" location="'Cost Summary'!A1" display="'Cost Summary'!A1"/>
    <hyperlink ref="KHG8" location="'Cost Summary'!A1" display="'Cost Summary'!A1"/>
    <hyperlink ref="KHH8" location="'Cost Summary'!A1" display="'Cost Summary'!A1"/>
    <hyperlink ref="KHI8" location="'Cost Summary'!A1" display="'Cost Summary'!A1"/>
    <hyperlink ref="KHJ8" location="'Cost Summary'!A1" display="'Cost Summary'!A1"/>
    <hyperlink ref="KHK8" location="'Cost Summary'!A1" display="'Cost Summary'!A1"/>
    <hyperlink ref="KHL8" location="'Cost Summary'!A1" display="'Cost Summary'!A1"/>
    <hyperlink ref="KHM8" location="'Cost Summary'!A1" display="'Cost Summary'!A1"/>
    <hyperlink ref="KHN8" location="'Cost Summary'!A1" display="'Cost Summary'!A1"/>
    <hyperlink ref="KHO8" location="'Cost Summary'!A1" display="'Cost Summary'!A1"/>
    <hyperlink ref="KHP8" location="'Cost Summary'!A1" display="'Cost Summary'!A1"/>
    <hyperlink ref="KHQ8" location="'Cost Summary'!A1" display="'Cost Summary'!A1"/>
    <hyperlink ref="KHR8" location="'Cost Summary'!A1" display="'Cost Summary'!A1"/>
    <hyperlink ref="KHS8" location="'Cost Summary'!A1" display="'Cost Summary'!A1"/>
    <hyperlink ref="KHT8" location="'Cost Summary'!A1" display="'Cost Summary'!A1"/>
    <hyperlink ref="KHU8" location="'Cost Summary'!A1" display="'Cost Summary'!A1"/>
    <hyperlink ref="KHV8" location="'Cost Summary'!A1" display="'Cost Summary'!A1"/>
    <hyperlink ref="KHW8" location="'Cost Summary'!A1" display="'Cost Summary'!A1"/>
    <hyperlink ref="KHX8" location="'Cost Summary'!A1" display="'Cost Summary'!A1"/>
    <hyperlink ref="KHY8" location="'Cost Summary'!A1" display="'Cost Summary'!A1"/>
    <hyperlink ref="KHZ8" location="'Cost Summary'!A1" display="'Cost Summary'!A1"/>
    <hyperlink ref="KIA8" location="'Cost Summary'!A1" display="'Cost Summary'!A1"/>
    <hyperlink ref="KIB8" location="'Cost Summary'!A1" display="'Cost Summary'!A1"/>
    <hyperlink ref="KIC8" location="'Cost Summary'!A1" display="'Cost Summary'!A1"/>
    <hyperlink ref="KID8" location="'Cost Summary'!A1" display="'Cost Summary'!A1"/>
    <hyperlink ref="KIE8" location="'Cost Summary'!A1" display="'Cost Summary'!A1"/>
    <hyperlink ref="KIF8" location="'Cost Summary'!A1" display="'Cost Summary'!A1"/>
    <hyperlink ref="KIG8" location="'Cost Summary'!A1" display="'Cost Summary'!A1"/>
    <hyperlink ref="KIH8" location="'Cost Summary'!A1" display="'Cost Summary'!A1"/>
    <hyperlink ref="KII8" location="'Cost Summary'!A1" display="'Cost Summary'!A1"/>
    <hyperlink ref="KIJ8" location="'Cost Summary'!A1" display="'Cost Summary'!A1"/>
    <hyperlink ref="KIK8" location="'Cost Summary'!A1" display="'Cost Summary'!A1"/>
    <hyperlink ref="KIL8" location="'Cost Summary'!A1" display="'Cost Summary'!A1"/>
    <hyperlink ref="KIM8" location="'Cost Summary'!A1" display="'Cost Summary'!A1"/>
    <hyperlink ref="KIN8" location="'Cost Summary'!A1" display="'Cost Summary'!A1"/>
    <hyperlink ref="KIO8" location="'Cost Summary'!A1" display="'Cost Summary'!A1"/>
    <hyperlink ref="KIP8" location="'Cost Summary'!A1" display="'Cost Summary'!A1"/>
    <hyperlink ref="KIQ8" location="'Cost Summary'!A1" display="'Cost Summary'!A1"/>
    <hyperlink ref="KIR8" location="'Cost Summary'!A1" display="'Cost Summary'!A1"/>
    <hyperlink ref="KIS8" location="'Cost Summary'!A1" display="'Cost Summary'!A1"/>
    <hyperlink ref="KIT8" location="'Cost Summary'!A1" display="'Cost Summary'!A1"/>
    <hyperlink ref="KIU8" location="'Cost Summary'!A1" display="'Cost Summary'!A1"/>
    <hyperlink ref="KIV8" location="'Cost Summary'!A1" display="'Cost Summary'!A1"/>
    <hyperlink ref="KIW8" location="'Cost Summary'!A1" display="'Cost Summary'!A1"/>
    <hyperlink ref="KIX8" location="'Cost Summary'!A1" display="'Cost Summary'!A1"/>
    <hyperlink ref="KIY8" location="'Cost Summary'!A1" display="'Cost Summary'!A1"/>
    <hyperlink ref="KIZ8" location="'Cost Summary'!A1" display="'Cost Summary'!A1"/>
    <hyperlink ref="KJA8" location="'Cost Summary'!A1" display="'Cost Summary'!A1"/>
    <hyperlink ref="KJB8" location="'Cost Summary'!A1" display="'Cost Summary'!A1"/>
    <hyperlink ref="KJC8" location="'Cost Summary'!A1" display="'Cost Summary'!A1"/>
    <hyperlink ref="KJD8" location="'Cost Summary'!A1" display="'Cost Summary'!A1"/>
    <hyperlink ref="KJE8" location="'Cost Summary'!A1" display="'Cost Summary'!A1"/>
    <hyperlink ref="KJF8" location="'Cost Summary'!A1" display="'Cost Summary'!A1"/>
    <hyperlink ref="KJG8" location="'Cost Summary'!A1" display="'Cost Summary'!A1"/>
    <hyperlink ref="KJH8" location="'Cost Summary'!A1" display="'Cost Summary'!A1"/>
    <hyperlink ref="KJI8" location="'Cost Summary'!A1" display="'Cost Summary'!A1"/>
    <hyperlink ref="KJJ8" location="'Cost Summary'!A1" display="'Cost Summary'!A1"/>
    <hyperlink ref="KJK8" location="'Cost Summary'!A1" display="'Cost Summary'!A1"/>
    <hyperlink ref="KJL8" location="'Cost Summary'!A1" display="'Cost Summary'!A1"/>
    <hyperlink ref="KJM8" location="'Cost Summary'!A1" display="'Cost Summary'!A1"/>
    <hyperlink ref="KJN8" location="'Cost Summary'!A1" display="'Cost Summary'!A1"/>
    <hyperlink ref="KJO8" location="'Cost Summary'!A1" display="'Cost Summary'!A1"/>
    <hyperlink ref="KJP8" location="'Cost Summary'!A1" display="'Cost Summary'!A1"/>
    <hyperlink ref="KJQ8" location="'Cost Summary'!A1" display="'Cost Summary'!A1"/>
    <hyperlink ref="KJR8" location="'Cost Summary'!A1" display="'Cost Summary'!A1"/>
    <hyperlink ref="KJS8" location="'Cost Summary'!A1" display="'Cost Summary'!A1"/>
    <hyperlink ref="KJT8" location="'Cost Summary'!A1" display="'Cost Summary'!A1"/>
    <hyperlink ref="KJU8" location="'Cost Summary'!A1" display="'Cost Summary'!A1"/>
    <hyperlink ref="KJV8" location="'Cost Summary'!A1" display="'Cost Summary'!A1"/>
    <hyperlink ref="KJW8" location="'Cost Summary'!A1" display="'Cost Summary'!A1"/>
    <hyperlink ref="KJX8" location="'Cost Summary'!A1" display="'Cost Summary'!A1"/>
    <hyperlink ref="KJY8" location="'Cost Summary'!A1" display="'Cost Summary'!A1"/>
    <hyperlink ref="KJZ8" location="'Cost Summary'!A1" display="'Cost Summary'!A1"/>
    <hyperlink ref="KKA8" location="'Cost Summary'!A1" display="'Cost Summary'!A1"/>
    <hyperlink ref="KKB8" location="'Cost Summary'!A1" display="'Cost Summary'!A1"/>
    <hyperlink ref="KKC8" location="'Cost Summary'!A1" display="'Cost Summary'!A1"/>
    <hyperlink ref="KKD8" location="'Cost Summary'!A1" display="'Cost Summary'!A1"/>
    <hyperlink ref="KKE8" location="'Cost Summary'!A1" display="'Cost Summary'!A1"/>
    <hyperlink ref="KKF8" location="'Cost Summary'!A1" display="'Cost Summary'!A1"/>
    <hyperlink ref="KKG8" location="'Cost Summary'!A1" display="'Cost Summary'!A1"/>
    <hyperlink ref="KKH8" location="'Cost Summary'!A1" display="'Cost Summary'!A1"/>
    <hyperlink ref="KKI8" location="'Cost Summary'!A1" display="'Cost Summary'!A1"/>
    <hyperlink ref="KKJ8" location="'Cost Summary'!A1" display="'Cost Summary'!A1"/>
    <hyperlink ref="KKK8" location="'Cost Summary'!A1" display="'Cost Summary'!A1"/>
    <hyperlink ref="KKL8" location="'Cost Summary'!A1" display="'Cost Summary'!A1"/>
    <hyperlink ref="KKM8" location="'Cost Summary'!A1" display="'Cost Summary'!A1"/>
    <hyperlink ref="KKN8" location="'Cost Summary'!A1" display="'Cost Summary'!A1"/>
    <hyperlink ref="KKO8" location="'Cost Summary'!A1" display="'Cost Summary'!A1"/>
    <hyperlink ref="KKP8" location="'Cost Summary'!A1" display="'Cost Summary'!A1"/>
    <hyperlink ref="KKQ8" location="'Cost Summary'!A1" display="'Cost Summary'!A1"/>
    <hyperlink ref="KKR8" location="'Cost Summary'!A1" display="'Cost Summary'!A1"/>
    <hyperlink ref="KKS8" location="'Cost Summary'!A1" display="'Cost Summary'!A1"/>
    <hyperlink ref="KKT8" location="'Cost Summary'!A1" display="'Cost Summary'!A1"/>
    <hyperlink ref="KKU8" location="'Cost Summary'!A1" display="'Cost Summary'!A1"/>
    <hyperlink ref="KKV8" location="'Cost Summary'!A1" display="'Cost Summary'!A1"/>
    <hyperlink ref="KKW8" location="'Cost Summary'!A1" display="'Cost Summary'!A1"/>
    <hyperlink ref="KKX8" location="'Cost Summary'!A1" display="'Cost Summary'!A1"/>
    <hyperlink ref="KKY8" location="'Cost Summary'!A1" display="'Cost Summary'!A1"/>
    <hyperlink ref="KKZ8" location="'Cost Summary'!A1" display="'Cost Summary'!A1"/>
    <hyperlink ref="KLA8" location="'Cost Summary'!A1" display="'Cost Summary'!A1"/>
    <hyperlink ref="KLB8" location="'Cost Summary'!A1" display="'Cost Summary'!A1"/>
    <hyperlink ref="KLC8" location="'Cost Summary'!A1" display="'Cost Summary'!A1"/>
    <hyperlink ref="KLD8" location="'Cost Summary'!A1" display="'Cost Summary'!A1"/>
    <hyperlink ref="KLE8" location="'Cost Summary'!A1" display="'Cost Summary'!A1"/>
    <hyperlink ref="KLF8" location="'Cost Summary'!A1" display="'Cost Summary'!A1"/>
    <hyperlink ref="KLG8" location="'Cost Summary'!A1" display="'Cost Summary'!A1"/>
    <hyperlink ref="KLH8" location="'Cost Summary'!A1" display="'Cost Summary'!A1"/>
    <hyperlink ref="KLI8" location="'Cost Summary'!A1" display="'Cost Summary'!A1"/>
    <hyperlink ref="KLJ8" location="'Cost Summary'!A1" display="'Cost Summary'!A1"/>
    <hyperlink ref="KLK8" location="'Cost Summary'!A1" display="'Cost Summary'!A1"/>
    <hyperlink ref="KLL8" location="'Cost Summary'!A1" display="'Cost Summary'!A1"/>
    <hyperlink ref="KLM8" location="'Cost Summary'!A1" display="'Cost Summary'!A1"/>
    <hyperlink ref="KLN8" location="'Cost Summary'!A1" display="'Cost Summary'!A1"/>
    <hyperlink ref="KLO8" location="'Cost Summary'!A1" display="'Cost Summary'!A1"/>
    <hyperlink ref="KLP8" location="'Cost Summary'!A1" display="'Cost Summary'!A1"/>
    <hyperlink ref="KLQ8" location="'Cost Summary'!A1" display="'Cost Summary'!A1"/>
    <hyperlink ref="KLR8" location="'Cost Summary'!A1" display="'Cost Summary'!A1"/>
    <hyperlink ref="KLS8" location="'Cost Summary'!A1" display="'Cost Summary'!A1"/>
    <hyperlink ref="KLT8" location="'Cost Summary'!A1" display="'Cost Summary'!A1"/>
    <hyperlink ref="KLU8" location="'Cost Summary'!A1" display="'Cost Summary'!A1"/>
    <hyperlink ref="KLV8" location="'Cost Summary'!A1" display="'Cost Summary'!A1"/>
    <hyperlink ref="KLW8" location="'Cost Summary'!A1" display="'Cost Summary'!A1"/>
    <hyperlink ref="KLX8" location="'Cost Summary'!A1" display="'Cost Summary'!A1"/>
    <hyperlink ref="KLY8" location="'Cost Summary'!A1" display="'Cost Summary'!A1"/>
    <hyperlink ref="KLZ8" location="'Cost Summary'!A1" display="'Cost Summary'!A1"/>
    <hyperlink ref="KMA8" location="'Cost Summary'!A1" display="'Cost Summary'!A1"/>
    <hyperlink ref="KMB8" location="'Cost Summary'!A1" display="'Cost Summary'!A1"/>
    <hyperlink ref="KMC8" location="'Cost Summary'!A1" display="'Cost Summary'!A1"/>
    <hyperlink ref="KMD8" location="'Cost Summary'!A1" display="'Cost Summary'!A1"/>
    <hyperlink ref="KME8" location="'Cost Summary'!A1" display="'Cost Summary'!A1"/>
    <hyperlink ref="KMF8" location="'Cost Summary'!A1" display="'Cost Summary'!A1"/>
    <hyperlink ref="KMG8" location="'Cost Summary'!A1" display="'Cost Summary'!A1"/>
    <hyperlink ref="KMH8" location="'Cost Summary'!A1" display="'Cost Summary'!A1"/>
    <hyperlink ref="KMI8" location="'Cost Summary'!A1" display="'Cost Summary'!A1"/>
    <hyperlink ref="KMJ8" location="'Cost Summary'!A1" display="'Cost Summary'!A1"/>
    <hyperlink ref="KMK8" location="'Cost Summary'!A1" display="'Cost Summary'!A1"/>
    <hyperlink ref="KML8" location="'Cost Summary'!A1" display="'Cost Summary'!A1"/>
    <hyperlink ref="KMM8" location="'Cost Summary'!A1" display="'Cost Summary'!A1"/>
    <hyperlink ref="KMN8" location="'Cost Summary'!A1" display="'Cost Summary'!A1"/>
    <hyperlink ref="KMO8" location="'Cost Summary'!A1" display="'Cost Summary'!A1"/>
    <hyperlink ref="KMP8" location="'Cost Summary'!A1" display="'Cost Summary'!A1"/>
    <hyperlink ref="KMQ8" location="'Cost Summary'!A1" display="'Cost Summary'!A1"/>
    <hyperlink ref="KMR8" location="'Cost Summary'!A1" display="'Cost Summary'!A1"/>
    <hyperlink ref="KMS8" location="'Cost Summary'!A1" display="'Cost Summary'!A1"/>
    <hyperlink ref="KMT8" location="'Cost Summary'!A1" display="'Cost Summary'!A1"/>
    <hyperlink ref="KMU8" location="'Cost Summary'!A1" display="'Cost Summary'!A1"/>
    <hyperlink ref="KMV8" location="'Cost Summary'!A1" display="'Cost Summary'!A1"/>
    <hyperlink ref="KMW8" location="'Cost Summary'!A1" display="'Cost Summary'!A1"/>
    <hyperlink ref="KMX8" location="'Cost Summary'!A1" display="'Cost Summary'!A1"/>
    <hyperlink ref="KMY8" location="'Cost Summary'!A1" display="'Cost Summary'!A1"/>
    <hyperlink ref="KMZ8" location="'Cost Summary'!A1" display="'Cost Summary'!A1"/>
    <hyperlink ref="KNA8" location="'Cost Summary'!A1" display="'Cost Summary'!A1"/>
    <hyperlink ref="KNB8" location="'Cost Summary'!A1" display="'Cost Summary'!A1"/>
    <hyperlink ref="KNC8" location="'Cost Summary'!A1" display="'Cost Summary'!A1"/>
    <hyperlink ref="KND8" location="'Cost Summary'!A1" display="'Cost Summary'!A1"/>
    <hyperlink ref="KNE8" location="'Cost Summary'!A1" display="'Cost Summary'!A1"/>
    <hyperlink ref="KNF8" location="'Cost Summary'!A1" display="'Cost Summary'!A1"/>
    <hyperlink ref="KNG8" location="'Cost Summary'!A1" display="'Cost Summary'!A1"/>
    <hyperlink ref="KNH8" location="'Cost Summary'!A1" display="'Cost Summary'!A1"/>
    <hyperlink ref="KNI8" location="'Cost Summary'!A1" display="'Cost Summary'!A1"/>
    <hyperlink ref="KNJ8" location="'Cost Summary'!A1" display="'Cost Summary'!A1"/>
    <hyperlink ref="KNK8" location="'Cost Summary'!A1" display="'Cost Summary'!A1"/>
    <hyperlink ref="KNL8" location="'Cost Summary'!A1" display="'Cost Summary'!A1"/>
    <hyperlink ref="KNM8" location="'Cost Summary'!A1" display="'Cost Summary'!A1"/>
    <hyperlink ref="KNN8" location="'Cost Summary'!A1" display="'Cost Summary'!A1"/>
    <hyperlink ref="KNO8" location="'Cost Summary'!A1" display="'Cost Summary'!A1"/>
    <hyperlink ref="KNP8" location="'Cost Summary'!A1" display="'Cost Summary'!A1"/>
    <hyperlink ref="KNQ8" location="'Cost Summary'!A1" display="'Cost Summary'!A1"/>
    <hyperlink ref="KNR8" location="'Cost Summary'!A1" display="'Cost Summary'!A1"/>
    <hyperlink ref="KNS8" location="'Cost Summary'!A1" display="'Cost Summary'!A1"/>
    <hyperlink ref="KNT8" location="'Cost Summary'!A1" display="'Cost Summary'!A1"/>
    <hyperlink ref="KNU8" location="'Cost Summary'!A1" display="'Cost Summary'!A1"/>
    <hyperlink ref="KNV8" location="'Cost Summary'!A1" display="'Cost Summary'!A1"/>
    <hyperlink ref="KNW8" location="'Cost Summary'!A1" display="'Cost Summary'!A1"/>
    <hyperlink ref="KNX8" location="'Cost Summary'!A1" display="'Cost Summary'!A1"/>
    <hyperlink ref="KNY8" location="'Cost Summary'!A1" display="'Cost Summary'!A1"/>
    <hyperlink ref="KNZ8" location="'Cost Summary'!A1" display="'Cost Summary'!A1"/>
    <hyperlink ref="KOA8" location="'Cost Summary'!A1" display="'Cost Summary'!A1"/>
    <hyperlink ref="KOB8" location="'Cost Summary'!A1" display="'Cost Summary'!A1"/>
    <hyperlink ref="KOC8" location="'Cost Summary'!A1" display="'Cost Summary'!A1"/>
    <hyperlink ref="KOD8" location="'Cost Summary'!A1" display="'Cost Summary'!A1"/>
    <hyperlink ref="KOE8" location="'Cost Summary'!A1" display="'Cost Summary'!A1"/>
    <hyperlink ref="KOF8" location="'Cost Summary'!A1" display="'Cost Summary'!A1"/>
    <hyperlink ref="KOG8" location="'Cost Summary'!A1" display="'Cost Summary'!A1"/>
    <hyperlink ref="KOH8" location="'Cost Summary'!A1" display="'Cost Summary'!A1"/>
    <hyperlink ref="KOI8" location="'Cost Summary'!A1" display="'Cost Summary'!A1"/>
    <hyperlink ref="KOJ8" location="'Cost Summary'!A1" display="'Cost Summary'!A1"/>
    <hyperlink ref="KOK8" location="'Cost Summary'!A1" display="'Cost Summary'!A1"/>
    <hyperlink ref="KOL8" location="'Cost Summary'!A1" display="'Cost Summary'!A1"/>
    <hyperlink ref="KOM8" location="'Cost Summary'!A1" display="'Cost Summary'!A1"/>
    <hyperlink ref="KON8" location="'Cost Summary'!A1" display="'Cost Summary'!A1"/>
    <hyperlink ref="KOO8" location="'Cost Summary'!A1" display="'Cost Summary'!A1"/>
    <hyperlink ref="KOP8" location="'Cost Summary'!A1" display="'Cost Summary'!A1"/>
    <hyperlink ref="KOQ8" location="'Cost Summary'!A1" display="'Cost Summary'!A1"/>
    <hyperlink ref="KOR8" location="'Cost Summary'!A1" display="'Cost Summary'!A1"/>
    <hyperlink ref="KOS8" location="'Cost Summary'!A1" display="'Cost Summary'!A1"/>
    <hyperlink ref="KOT8" location="'Cost Summary'!A1" display="'Cost Summary'!A1"/>
    <hyperlink ref="KOU8" location="'Cost Summary'!A1" display="'Cost Summary'!A1"/>
    <hyperlink ref="KOV8" location="'Cost Summary'!A1" display="'Cost Summary'!A1"/>
    <hyperlink ref="KOW8" location="'Cost Summary'!A1" display="'Cost Summary'!A1"/>
    <hyperlink ref="KOX8" location="'Cost Summary'!A1" display="'Cost Summary'!A1"/>
    <hyperlink ref="KOY8" location="'Cost Summary'!A1" display="'Cost Summary'!A1"/>
    <hyperlink ref="KOZ8" location="'Cost Summary'!A1" display="'Cost Summary'!A1"/>
    <hyperlink ref="KPA8" location="'Cost Summary'!A1" display="'Cost Summary'!A1"/>
    <hyperlink ref="KPB8" location="'Cost Summary'!A1" display="'Cost Summary'!A1"/>
    <hyperlink ref="KPC8" location="'Cost Summary'!A1" display="'Cost Summary'!A1"/>
    <hyperlink ref="KPD8" location="'Cost Summary'!A1" display="'Cost Summary'!A1"/>
    <hyperlink ref="KPE8" location="'Cost Summary'!A1" display="'Cost Summary'!A1"/>
    <hyperlink ref="KPF8" location="'Cost Summary'!A1" display="'Cost Summary'!A1"/>
    <hyperlink ref="KPG8" location="'Cost Summary'!A1" display="'Cost Summary'!A1"/>
    <hyperlink ref="KPH8" location="'Cost Summary'!A1" display="'Cost Summary'!A1"/>
    <hyperlink ref="KPI8" location="'Cost Summary'!A1" display="'Cost Summary'!A1"/>
    <hyperlink ref="KPJ8" location="'Cost Summary'!A1" display="'Cost Summary'!A1"/>
    <hyperlink ref="KPK8" location="'Cost Summary'!A1" display="'Cost Summary'!A1"/>
    <hyperlink ref="KPL8" location="'Cost Summary'!A1" display="'Cost Summary'!A1"/>
    <hyperlink ref="KPM8" location="'Cost Summary'!A1" display="'Cost Summary'!A1"/>
    <hyperlink ref="KPN8" location="'Cost Summary'!A1" display="'Cost Summary'!A1"/>
    <hyperlink ref="KPO8" location="'Cost Summary'!A1" display="'Cost Summary'!A1"/>
    <hyperlink ref="KPP8" location="'Cost Summary'!A1" display="'Cost Summary'!A1"/>
    <hyperlink ref="KPQ8" location="'Cost Summary'!A1" display="'Cost Summary'!A1"/>
    <hyperlink ref="KPR8" location="'Cost Summary'!A1" display="'Cost Summary'!A1"/>
    <hyperlink ref="KPS8" location="'Cost Summary'!A1" display="'Cost Summary'!A1"/>
    <hyperlink ref="KPT8" location="'Cost Summary'!A1" display="'Cost Summary'!A1"/>
    <hyperlink ref="KPU8" location="'Cost Summary'!A1" display="'Cost Summary'!A1"/>
    <hyperlink ref="KPV8" location="'Cost Summary'!A1" display="'Cost Summary'!A1"/>
    <hyperlink ref="KPW8" location="'Cost Summary'!A1" display="'Cost Summary'!A1"/>
    <hyperlink ref="KPX8" location="'Cost Summary'!A1" display="'Cost Summary'!A1"/>
    <hyperlink ref="KPY8" location="'Cost Summary'!A1" display="'Cost Summary'!A1"/>
    <hyperlink ref="KPZ8" location="'Cost Summary'!A1" display="'Cost Summary'!A1"/>
    <hyperlink ref="KQA8" location="'Cost Summary'!A1" display="'Cost Summary'!A1"/>
    <hyperlink ref="KQB8" location="'Cost Summary'!A1" display="'Cost Summary'!A1"/>
    <hyperlink ref="KQC8" location="'Cost Summary'!A1" display="'Cost Summary'!A1"/>
    <hyperlink ref="KQD8" location="'Cost Summary'!A1" display="'Cost Summary'!A1"/>
    <hyperlink ref="KQE8" location="'Cost Summary'!A1" display="'Cost Summary'!A1"/>
    <hyperlink ref="KQF8" location="'Cost Summary'!A1" display="'Cost Summary'!A1"/>
    <hyperlink ref="KQG8" location="'Cost Summary'!A1" display="'Cost Summary'!A1"/>
    <hyperlink ref="KQH8" location="'Cost Summary'!A1" display="'Cost Summary'!A1"/>
    <hyperlink ref="KQI8" location="'Cost Summary'!A1" display="'Cost Summary'!A1"/>
    <hyperlink ref="KQJ8" location="'Cost Summary'!A1" display="'Cost Summary'!A1"/>
    <hyperlink ref="KQK8" location="'Cost Summary'!A1" display="'Cost Summary'!A1"/>
    <hyperlink ref="KQL8" location="'Cost Summary'!A1" display="'Cost Summary'!A1"/>
    <hyperlink ref="KQM8" location="'Cost Summary'!A1" display="'Cost Summary'!A1"/>
    <hyperlink ref="KQN8" location="'Cost Summary'!A1" display="'Cost Summary'!A1"/>
    <hyperlink ref="KQO8" location="'Cost Summary'!A1" display="'Cost Summary'!A1"/>
    <hyperlink ref="KQP8" location="'Cost Summary'!A1" display="'Cost Summary'!A1"/>
    <hyperlink ref="KQQ8" location="'Cost Summary'!A1" display="'Cost Summary'!A1"/>
    <hyperlink ref="KQR8" location="'Cost Summary'!A1" display="'Cost Summary'!A1"/>
    <hyperlink ref="KQS8" location="'Cost Summary'!A1" display="'Cost Summary'!A1"/>
    <hyperlink ref="KQT8" location="'Cost Summary'!A1" display="'Cost Summary'!A1"/>
    <hyperlink ref="KQU8" location="'Cost Summary'!A1" display="'Cost Summary'!A1"/>
    <hyperlink ref="KQV8" location="'Cost Summary'!A1" display="'Cost Summary'!A1"/>
    <hyperlink ref="KQW8" location="'Cost Summary'!A1" display="'Cost Summary'!A1"/>
    <hyperlink ref="KQX8" location="'Cost Summary'!A1" display="'Cost Summary'!A1"/>
    <hyperlink ref="KQY8" location="'Cost Summary'!A1" display="'Cost Summary'!A1"/>
    <hyperlink ref="KQZ8" location="'Cost Summary'!A1" display="'Cost Summary'!A1"/>
    <hyperlink ref="KRA8" location="'Cost Summary'!A1" display="'Cost Summary'!A1"/>
    <hyperlink ref="KRB8" location="'Cost Summary'!A1" display="'Cost Summary'!A1"/>
    <hyperlink ref="KRC8" location="'Cost Summary'!A1" display="'Cost Summary'!A1"/>
    <hyperlink ref="KRD8" location="'Cost Summary'!A1" display="'Cost Summary'!A1"/>
    <hyperlink ref="KRE8" location="'Cost Summary'!A1" display="'Cost Summary'!A1"/>
    <hyperlink ref="KRF8" location="'Cost Summary'!A1" display="'Cost Summary'!A1"/>
    <hyperlink ref="KRG8" location="'Cost Summary'!A1" display="'Cost Summary'!A1"/>
    <hyperlink ref="KRH8" location="'Cost Summary'!A1" display="'Cost Summary'!A1"/>
    <hyperlink ref="KRI8" location="'Cost Summary'!A1" display="'Cost Summary'!A1"/>
    <hyperlink ref="KRJ8" location="'Cost Summary'!A1" display="'Cost Summary'!A1"/>
    <hyperlink ref="KRK8" location="'Cost Summary'!A1" display="'Cost Summary'!A1"/>
    <hyperlink ref="KRL8" location="'Cost Summary'!A1" display="'Cost Summary'!A1"/>
    <hyperlink ref="KRM8" location="'Cost Summary'!A1" display="'Cost Summary'!A1"/>
    <hyperlink ref="KRN8" location="'Cost Summary'!A1" display="'Cost Summary'!A1"/>
    <hyperlink ref="KRO8" location="'Cost Summary'!A1" display="'Cost Summary'!A1"/>
    <hyperlink ref="KRP8" location="'Cost Summary'!A1" display="'Cost Summary'!A1"/>
    <hyperlink ref="KRQ8" location="'Cost Summary'!A1" display="'Cost Summary'!A1"/>
    <hyperlink ref="KRR8" location="'Cost Summary'!A1" display="'Cost Summary'!A1"/>
    <hyperlink ref="KRS8" location="'Cost Summary'!A1" display="'Cost Summary'!A1"/>
    <hyperlink ref="KRT8" location="'Cost Summary'!A1" display="'Cost Summary'!A1"/>
    <hyperlink ref="KRU8" location="'Cost Summary'!A1" display="'Cost Summary'!A1"/>
    <hyperlink ref="KRV8" location="'Cost Summary'!A1" display="'Cost Summary'!A1"/>
    <hyperlink ref="KRW8" location="'Cost Summary'!A1" display="'Cost Summary'!A1"/>
    <hyperlink ref="KRX8" location="'Cost Summary'!A1" display="'Cost Summary'!A1"/>
    <hyperlink ref="KRY8" location="'Cost Summary'!A1" display="'Cost Summary'!A1"/>
    <hyperlink ref="KRZ8" location="'Cost Summary'!A1" display="'Cost Summary'!A1"/>
    <hyperlink ref="KSA8" location="'Cost Summary'!A1" display="'Cost Summary'!A1"/>
    <hyperlink ref="KSB8" location="'Cost Summary'!A1" display="'Cost Summary'!A1"/>
    <hyperlink ref="KSC8" location="'Cost Summary'!A1" display="'Cost Summary'!A1"/>
    <hyperlink ref="KSD8" location="'Cost Summary'!A1" display="'Cost Summary'!A1"/>
    <hyperlink ref="KSE8" location="'Cost Summary'!A1" display="'Cost Summary'!A1"/>
    <hyperlink ref="KSF8" location="'Cost Summary'!A1" display="'Cost Summary'!A1"/>
    <hyperlink ref="KSG8" location="'Cost Summary'!A1" display="'Cost Summary'!A1"/>
    <hyperlink ref="KSH8" location="'Cost Summary'!A1" display="'Cost Summary'!A1"/>
    <hyperlink ref="KSI8" location="'Cost Summary'!A1" display="'Cost Summary'!A1"/>
    <hyperlink ref="KSJ8" location="'Cost Summary'!A1" display="'Cost Summary'!A1"/>
    <hyperlink ref="KSK8" location="'Cost Summary'!A1" display="'Cost Summary'!A1"/>
    <hyperlink ref="KSL8" location="'Cost Summary'!A1" display="'Cost Summary'!A1"/>
    <hyperlink ref="KSM8" location="'Cost Summary'!A1" display="'Cost Summary'!A1"/>
    <hyperlink ref="KSN8" location="'Cost Summary'!A1" display="'Cost Summary'!A1"/>
    <hyperlink ref="KSO8" location="'Cost Summary'!A1" display="'Cost Summary'!A1"/>
    <hyperlink ref="KSP8" location="'Cost Summary'!A1" display="'Cost Summary'!A1"/>
    <hyperlink ref="KSQ8" location="'Cost Summary'!A1" display="'Cost Summary'!A1"/>
    <hyperlink ref="KSR8" location="'Cost Summary'!A1" display="'Cost Summary'!A1"/>
    <hyperlink ref="KSS8" location="'Cost Summary'!A1" display="'Cost Summary'!A1"/>
    <hyperlink ref="KST8" location="'Cost Summary'!A1" display="'Cost Summary'!A1"/>
    <hyperlink ref="KSU8" location="'Cost Summary'!A1" display="'Cost Summary'!A1"/>
    <hyperlink ref="KSV8" location="'Cost Summary'!A1" display="'Cost Summary'!A1"/>
    <hyperlink ref="KSW8" location="'Cost Summary'!A1" display="'Cost Summary'!A1"/>
    <hyperlink ref="KSX8" location="'Cost Summary'!A1" display="'Cost Summary'!A1"/>
    <hyperlink ref="KSY8" location="'Cost Summary'!A1" display="'Cost Summary'!A1"/>
    <hyperlink ref="KSZ8" location="'Cost Summary'!A1" display="'Cost Summary'!A1"/>
    <hyperlink ref="KTA8" location="'Cost Summary'!A1" display="'Cost Summary'!A1"/>
    <hyperlink ref="KTB8" location="'Cost Summary'!A1" display="'Cost Summary'!A1"/>
    <hyperlink ref="KTC8" location="'Cost Summary'!A1" display="'Cost Summary'!A1"/>
    <hyperlink ref="KTD8" location="'Cost Summary'!A1" display="'Cost Summary'!A1"/>
    <hyperlink ref="KTE8" location="'Cost Summary'!A1" display="'Cost Summary'!A1"/>
    <hyperlink ref="KTF8" location="'Cost Summary'!A1" display="'Cost Summary'!A1"/>
    <hyperlink ref="KTG8" location="'Cost Summary'!A1" display="'Cost Summary'!A1"/>
    <hyperlink ref="KTH8" location="'Cost Summary'!A1" display="'Cost Summary'!A1"/>
    <hyperlink ref="KTI8" location="'Cost Summary'!A1" display="'Cost Summary'!A1"/>
    <hyperlink ref="KTJ8" location="'Cost Summary'!A1" display="'Cost Summary'!A1"/>
    <hyperlink ref="KTK8" location="'Cost Summary'!A1" display="'Cost Summary'!A1"/>
    <hyperlink ref="KTL8" location="'Cost Summary'!A1" display="'Cost Summary'!A1"/>
    <hyperlink ref="KTM8" location="'Cost Summary'!A1" display="'Cost Summary'!A1"/>
    <hyperlink ref="KTN8" location="'Cost Summary'!A1" display="'Cost Summary'!A1"/>
    <hyperlink ref="KTO8" location="'Cost Summary'!A1" display="'Cost Summary'!A1"/>
    <hyperlink ref="KTP8" location="'Cost Summary'!A1" display="'Cost Summary'!A1"/>
    <hyperlink ref="KTQ8" location="'Cost Summary'!A1" display="'Cost Summary'!A1"/>
    <hyperlink ref="KTR8" location="'Cost Summary'!A1" display="'Cost Summary'!A1"/>
    <hyperlink ref="KTS8" location="'Cost Summary'!A1" display="'Cost Summary'!A1"/>
    <hyperlink ref="KTT8" location="'Cost Summary'!A1" display="'Cost Summary'!A1"/>
    <hyperlink ref="KTU8" location="'Cost Summary'!A1" display="'Cost Summary'!A1"/>
    <hyperlink ref="KTV8" location="'Cost Summary'!A1" display="'Cost Summary'!A1"/>
    <hyperlink ref="KTW8" location="'Cost Summary'!A1" display="'Cost Summary'!A1"/>
    <hyperlink ref="KTX8" location="'Cost Summary'!A1" display="'Cost Summary'!A1"/>
    <hyperlink ref="KTY8" location="'Cost Summary'!A1" display="'Cost Summary'!A1"/>
    <hyperlink ref="KTZ8" location="'Cost Summary'!A1" display="'Cost Summary'!A1"/>
    <hyperlink ref="KUA8" location="'Cost Summary'!A1" display="'Cost Summary'!A1"/>
    <hyperlink ref="KUB8" location="'Cost Summary'!A1" display="'Cost Summary'!A1"/>
    <hyperlink ref="KUC8" location="'Cost Summary'!A1" display="'Cost Summary'!A1"/>
    <hyperlink ref="KUD8" location="'Cost Summary'!A1" display="'Cost Summary'!A1"/>
    <hyperlink ref="KUE8" location="'Cost Summary'!A1" display="'Cost Summary'!A1"/>
    <hyperlink ref="KUF8" location="'Cost Summary'!A1" display="'Cost Summary'!A1"/>
    <hyperlink ref="KUG8" location="'Cost Summary'!A1" display="'Cost Summary'!A1"/>
    <hyperlink ref="KUH8" location="'Cost Summary'!A1" display="'Cost Summary'!A1"/>
    <hyperlink ref="KUI8" location="'Cost Summary'!A1" display="'Cost Summary'!A1"/>
    <hyperlink ref="KUJ8" location="'Cost Summary'!A1" display="'Cost Summary'!A1"/>
    <hyperlink ref="KUK8" location="'Cost Summary'!A1" display="'Cost Summary'!A1"/>
    <hyperlink ref="KUL8" location="'Cost Summary'!A1" display="'Cost Summary'!A1"/>
    <hyperlink ref="KUM8" location="'Cost Summary'!A1" display="'Cost Summary'!A1"/>
    <hyperlink ref="KUN8" location="'Cost Summary'!A1" display="'Cost Summary'!A1"/>
    <hyperlink ref="KUO8" location="'Cost Summary'!A1" display="'Cost Summary'!A1"/>
    <hyperlink ref="KUP8" location="'Cost Summary'!A1" display="'Cost Summary'!A1"/>
    <hyperlink ref="KUQ8" location="'Cost Summary'!A1" display="'Cost Summary'!A1"/>
    <hyperlink ref="KUR8" location="'Cost Summary'!A1" display="'Cost Summary'!A1"/>
    <hyperlink ref="KUS8" location="'Cost Summary'!A1" display="'Cost Summary'!A1"/>
    <hyperlink ref="KUT8" location="'Cost Summary'!A1" display="'Cost Summary'!A1"/>
    <hyperlink ref="KUU8" location="'Cost Summary'!A1" display="'Cost Summary'!A1"/>
    <hyperlink ref="KUV8" location="'Cost Summary'!A1" display="'Cost Summary'!A1"/>
    <hyperlink ref="KUW8" location="'Cost Summary'!A1" display="'Cost Summary'!A1"/>
    <hyperlink ref="KUX8" location="'Cost Summary'!A1" display="'Cost Summary'!A1"/>
    <hyperlink ref="KUY8" location="'Cost Summary'!A1" display="'Cost Summary'!A1"/>
    <hyperlink ref="KUZ8" location="'Cost Summary'!A1" display="'Cost Summary'!A1"/>
    <hyperlink ref="KVA8" location="'Cost Summary'!A1" display="'Cost Summary'!A1"/>
    <hyperlink ref="KVB8" location="'Cost Summary'!A1" display="'Cost Summary'!A1"/>
    <hyperlink ref="KVC8" location="'Cost Summary'!A1" display="'Cost Summary'!A1"/>
    <hyperlink ref="KVD8" location="'Cost Summary'!A1" display="'Cost Summary'!A1"/>
    <hyperlink ref="KVE8" location="'Cost Summary'!A1" display="'Cost Summary'!A1"/>
    <hyperlink ref="KVF8" location="'Cost Summary'!A1" display="'Cost Summary'!A1"/>
    <hyperlink ref="KVG8" location="'Cost Summary'!A1" display="'Cost Summary'!A1"/>
    <hyperlink ref="KVH8" location="'Cost Summary'!A1" display="'Cost Summary'!A1"/>
    <hyperlink ref="KVI8" location="'Cost Summary'!A1" display="'Cost Summary'!A1"/>
    <hyperlink ref="KVJ8" location="'Cost Summary'!A1" display="'Cost Summary'!A1"/>
    <hyperlink ref="KVK8" location="'Cost Summary'!A1" display="'Cost Summary'!A1"/>
    <hyperlink ref="KVL8" location="'Cost Summary'!A1" display="'Cost Summary'!A1"/>
    <hyperlink ref="KVM8" location="'Cost Summary'!A1" display="'Cost Summary'!A1"/>
    <hyperlink ref="KVN8" location="'Cost Summary'!A1" display="'Cost Summary'!A1"/>
    <hyperlink ref="KVO8" location="'Cost Summary'!A1" display="'Cost Summary'!A1"/>
    <hyperlink ref="KVP8" location="'Cost Summary'!A1" display="'Cost Summary'!A1"/>
    <hyperlink ref="KVQ8" location="'Cost Summary'!A1" display="'Cost Summary'!A1"/>
    <hyperlink ref="KVR8" location="'Cost Summary'!A1" display="'Cost Summary'!A1"/>
    <hyperlink ref="KVS8" location="'Cost Summary'!A1" display="'Cost Summary'!A1"/>
    <hyperlink ref="KVT8" location="'Cost Summary'!A1" display="'Cost Summary'!A1"/>
    <hyperlink ref="KVU8" location="'Cost Summary'!A1" display="'Cost Summary'!A1"/>
    <hyperlink ref="KVV8" location="'Cost Summary'!A1" display="'Cost Summary'!A1"/>
    <hyperlink ref="KVW8" location="'Cost Summary'!A1" display="'Cost Summary'!A1"/>
    <hyperlink ref="KVX8" location="'Cost Summary'!A1" display="'Cost Summary'!A1"/>
    <hyperlink ref="KVY8" location="'Cost Summary'!A1" display="'Cost Summary'!A1"/>
    <hyperlink ref="KVZ8" location="'Cost Summary'!A1" display="'Cost Summary'!A1"/>
    <hyperlink ref="KWA8" location="'Cost Summary'!A1" display="'Cost Summary'!A1"/>
    <hyperlink ref="KWB8" location="'Cost Summary'!A1" display="'Cost Summary'!A1"/>
    <hyperlink ref="KWC8" location="'Cost Summary'!A1" display="'Cost Summary'!A1"/>
    <hyperlink ref="KWD8" location="'Cost Summary'!A1" display="'Cost Summary'!A1"/>
    <hyperlink ref="KWE8" location="'Cost Summary'!A1" display="'Cost Summary'!A1"/>
    <hyperlink ref="KWF8" location="'Cost Summary'!A1" display="'Cost Summary'!A1"/>
    <hyperlink ref="KWG8" location="'Cost Summary'!A1" display="'Cost Summary'!A1"/>
    <hyperlink ref="KWH8" location="'Cost Summary'!A1" display="'Cost Summary'!A1"/>
    <hyperlink ref="KWI8" location="'Cost Summary'!A1" display="'Cost Summary'!A1"/>
    <hyperlink ref="KWJ8" location="'Cost Summary'!A1" display="'Cost Summary'!A1"/>
    <hyperlink ref="KWK8" location="'Cost Summary'!A1" display="'Cost Summary'!A1"/>
    <hyperlink ref="KWL8" location="'Cost Summary'!A1" display="'Cost Summary'!A1"/>
    <hyperlink ref="KWM8" location="'Cost Summary'!A1" display="'Cost Summary'!A1"/>
    <hyperlink ref="KWN8" location="'Cost Summary'!A1" display="'Cost Summary'!A1"/>
    <hyperlink ref="KWO8" location="'Cost Summary'!A1" display="'Cost Summary'!A1"/>
    <hyperlink ref="KWP8" location="'Cost Summary'!A1" display="'Cost Summary'!A1"/>
    <hyperlink ref="KWQ8" location="'Cost Summary'!A1" display="'Cost Summary'!A1"/>
    <hyperlink ref="KWR8" location="'Cost Summary'!A1" display="'Cost Summary'!A1"/>
    <hyperlink ref="KWS8" location="'Cost Summary'!A1" display="'Cost Summary'!A1"/>
    <hyperlink ref="KWT8" location="'Cost Summary'!A1" display="'Cost Summary'!A1"/>
    <hyperlink ref="KWU8" location="'Cost Summary'!A1" display="'Cost Summary'!A1"/>
    <hyperlink ref="KWV8" location="'Cost Summary'!A1" display="'Cost Summary'!A1"/>
    <hyperlink ref="KWW8" location="'Cost Summary'!A1" display="'Cost Summary'!A1"/>
    <hyperlink ref="KWX8" location="'Cost Summary'!A1" display="'Cost Summary'!A1"/>
    <hyperlink ref="KWY8" location="'Cost Summary'!A1" display="'Cost Summary'!A1"/>
    <hyperlink ref="KWZ8" location="'Cost Summary'!A1" display="'Cost Summary'!A1"/>
    <hyperlink ref="KXA8" location="'Cost Summary'!A1" display="'Cost Summary'!A1"/>
    <hyperlink ref="KXB8" location="'Cost Summary'!A1" display="'Cost Summary'!A1"/>
    <hyperlink ref="KXC8" location="'Cost Summary'!A1" display="'Cost Summary'!A1"/>
    <hyperlink ref="KXD8" location="'Cost Summary'!A1" display="'Cost Summary'!A1"/>
    <hyperlink ref="KXE8" location="'Cost Summary'!A1" display="'Cost Summary'!A1"/>
    <hyperlink ref="KXF8" location="'Cost Summary'!A1" display="'Cost Summary'!A1"/>
    <hyperlink ref="KXG8" location="'Cost Summary'!A1" display="'Cost Summary'!A1"/>
    <hyperlink ref="KXH8" location="'Cost Summary'!A1" display="'Cost Summary'!A1"/>
    <hyperlink ref="KXI8" location="'Cost Summary'!A1" display="'Cost Summary'!A1"/>
    <hyperlink ref="KXJ8" location="'Cost Summary'!A1" display="'Cost Summary'!A1"/>
    <hyperlink ref="KXK8" location="'Cost Summary'!A1" display="'Cost Summary'!A1"/>
    <hyperlink ref="KXL8" location="'Cost Summary'!A1" display="'Cost Summary'!A1"/>
    <hyperlink ref="KXM8" location="'Cost Summary'!A1" display="'Cost Summary'!A1"/>
    <hyperlink ref="KXN8" location="'Cost Summary'!A1" display="'Cost Summary'!A1"/>
    <hyperlink ref="KXO8" location="'Cost Summary'!A1" display="'Cost Summary'!A1"/>
    <hyperlink ref="KXP8" location="'Cost Summary'!A1" display="'Cost Summary'!A1"/>
    <hyperlink ref="KXQ8" location="'Cost Summary'!A1" display="'Cost Summary'!A1"/>
    <hyperlink ref="KXR8" location="'Cost Summary'!A1" display="'Cost Summary'!A1"/>
    <hyperlink ref="KXS8" location="'Cost Summary'!A1" display="'Cost Summary'!A1"/>
    <hyperlink ref="KXT8" location="'Cost Summary'!A1" display="'Cost Summary'!A1"/>
    <hyperlink ref="KXU8" location="'Cost Summary'!A1" display="'Cost Summary'!A1"/>
    <hyperlink ref="KXV8" location="'Cost Summary'!A1" display="'Cost Summary'!A1"/>
    <hyperlink ref="KXW8" location="'Cost Summary'!A1" display="'Cost Summary'!A1"/>
    <hyperlink ref="KXX8" location="'Cost Summary'!A1" display="'Cost Summary'!A1"/>
    <hyperlink ref="KXY8" location="'Cost Summary'!A1" display="'Cost Summary'!A1"/>
    <hyperlink ref="KXZ8" location="'Cost Summary'!A1" display="'Cost Summary'!A1"/>
    <hyperlink ref="KYA8" location="'Cost Summary'!A1" display="'Cost Summary'!A1"/>
    <hyperlink ref="KYB8" location="'Cost Summary'!A1" display="'Cost Summary'!A1"/>
    <hyperlink ref="KYC8" location="'Cost Summary'!A1" display="'Cost Summary'!A1"/>
    <hyperlink ref="KYD8" location="'Cost Summary'!A1" display="'Cost Summary'!A1"/>
    <hyperlink ref="KYE8" location="'Cost Summary'!A1" display="'Cost Summary'!A1"/>
    <hyperlink ref="KYF8" location="'Cost Summary'!A1" display="'Cost Summary'!A1"/>
    <hyperlink ref="KYG8" location="'Cost Summary'!A1" display="'Cost Summary'!A1"/>
    <hyperlink ref="KYH8" location="'Cost Summary'!A1" display="'Cost Summary'!A1"/>
    <hyperlink ref="KYI8" location="'Cost Summary'!A1" display="'Cost Summary'!A1"/>
    <hyperlink ref="KYJ8" location="'Cost Summary'!A1" display="'Cost Summary'!A1"/>
    <hyperlink ref="KYK8" location="'Cost Summary'!A1" display="'Cost Summary'!A1"/>
    <hyperlink ref="KYL8" location="'Cost Summary'!A1" display="'Cost Summary'!A1"/>
    <hyperlink ref="KYM8" location="'Cost Summary'!A1" display="'Cost Summary'!A1"/>
    <hyperlink ref="KYN8" location="'Cost Summary'!A1" display="'Cost Summary'!A1"/>
    <hyperlink ref="KYO8" location="'Cost Summary'!A1" display="'Cost Summary'!A1"/>
    <hyperlink ref="KYP8" location="'Cost Summary'!A1" display="'Cost Summary'!A1"/>
    <hyperlink ref="KYQ8" location="'Cost Summary'!A1" display="'Cost Summary'!A1"/>
    <hyperlink ref="KYR8" location="'Cost Summary'!A1" display="'Cost Summary'!A1"/>
    <hyperlink ref="KYS8" location="'Cost Summary'!A1" display="'Cost Summary'!A1"/>
    <hyperlink ref="KYT8" location="'Cost Summary'!A1" display="'Cost Summary'!A1"/>
    <hyperlink ref="KYU8" location="'Cost Summary'!A1" display="'Cost Summary'!A1"/>
    <hyperlink ref="KYV8" location="'Cost Summary'!A1" display="'Cost Summary'!A1"/>
    <hyperlink ref="KYW8" location="'Cost Summary'!A1" display="'Cost Summary'!A1"/>
    <hyperlink ref="KYX8" location="'Cost Summary'!A1" display="'Cost Summary'!A1"/>
    <hyperlink ref="KYY8" location="'Cost Summary'!A1" display="'Cost Summary'!A1"/>
    <hyperlink ref="KYZ8" location="'Cost Summary'!A1" display="'Cost Summary'!A1"/>
    <hyperlink ref="KZA8" location="'Cost Summary'!A1" display="'Cost Summary'!A1"/>
    <hyperlink ref="KZB8" location="'Cost Summary'!A1" display="'Cost Summary'!A1"/>
    <hyperlink ref="KZC8" location="'Cost Summary'!A1" display="'Cost Summary'!A1"/>
    <hyperlink ref="KZD8" location="'Cost Summary'!A1" display="'Cost Summary'!A1"/>
    <hyperlink ref="KZE8" location="'Cost Summary'!A1" display="'Cost Summary'!A1"/>
    <hyperlink ref="KZF8" location="'Cost Summary'!A1" display="'Cost Summary'!A1"/>
    <hyperlink ref="KZG8" location="'Cost Summary'!A1" display="'Cost Summary'!A1"/>
    <hyperlink ref="KZH8" location="'Cost Summary'!A1" display="'Cost Summary'!A1"/>
    <hyperlink ref="KZI8" location="'Cost Summary'!A1" display="'Cost Summary'!A1"/>
    <hyperlink ref="KZJ8" location="'Cost Summary'!A1" display="'Cost Summary'!A1"/>
    <hyperlink ref="KZK8" location="'Cost Summary'!A1" display="'Cost Summary'!A1"/>
    <hyperlink ref="KZL8" location="'Cost Summary'!A1" display="'Cost Summary'!A1"/>
    <hyperlink ref="KZM8" location="'Cost Summary'!A1" display="'Cost Summary'!A1"/>
    <hyperlink ref="KZN8" location="'Cost Summary'!A1" display="'Cost Summary'!A1"/>
    <hyperlink ref="KZO8" location="'Cost Summary'!A1" display="'Cost Summary'!A1"/>
    <hyperlink ref="KZP8" location="'Cost Summary'!A1" display="'Cost Summary'!A1"/>
    <hyperlink ref="KZQ8" location="'Cost Summary'!A1" display="'Cost Summary'!A1"/>
    <hyperlink ref="KZR8" location="'Cost Summary'!A1" display="'Cost Summary'!A1"/>
    <hyperlink ref="KZS8" location="'Cost Summary'!A1" display="'Cost Summary'!A1"/>
    <hyperlink ref="KZT8" location="'Cost Summary'!A1" display="'Cost Summary'!A1"/>
    <hyperlink ref="KZU8" location="'Cost Summary'!A1" display="'Cost Summary'!A1"/>
    <hyperlink ref="KZV8" location="'Cost Summary'!A1" display="'Cost Summary'!A1"/>
    <hyperlink ref="KZW8" location="'Cost Summary'!A1" display="'Cost Summary'!A1"/>
    <hyperlink ref="KZX8" location="'Cost Summary'!A1" display="'Cost Summary'!A1"/>
    <hyperlink ref="KZY8" location="'Cost Summary'!A1" display="'Cost Summary'!A1"/>
    <hyperlink ref="KZZ8" location="'Cost Summary'!A1" display="'Cost Summary'!A1"/>
    <hyperlink ref="LAA8" location="'Cost Summary'!A1" display="'Cost Summary'!A1"/>
    <hyperlink ref="LAB8" location="'Cost Summary'!A1" display="'Cost Summary'!A1"/>
    <hyperlink ref="LAC8" location="'Cost Summary'!A1" display="'Cost Summary'!A1"/>
    <hyperlink ref="LAD8" location="'Cost Summary'!A1" display="'Cost Summary'!A1"/>
    <hyperlink ref="LAE8" location="'Cost Summary'!A1" display="'Cost Summary'!A1"/>
    <hyperlink ref="LAF8" location="'Cost Summary'!A1" display="'Cost Summary'!A1"/>
    <hyperlink ref="LAG8" location="'Cost Summary'!A1" display="'Cost Summary'!A1"/>
    <hyperlink ref="LAH8" location="'Cost Summary'!A1" display="'Cost Summary'!A1"/>
    <hyperlink ref="LAI8" location="'Cost Summary'!A1" display="'Cost Summary'!A1"/>
    <hyperlink ref="LAJ8" location="'Cost Summary'!A1" display="'Cost Summary'!A1"/>
    <hyperlink ref="LAK8" location="'Cost Summary'!A1" display="'Cost Summary'!A1"/>
    <hyperlink ref="LAL8" location="'Cost Summary'!A1" display="'Cost Summary'!A1"/>
    <hyperlink ref="LAM8" location="'Cost Summary'!A1" display="'Cost Summary'!A1"/>
    <hyperlink ref="LAN8" location="'Cost Summary'!A1" display="'Cost Summary'!A1"/>
    <hyperlink ref="LAO8" location="'Cost Summary'!A1" display="'Cost Summary'!A1"/>
    <hyperlink ref="LAP8" location="'Cost Summary'!A1" display="'Cost Summary'!A1"/>
    <hyperlink ref="LAQ8" location="'Cost Summary'!A1" display="'Cost Summary'!A1"/>
    <hyperlink ref="LAR8" location="'Cost Summary'!A1" display="'Cost Summary'!A1"/>
    <hyperlink ref="LAS8" location="'Cost Summary'!A1" display="'Cost Summary'!A1"/>
    <hyperlink ref="LAT8" location="'Cost Summary'!A1" display="'Cost Summary'!A1"/>
    <hyperlink ref="LAU8" location="'Cost Summary'!A1" display="'Cost Summary'!A1"/>
    <hyperlink ref="LAV8" location="'Cost Summary'!A1" display="'Cost Summary'!A1"/>
    <hyperlink ref="LAW8" location="'Cost Summary'!A1" display="'Cost Summary'!A1"/>
    <hyperlink ref="LAX8" location="'Cost Summary'!A1" display="'Cost Summary'!A1"/>
    <hyperlink ref="LAY8" location="'Cost Summary'!A1" display="'Cost Summary'!A1"/>
    <hyperlink ref="LAZ8" location="'Cost Summary'!A1" display="'Cost Summary'!A1"/>
    <hyperlink ref="LBA8" location="'Cost Summary'!A1" display="'Cost Summary'!A1"/>
    <hyperlink ref="LBB8" location="'Cost Summary'!A1" display="'Cost Summary'!A1"/>
    <hyperlink ref="LBC8" location="'Cost Summary'!A1" display="'Cost Summary'!A1"/>
    <hyperlink ref="LBD8" location="'Cost Summary'!A1" display="'Cost Summary'!A1"/>
    <hyperlink ref="LBE8" location="'Cost Summary'!A1" display="'Cost Summary'!A1"/>
    <hyperlink ref="LBF8" location="'Cost Summary'!A1" display="'Cost Summary'!A1"/>
    <hyperlink ref="LBG8" location="'Cost Summary'!A1" display="'Cost Summary'!A1"/>
    <hyperlink ref="LBH8" location="'Cost Summary'!A1" display="'Cost Summary'!A1"/>
    <hyperlink ref="LBI8" location="'Cost Summary'!A1" display="'Cost Summary'!A1"/>
    <hyperlink ref="LBJ8" location="'Cost Summary'!A1" display="'Cost Summary'!A1"/>
    <hyperlink ref="LBK8" location="'Cost Summary'!A1" display="'Cost Summary'!A1"/>
    <hyperlink ref="LBL8" location="'Cost Summary'!A1" display="'Cost Summary'!A1"/>
    <hyperlink ref="LBM8" location="'Cost Summary'!A1" display="'Cost Summary'!A1"/>
    <hyperlink ref="LBN8" location="'Cost Summary'!A1" display="'Cost Summary'!A1"/>
    <hyperlink ref="LBO8" location="'Cost Summary'!A1" display="'Cost Summary'!A1"/>
    <hyperlink ref="LBP8" location="'Cost Summary'!A1" display="'Cost Summary'!A1"/>
    <hyperlink ref="LBQ8" location="'Cost Summary'!A1" display="'Cost Summary'!A1"/>
    <hyperlink ref="LBR8" location="'Cost Summary'!A1" display="'Cost Summary'!A1"/>
    <hyperlink ref="LBS8" location="'Cost Summary'!A1" display="'Cost Summary'!A1"/>
    <hyperlink ref="LBT8" location="'Cost Summary'!A1" display="'Cost Summary'!A1"/>
    <hyperlink ref="LBU8" location="'Cost Summary'!A1" display="'Cost Summary'!A1"/>
    <hyperlink ref="LBV8" location="'Cost Summary'!A1" display="'Cost Summary'!A1"/>
    <hyperlink ref="LBW8" location="'Cost Summary'!A1" display="'Cost Summary'!A1"/>
    <hyperlink ref="LBX8" location="'Cost Summary'!A1" display="'Cost Summary'!A1"/>
    <hyperlink ref="LBY8" location="'Cost Summary'!A1" display="'Cost Summary'!A1"/>
    <hyperlink ref="LBZ8" location="'Cost Summary'!A1" display="'Cost Summary'!A1"/>
    <hyperlink ref="LCA8" location="'Cost Summary'!A1" display="'Cost Summary'!A1"/>
    <hyperlink ref="LCB8" location="'Cost Summary'!A1" display="'Cost Summary'!A1"/>
    <hyperlink ref="LCC8" location="'Cost Summary'!A1" display="'Cost Summary'!A1"/>
    <hyperlink ref="LCD8" location="'Cost Summary'!A1" display="'Cost Summary'!A1"/>
    <hyperlink ref="LCE8" location="'Cost Summary'!A1" display="'Cost Summary'!A1"/>
    <hyperlink ref="LCF8" location="'Cost Summary'!A1" display="'Cost Summary'!A1"/>
    <hyperlink ref="LCG8" location="'Cost Summary'!A1" display="'Cost Summary'!A1"/>
    <hyperlink ref="LCH8" location="'Cost Summary'!A1" display="'Cost Summary'!A1"/>
    <hyperlink ref="LCI8" location="'Cost Summary'!A1" display="'Cost Summary'!A1"/>
    <hyperlink ref="LCJ8" location="'Cost Summary'!A1" display="'Cost Summary'!A1"/>
    <hyperlink ref="LCK8" location="'Cost Summary'!A1" display="'Cost Summary'!A1"/>
    <hyperlink ref="LCL8" location="'Cost Summary'!A1" display="'Cost Summary'!A1"/>
    <hyperlink ref="LCM8" location="'Cost Summary'!A1" display="'Cost Summary'!A1"/>
    <hyperlink ref="LCN8" location="'Cost Summary'!A1" display="'Cost Summary'!A1"/>
    <hyperlink ref="LCO8" location="'Cost Summary'!A1" display="'Cost Summary'!A1"/>
    <hyperlink ref="LCP8" location="'Cost Summary'!A1" display="'Cost Summary'!A1"/>
    <hyperlink ref="LCQ8" location="'Cost Summary'!A1" display="'Cost Summary'!A1"/>
    <hyperlink ref="LCR8" location="'Cost Summary'!A1" display="'Cost Summary'!A1"/>
    <hyperlink ref="LCS8" location="'Cost Summary'!A1" display="'Cost Summary'!A1"/>
    <hyperlink ref="LCT8" location="'Cost Summary'!A1" display="'Cost Summary'!A1"/>
    <hyperlink ref="LCU8" location="'Cost Summary'!A1" display="'Cost Summary'!A1"/>
    <hyperlink ref="LCV8" location="'Cost Summary'!A1" display="'Cost Summary'!A1"/>
    <hyperlink ref="LCW8" location="'Cost Summary'!A1" display="'Cost Summary'!A1"/>
    <hyperlink ref="LCX8" location="'Cost Summary'!A1" display="'Cost Summary'!A1"/>
    <hyperlink ref="LCY8" location="'Cost Summary'!A1" display="'Cost Summary'!A1"/>
    <hyperlink ref="LCZ8" location="'Cost Summary'!A1" display="'Cost Summary'!A1"/>
    <hyperlink ref="LDA8" location="'Cost Summary'!A1" display="'Cost Summary'!A1"/>
    <hyperlink ref="LDB8" location="'Cost Summary'!A1" display="'Cost Summary'!A1"/>
    <hyperlink ref="LDC8" location="'Cost Summary'!A1" display="'Cost Summary'!A1"/>
    <hyperlink ref="LDD8" location="'Cost Summary'!A1" display="'Cost Summary'!A1"/>
    <hyperlink ref="LDE8" location="'Cost Summary'!A1" display="'Cost Summary'!A1"/>
    <hyperlink ref="LDF8" location="'Cost Summary'!A1" display="'Cost Summary'!A1"/>
    <hyperlink ref="LDG8" location="'Cost Summary'!A1" display="'Cost Summary'!A1"/>
    <hyperlink ref="LDH8" location="'Cost Summary'!A1" display="'Cost Summary'!A1"/>
    <hyperlink ref="LDI8" location="'Cost Summary'!A1" display="'Cost Summary'!A1"/>
    <hyperlink ref="LDJ8" location="'Cost Summary'!A1" display="'Cost Summary'!A1"/>
    <hyperlink ref="LDK8" location="'Cost Summary'!A1" display="'Cost Summary'!A1"/>
    <hyperlink ref="LDL8" location="'Cost Summary'!A1" display="'Cost Summary'!A1"/>
    <hyperlink ref="LDM8" location="'Cost Summary'!A1" display="'Cost Summary'!A1"/>
    <hyperlink ref="LDN8" location="'Cost Summary'!A1" display="'Cost Summary'!A1"/>
    <hyperlink ref="LDO8" location="'Cost Summary'!A1" display="'Cost Summary'!A1"/>
    <hyperlink ref="LDP8" location="'Cost Summary'!A1" display="'Cost Summary'!A1"/>
    <hyperlink ref="LDQ8" location="'Cost Summary'!A1" display="'Cost Summary'!A1"/>
    <hyperlink ref="LDR8" location="'Cost Summary'!A1" display="'Cost Summary'!A1"/>
    <hyperlink ref="LDS8" location="'Cost Summary'!A1" display="'Cost Summary'!A1"/>
    <hyperlink ref="LDT8" location="'Cost Summary'!A1" display="'Cost Summary'!A1"/>
    <hyperlink ref="LDU8" location="'Cost Summary'!A1" display="'Cost Summary'!A1"/>
    <hyperlink ref="LDV8" location="'Cost Summary'!A1" display="'Cost Summary'!A1"/>
    <hyperlink ref="LDW8" location="'Cost Summary'!A1" display="'Cost Summary'!A1"/>
    <hyperlink ref="LDX8" location="'Cost Summary'!A1" display="'Cost Summary'!A1"/>
    <hyperlink ref="LDY8" location="'Cost Summary'!A1" display="'Cost Summary'!A1"/>
    <hyperlink ref="LDZ8" location="'Cost Summary'!A1" display="'Cost Summary'!A1"/>
    <hyperlink ref="LEA8" location="'Cost Summary'!A1" display="'Cost Summary'!A1"/>
    <hyperlink ref="LEB8" location="'Cost Summary'!A1" display="'Cost Summary'!A1"/>
    <hyperlink ref="LEC8" location="'Cost Summary'!A1" display="'Cost Summary'!A1"/>
    <hyperlink ref="LED8" location="'Cost Summary'!A1" display="'Cost Summary'!A1"/>
    <hyperlink ref="LEE8" location="'Cost Summary'!A1" display="'Cost Summary'!A1"/>
    <hyperlink ref="LEF8" location="'Cost Summary'!A1" display="'Cost Summary'!A1"/>
    <hyperlink ref="LEG8" location="'Cost Summary'!A1" display="'Cost Summary'!A1"/>
    <hyperlink ref="LEH8" location="'Cost Summary'!A1" display="'Cost Summary'!A1"/>
    <hyperlink ref="LEI8" location="'Cost Summary'!A1" display="'Cost Summary'!A1"/>
    <hyperlink ref="LEJ8" location="'Cost Summary'!A1" display="'Cost Summary'!A1"/>
    <hyperlink ref="LEK8" location="'Cost Summary'!A1" display="'Cost Summary'!A1"/>
    <hyperlink ref="LEL8" location="'Cost Summary'!A1" display="'Cost Summary'!A1"/>
    <hyperlink ref="LEM8" location="'Cost Summary'!A1" display="'Cost Summary'!A1"/>
    <hyperlink ref="LEN8" location="'Cost Summary'!A1" display="'Cost Summary'!A1"/>
    <hyperlink ref="LEO8" location="'Cost Summary'!A1" display="'Cost Summary'!A1"/>
    <hyperlink ref="LEP8" location="'Cost Summary'!A1" display="'Cost Summary'!A1"/>
    <hyperlink ref="LEQ8" location="'Cost Summary'!A1" display="'Cost Summary'!A1"/>
    <hyperlink ref="LER8" location="'Cost Summary'!A1" display="'Cost Summary'!A1"/>
    <hyperlink ref="LES8" location="'Cost Summary'!A1" display="'Cost Summary'!A1"/>
    <hyperlink ref="LET8" location="'Cost Summary'!A1" display="'Cost Summary'!A1"/>
    <hyperlink ref="LEU8" location="'Cost Summary'!A1" display="'Cost Summary'!A1"/>
    <hyperlink ref="LEV8" location="'Cost Summary'!A1" display="'Cost Summary'!A1"/>
    <hyperlink ref="LEW8" location="'Cost Summary'!A1" display="'Cost Summary'!A1"/>
    <hyperlink ref="LEX8" location="'Cost Summary'!A1" display="'Cost Summary'!A1"/>
    <hyperlink ref="LEY8" location="'Cost Summary'!A1" display="'Cost Summary'!A1"/>
    <hyperlink ref="LEZ8" location="'Cost Summary'!A1" display="'Cost Summary'!A1"/>
    <hyperlink ref="LFA8" location="'Cost Summary'!A1" display="'Cost Summary'!A1"/>
    <hyperlink ref="LFB8" location="'Cost Summary'!A1" display="'Cost Summary'!A1"/>
    <hyperlink ref="LFC8" location="'Cost Summary'!A1" display="'Cost Summary'!A1"/>
    <hyperlink ref="LFD8" location="'Cost Summary'!A1" display="'Cost Summary'!A1"/>
    <hyperlink ref="LFE8" location="'Cost Summary'!A1" display="'Cost Summary'!A1"/>
    <hyperlink ref="LFF8" location="'Cost Summary'!A1" display="'Cost Summary'!A1"/>
    <hyperlink ref="LFG8" location="'Cost Summary'!A1" display="'Cost Summary'!A1"/>
    <hyperlink ref="LFH8" location="'Cost Summary'!A1" display="'Cost Summary'!A1"/>
    <hyperlink ref="LFI8" location="'Cost Summary'!A1" display="'Cost Summary'!A1"/>
    <hyperlink ref="LFJ8" location="'Cost Summary'!A1" display="'Cost Summary'!A1"/>
    <hyperlink ref="LFK8" location="'Cost Summary'!A1" display="'Cost Summary'!A1"/>
    <hyperlink ref="LFL8" location="'Cost Summary'!A1" display="'Cost Summary'!A1"/>
    <hyperlink ref="LFM8" location="'Cost Summary'!A1" display="'Cost Summary'!A1"/>
    <hyperlink ref="LFN8" location="'Cost Summary'!A1" display="'Cost Summary'!A1"/>
    <hyperlink ref="LFO8" location="'Cost Summary'!A1" display="'Cost Summary'!A1"/>
    <hyperlink ref="LFP8" location="'Cost Summary'!A1" display="'Cost Summary'!A1"/>
    <hyperlink ref="LFQ8" location="'Cost Summary'!A1" display="'Cost Summary'!A1"/>
    <hyperlink ref="LFR8" location="'Cost Summary'!A1" display="'Cost Summary'!A1"/>
    <hyperlink ref="LFS8" location="'Cost Summary'!A1" display="'Cost Summary'!A1"/>
    <hyperlink ref="LFT8" location="'Cost Summary'!A1" display="'Cost Summary'!A1"/>
    <hyperlink ref="LFU8" location="'Cost Summary'!A1" display="'Cost Summary'!A1"/>
    <hyperlink ref="LFV8" location="'Cost Summary'!A1" display="'Cost Summary'!A1"/>
    <hyperlink ref="LFW8" location="'Cost Summary'!A1" display="'Cost Summary'!A1"/>
    <hyperlink ref="LFX8" location="'Cost Summary'!A1" display="'Cost Summary'!A1"/>
    <hyperlink ref="LFY8" location="'Cost Summary'!A1" display="'Cost Summary'!A1"/>
    <hyperlink ref="LFZ8" location="'Cost Summary'!A1" display="'Cost Summary'!A1"/>
    <hyperlink ref="LGA8" location="'Cost Summary'!A1" display="'Cost Summary'!A1"/>
    <hyperlink ref="LGB8" location="'Cost Summary'!A1" display="'Cost Summary'!A1"/>
    <hyperlink ref="LGC8" location="'Cost Summary'!A1" display="'Cost Summary'!A1"/>
    <hyperlink ref="LGD8" location="'Cost Summary'!A1" display="'Cost Summary'!A1"/>
    <hyperlink ref="LGE8" location="'Cost Summary'!A1" display="'Cost Summary'!A1"/>
    <hyperlink ref="LGF8" location="'Cost Summary'!A1" display="'Cost Summary'!A1"/>
    <hyperlink ref="LGG8" location="'Cost Summary'!A1" display="'Cost Summary'!A1"/>
    <hyperlink ref="LGH8" location="'Cost Summary'!A1" display="'Cost Summary'!A1"/>
    <hyperlink ref="LGI8" location="'Cost Summary'!A1" display="'Cost Summary'!A1"/>
    <hyperlink ref="LGJ8" location="'Cost Summary'!A1" display="'Cost Summary'!A1"/>
    <hyperlink ref="LGK8" location="'Cost Summary'!A1" display="'Cost Summary'!A1"/>
    <hyperlink ref="LGL8" location="'Cost Summary'!A1" display="'Cost Summary'!A1"/>
    <hyperlink ref="LGM8" location="'Cost Summary'!A1" display="'Cost Summary'!A1"/>
    <hyperlink ref="LGN8" location="'Cost Summary'!A1" display="'Cost Summary'!A1"/>
    <hyperlink ref="LGO8" location="'Cost Summary'!A1" display="'Cost Summary'!A1"/>
    <hyperlink ref="LGP8" location="'Cost Summary'!A1" display="'Cost Summary'!A1"/>
    <hyperlink ref="LGQ8" location="'Cost Summary'!A1" display="'Cost Summary'!A1"/>
    <hyperlink ref="LGR8" location="'Cost Summary'!A1" display="'Cost Summary'!A1"/>
    <hyperlink ref="LGS8" location="'Cost Summary'!A1" display="'Cost Summary'!A1"/>
    <hyperlink ref="LGT8" location="'Cost Summary'!A1" display="'Cost Summary'!A1"/>
    <hyperlink ref="LGU8" location="'Cost Summary'!A1" display="'Cost Summary'!A1"/>
    <hyperlink ref="LGV8" location="'Cost Summary'!A1" display="'Cost Summary'!A1"/>
    <hyperlink ref="LGW8" location="'Cost Summary'!A1" display="'Cost Summary'!A1"/>
    <hyperlink ref="LGX8" location="'Cost Summary'!A1" display="'Cost Summary'!A1"/>
    <hyperlink ref="LGY8" location="'Cost Summary'!A1" display="'Cost Summary'!A1"/>
    <hyperlink ref="LGZ8" location="'Cost Summary'!A1" display="'Cost Summary'!A1"/>
    <hyperlink ref="LHA8" location="'Cost Summary'!A1" display="'Cost Summary'!A1"/>
    <hyperlink ref="LHB8" location="'Cost Summary'!A1" display="'Cost Summary'!A1"/>
    <hyperlink ref="LHC8" location="'Cost Summary'!A1" display="'Cost Summary'!A1"/>
    <hyperlink ref="LHD8" location="'Cost Summary'!A1" display="'Cost Summary'!A1"/>
    <hyperlink ref="LHE8" location="'Cost Summary'!A1" display="'Cost Summary'!A1"/>
    <hyperlink ref="LHF8" location="'Cost Summary'!A1" display="'Cost Summary'!A1"/>
    <hyperlink ref="LHG8" location="'Cost Summary'!A1" display="'Cost Summary'!A1"/>
    <hyperlink ref="LHH8" location="'Cost Summary'!A1" display="'Cost Summary'!A1"/>
    <hyperlink ref="LHI8" location="'Cost Summary'!A1" display="'Cost Summary'!A1"/>
    <hyperlink ref="LHJ8" location="'Cost Summary'!A1" display="'Cost Summary'!A1"/>
    <hyperlink ref="LHK8" location="'Cost Summary'!A1" display="'Cost Summary'!A1"/>
    <hyperlink ref="LHL8" location="'Cost Summary'!A1" display="'Cost Summary'!A1"/>
    <hyperlink ref="LHM8" location="'Cost Summary'!A1" display="'Cost Summary'!A1"/>
    <hyperlink ref="LHN8" location="'Cost Summary'!A1" display="'Cost Summary'!A1"/>
    <hyperlink ref="LHO8" location="'Cost Summary'!A1" display="'Cost Summary'!A1"/>
    <hyperlink ref="LHP8" location="'Cost Summary'!A1" display="'Cost Summary'!A1"/>
    <hyperlink ref="LHQ8" location="'Cost Summary'!A1" display="'Cost Summary'!A1"/>
    <hyperlink ref="LHR8" location="'Cost Summary'!A1" display="'Cost Summary'!A1"/>
    <hyperlink ref="LHS8" location="'Cost Summary'!A1" display="'Cost Summary'!A1"/>
    <hyperlink ref="LHT8" location="'Cost Summary'!A1" display="'Cost Summary'!A1"/>
    <hyperlink ref="LHU8" location="'Cost Summary'!A1" display="'Cost Summary'!A1"/>
    <hyperlink ref="LHV8" location="'Cost Summary'!A1" display="'Cost Summary'!A1"/>
    <hyperlink ref="LHW8" location="'Cost Summary'!A1" display="'Cost Summary'!A1"/>
    <hyperlink ref="LHX8" location="'Cost Summary'!A1" display="'Cost Summary'!A1"/>
    <hyperlink ref="LHY8" location="'Cost Summary'!A1" display="'Cost Summary'!A1"/>
    <hyperlink ref="LHZ8" location="'Cost Summary'!A1" display="'Cost Summary'!A1"/>
    <hyperlink ref="LIA8" location="'Cost Summary'!A1" display="'Cost Summary'!A1"/>
    <hyperlink ref="LIB8" location="'Cost Summary'!A1" display="'Cost Summary'!A1"/>
    <hyperlink ref="LIC8" location="'Cost Summary'!A1" display="'Cost Summary'!A1"/>
    <hyperlink ref="LID8" location="'Cost Summary'!A1" display="'Cost Summary'!A1"/>
    <hyperlink ref="LIE8" location="'Cost Summary'!A1" display="'Cost Summary'!A1"/>
    <hyperlink ref="LIF8" location="'Cost Summary'!A1" display="'Cost Summary'!A1"/>
    <hyperlink ref="LIG8" location="'Cost Summary'!A1" display="'Cost Summary'!A1"/>
    <hyperlink ref="LIH8" location="'Cost Summary'!A1" display="'Cost Summary'!A1"/>
    <hyperlink ref="LII8" location="'Cost Summary'!A1" display="'Cost Summary'!A1"/>
    <hyperlink ref="LIJ8" location="'Cost Summary'!A1" display="'Cost Summary'!A1"/>
    <hyperlink ref="LIK8" location="'Cost Summary'!A1" display="'Cost Summary'!A1"/>
    <hyperlink ref="LIL8" location="'Cost Summary'!A1" display="'Cost Summary'!A1"/>
    <hyperlink ref="LIM8" location="'Cost Summary'!A1" display="'Cost Summary'!A1"/>
    <hyperlink ref="LIN8" location="'Cost Summary'!A1" display="'Cost Summary'!A1"/>
    <hyperlink ref="LIO8" location="'Cost Summary'!A1" display="'Cost Summary'!A1"/>
    <hyperlink ref="LIP8" location="'Cost Summary'!A1" display="'Cost Summary'!A1"/>
    <hyperlink ref="LIQ8" location="'Cost Summary'!A1" display="'Cost Summary'!A1"/>
    <hyperlink ref="LIR8" location="'Cost Summary'!A1" display="'Cost Summary'!A1"/>
    <hyperlink ref="LIS8" location="'Cost Summary'!A1" display="'Cost Summary'!A1"/>
    <hyperlink ref="LIT8" location="'Cost Summary'!A1" display="'Cost Summary'!A1"/>
    <hyperlink ref="LIU8" location="'Cost Summary'!A1" display="'Cost Summary'!A1"/>
    <hyperlink ref="LIV8" location="'Cost Summary'!A1" display="'Cost Summary'!A1"/>
    <hyperlink ref="LIW8" location="'Cost Summary'!A1" display="'Cost Summary'!A1"/>
    <hyperlink ref="LIX8" location="'Cost Summary'!A1" display="'Cost Summary'!A1"/>
    <hyperlink ref="LIY8" location="'Cost Summary'!A1" display="'Cost Summary'!A1"/>
    <hyperlink ref="LIZ8" location="'Cost Summary'!A1" display="'Cost Summary'!A1"/>
    <hyperlink ref="LJA8" location="'Cost Summary'!A1" display="'Cost Summary'!A1"/>
    <hyperlink ref="LJB8" location="'Cost Summary'!A1" display="'Cost Summary'!A1"/>
    <hyperlink ref="LJC8" location="'Cost Summary'!A1" display="'Cost Summary'!A1"/>
    <hyperlink ref="LJD8" location="'Cost Summary'!A1" display="'Cost Summary'!A1"/>
    <hyperlink ref="LJE8" location="'Cost Summary'!A1" display="'Cost Summary'!A1"/>
    <hyperlink ref="LJF8" location="'Cost Summary'!A1" display="'Cost Summary'!A1"/>
    <hyperlink ref="LJG8" location="'Cost Summary'!A1" display="'Cost Summary'!A1"/>
    <hyperlink ref="LJH8" location="'Cost Summary'!A1" display="'Cost Summary'!A1"/>
    <hyperlink ref="LJI8" location="'Cost Summary'!A1" display="'Cost Summary'!A1"/>
    <hyperlink ref="LJJ8" location="'Cost Summary'!A1" display="'Cost Summary'!A1"/>
    <hyperlink ref="LJK8" location="'Cost Summary'!A1" display="'Cost Summary'!A1"/>
    <hyperlink ref="LJL8" location="'Cost Summary'!A1" display="'Cost Summary'!A1"/>
    <hyperlink ref="LJM8" location="'Cost Summary'!A1" display="'Cost Summary'!A1"/>
    <hyperlink ref="LJN8" location="'Cost Summary'!A1" display="'Cost Summary'!A1"/>
    <hyperlink ref="LJO8" location="'Cost Summary'!A1" display="'Cost Summary'!A1"/>
    <hyperlink ref="LJP8" location="'Cost Summary'!A1" display="'Cost Summary'!A1"/>
    <hyperlink ref="LJQ8" location="'Cost Summary'!A1" display="'Cost Summary'!A1"/>
    <hyperlink ref="LJR8" location="'Cost Summary'!A1" display="'Cost Summary'!A1"/>
    <hyperlink ref="LJS8" location="'Cost Summary'!A1" display="'Cost Summary'!A1"/>
    <hyperlink ref="LJT8" location="'Cost Summary'!A1" display="'Cost Summary'!A1"/>
    <hyperlink ref="LJU8" location="'Cost Summary'!A1" display="'Cost Summary'!A1"/>
    <hyperlink ref="LJV8" location="'Cost Summary'!A1" display="'Cost Summary'!A1"/>
    <hyperlink ref="LJW8" location="'Cost Summary'!A1" display="'Cost Summary'!A1"/>
    <hyperlink ref="LJX8" location="'Cost Summary'!A1" display="'Cost Summary'!A1"/>
    <hyperlink ref="LJY8" location="'Cost Summary'!A1" display="'Cost Summary'!A1"/>
    <hyperlink ref="LJZ8" location="'Cost Summary'!A1" display="'Cost Summary'!A1"/>
    <hyperlink ref="LKA8" location="'Cost Summary'!A1" display="'Cost Summary'!A1"/>
    <hyperlink ref="LKB8" location="'Cost Summary'!A1" display="'Cost Summary'!A1"/>
    <hyperlink ref="LKC8" location="'Cost Summary'!A1" display="'Cost Summary'!A1"/>
    <hyperlink ref="LKD8" location="'Cost Summary'!A1" display="'Cost Summary'!A1"/>
    <hyperlink ref="LKE8" location="'Cost Summary'!A1" display="'Cost Summary'!A1"/>
    <hyperlink ref="LKF8" location="'Cost Summary'!A1" display="'Cost Summary'!A1"/>
    <hyperlink ref="LKG8" location="'Cost Summary'!A1" display="'Cost Summary'!A1"/>
    <hyperlink ref="LKH8" location="'Cost Summary'!A1" display="'Cost Summary'!A1"/>
    <hyperlink ref="LKI8" location="'Cost Summary'!A1" display="'Cost Summary'!A1"/>
    <hyperlink ref="LKJ8" location="'Cost Summary'!A1" display="'Cost Summary'!A1"/>
    <hyperlink ref="LKK8" location="'Cost Summary'!A1" display="'Cost Summary'!A1"/>
    <hyperlink ref="LKL8" location="'Cost Summary'!A1" display="'Cost Summary'!A1"/>
    <hyperlink ref="LKM8" location="'Cost Summary'!A1" display="'Cost Summary'!A1"/>
    <hyperlink ref="LKN8" location="'Cost Summary'!A1" display="'Cost Summary'!A1"/>
    <hyperlink ref="LKO8" location="'Cost Summary'!A1" display="'Cost Summary'!A1"/>
    <hyperlink ref="LKP8" location="'Cost Summary'!A1" display="'Cost Summary'!A1"/>
    <hyperlink ref="LKQ8" location="'Cost Summary'!A1" display="'Cost Summary'!A1"/>
    <hyperlink ref="LKR8" location="'Cost Summary'!A1" display="'Cost Summary'!A1"/>
    <hyperlink ref="LKS8" location="'Cost Summary'!A1" display="'Cost Summary'!A1"/>
    <hyperlink ref="LKT8" location="'Cost Summary'!A1" display="'Cost Summary'!A1"/>
    <hyperlink ref="LKU8" location="'Cost Summary'!A1" display="'Cost Summary'!A1"/>
    <hyperlink ref="LKV8" location="'Cost Summary'!A1" display="'Cost Summary'!A1"/>
    <hyperlink ref="LKW8" location="'Cost Summary'!A1" display="'Cost Summary'!A1"/>
    <hyperlink ref="LKX8" location="'Cost Summary'!A1" display="'Cost Summary'!A1"/>
    <hyperlink ref="LKY8" location="'Cost Summary'!A1" display="'Cost Summary'!A1"/>
    <hyperlink ref="LKZ8" location="'Cost Summary'!A1" display="'Cost Summary'!A1"/>
    <hyperlink ref="LLA8" location="'Cost Summary'!A1" display="'Cost Summary'!A1"/>
    <hyperlink ref="LLB8" location="'Cost Summary'!A1" display="'Cost Summary'!A1"/>
    <hyperlink ref="LLC8" location="'Cost Summary'!A1" display="'Cost Summary'!A1"/>
    <hyperlink ref="LLD8" location="'Cost Summary'!A1" display="'Cost Summary'!A1"/>
    <hyperlink ref="LLE8" location="'Cost Summary'!A1" display="'Cost Summary'!A1"/>
    <hyperlink ref="LLF8" location="'Cost Summary'!A1" display="'Cost Summary'!A1"/>
    <hyperlink ref="LLG8" location="'Cost Summary'!A1" display="'Cost Summary'!A1"/>
    <hyperlink ref="LLH8" location="'Cost Summary'!A1" display="'Cost Summary'!A1"/>
    <hyperlink ref="LLI8" location="'Cost Summary'!A1" display="'Cost Summary'!A1"/>
    <hyperlink ref="LLJ8" location="'Cost Summary'!A1" display="'Cost Summary'!A1"/>
    <hyperlink ref="LLK8" location="'Cost Summary'!A1" display="'Cost Summary'!A1"/>
    <hyperlink ref="LLL8" location="'Cost Summary'!A1" display="'Cost Summary'!A1"/>
    <hyperlink ref="LLM8" location="'Cost Summary'!A1" display="'Cost Summary'!A1"/>
    <hyperlink ref="LLN8" location="'Cost Summary'!A1" display="'Cost Summary'!A1"/>
    <hyperlink ref="LLO8" location="'Cost Summary'!A1" display="'Cost Summary'!A1"/>
    <hyperlink ref="LLP8" location="'Cost Summary'!A1" display="'Cost Summary'!A1"/>
    <hyperlink ref="LLQ8" location="'Cost Summary'!A1" display="'Cost Summary'!A1"/>
    <hyperlink ref="LLR8" location="'Cost Summary'!A1" display="'Cost Summary'!A1"/>
    <hyperlink ref="LLS8" location="'Cost Summary'!A1" display="'Cost Summary'!A1"/>
    <hyperlink ref="LLT8" location="'Cost Summary'!A1" display="'Cost Summary'!A1"/>
    <hyperlink ref="LLU8" location="'Cost Summary'!A1" display="'Cost Summary'!A1"/>
    <hyperlink ref="LLV8" location="'Cost Summary'!A1" display="'Cost Summary'!A1"/>
    <hyperlink ref="LLW8" location="'Cost Summary'!A1" display="'Cost Summary'!A1"/>
    <hyperlink ref="LLX8" location="'Cost Summary'!A1" display="'Cost Summary'!A1"/>
    <hyperlink ref="LLY8" location="'Cost Summary'!A1" display="'Cost Summary'!A1"/>
    <hyperlink ref="LLZ8" location="'Cost Summary'!A1" display="'Cost Summary'!A1"/>
    <hyperlink ref="LMA8" location="'Cost Summary'!A1" display="'Cost Summary'!A1"/>
    <hyperlink ref="LMB8" location="'Cost Summary'!A1" display="'Cost Summary'!A1"/>
    <hyperlink ref="LMC8" location="'Cost Summary'!A1" display="'Cost Summary'!A1"/>
    <hyperlink ref="LMD8" location="'Cost Summary'!A1" display="'Cost Summary'!A1"/>
    <hyperlink ref="LME8" location="'Cost Summary'!A1" display="'Cost Summary'!A1"/>
    <hyperlink ref="LMF8" location="'Cost Summary'!A1" display="'Cost Summary'!A1"/>
    <hyperlink ref="LMG8" location="'Cost Summary'!A1" display="'Cost Summary'!A1"/>
    <hyperlink ref="LMH8" location="'Cost Summary'!A1" display="'Cost Summary'!A1"/>
    <hyperlink ref="LMI8" location="'Cost Summary'!A1" display="'Cost Summary'!A1"/>
    <hyperlink ref="LMJ8" location="'Cost Summary'!A1" display="'Cost Summary'!A1"/>
    <hyperlink ref="LMK8" location="'Cost Summary'!A1" display="'Cost Summary'!A1"/>
    <hyperlink ref="LML8" location="'Cost Summary'!A1" display="'Cost Summary'!A1"/>
    <hyperlink ref="LMM8" location="'Cost Summary'!A1" display="'Cost Summary'!A1"/>
    <hyperlink ref="LMN8" location="'Cost Summary'!A1" display="'Cost Summary'!A1"/>
    <hyperlink ref="LMO8" location="'Cost Summary'!A1" display="'Cost Summary'!A1"/>
    <hyperlink ref="LMP8" location="'Cost Summary'!A1" display="'Cost Summary'!A1"/>
    <hyperlink ref="LMQ8" location="'Cost Summary'!A1" display="'Cost Summary'!A1"/>
    <hyperlink ref="LMR8" location="'Cost Summary'!A1" display="'Cost Summary'!A1"/>
    <hyperlink ref="LMS8" location="'Cost Summary'!A1" display="'Cost Summary'!A1"/>
    <hyperlink ref="LMT8" location="'Cost Summary'!A1" display="'Cost Summary'!A1"/>
    <hyperlink ref="LMU8" location="'Cost Summary'!A1" display="'Cost Summary'!A1"/>
    <hyperlink ref="LMV8" location="'Cost Summary'!A1" display="'Cost Summary'!A1"/>
    <hyperlink ref="LMW8" location="'Cost Summary'!A1" display="'Cost Summary'!A1"/>
    <hyperlink ref="LMX8" location="'Cost Summary'!A1" display="'Cost Summary'!A1"/>
    <hyperlink ref="LMY8" location="'Cost Summary'!A1" display="'Cost Summary'!A1"/>
    <hyperlink ref="LMZ8" location="'Cost Summary'!A1" display="'Cost Summary'!A1"/>
    <hyperlink ref="LNA8" location="'Cost Summary'!A1" display="'Cost Summary'!A1"/>
    <hyperlink ref="LNB8" location="'Cost Summary'!A1" display="'Cost Summary'!A1"/>
    <hyperlink ref="LNC8" location="'Cost Summary'!A1" display="'Cost Summary'!A1"/>
    <hyperlink ref="LND8" location="'Cost Summary'!A1" display="'Cost Summary'!A1"/>
    <hyperlink ref="LNE8" location="'Cost Summary'!A1" display="'Cost Summary'!A1"/>
    <hyperlink ref="LNF8" location="'Cost Summary'!A1" display="'Cost Summary'!A1"/>
    <hyperlink ref="LNG8" location="'Cost Summary'!A1" display="'Cost Summary'!A1"/>
    <hyperlink ref="LNH8" location="'Cost Summary'!A1" display="'Cost Summary'!A1"/>
    <hyperlink ref="LNI8" location="'Cost Summary'!A1" display="'Cost Summary'!A1"/>
    <hyperlink ref="LNJ8" location="'Cost Summary'!A1" display="'Cost Summary'!A1"/>
    <hyperlink ref="LNK8" location="'Cost Summary'!A1" display="'Cost Summary'!A1"/>
    <hyperlink ref="LNL8" location="'Cost Summary'!A1" display="'Cost Summary'!A1"/>
    <hyperlink ref="LNM8" location="'Cost Summary'!A1" display="'Cost Summary'!A1"/>
    <hyperlink ref="LNN8" location="'Cost Summary'!A1" display="'Cost Summary'!A1"/>
    <hyperlink ref="LNO8" location="'Cost Summary'!A1" display="'Cost Summary'!A1"/>
    <hyperlink ref="LNP8" location="'Cost Summary'!A1" display="'Cost Summary'!A1"/>
    <hyperlink ref="LNQ8" location="'Cost Summary'!A1" display="'Cost Summary'!A1"/>
    <hyperlink ref="LNR8" location="'Cost Summary'!A1" display="'Cost Summary'!A1"/>
    <hyperlink ref="LNS8" location="'Cost Summary'!A1" display="'Cost Summary'!A1"/>
    <hyperlink ref="LNT8" location="'Cost Summary'!A1" display="'Cost Summary'!A1"/>
    <hyperlink ref="LNU8" location="'Cost Summary'!A1" display="'Cost Summary'!A1"/>
    <hyperlink ref="LNV8" location="'Cost Summary'!A1" display="'Cost Summary'!A1"/>
    <hyperlink ref="LNW8" location="'Cost Summary'!A1" display="'Cost Summary'!A1"/>
    <hyperlink ref="LNX8" location="'Cost Summary'!A1" display="'Cost Summary'!A1"/>
    <hyperlink ref="LNY8" location="'Cost Summary'!A1" display="'Cost Summary'!A1"/>
    <hyperlink ref="LNZ8" location="'Cost Summary'!A1" display="'Cost Summary'!A1"/>
    <hyperlink ref="LOA8" location="'Cost Summary'!A1" display="'Cost Summary'!A1"/>
    <hyperlink ref="LOB8" location="'Cost Summary'!A1" display="'Cost Summary'!A1"/>
    <hyperlink ref="LOC8" location="'Cost Summary'!A1" display="'Cost Summary'!A1"/>
    <hyperlink ref="LOD8" location="'Cost Summary'!A1" display="'Cost Summary'!A1"/>
    <hyperlink ref="LOE8" location="'Cost Summary'!A1" display="'Cost Summary'!A1"/>
    <hyperlink ref="LOF8" location="'Cost Summary'!A1" display="'Cost Summary'!A1"/>
    <hyperlink ref="LOG8" location="'Cost Summary'!A1" display="'Cost Summary'!A1"/>
    <hyperlink ref="LOH8" location="'Cost Summary'!A1" display="'Cost Summary'!A1"/>
    <hyperlink ref="LOI8" location="'Cost Summary'!A1" display="'Cost Summary'!A1"/>
    <hyperlink ref="LOJ8" location="'Cost Summary'!A1" display="'Cost Summary'!A1"/>
    <hyperlink ref="LOK8" location="'Cost Summary'!A1" display="'Cost Summary'!A1"/>
    <hyperlink ref="LOL8" location="'Cost Summary'!A1" display="'Cost Summary'!A1"/>
    <hyperlink ref="LOM8" location="'Cost Summary'!A1" display="'Cost Summary'!A1"/>
    <hyperlink ref="LON8" location="'Cost Summary'!A1" display="'Cost Summary'!A1"/>
    <hyperlink ref="LOO8" location="'Cost Summary'!A1" display="'Cost Summary'!A1"/>
    <hyperlink ref="LOP8" location="'Cost Summary'!A1" display="'Cost Summary'!A1"/>
    <hyperlink ref="LOQ8" location="'Cost Summary'!A1" display="'Cost Summary'!A1"/>
    <hyperlink ref="LOR8" location="'Cost Summary'!A1" display="'Cost Summary'!A1"/>
    <hyperlink ref="LOS8" location="'Cost Summary'!A1" display="'Cost Summary'!A1"/>
    <hyperlink ref="LOT8" location="'Cost Summary'!A1" display="'Cost Summary'!A1"/>
    <hyperlink ref="LOU8" location="'Cost Summary'!A1" display="'Cost Summary'!A1"/>
    <hyperlink ref="LOV8" location="'Cost Summary'!A1" display="'Cost Summary'!A1"/>
    <hyperlink ref="LOW8" location="'Cost Summary'!A1" display="'Cost Summary'!A1"/>
    <hyperlink ref="LOX8" location="'Cost Summary'!A1" display="'Cost Summary'!A1"/>
    <hyperlink ref="LOY8" location="'Cost Summary'!A1" display="'Cost Summary'!A1"/>
    <hyperlink ref="LOZ8" location="'Cost Summary'!A1" display="'Cost Summary'!A1"/>
    <hyperlink ref="LPA8" location="'Cost Summary'!A1" display="'Cost Summary'!A1"/>
    <hyperlink ref="LPB8" location="'Cost Summary'!A1" display="'Cost Summary'!A1"/>
    <hyperlink ref="LPC8" location="'Cost Summary'!A1" display="'Cost Summary'!A1"/>
    <hyperlink ref="LPD8" location="'Cost Summary'!A1" display="'Cost Summary'!A1"/>
    <hyperlink ref="LPE8" location="'Cost Summary'!A1" display="'Cost Summary'!A1"/>
    <hyperlink ref="LPF8" location="'Cost Summary'!A1" display="'Cost Summary'!A1"/>
    <hyperlink ref="LPG8" location="'Cost Summary'!A1" display="'Cost Summary'!A1"/>
    <hyperlink ref="LPH8" location="'Cost Summary'!A1" display="'Cost Summary'!A1"/>
    <hyperlink ref="LPI8" location="'Cost Summary'!A1" display="'Cost Summary'!A1"/>
    <hyperlink ref="LPJ8" location="'Cost Summary'!A1" display="'Cost Summary'!A1"/>
    <hyperlink ref="LPK8" location="'Cost Summary'!A1" display="'Cost Summary'!A1"/>
    <hyperlink ref="LPL8" location="'Cost Summary'!A1" display="'Cost Summary'!A1"/>
    <hyperlink ref="LPM8" location="'Cost Summary'!A1" display="'Cost Summary'!A1"/>
    <hyperlink ref="LPN8" location="'Cost Summary'!A1" display="'Cost Summary'!A1"/>
    <hyperlink ref="LPO8" location="'Cost Summary'!A1" display="'Cost Summary'!A1"/>
    <hyperlink ref="LPP8" location="'Cost Summary'!A1" display="'Cost Summary'!A1"/>
    <hyperlink ref="LPQ8" location="'Cost Summary'!A1" display="'Cost Summary'!A1"/>
    <hyperlink ref="LPR8" location="'Cost Summary'!A1" display="'Cost Summary'!A1"/>
    <hyperlink ref="LPS8" location="'Cost Summary'!A1" display="'Cost Summary'!A1"/>
    <hyperlink ref="LPT8" location="'Cost Summary'!A1" display="'Cost Summary'!A1"/>
    <hyperlink ref="LPU8" location="'Cost Summary'!A1" display="'Cost Summary'!A1"/>
    <hyperlink ref="LPV8" location="'Cost Summary'!A1" display="'Cost Summary'!A1"/>
    <hyperlink ref="LPW8" location="'Cost Summary'!A1" display="'Cost Summary'!A1"/>
    <hyperlink ref="LPX8" location="'Cost Summary'!A1" display="'Cost Summary'!A1"/>
    <hyperlink ref="LPY8" location="'Cost Summary'!A1" display="'Cost Summary'!A1"/>
    <hyperlink ref="LPZ8" location="'Cost Summary'!A1" display="'Cost Summary'!A1"/>
    <hyperlink ref="LQA8" location="'Cost Summary'!A1" display="'Cost Summary'!A1"/>
    <hyperlink ref="LQB8" location="'Cost Summary'!A1" display="'Cost Summary'!A1"/>
    <hyperlink ref="LQC8" location="'Cost Summary'!A1" display="'Cost Summary'!A1"/>
    <hyperlink ref="LQD8" location="'Cost Summary'!A1" display="'Cost Summary'!A1"/>
    <hyperlink ref="LQE8" location="'Cost Summary'!A1" display="'Cost Summary'!A1"/>
    <hyperlink ref="LQF8" location="'Cost Summary'!A1" display="'Cost Summary'!A1"/>
    <hyperlink ref="LQG8" location="'Cost Summary'!A1" display="'Cost Summary'!A1"/>
    <hyperlink ref="LQH8" location="'Cost Summary'!A1" display="'Cost Summary'!A1"/>
    <hyperlink ref="LQI8" location="'Cost Summary'!A1" display="'Cost Summary'!A1"/>
    <hyperlink ref="LQJ8" location="'Cost Summary'!A1" display="'Cost Summary'!A1"/>
    <hyperlink ref="LQK8" location="'Cost Summary'!A1" display="'Cost Summary'!A1"/>
    <hyperlink ref="LQL8" location="'Cost Summary'!A1" display="'Cost Summary'!A1"/>
    <hyperlink ref="LQM8" location="'Cost Summary'!A1" display="'Cost Summary'!A1"/>
    <hyperlink ref="LQN8" location="'Cost Summary'!A1" display="'Cost Summary'!A1"/>
    <hyperlink ref="LQO8" location="'Cost Summary'!A1" display="'Cost Summary'!A1"/>
    <hyperlink ref="LQP8" location="'Cost Summary'!A1" display="'Cost Summary'!A1"/>
    <hyperlink ref="LQQ8" location="'Cost Summary'!A1" display="'Cost Summary'!A1"/>
    <hyperlink ref="LQR8" location="'Cost Summary'!A1" display="'Cost Summary'!A1"/>
    <hyperlink ref="LQS8" location="'Cost Summary'!A1" display="'Cost Summary'!A1"/>
    <hyperlink ref="LQT8" location="'Cost Summary'!A1" display="'Cost Summary'!A1"/>
    <hyperlink ref="LQU8" location="'Cost Summary'!A1" display="'Cost Summary'!A1"/>
    <hyperlink ref="LQV8" location="'Cost Summary'!A1" display="'Cost Summary'!A1"/>
    <hyperlink ref="LQW8" location="'Cost Summary'!A1" display="'Cost Summary'!A1"/>
    <hyperlink ref="LQX8" location="'Cost Summary'!A1" display="'Cost Summary'!A1"/>
    <hyperlink ref="LQY8" location="'Cost Summary'!A1" display="'Cost Summary'!A1"/>
    <hyperlink ref="LQZ8" location="'Cost Summary'!A1" display="'Cost Summary'!A1"/>
    <hyperlink ref="LRA8" location="'Cost Summary'!A1" display="'Cost Summary'!A1"/>
    <hyperlink ref="LRB8" location="'Cost Summary'!A1" display="'Cost Summary'!A1"/>
    <hyperlink ref="LRC8" location="'Cost Summary'!A1" display="'Cost Summary'!A1"/>
    <hyperlink ref="LRD8" location="'Cost Summary'!A1" display="'Cost Summary'!A1"/>
    <hyperlink ref="LRE8" location="'Cost Summary'!A1" display="'Cost Summary'!A1"/>
    <hyperlink ref="LRF8" location="'Cost Summary'!A1" display="'Cost Summary'!A1"/>
    <hyperlink ref="LRG8" location="'Cost Summary'!A1" display="'Cost Summary'!A1"/>
    <hyperlink ref="LRH8" location="'Cost Summary'!A1" display="'Cost Summary'!A1"/>
    <hyperlink ref="LRI8" location="'Cost Summary'!A1" display="'Cost Summary'!A1"/>
    <hyperlink ref="LRJ8" location="'Cost Summary'!A1" display="'Cost Summary'!A1"/>
    <hyperlink ref="LRK8" location="'Cost Summary'!A1" display="'Cost Summary'!A1"/>
    <hyperlink ref="LRL8" location="'Cost Summary'!A1" display="'Cost Summary'!A1"/>
    <hyperlink ref="LRM8" location="'Cost Summary'!A1" display="'Cost Summary'!A1"/>
    <hyperlink ref="LRN8" location="'Cost Summary'!A1" display="'Cost Summary'!A1"/>
    <hyperlink ref="LRO8" location="'Cost Summary'!A1" display="'Cost Summary'!A1"/>
    <hyperlink ref="LRP8" location="'Cost Summary'!A1" display="'Cost Summary'!A1"/>
    <hyperlink ref="LRQ8" location="'Cost Summary'!A1" display="'Cost Summary'!A1"/>
    <hyperlink ref="LRR8" location="'Cost Summary'!A1" display="'Cost Summary'!A1"/>
    <hyperlink ref="LRS8" location="'Cost Summary'!A1" display="'Cost Summary'!A1"/>
    <hyperlink ref="LRT8" location="'Cost Summary'!A1" display="'Cost Summary'!A1"/>
    <hyperlink ref="LRU8" location="'Cost Summary'!A1" display="'Cost Summary'!A1"/>
    <hyperlink ref="LRV8" location="'Cost Summary'!A1" display="'Cost Summary'!A1"/>
    <hyperlink ref="LRW8" location="'Cost Summary'!A1" display="'Cost Summary'!A1"/>
    <hyperlink ref="LRX8" location="'Cost Summary'!A1" display="'Cost Summary'!A1"/>
    <hyperlink ref="LRY8" location="'Cost Summary'!A1" display="'Cost Summary'!A1"/>
    <hyperlink ref="LRZ8" location="'Cost Summary'!A1" display="'Cost Summary'!A1"/>
    <hyperlink ref="LSA8" location="'Cost Summary'!A1" display="'Cost Summary'!A1"/>
    <hyperlink ref="LSB8" location="'Cost Summary'!A1" display="'Cost Summary'!A1"/>
    <hyperlink ref="LSC8" location="'Cost Summary'!A1" display="'Cost Summary'!A1"/>
    <hyperlink ref="LSD8" location="'Cost Summary'!A1" display="'Cost Summary'!A1"/>
    <hyperlink ref="LSE8" location="'Cost Summary'!A1" display="'Cost Summary'!A1"/>
    <hyperlink ref="LSF8" location="'Cost Summary'!A1" display="'Cost Summary'!A1"/>
    <hyperlink ref="LSG8" location="'Cost Summary'!A1" display="'Cost Summary'!A1"/>
    <hyperlink ref="LSH8" location="'Cost Summary'!A1" display="'Cost Summary'!A1"/>
    <hyperlink ref="LSI8" location="'Cost Summary'!A1" display="'Cost Summary'!A1"/>
    <hyperlink ref="LSJ8" location="'Cost Summary'!A1" display="'Cost Summary'!A1"/>
    <hyperlink ref="LSK8" location="'Cost Summary'!A1" display="'Cost Summary'!A1"/>
    <hyperlink ref="LSL8" location="'Cost Summary'!A1" display="'Cost Summary'!A1"/>
    <hyperlink ref="LSM8" location="'Cost Summary'!A1" display="'Cost Summary'!A1"/>
    <hyperlink ref="LSN8" location="'Cost Summary'!A1" display="'Cost Summary'!A1"/>
    <hyperlink ref="LSO8" location="'Cost Summary'!A1" display="'Cost Summary'!A1"/>
    <hyperlink ref="LSP8" location="'Cost Summary'!A1" display="'Cost Summary'!A1"/>
    <hyperlink ref="LSQ8" location="'Cost Summary'!A1" display="'Cost Summary'!A1"/>
    <hyperlink ref="LSR8" location="'Cost Summary'!A1" display="'Cost Summary'!A1"/>
    <hyperlink ref="LSS8" location="'Cost Summary'!A1" display="'Cost Summary'!A1"/>
    <hyperlink ref="LST8" location="'Cost Summary'!A1" display="'Cost Summary'!A1"/>
    <hyperlink ref="LSU8" location="'Cost Summary'!A1" display="'Cost Summary'!A1"/>
    <hyperlink ref="LSV8" location="'Cost Summary'!A1" display="'Cost Summary'!A1"/>
    <hyperlink ref="LSW8" location="'Cost Summary'!A1" display="'Cost Summary'!A1"/>
    <hyperlink ref="LSX8" location="'Cost Summary'!A1" display="'Cost Summary'!A1"/>
    <hyperlink ref="LSY8" location="'Cost Summary'!A1" display="'Cost Summary'!A1"/>
    <hyperlink ref="LSZ8" location="'Cost Summary'!A1" display="'Cost Summary'!A1"/>
    <hyperlink ref="LTA8" location="'Cost Summary'!A1" display="'Cost Summary'!A1"/>
    <hyperlink ref="LTB8" location="'Cost Summary'!A1" display="'Cost Summary'!A1"/>
    <hyperlink ref="LTC8" location="'Cost Summary'!A1" display="'Cost Summary'!A1"/>
    <hyperlink ref="LTD8" location="'Cost Summary'!A1" display="'Cost Summary'!A1"/>
    <hyperlink ref="LTE8" location="'Cost Summary'!A1" display="'Cost Summary'!A1"/>
    <hyperlink ref="LTF8" location="'Cost Summary'!A1" display="'Cost Summary'!A1"/>
    <hyperlink ref="LTG8" location="'Cost Summary'!A1" display="'Cost Summary'!A1"/>
    <hyperlink ref="LTH8" location="'Cost Summary'!A1" display="'Cost Summary'!A1"/>
    <hyperlink ref="LTI8" location="'Cost Summary'!A1" display="'Cost Summary'!A1"/>
    <hyperlink ref="LTJ8" location="'Cost Summary'!A1" display="'Cost Summary'!A1"/>
    <hyperlink ref="LTK8" location="'Cost Summary'!A1" display="'Cost Summary'!A1"/>
    <hyperlink ref="LTL8" location="'Cost Summary'!A1" display="'Cost Summary'!A1"/>
    <hyperlink ref="LTM8" location="'Cost Summary'!A1" display="'Cost Summary'!A1"/>
    <hyperlink ref="LTN8" location="'Cost Summary'!A1" display="'Cost Summary'!A1"/>
    <hyperlink ref="LTO8" location="'Cost Summary'!A1" display="'Cost Summary'!A1"/>
    <hyperlink ref="LTP8" location="'Cost Summary'!A1" display="'Cost Summary'!A1"/>
    <hyperlink ref="LTQ8" location="'Cost Summary'!A1" display="'Cost Summary'!A1"/>
    <hyperlink ref="LTR8" location="'Cost Summary'!A1" display="'Cost Summary'!A1"/>
    <hyperlink ref="LTS8" location="'Cost Summary'!A1" display="'Cost Summary'!A1"/>
    <hyperlink ref="LTT8" location="'Cost Summary'!A1" display="'Cost Summary'!A1"/>
    <hyperlink ref="LTU8" location="'Cost Summary'!A1" display="'Cost Summary'!A1"/>
    <hyperlink ref="LTV8" location="'Cost Summary'!A1" display="'Cost Summary'!A1"/>
    <hyperlink ref="LTW8" location="'Cost Summary'!A1" display="'Cost Summary'!A1"/>
    <hyperlink ref="LTX8" location="'Cost Summary'!A1" display="'Cost Summary'!A1"/>
    <hyperlink ref="LTY8" location="'Cost Summary'!A1" display="'Cost Summary'!A1"/>
    <hyperlink ref="LTZ8" location="'Cost Summary'!A1" display="'Cost Summary'!A1"/>
    <hyperlink ref="LUA8" location="'Cost Summary'!A1" display="'Cost Summary'!A1"/>
    <hyperlink ref="LUB8" location="'Cost Summary'!A1" display="'Cost Summary'!A1"/>
    <hyperlink ref="LUC8" location="'Cost Summary'!A1" display="'Cost Summary'!A1"/>
    <hyperlink ref="LUD8" location="'Cost Summary'!A1" display="'Cost Summary'!A1"/>
    <hyperlink ref="LUE8" location="'Cost Summary'!A1" display="'Cost Summary'!A1"/>
    <hyperlink ref="LUF8" location="'Cost Summary'!A1" display="'Cost Summary'!A1"/>
    <hyperlink ref="LUG8" location="'Cost Summary'!A1" display="'Cost Summary'!A1"/>
    <hyperlink ref="LUH8" location="'Cost Summary'!A1" display="'Cost Summary'!A1"/>
    <hyperlink ref="LUI8" location="'Cost Summary'!A1" display="'Cost Summary'!A1"/>
    <hyperlink ref="LUJ8" location="'Cost Summary'!A1" display="'Cost Summary'!A1"/>
    <hyperlink ref="LUK8" location="'Cost Summary'!A1" display="'Cost Summary'!A1"/>
    <hyperlink ref="LUL8" location="'Cost Summary'!A1" display="'Cost Summary'!A1"/>
    <hyperlink ref="LUM8" location="'Cost Summary'!A1" display="'Cost Summary'!A1"/>
    <hyperlink ref="LUN8" location="'Cost Summary'!A1" display="'Cost Summary'!A1"/>
    <hyperlink ref="LUO8" location="'Cost Summary'!A1" display="'Cost Summary'!A1"/>
    <hyperlink ref="LUP8" location="'Cost Summary'!A1" display="'Cost Summary'!A1"/>
    <hyperlink ref="LUQ8" location="'Cost Summary'!A1" display="'Cost Summary'!A1"/>
    <hyperlink ref="LUR8" location="'Cost Summary'!A1" display="'Cost Summary'!A1"/>
    <hyperlink ref="LUS8" location="'Cost Summary'!A1" display="'Cost Summary'!A1"/>
    <hyperlink ref="LUT8" location="'Cost Summary'!A1" display="'Cost Summary'!A1"/>
    <hyperlink ref="LUU8" location="'Cost Summary'!A1" display="'Cost Summary'!A1"/>
    <hyperlink ref="LUV8" location="'Cost Summary'!A1" display="'Cost Summary'!A1"/>
    <hyperlink ref="LUW8" location="'Cost Summary'!A1" display="'Cost Summary'!A1"/>
    <hyperlink ref="LUX8" location="'Cost Summary'!A1" display="'Cost Summary'!A1"/>
    <hyperlink ref="LUY8" location="'Cost Summary'!A1" display="'Cost Summary'!A1"/>
    <hyperlink ref="LUZ8" location="'Cost Summary'!A1" display="'Cost Summary'!A1"/>
    <hyperlink ref="LVA8" location="'Cost Summary'!A1" display="'Cost Summary'!A1"/>
    <hyperlink ref="LVB8" location="'Cost Summary'!A1" display="'Cost Summary'!A1"/>
    <hyperlink ref="LVC8" location="'Cost Summary'!A1" display="'Cost Summary'!A1"/>
    <hyperlink ref="LVD8" location="'Cost Summary'!A1" display="'Cost Summary'!A1"/>
    <hyperlink ref="LVE8" location="'Cost Summary'!A1" display="'Cost Summary'!A1"/>
    <hyperlink ref="LVF8" location="'Cost Summary'!A1" display="'Cost Summary'!A1"/>
    <hyperlink ref="LVG8" location="'Cost Summary'!A1" display="'Cost Summary'!A1"/>
    <hyperlink ref="LVH8" location="'Cost Summary'!A1" display="'Cost Summary'!A1"/>
    <hyperlink ref="LVI8" location="'Cost Summary'!A1" display="'Cost Summary'!A1"/>
    <hyperlink ref="LVJ8" location="'Cost Summary'!A1" display="'Cost Summary'!A1"/>
    <hyperlink ref="LVK8" location="'Cost Summary'!A1" display="'Cost Summary'!A1"/>
    <hyperlink ref="LVL8" location="'Cost Summary'!A1" display="'Cost Summary'!A1"/>
    <hyperlink ref="LVM8" location="'Cost Summary'!A1" display="'Cost Summary'!A1"/>
    <hyperlink ref="LVN8" location="'Cost Summary'!A1" display="'Cost Summary'!A1"/>
    <hyperlink ref="LVO8" location="'Cost Summary'!A1" display="'Cost Summary'!A1"/>
    <hyperlink ref="LVP8" location="'Cost Summary'!A1" display="'Cost Summary'!A1"/>
    <hyperlink ref="LVQ8" location="'Cost Summary'!A1" display="'Cost Summary'!A1"/>
    <hyperlink ref="LVR8" location="'Cost Summary'!A1" display="'Cost Summary'!A1"/>
    <hyperlink ref="LVS8" location="'Cost Summary'!A1" display="'Cost Summary'!A1"/>
    <hyperlink ref="LVT8" location="'Cost Summary'!A1" display="'Cost Summary'!A1"/>
    <hyperlink ref="LVU8" location="'Cost Summary'!A1" display="'Cost Summary'!A1"/>
    <hyperlink ref="LVV8" location="'Cost Summary'!A1" display="'Cost Summary'!A1"/>
    <hyperlink ref="LVW8" location="'Cost Summary'!A1" display="'Cost Summary'!A1"/>
    <hyperlink ref="LVX8" location="'Cost Summary'!A1" display="'Cost Summary'!A1"/>
    <hyperlink ref="LVY8" location="'Cost Summary'!A1" display="'Cost Summary'!A1"/>
    <hyperlink ref="LVZ8" location="'Cost Summary'!A1" display="'Cost Summary'!A1"/>
    <hyperlink ref="LWA8" location="'Cost Summary'!A1" display="'Cost Summary'!A1"/>
    <hyperlink ref="LWB8" location="'Cost Summary'!A1" display="'Cost Summary'!A1"/>
    <hyperlink ref="LWC8" location="'Cost Summary'!A1" display="'Cost Summary'!A1"/>
    <hyperlink ref="LWD8" location="'Cost Summary'!A1" display="'Cost Summary'!A1"/>
    <hyperlink ref="LWE8" location="'Cost Summary'!A1" display="'Cost Summary'!A1"/>
    <hyperlink ref="LWF8" location="'Cost Summary'!A1" display="'Cost Summary'!A1"/>
    <hyperlink ref="LWG8" location="'Cost Summary'!A1" display="'Cost Summary'!A1"/>
    <hyperlink ref="LWH8" location="'Cost Summary'!A1" display="'Cost Summary'!A1"/>
    <hyperlink ref="LWI8" location="'Cost Summary'!A1" display="'Cost Summary'!A1"/>
    <hyperlink ref="LWJ8" location="'Cost Summary'!A1" display="'Cost Summary'!A1"/>
    <hyperlink ref="LWK8" location="'Cost Summary'!A1" display="'Cost Summary'!A1"/>
    <hyperlink ref="LWL8" location="'Cost Summary'!A1" display="'Cost Summary'!A1"/>
    <hyperlink ref="LWM8" location="'Cost Summary'!A1" display="'Cost Summary'!A1"/>
    <hyperlink ref="LWN8" location="'Cost Summary'!A1" display="'Cost Summary'!A1"/>
    <hyperlink ref="LWO8" location="'Cost Summary'!A1" display="'Cost Summary'!A1"/>
    <hyperlink ref="LWP8" location="'Cost Summary'!A1" display="'Cost Summary'!A1"/>
    <hyperlink ref="LWQ8" location="'Cost Summary'!A1" display="'Cost Summary'!A1"/>
    <hyperlink ref="LWR8" location="'Cost Summary'!A1" display="'Cost Summary'!A1"/>
    <hyperlink ref="LWS8" location="'Cost Summary'!A1" display="'Cost Summary'!A1"/>
    <hyperlink ref="LWT8" location="'Cost Summary'!A1" display="'Cost Summary'!A1"/>
    <hyperlink ref="LWU8" location="'Cost Summary'!A1" display="'Cost Summary'!A1"/>
    <hyperlink ref="LWV8" location="'Cost Summary'!A1" display="'Cost Summary'!A1"/>
    <hyperlink ref="LWW8" location="'Cost Summary'!A1" display="'Cost Summary'!A1"/>
    <hyperlink ref="LWX8" location="'Cost Summary'!A1" display="'Cost Summary'!A1"/>
    <hyperlink ref="LWY8" location="'Cost Summary'!A1" display="'Cost Summary'!A1"/>
    <hyperlink ref="LWZ8" location="'Cost Summary'!A1" display="'Cost Summary'!A1"/>
    <hyperlink ref="LXA8" location="'Cost Summary'!A1" display="'Cost Summary'!A1"/>
    <hyperlink ref="LXB8" location="'Cost Summary'!A1" display="'Cost Summary'!A1"/>
    <hyperlink ref="LXC8" location="'Cost Summary'!A1" display="'Cost Summary'!A1"/>
    <hyperlink ref="LXD8" location="'Cost Summary'!A1" display="'Cost Summary'!A1"/>
    <hyperlink ref="LXE8" location="'Cost Summary'!A1" display="'Cost Summary'!A1"/>
    <hyperlink ref="LXF8" location="'Cost Summary'!A1" display="'Cost Summary'!A1"/>
    <hyperlink ref="LXG8" location="'Cost Summary'!A1" display="'Cost Summary'!A1"/>
    <hyperlink ref="LXH8" location="'Cost Summary'!A1" display="'Cost Summary'!A1"/>
    <hyperlink ref="LXI8" location="'Cost Summary'!A1" display="'Cost Summary'!A1"/>
    <hyperlink ref="LXJ8" location="'Cost Summary'!A1" display="'Cost Summary'!A1"/>
    <hyperlink ref="LXK8" location="'Cost Summary'!A1" display="'Cost Summary'!A1"/>
    <hyperlink ref="LXL8" location="'Cost Summary'!A1" display="'Cost Summary'!A1"/>
    <hyperlink ref="LXM8" location="'Cost Summary'!A1" display="'Cost Summary'!A1"/>
    <hyperlink ref="LXN8" location="'Cost Summary'!A1" display="'Cost Summary'!A1"/>
    <hyperlink ref="LXO8" location="'Cost Summary'!A1" display="'Cost Summary'!A1"/>
    <hyperlink ref="LXP8" location="'Cost Summary'!A1" display="'Cost Summary'!A1"/>
    <hyperlink ref="LXQ8" location="'Cost Summary'!A1" display="'Cost Summary'!A1"/>
    <hyperlink ref="LXR8" location="'Cost Summary'!A1" display="'Cost Summary'!A1"/>
    <hyperlink ref="LXS8" location="'Cost Summary'!A1" display="'Cost Summary'!A1"/>
    <hyperlink ref="LXT8" location="'Cost Summary'!A1" display="'Cost Summary'!A1"/>
    <hyperlink ref="LXU8" location="'Cost Summary'!A1" display="'Cost Summary'!A1"/>
    <hyperlink ref="LXV8" location="'Cost Summary'!A1" display="'Cost Summary'!A1"/>
    <hyperlink ref="LXW8" location="'Cost Summary'!A1" display="'Cost Summary'!A1"/>
    <hyperlink ref="LXX8" location="'Cost Summary'!A1" display="'Cost Summary'!A1"/>
    <hyperlink ref="LXY8" location="'Cost Summary'!A1" display="'Cost Summary'!A1"/>
    <hyperlink ref="LXZ8" location="'Cost Summary'!A1" display="'Cost Summary'!A1"/>
    <hyperlink ref="LYA8" location="'Cost Summary'!A1" display="'Cost Summary'!A1"/>
    <hyperlink ref="LYB8" location="'Cost Summary'!A1" display="'Cost Summary'!A1"/>
    <hyperlink ref="LYC8" location="'Cost Summary'!A1" display="'Cost Summary'!A1"/>
    <hyperlink ref="LYD8" location="'Cost Summary'!A1" display="'Cost Summary'!A1"/>
    <hyperlink ref="LYE8" location="'Cost Summary'!A1" display="'Cost Summary'!A1"/>
    <hyperlink ref="LYF8" location="'Cost Summary'!A1" display="'Cost Summary'!A1"/>
    <hyperlink ref="LYG8" location="'Cost Summary'!A1" display="'Cost Summary'!A1"/>
    <hyperlink ref="LYH8" location="'Cost Summary'!A1" display="'Cost Summary'!A1"/>
    <hyperlink ref="LYI8" location="'Cost Summary'!A1" display="'Cost Summary'!A1"/>
    <hyperlink ref="LYJ8" location="'Cost Summary'!A1" display="'Cost Summary'!A1"/>
    <hyperlink ref="LYK8" location="'Cost Summary'!A1" display="'Cost Summary'!A1"/>
    <hyperlink ref="LYL8" location="'Cost Summary'!A1" display="'Cost Summary'!A1"/>
    <hyperlink ref="LYM8" location="'Cost Summary'!A1" display="'Cost Summary'!A1"/>
    <hyperlink ref="LYN8" location="'Cost Summary'!A1" display="'Cost Summary'!A1"/>
    <hyperlink ref="LYO8" location="'Cost Summary'!A1" display="'Cost Summary'!A1"/>
    <hyperlink ref="LYP8" location="'Cost Summary'!A1" display="'Cost Summary'!A1"/>
    <hyperlink ref="LYQ8" location="'Cost Summary'!A1" display="'Cost Summary'!A1"/>
    <hyperlink ref="LYR8" location="'Cost Summary'!A1" display="'Cost Summary'!A1"/>
    <hyperlink ref="LYS8" location="'Cost Summary'!A1" display="'Cost Summary'!A1"/>
    <hyperlink ref="LYT8" location="'Cost Summary'!A1" display="'Cost Summary'!A1"/>
    <hyperlink ref="LYU8" location="'Cost Summary'!A1" display="'Cost Summary'!A1"/>
    <hyperlink ref="LYV8" location="'Cost Summary'!A1" display="'Cost Summary'!A1"/>
    <hyperlink ref="LYW8" location="'Cost Summary'!A1" display="'Cost Summary'!A1"/>
    <hyperlink ref="LYX8" location="'Cost Summary'!A1" display="'Cost Summary'!A1"/>
    <hyperlink ref="LYY8" location="'Cost Summary'!A1" display="'Cost Summary'!A1"/>
    <hyperlink ref="LYZ8" location="'Cost Summary'!A1" display="'Cost Summary'!A1"/>
    <hyperlink ref="LZA8" location="'Cost Summary'!A1" display="'Cost Summary'!A1"/>
    <hyperlink ref="LZB8" location="'Cost Summary'!A1" display="'Cost Summary'!A1"/>
    <hyperlink ref="LZC8" location="'Cost Summary'!A1" display="'Cost Summary'!A1"/>
    <hyperlink ref="LZD8" location="'Cost Summary'!A1" display="'Cost Summary'!A1"/>
    <hyperlink ref="LZE8" location="'Cost Summary'!A1" display="'Cost Summary'!A1"/>
    <hyperlink ref="LZF8" location="'Cost Summary'!A1" display="'Cost Summary'!A1"/>
    <hyperlink ref="LZG8" location="'Cost Summary'!A1" display="'Cost Summary'!A1"/>
    <hyperlink ref="LZH8" location="'Cost Summary'!A1" display="'Cost Summary'!A1"/>
    <hyperlink ref="LZI8" location="'Cost Summary'!A1" display="'Cost Summary'!A1"/>
    <hyperlink ref="LZJ8" location="'Cost Summary'!A1" display="'Cost Summary'!A1"/>
    <hyperlink ref="LZK8" location="'Cost Summary'!A1" display="'Cost Summary'!A1"/>
    <hyperlink ref="LZL8" location="'Cost Summary'!A1" display="'Cost Summary'!A1"/>
    <hyperlink ref="LZM8" location="'Cost Summary'!A1" display="'Cost Summary'!A1"/>
    <hyperlink ref="LZN8" location="'Cost Summary'!A1" display="'Cost Summary'!A1"/>
    <hyperlink ref="LZO8" location="'Cost Summary'!A1" display="'Cost Summary'!A1"/>
    <hyperlink ref="LZP8" location="'Cost Summary'!A1" display="'Cost Summary'!A1"/>
    <hyperlink ref="LZQ8" location="'Cost Summary'!A1" display="'Cost Summary'!A1"/>
    <hyperlink ref="LZR8" location="'Cost Summary'!A1" display="'Cost Summary'!A1"/>
    <hyperlink ref="LZS8" location="'Cost Summary'!A1" display="'Cost Summary'!A1"/>
    <hyperlink ref="LZT8" location="'Cost Summary'!A1" display="'Cost Summary'!A1"/>
    <hyperlink ref="LZU8" location="'Cost Summary'!A1" display="'Cost Summary'!A1"/>
    <hyperlink ref="LZV8" location="'Cost Summary'!A1" display="'Cost Summary'!A1"/>
    <hyperlink ref="LZW8" location="'Cost Summary'!A1" display="'Cost Summary'!A1"/>
    <hyperlink ref="LZX8" location="'Cost Summary'!A1" display="'Cost Summary'!A1"/>
    <hyperlink ref="LZY8" location="'Cost Summary'!A1" display="'Cost Summary'!A1"/>
    <hyperlink ref="LZZ8" location="'Cost Summary'!A1" display="'Cost Summary'!A1"/>
    <hyperlink ref="MAA8" location="'Cost Summary'!A1" display="'Cost Summary'!A1"/>
    <hyperlink ref="MAB8" location="'Cost Summary'!A1" display="'Cost Summary'!A1"/>
    <hyperlink ref="MAC8" location="'Cost Summary'!A1" display="'Cost Summary'!A1"/>
    <hyperlink ref="MAD8" location="'Cost Summary'!A1" display="'Cost Summary'!A1"/>
    <hyperlink ref="MAE8" location="'Cost Summary'!A1" display="'Cost Summary'!A1"/>
    <hyperlink ref="MAF8" location="'Cost Summary'!A1" display="'Cost Summary'!A1"/>
    <hyperlink ref="MAG8" location="'Cost Summary'!A1" display="'Cost Summary'!A1"/>
    <hyperlink ref="MAH8" location="'Cost Summary'!A1" display="'Cost Summary'!A1"/>
    <hyperlink ref="MAI8" location="'Cost Summary'!A1" display="'Cost Summary'!A1"/>
    <hyperlink ref="MAJ8" location="'Cost Summary'!A1" display="'Cost Summary'!A1"/>
    <hyperlink ref="MAK8" location="'Cost Summary'!A1" display="'Cost Summary'!A1"/>
    <hyperlink ref="MAL8" location="'Cost Summary'!A1" display="'Cost Summary'!A1"/>
    <hyperlink ref="MAM8" location="'Cost Summary'!A1" display="'Cost Summary'!A1"/>
    <hyperlink ref="MAN8" location="'Cost Summary'!A1" display="'Cost Summary'!A1"/>
    <hyperlink ref="MAO8" location="'Cost Summary'!A1" display="'Cost Summary'!A1"/>
    <hyperlink ref="MAP8" location="'Cost Summary'!A1" display="'Cost Summary'!A1"/>
    <hyperlink ref="MAQ8" location="'Cost Summary'!A1" display="'Cost Summary'!A1"/>
    <hyperlink ref="MAR8" location="'Cost Summary'!A1" display="'Cost Summary'!A1"/>
    <hyperlink ref="MAS8" location="'Cost Summary'!A1" display="'Cost Summary'!A1"/>
    <hyperlink ref="MAT8" location="'Cost Summary'!A1" display="'Cost Summary'!A1"/>
    <hyperlink ref="MAU8" location="'Cost Summary'!A1" display="'Cost Summary'!A1"/>
    <hyperlink ref="MAV8" location="'Cost Summary'!A1" display="'Cost Summary'!A1"/>
    <hyperlink ref="MAW8" location="'Cost Summary'!A1" display="'Cost Summary'!A1"/>
    <hyperlink ref="MAX8" location="'Cost Summary'!A1" display="'Cost Summary'!A1"/>
    <hyperlink ref="MAY8" location="'Cost Summary'!A1" display="'Cost Summary'!A1"/>
    <hyperlink ref="MAZ8" location="'Cost Summary'!A1" display="'Cost Summary'!A1"/>
    <hyperlink ref="MBA8" location="'Cost Summary'!A1" display="'Cost Summary'!A1"/>
    <hyperlink ref="MBB8" location="'Cost Summary'!A1" display="'Cost Summary'!A1"/>
    <hyperlink ref="MBC8" location="'Cost Summary'!A1" display="'Cost Summary'!A1"/>
    <hyperlink ref="MBD8" location="'Cost Summary'!A1" display="'Cost Summary'!A1"/>
    <hyperlink ref="MBE8" location="'Cost Summary'!A1" display="'Cost Summary'!A1"/>
    <hyperlink ref="MBF8" location="'Cost Summary'!A1" display="'Cost Summary'!A1"/>
    <hyperlink ref="MBG8" location="'Cost Summary'!A1" display="'Cost Summary'!A1"/>
    <hyperlink ref="MBH8" location="'Cost Summary'!A1" display="'Cost Summary'!A1"/>
    <hyperlink ref="MBI8" location="'Cost Summary'!A1" display="'Cost Summary'!A1"/>
    <hyperlink ref="MBJ8" location="'Cost Summary'!A1" display="'Cost Summary'!A1"/>
    <hyperlink ref="MBK8" location="'Cost Summary'!A1" display="'Cost Summary'!A1"/>
    <hyperlink ref="MBL8" location="'Cost Summary'!A1" display="'Cost Summary'!A1"/>
    <hyperlink ref="MBM8" location="'Cost Summary'!A1" display="'Cost Summary'!A1"/>
    <hyperlink ref="MBN8" location="'Cost Summary'!A1" display="'Cost Summary'!A1"/>
    <hyperlink ref="MBO8" location="'Cost Summary'!A1" display="'Cost Summary'!A1"/>
    <hyperlink ref="MBP8" location="'Cost Summary'!A1" display="'Cost Summary'!A1"/>
    <hyperlink ref="MBQ8" location="'Cost Summary'!A1" display="'Cost Summary'!A1"/>
    <hyperlink ref="MBR8" location="'Cost Summary'!A1" display="'Cost Summary'!A1"/>
    <hyperlink ref="MBS8" location="'Cost Summary'!A1" display="'Cost Summary'!A1"/>
    <hyperlink ref="MBT8" location="'Cost Summary'!A1" display="'Cost Summary'!A1"/>
    <hyperlink ref="MBU8" location="'Cost Summary'!A1" display="'Cost Summary'!A1"/>
    <hyperlink ref="MBV8" location="'Cost Summary'!A1" display="'Cost Summary'!A1"/>
    <hyperlink ref="MBW8" location="'Cost Summary'!A1" display="'Cost Summary'!A1"/>
    <hyperlink ref="MBX8" location="'Cost Summary'!A1" display="'Cost Summary'!A1"/>
    <hyperlink ref="MBY8" location="'Cost Summary'!A1" display="'Cost Summary'!A1"/>
    <hyperlink ref="MBZ8" location="'Cost Summary'!A1" display="'Cost Summary'!A1"/>
    <hyperlink ref="MCA8" location="'Cost Summary'!A1" display="'Cost Summary'!A1"/>
    <hyperlink ref="MCB8" location="'Cost Summary'!A1" display="'Cost Summary'!A1"/>
    <hyperlink ref="MCC8" location="'Cost Summary'!A1" display="'Cost Summary'!A1"/>
    <hyperlink ref="MCD8" location="'Cost Summary'!A1" display="'Cost Summary'!A1"/>
    <hyperlink ref="MCE8" location="'Cost Summary'!A1" display="'Cost Summary'!A1"/>
    <hyperlink ref="MCF8" location="'Cost Summary'!A1" display="'Cost Summary'!A1"/>
    <hyperlink ref="MCG8" location="'Cost Summary'!A1" display="'Cost Summary'!A1"/>
    <hyperlink ref="MCH8" location="'Cost Summary'!A1" display="'Cost Summary'!A1"/>
    <hyperlink ref="MCI8" location="'Cost Summary'!A1" display="'Cost Summary'!A1"/>
    <hyperlink ref="MCJ8" location="'Cost Summary'!A1" display="'Cost Summary'!A1"/>
    <hyperlink ref="MCK8" location="'Cost Summary'!A1" display="'Cost Summary'!A1"/>
    <hyperlink ref="MCL8" location="'Cost Summary'!A1" display="'Cost Summary'!A1"/>
    <hyperlink ref="MCM8" location="'Cost Summary'!A1" display="'Cost Summary'!A1"/>
    <hyperlink ref="MCN8" location="'Cost Summary'!A1" display="'Cost Summary'!A1"/>
    <hyperlink ref="MCO8" location="'Cost Summary'!A1" display="'Cost Summary'!A1"/>
    <hyperlink ref="MCP8" location="'Cost Summary'!A1" display="'Cost Summary'!A1"/>
    <hyperlink ref="MCQ8" location="'Cost Summary'!A1" display="'Cost Summary'!A1"/>
    <hyperlink ref="MCR8" location="'Cost Summary'!A1" display="'Cost Summary'!A1"/>
    <hyperlink ref="MCS8" location="'Cost Summary'!A1" display="'Cost Summary'!A1"/>
    <hyperlink ref="MCT8" location="'Cost Summary'!A1" display="'Cost Summary'!A1"/>
    <hyperlink ref="MCU8" location="'Cost Summary'!A1" display="'Cost Summary'!A1"/>
    <hyperlink ref="MCV8" location="'Cost Summary'!A1" display="'Cost Summary'!A1"/>
    <hyperlink ref="MCW8" location="'Cost Summary'!A1" display="'Cost Summary'!A1"/>
    <hyperlink ref="MCX8" location="'Cost Summary'!A1" display="'Cost Summary'!A1"/>
    <hyperlink ref="MCY8" location="'Cost Summary'!A1" display="'Cost Summary'!A1"/>
    <hyperlink ref="MCZ8" location="'Cost Summary'!A1" display="'Cost Summary'!A1"/>
    <hyperlink ref="MDA8" location="'Cost Summary'!A1" display="'Cost Summary'!A1"/>
    <hyperlink ref="MDB8" location="'Cost Summary'!A1" display="'Cost Summary'!A1"/>
    <hyperlink ref="MDC8" location="'Cost Summary'!A1" display="'Cost Summary'!A1"/>
    <hyperlink ref="MDD8" location="'Cost Summary'!A1" display="'Cost Summary'!A1"/>
    <hyperlink ref="MDE8" location="'Cost Summary'!A1" display="'Cost Summary'!A1"/>
    <hyperlink ref="MDF8" location="'Cost Summary'!A1" display="'Cost Summary'!A1"/>
    <hyperlink ref="MDG8" location="'Cost Summary'!A1" display="'Cost Summary'!A1"/>
    <hyperlink ref="MDH8" location="'Cost Summary'!A1" display="'Cost Summary'!A1"/>
    <hyperlink ref="MDI8" location="'Cost Summary'!A1" display="'Cost Summary'!A1"/>
    <hyperlink ref="MDJ8" location="'Cost Summary'!A1" display="'Cost Summary'!A1"/>
    <hyperlink ref="MDK8" location="'Cost Summary'!A1" display="'Cost Summary'!A1"/>
    <hyperlink ref="MDL8" location="'Cost Summary'!A1" display="'Cost Summary'!A1"/>
    <hyperlink ref="MDM8" location="'Cost Summary'!A1" display="'Cost Summary'!A1"/>
    <hyperlink ref="MDN8" location="'Cost Summary'!A1" display="'Cost Summary'!A1"/>
    <hyperlink ref="MDO8" location="'Cost Summary'!A1" display="'Cost Summary'!A1"/>
    <hyperlink ref="MDP8" location="'Cost Summary'!A1" display="'Cost Summary'!A1"/>
    <hyperlink ref="MDQ8" location="'Cost Summary'!A1" display="'Cost Summary'!A1"/>
    <hyperlink ref="MDR8" location="'Cost Summary'!A1" display="'Cost Summary'!A1"/>
    <hyperlink ref="MDS8" location="'Cost Summary'!A1" display="'Cost Summary'!A1"/>
    <hyperlink ref="MDT8" location="'Cost Summary'!A1" display="'Cost Summary'!A1"/>
    <hyperlink ref="MDU8" location="'Cost Summary'!A1" display="'Cost Summary'!A1"/>
    <hyperlink ref="MDV8" location="'Cost Summary'!A1" display="'Cost Summary'!A1"/>
    <hyperlink ref="MDW8" location="'Cost Summary'!A1" display="'Cost Summary'!A1"/>
    <hyperlink ref="MDX8" location="'Cost Summary'!A1" display="'Cost Summary'!A1"/>
    <hyperlink ref="MDY8" location="'Cost Summary'!A1" display="'Cost Summary'!A1"/>
    <hyperlink ref="MDZ8" location="'Cost Summary'!A1" display="'Cost Summary'!A1"/>
    <hyperlink ref="MEA8" location="'Cost Summary'!A1" display="'Cost Summary'!A1"/>
    <hyperlink ref="MEB8" location="'Cost Summary'!A1" display="'Cost Summary'!A1"/>
    <hyperlink ref="MEC8" location="'Cost Summary'!A1" display="'Cost Summary'!A1"/>
    <hyperlink ref="MED8" location="'Cost Summary'!A1" display="'Cost Summary'!A1"/>
    <hyperlink ref="MEE8" location="'Cost Summary'!A1" display="'Cost Summary'!A1"/>
    <hyperlink ref="MEF8" location="'Cost Summary'!A1" display="'Cost Summary'!A1"/>
    <hyperlink ref="MEG8" location="'Cost Summary'!A1" display="'Cost Summary'!A1"/>
    <hyperlink ref="MEH8" location="'Cost Summary'!A1" display="'Cost Summary'!A1"/>
    <hyperlink ref="MEI8" location="'Cost Summary'!A1" display="'Cost Summary'!A1"/>
    <hyperlink ref="MEJ8" location="'Cost Summary'!A1" display="'Cost Summary'!A1"/>
    <hyperlink ref="MEK8" location="'Cost Summary'!A1" display="'Cost Summary'!A1"/>
    <hyperlink ref="MEL8" location="'Cost Summary'!A1" display="'Cost Summary'!A1"/>
    <hyperlink ref="MEM8" location="'Cost Summary'!A1" display="'Cost Summary'!A1"/>
    <hyperlink ref="MEN8" location="'Cost Summary'!A1" display="'Cost Summary'!A1"/>
    <hyperlink ref="MEO8" location="'Cost Summary'!A1" display="'Cost Summary'!A1"/>
    <hyperlink ref="MEP8" location="'Cost Summary'!A1" display="'Cost Summary'!A1"/>
    <hyperlink ref="MEQ8" location="'Cost Summary'!A1" display="'Cost Summary'!A1"/>
    <hyperlink ref="MER8" location="'Cost Summary'!A1" display="'Cost Summary'!A1"/>
    <hyperlink ref="MES8" location="'Cost Summary'!A1" display="'Cost Summary'!A1"/>
    <hyperlink ref="MET8" location="'Cost Summary'!A1" display="'Cost Summary'!A1"/>
    <hyperlink ref="MEU8" location="'Cost Summary'!A1" display="'Cost Summary'!A1"/>
    <hyperlink ref="MEV8" location="'Cost Summary'!A1" display="'Cost Summary'!A1"/>
    <hyperlink ref="MEW8" location="'Cost Summary'!A1" display="'Cost Summary'!A1"/>
    <hyperlink ref="MEX8" location="'Cost Summary'!A1" display="'Cost Summary'!A1"/>
    <hyperlink ref="MEY8" location="'Cost Summary'!A1" display="'Cost Summary'!A1"/>
    <hyperlink ref="MEZ8" location="'Cost Summary'!A1" display="'Cost Summary'!A1"/>
    <hyperlink ref="MFA8" location="'Cost Summary'!A1" display="'Cost Summary'!A1"/>
    <hyperlink ref="MFB8" location="'Cost Summary'!A1" display="'Cost Summary'!A1"/>
    <hyperlink ref="MFC8" location="'Cost Summary'!A1" display="'Cost Summary'!A1"/>
    <hyperlink ref="MFD8" location="'Cost Summary'!A1" display="'Cost Summary'!A1"/>
    <hyperlink ref="MFE8" location="'Cost Summary'!A1" display="'Cost Summary'!A1"/>
    <hyperlink ref="MFF8" location="'Cost Summary'!A1" display="'Cost Summary'!A1"/>
    <hyperlink ref="MFG8" location="'Cost Summary'!A1" display="'Cost Summary'!A1"/>
    <hyperlink ref="MFH8" location="'Cost Summary'!A1" display="'Cost Summary'!A1"/>
    <hyperlink ref="MFI8" location="'Cost Summary'!A1" display="'Cost Summary'!A1"/>
    <hyperlink ref="MFJ8" location="'Cost Summary'!A1" display="'Cost Summary'!A1"/>
    <hyperlink ref="MFK8" location="'Cost Summary'!A1" display="'Cost Summary'!A1"/>
    <hyperlink ref="MFL8" location="'Cost Summary'!A1" display="'Cost Summary'!A1"/>
    <hyperlink ref="MFM8" location="'Cost Summary'!A1" display="'Cost Summary'!A1"/>
    <hyperlink ref="MFN8" location="'Cost Summary'!A1" display="'Cost Summary'!A1"/>
    <hyperlink ref="MFO8" location="'Cost Summary'!A1" display="'Cost Summary'!A1"/>
    <hyperlink ref="MFP8" location="'Cost Summary'!A1" display="'Cost Summary'!A1"/>
    <hyperlink ref="MFQ8" location="'Cost Summary'!A1" display="'Cost Summary'!A1"/>
    <hyperlink ref="MFR8" location="'Cost Summary'!A1" display="'Cost Summary'!A1"/>
    <hyperlink ref="MFS8" location="'Cost Summary'!A1" display="'Cost Summary'!A1"/>
    <hyperlink ref="MFT8" location="'Cost Summary'!A1" display="'Cost Summary'!A1"/>
    <hyperlink ref="MFU8" location="'Cost Summary'!A1" display="'Cost Summary'!A1"/>
    <hyperlink ref="MFV8" location="'Cost Summary'!A1" display="'Cost Summary'!A1"/>
    <hyperlink ref="MFW8" location="'Cost Summary'!A1" display="'Cost Summary'!A1"/>
    <hyperlink ref="MFX8" location="'Cost Summary'!A1" display="'Cost Summary'!A1"/>
    <hyperlink ref="MFY8" location="'Cost Summary'!A1" display="'Cost Summary'!A1"/>
    <hyperlink ref="MFZ8" location="'Cost Summary'!A1" display="'Cost Summary'!A1"/>
    <hyperlink ref="MGA8" location="'Cost Summary'!A1" display="'Cost Summary'!A1"/>
    <hyperlink ref="MGB8" location="'Cost Summary'!A1" display="'Cost Summary'!A1"/>
    <hyperlink ref="MGC8" location="'Cost Summary'!A1" display="'Cost Summary'!A1"/>
    <hyperlink ref="MGD8" location="'Cost Summary'!A1" display="'Cost Summary'!A1"/>
    <hyperlink ref="MGE8" location="'Cost Summary'!A1" display="'Cost Summary'!A1"/>
    <hyperlink ref="MGF8" location="'Cost Summary'!A1" display="'Cost Summary'!A1"/>
    <hyperlink ref="MGG8" location="'Cost Summary'!A1" display="'Cost Summary'!A1"/>
    <hyperlink ref="MGH8" location="'Cost Summary'!A1" display="'Cost Summary'!A1"/>
    <hyperlink ref="MGI8" location="'Cost Summary'!A1" display="'Cost Summary'!A1"/>
    <hyperlink ref="MGJ8" location="'Cost Summary'!A1" display="'Cost Summary'!A1"/>
    <hyperlink ref="MGK8" location="'Cost Summary'!A1" display="'Cost Summary'!A1"/>
    <hyperlink ref="MGL8" location="'Cost Summary'!A1" display="'Cost Summary'!A1"/>
    <hyperlink ref="MGM8" location="'Cost Summary'!A1" display="'Cost Summary'!A1"/>
    <hyperlink ref="MGN8" location="'Cost Summary'!A1" display="'Cost Summary'!A1"/>
    <hyperlink ref="MGO8" location="'Cost Summary'!A1" display="'Cost Summary'!A1"/>
    <hyperlink ref="MGP8" location="'Cost Summary'!A1" display="'Cost Summary'!A1"/>
    <hyperlink ref="MGQ8" location="'Cost Summary'!A1" display="'Cost Summary'!A1"/>
    <hyperlink ref="MGR8" location="'Cost Summary'!A1" display="'Cost Summary'!A1"/>
    <hyperlink ref="MGS8" location="'Cost Summary'!A1" display="'Cost Summary'!A1"/>
    <hyperlink ref="MGT8" location="'Cost Summary'!A1" display="'Cost Summary'!A1"/>
    <hyperlink ref="MGU8" location="'Cost Summary'!A1" display="'Cost Summary'!A1"/>
    <hyperlink ref="MGV8" location="'Cost Summary'!A1" display="'Cost Summary'!A1"/>
    <hyperlink ref="MGW8" location="'Cost Summary'!A1" display="'Cost Summary'!A1"/>
    <hyperlink ref="MGX8" location="'Cost Summary'!A1" display="'Cost Summary'!A1"/>
    <hyperlink ref="MGY8" location="'Cost Summary'!A1" display="'Cost Summary'!A1"/>
    <hyperlink ref="MGZ8" location="'Cost Summary'!A1" display="'Cost Summary'!A1"/>
    <hyperlink ref="MHA8" location="'Cost Summary'!A1" display="'Cost Summary'!A1"/>
    <hyperlink ref="MHB8" location="'Cost Summary'!A1" display="'Cost Summary'!A1"/>
    <hyperlink ref="MHC8" location="'Cost Summary'!A1" display="'Cost Summary'!A1"/>
    <hyperlink ref="MHD8" location="'Cost Summary'!A1" display="'Cost Summary'!A1"/>
    <hyperlink ref="MHE8" location="'Cost Summary'!A1" display="'Cost Summary'!A1"/>
    <hyperlink ref="MHF8" location="'Cost Summary'!A1" display="'Cost Summary'!A1"/>
    <hyperlink ref="MHG8" location="'Cost Summary'!A1" display="'Cost Summary'!A1"/>
    <hyperlink ref="MHH8" location="'Cost Summary'!A1" display="'Cost Summary'!A1"/>
    <hyperlink ref="MHI8" location="'Cost Summary'!A1" display="'Cost Summary'!A1"/>
    <hyperlink ref="MHJ8" location="'Cost Summary'!A1" display="'Cost Summary'!A1"/>
    <hyperlink ref="MHK8" location="'Cost Summary'!A1" display="'Cost Summary'!A1"/>
    <hyperlink ref="MHL8" location="'Cost Summary'!A1" display="'Cost Summary'!A1"/>
    <hyperlink ref="MHM8" location="'Cost Summary'!A1" display="'Cost Summary'!A1"/>
    <hyperlink ref="MHN8" location="'Cost Summary'!A1" display="'Cost Summary'!A1"/>
    <hyperlink ref="MHO8" location="'Cost Summary'!A1" display="'Cost Summary'!A1"/>
    <hyperlink ref="MHP8" location="'Cost Summary'!A1" display="'Cost Summary'!A1"/>
    <hyperlink ref="MHQ8" location="'Cost Summary'!A1" display="'Cost Summary'!A1"/>
    <hyperlink ref="MHR8" location="'Cost Summary'!A1" display="'Cost Summary'!A1"/>
    <hyperlink ref="MHS8" location="'Cost Summary'!A1" display="'Cost Summary'!A1"/>
    <hyperlink ref="MHT8" location="'Cost Summary'!A1" display="'Cost Summary'!A1"/>
    <hyperlink ref="MHU8" location="'Cost Summary'!A1" display="'Cost Summary'!A1"/>
    <hyperlink ref="MHV8" location="'Cost Summary'!A1" display="'Cost Summary'!A1"/>
    <hyperlink ref="MHW8" location="'Cost Summary'!A1" display="'Cost Summary'!A1"/>
    <hyperlink ref="MHX8" location="'Cost Summary'!A1" display="'Cost Summary'!A1"/>
    <hyperlink ref="MHY8" location="'Cost Summary'!A1" display="'Cost Summary'!A1"/>
    <hyperlink ref="MHZ8" location="'Cost Summary'!A1" display="'Cost Summary'!A1"/>
    <hyperlink ref="MIA8" location="'Cost Summary'!A1" display="'Cost Summary'!A1"/>
    <hyperlink ref="MIB8" location="'Cost Summary'!A1" display="'Cost Summary'!A1"/>
    <hyperlink ref="MIC8" location="'Cost Summary'!A1" display="'Cost Summary'!A1"/>
    <hyperlink ref="MID8" location="'Cost Summary'!A1" display="'Cost Summary'!A1"/>
    <hyperlink ref="MIE8" location="'Cost Summary'!A1" display="'Cost Summary'!A1"/>
    <hyperlink ref="MIF8" location="'Cost Summary'!A1" display="'Cost Summary'!A1"/>
    <hyperlink ref="MIG8" location="'Cost Summary'!A1" display="'Cost Summary'!A1"/>
    <hyperlink ref="MIH8" location="'Cost Summary'!A1" display="'Cost Summary'!A1"/>
    <hyperlink ref="MII8" location="'Cost Summary'!A1" display="'Cost Summary'!A1"/>
    <hyperlink ref="MIJ8" location="'Cost Summary'!A1" display="'Cost Summary'!A1"/>
    <hyperlink ref="MIK8" location="'Cost Summary'!A1" display="'Cost Summary'!A1"/>
    <hyperlink ref="MIL8" location="'Cost Summary'!A1" display="'Cost Summary'!A1"/>
    <hyperlink ref="MIM8" location="'Cost Summary'!A1" display="'Cost Summary'!A1"/>
    <hyperlink ref="MIN8" location="'Cost Summary'!A1" display="'Cost Summary'!A1"/>
    <hyperlink ref="MIO8" location="'Cost Summary'!A1" display="'Cost Summary'!A1"/>
    <hyperlink ref="MIP8" location="'Cost Summary'!A1" display="'Cost Summary'!A1"/>
    <hyperlink ref="MIQ8" location="'Cost Summary'!A1" display="'Cost Summary'!A1"/>
    <hyperlink ref="MIR8" location="'Cost Summary'!A1" display="'Cost Summary'!A1"/>
    <hyperlink ref="MIS8" location="'Cost Summary'!A1" display="'Cost Summary'!A1"/>
    <hyperlink ref="MIT8" location="'Cost Summary'!A1" display="'Cost Summary'!A1"/>
    <hyperlink ref="MIU8" location="'Cost Summary'!A1" display="'Cost Summary'!A1"/>
    <hyperlink ref="MIV8" location="'Cost Summary'!A1" display="'Cost Summary'!A1"/>
    <hyperlink ref="MIW8" location="'Cost Summary'!A1" display="'Cost Summary'!A1"/>
    <hyperlink ref="MIX8" location="'Cost Summary'!A1" display="'Cost Summary'!A1"/>
    <hyperlink ref="MIY8" location="'Cost Summary'!A1" display="'Cost Summary'!A1"/>
    <hyperlink ref="MIZ8" location="'Cost Summary'!A1" display="'Cost Summary'!A1"/>
    <hyperlink ref="MJA8" location="'Cost Summary'!A1" display="'Cost Summary'!A1"/>
    <hyperlink ref="MJB8" location="'Cost Summary'!A1" display="'Cost Summary'!A1"/>
    <hyperlink ref="MJC8" location="'Cost Summary'!A1" display="'Cost Summary'!A1"/>
    <hyperlink ref="MJD8" location="'Cost Summary'!A1" display="'Cost Summary'!A1"/>
    <hyperlink ref="MJE8" location="'Cost Summary'!A1" display="'Cost Summary'!A1"/>
    <hyperlink ref="MJF8" location="'Cost Summary'!A1" display="'Cost Summary'!A1"/>
    <hyperlink ref="MJG8" location="'Cost Summary'!A1" display="'Cost Summary'!A1"/>
    <hyperlink ref="MJH8" location="'Cost Summary'!A1" display="'Cost Summary'!A1"/>
    <hyperlink ref="MJI8" location="'Cost Summary'!A1" display="'Cost Summary'!A1"/>
    <hyperlink ref="MJJ8" location="'Cost Summary'!A1" display="'Cost Summary'!A1"/>
    <hyperlink ref="MJK8" location="'Cost Summary'!A1" display="'Cost Summary'!A1"/>
    <hyperlink ref="MJL8" location="'Cost Summary'!A1" display="'Cost Summary'!A1"/>
    <hyperlink ref="MJM8" location="'Cost Summary'!A1" display="'Cost Summary'!A1"/>
    <hyperlink ref="MJN8" location="'Cost Summary'!A1" display="'Cost Summary'!A1"/>
    <hyperlink ref="MJO8" location="'Cost Summary'!A1" display="'Cost Summary'!A1"/>
    <hyperlink ref="MJP8" location="'Cost Summary'!A1" display="'Cost Summary'!A1"/>
    <hyperlink ref="MJQ8" location="'Cost Summary'!A1" display="'Cost Summary'!A1"/>
    <hyperlink ref="MJR8" location="'Cost Summary'!A1" display="'Cost Summary'!A1"/>
    <hyperlink ref="MJS8" location="'Cost Summary'!A1" display="'Cost Summary'!A1"/>
    <hyperlink ref="MJT8" location="'Cost Summary'!A1" display="'Cost Summary'!A1"/>
    <hyperlink ref="MJU8" location="'Cost Summary'!A1" display="'Cost Summary'!A1"/>
    <hyperlink ref="MJV8" location="'Cost Summary'!A1" display="'Cost Summary'!A1"/>
    <hyperlink ref="MJW8" location="'Cost Summary'!A1" display="'Cost Summary'!A1"/>
    <hyperlink ref="MJX8" location="'Cost Summary'!A1" display="'Cost Summary'!A1"/>
    <hyperlink ref="MJY8" location="'Cost Summary'!A1" display="'Cost Summary'!A1"/>
    <hyperlink ref="MJZ8" location="'Cost Summary'!A1" display="'Cost Summary'!A1"/>
    <hyperlink ref="MKA8" location="'Cost Summary'!A1" display="'Cost Summary'!A1"/>
    <hyperlink ref="MKB8" location="'Cost Summary'!A1" display="'Cost Summary'!A1"/>
    <hyperlink ref="MKC8" location="'Cost Summary'!A1" display="'Cost Summary'!A1"/>
    <hyperlink ref="MKD8" location="'Cost Summary'!A1" display="'Cost Summary'!A1"/>
    <hyperlink ref="MKE8" location="'Cost Summary'!A1" display="'Cost Summary'!A1"/>
    <hyperlink ref="MKF8" location="'Cost Summary'!A1" display="'Cost Summary'!A1"/>
    <hyperlink ref="MKG8" location="'Cost Summary'!A1" display="'Cost Summary'!A1"/>
    <hyperlink ref="MKH8" location="'Cost Summary'!A1" display="'Cost Summary'!A1"/>
    <hyperlink ref="MKI8" location="'Cost Summary'!A1" display="'Cost Summary'!A1"/>
    <hyperlink ref="MKJ8" location="'Cost Summary'!A1" display="'Cost Summary'!A1"/>
    <hyperlink ref="MKK8" location="'Cost Summary'!A1" display="'Cost Summary'!A1"/>
    <hyperlink ref="MKL8" location="'Cost Summary'!A1" display="'Cost Summary'!A1"/>
    <hyperlink ref="MKM8" location="'Cost Summary'!A1" display="'Cost Summary'!A1"/>
    <hyperlink ref="MKN8" location="'Cost Summary'!A1" display="'Cost Summary'!A1"/>
    <hyperlink ref="MKO8" location="'Cost Summary'!A1" display="'Cost Summary'!A1"/>
    <hyperlink ref="MKP8" location="'Cost Summary'!A1" display="'Cost Summary'!A1"/>
    <hyperlink ref="MKQ8" location="'Cost Summary'!A1" display="'Cost Summary'!A1"/>
    <hyperlink ref="MKR8" location="'Cost Summary'!A1" display="'Cost Summary'!A1"/>
    <hyperlink ref="MKS8" location="'Cost Summary'!A1" display="'Cost Summary'!A1"/>
    <hyperlink ref="MKT8" location="'Cost Summary'!A1" display="'Cost Summary'!A1"/>
    <hyperlink ref="MKU8" location="'Cost Summary'!A1" display="'Cost Summary'!A1"/>
    <hyperlink ref="MKV8" location="'Cost Summary'!A1" display="'Cost Summary'!A1"/>
    <hyperlink ref="MKW8" location="'Cost Summary'!A1" display="'Cost Summary'!A1"/>
    <hyperlink ref="MKX8" location="'Cost Summary'!A1" display="'Cost Summary'!A1"/>
    <hyperlink ref="MKY8" location="'Cost Summary'!A1" display="'Cost Summary'!A1"/>
    <hyperlink ref="MKZ8" location="'Cost Summary'!A1" display="'Cost Summary'!A1"/>
    <hyperlink ref="MLA8" location="'Cost Summary'!A1" display="'Cost Summary'!A1"/>
    <hyperlink ref="MLB8" location="'Cost Summary'!A1" display="'Cost Summary'!A1"/>
    <hyperlink ref="MLC8" location="'Cost Summary'!A1" display="'Cost Summary'!A1"/>
    <hyperlink ref="MLD8" location="'Cost Summary'!A1" display="'Cost Summary'!A1"/>
    <hyperlink ref="MLE8" location="'Cost Summary'!A1" display="'Cost Summary'!A1"/>
    <hyperlink ref="MLF8" location="'Cost Summary'!A1" display="'Cost Summary'!A1"/>
    <hyperlink ref="MLG8" location="'Cost Summary'!A1" display="'Cost Summary'!A1"/>
    <hyperlink ref="MLH8" location="'Cost Summary'!A1" display="'Cost Summary'!A1"/>
    <hyperlink ref="MLI8" location="'Cost Summary'!A1" display="'Cost Summary'!A1"/>
    <hyperlink ref="MLJ8" location="'Cost Summary'!A1" display="'Cost Summary'!A1"/>
    <hyperlink ref="MLK8" location="'Cost Summary'!A1" display="'Cost Summary'!A1"/>
    <hyperlink ref="MLL8" location="'Cost Summary'!A1" display="'Cost Summary'!A1"/>
    <hyperlink ref="MLM8" location="'Cost Summary'!A1" display="'Cost Summary'!A1"/>
    <hyperlink ref="MLN8" location="'Cost Summary'!A1" display="'Cost Summary'!A1"/>
    <hyperlink ref="MLO8" location="'Cost Summary'!A1" display="'Cost Summary'!A1"/>
    <hyperlink ref="MLP8" location="'Cost Summary'!A1" display="'Cost Summary'!A1"/>
    <hyperlink ref="MLQ8" location="'Cost Summary'!A1" display="'Cost Summary'!A1"/>
    <hyperlink ref="MLR8" location="'Cost Summary'!A1" display="'Cost Summary'!A1"/>
    <hyperlink ref="MLS8" location="'Cost Summary'!A1" display="'Cost Summary'!A1"/>
    <hyperlink ref="MLT8" location="'Cost Summary'!A1" display="'Cost Summary'!A1"/>
    <hyperlink ref="MLU8" location="'Cost Summary'!A1" display="'Cost Summary'!A1"/>
    <hyperlink ref="MLV8" location="'Cost Summary'!A1" display="'Cost Summary'!A1"/>
    <hyperlink ref="MLW8" location="'Cost Summary'!A1" display="'Cost Summary'!A1"/>
    <hyperlink ref="MLX8" location="'Cost Summary'!A1" display="'Cost Summary'!A1"/>
    <hyperlink ref="MLY8" location="'Cost Summary'!A1" display="'Cost Summary'!A1"/>
    <hyperlink ref="MLZ8" location="'Cost Summary'!A1" display="'Cost Summary'!A1"/>
    <hyperlink ref="MMA8" location="'Cost Summary'!A1" display="'Cost Summary'!A1"/>
    <hyperlink ref="MMB8" location="'Cost Summary'!A1" display="'Cost Summary'!A1"/>
    <hyperlink ref="MMC8" location="'Cost Summary'!A1" display="'Cost Summary'!A1"/>
    <hyperlink ref="MMD8" location="'Cost Summary'!A1" display="'Cost Summary'!A1"/>
    <hyperlink ref="MME8" location="'Cost Summary'!A1" display="'Cost Summary'!A1"/>
    <hyperlink ref="MMF8" location="'Cost Summary'!A1" display="'Cost Summary'!A1"/>
    <hyperlink ref="MMG8" location="'Cost Summary'!A1" display="'Cost Summary'!A1"/>
    <hyperlink ref="MMH8" location="'Cost Summary'!A1" display="'Cost Summary'!A1"/>
    <hyperlink ref="MMI8" location="'Cost Summary'!A1" display="'Cost Summary'!A1"/>
    <hyperlink ref="MMJ8" location="'Cost Summary'!A1" display="'Cost Summary'!A1"/>
    <hyperlink ref="MMK8" location="'Cost Summary'!A1" display="'Cost Summary'!A1"/>
    <hyperlink ref="MML8" location="'Cost Summary'!A1" display="'Cost Summary'!A1"/>
    <hyperlink ref="MMM8" location="'Cost Summary'!A1" display="'Cost Summary'!A1"/>
    <hyperlink ref="MMN8" location="'Cost Summary'!A1" display="'Cost Summary'!A1"/>
    <hyperlink ref="MMO8" location="'Cost Summary'!A1" display="'Cost Summary'!A1"/>
    <hyperlink ref="MMP8" location="'Cost Summary'!A1" display="'Cost Summary'!A1"/>
    <hyperlink ref="MMQ8" location="'Cost Summary'!A1" display="'Cost Summary'!A1"/>
    <hyperlink ref="MMR8" location="'Cost Summary'!A1" display="'Cost Summary'!A1"/>
    <hyperlink ref="MMS8" location="'Cost Summary'!A1" display="'Cost Summary'!A1"/>
    <hyperlink ref="MMT8" location="'Cost Summary'!A1" display="'Cost Summary'!A1"/>
    <hyperlink ref="MMU8" location="'Cost Summary'!A1" display="'Cost Summary'!A1"/>
    <hyperlink ref="MMV8" location="'Cost Summary'!A1" display="'Cost Summary'!A1"/>
    <hyperlink ref="MMW8" location="'Cost Summary'!A1" display="'Cost Summary'!A1"/>
    <hyperlink ref="MMX8" location="'Cost Summary'!A1" display="'Cost Summary'!A1"/>
    <hyperlink ref="MMY8" location="'Cost Summary'!A1" display="'Cost Summary'!A1"/>
    <hyperlink ref="MMZ8" location="'Cost Summary'!A1" display="'Cost Summary'!A1"/>
    <hyperlink ref="MNA8" location="'Cost Summary'!A1" display="'Cost Summary'!A1"/>
    <hyperlink ref="MNB8" location="'Cost Summary'!A1" display="'Cost Summary'!A1"/>
    <hyperlink ref="MNC8" location="'Cost Summary'!A1" display="'Cost Summary'!A1"/>
    <hyperlink ref="MND8" location="'Cost Summary'!A1" display="'Cost Summary'!A1"/>
    <hyperlink ref="MNE8" location="'Cost Summary'!A1" display="'Cost Summary'!A1"/>
    <hyperlink ref="MNF8" location="'Cost Summary'!A1" display="'Cost Summary'!A1"/>
    <hyperlink ref="MNG8" location="'Cost Summary'!A1" display="'Cost Summary'!A1"/>
    <hyperlink ref="MNH8" location="'Cost Summary'!A1" display="'Cost Summary'!A1"/>
    <hyperlink ref="MNI8" location="'Cost Summary'!A1" display="'Cost Summary'!A1"/>
    <hyperlink ref="MNJ8" location="'Cost Summary'!A1" display="'Cost Summary'!A1"/>
    <hyperlink ref="MNK8" location="'Cost Summary'!A1" display="'Cost Summary'!A1"/>
    <hyperlink ref="MNL8" location="'Cost Summary'!A1" display="'Cost Summary'!A1"/>
    <hyperlink ref="MNM8" location="'Cost Summary'!A1" display="'Cost Summary'!A1"/>
    <hyperlink ref="MNN8" location="'Cost Summary'!A1" display="'Cost Summary'!A1"/>
    <hyperlink ref="MNO8" location="'Cost Summary'!A1" display="'Cost Summary'!A1"/>
    <hyperlink ref="MNP8" location="'Cost Summary'!A1" display="'Cost Summary'!A1"/>
    <hyperlink ref="MNQ8" location="'Cost Summary'!A1" display="'Cost Summary'!A1"/>
    <hyperlink ref="MNR8" location="'Cost Summary'!A1" display="'Cost Summary'!A1"/>
    <hyperlink ref="MNS8" location="'Cost Summary'!A1" display="'Cost Summary'!A1"/>
    <hyperlink ref="MNT8" location="'Cost Summary'!A1" display="'Cost Summary'!A1"/>
    <hyperlink ref="MNU8" location="'Cost Summary'!A1" display="'Cost Summary'!A1"/>
    <hyperlink ref="MNV8" location="'Cost Summary'!A1" display="'Cost Summary'!A1"/>
    <hyperlink ref="MNW8" location="'Cost Summary'!A1" display="'Cost Summary'!A1"/>
    <hyperlink ref="MNX8" location="'Cost Summary'!A1" display="'Cost Summary'!A1"/>
    <hyperlink ref="MNY8" location="'Cost Summary'!A1" display="'Cost Summary'!A1"/>
    <hyperlink ref="MNZ8" location="'Cost Summary'!A1" display="'Cost Summary'!A1"/>
    <hyperlink ref="MOA8" location="'Cost Summary'!A1" display="'Cost Summary'!A1"/>
    <hyperlink ref="MOB8" location="'Cost Summary'!A1" display="'Cost Summary'!A1"/>
    <hyperlink ref="MOC8" location="'Cost Summary'!A1" display="'Cost Summary'!A1"/>
    <hyperlink ref="MOD8" location="'Cost Summary'!A1" display="'Cost Summary'!A1"/>
    <hyperlink ref="MOE8" location="'Cost Summary'!A1" display="'Cost Summary'!A1"/>
    <hyperlink ref="MOF8" location="'Cost Summary'!A1" display="'Cost Summary'!A1"/>
    <hyperlink ref="MOG8" location="'Cost Summary'!A1" display="'Cost Summary'!A1"/>
    <hyperlink ref="MOH8" location="'Cost Summary'!A1" display="'Cost Summary'!A1"/>
    <hyperlink ref="MOI8" location="'Cost Summary'!A1" display="'Cost Summary'!A1"/>
    <hyperlink ref="MOJ8" location="'Cost Summary'!A1" display="'Cost Summary'!A1"/>
    <hyperlink ref="MOK8" location="'Cost Summary'!A1" display="'Cost Summary'!A1"/>
    <hyperlink ref="MOL8" location="'Cost Summary'!A1" display="'Cost Summary'!A1"/>
    <hyperlink ref="MOM8" location="'Cost Summary'!A1" display="'Cost Summary'!A1"/>
    <hyperlink ref="MON8" location="'Cost Summary'!A1" display="'Cost Summary'!A1"/>
    <hyperlink ref="MOO8" location="'Cost Summary'!A1" display="'Cost Summary'!A1"/>
    <hyperlink ref="MOP8" location="'Cost Summary'!A1" display="'Cost Summary'!A1"/>
    <hyperlink ref="MOQ8" location="'Cost Summary'!A1" display="'Cost Summary'!A1"/>
    <hyperlink ref="MOR8" location="'Cost Summary'!A1" display="'Cost Summary'!A1"/>
    <hyperlink ref="MOS8" location="'Cost Summary'!A1" display="'Cost Summary'!A1"/>
    <hyperlink ref="MOT8" location="'Cost Summary'!A1" display="'Cost Summary'!A1"/>
    <hyperlink ref="MOU8" location="'Cost Summary'!A1" display="'Cost Summary'!A1"/>
    <hyperlink ref="MOV8" location="'Cost Summary'!A1" display="'Cost Summary'!A1"/>
    <hyperlink ref="MOW8" location="'Cost Summary'!A1" display="'Cost Summary'!A1"/>
    <hyperlink ref="MOX8" location="'Cost Summary'!A1" display="'Cost Summary'!A1"/>
    <hyperlink ref="MOY8" location="'Cost Summary'!A1" display="'Cost Summary'!A1"/>
    <hyperlink ref="MOZ8" location="'Cost Summary'!A1" display="'Cost Summary'!A1"/>
    <hyperlink ref="MPA8" location="'Cost Summary'!A1" display="'Cost Summary'!A1"/>
    <hyperlink ref="MPB8" location="'Cost Summary'!A1" display="'Cost Summary'!A1"/>
    <hyperlink ref="MPC8" location="'Cost Summary'!A1" display="'Cost Summary'!A1"/>
    <hyperlink ref="MPD8" location="'Cost Summary'!A1" display="'Cost Summary'!A1"/>
    <hyperlink ref="MPE8" location="'Cost Summary'!A1" display="'Cost Summary'!A1"/>
    <hyperlink ref="MPF8" location="'Cost Summary'!A1" display="'Cost Summary'!A1"/>
    <hyperlink ref="MPG8" location="'Cost Summary'!A1" display="'Cost Summary'!A1"/>
    <hyperlink ref="MPH8" location="'Cost Summary'!A1" display="'Cost Summary'!A1"/>
    <hyperlink ref="MPI8" location="'Cost Summary'!A1" display="'Cost Summary'!A1"/>
    <hyperlink ref="MPJ8" location="'Cost Summary'!A1" display="'Cost Summary'!A1"/>
    <hyperlink ref="MPK8" location="'Cost Summary'!A1" display="'Cost Summary'!A1"/>
    <hyperlink ref="MPL8" location="'Cost Summary'!A1" display="'Cost Summary'!A1"/>
    <hyperlink ref="MPM8" location="'Cost Summary'!A1" display="'Cost Summary'!A1"/>
    <hyperlink ref="MPN8" location="'Cost Summary'!A1" display="'Cost Summary'!A1"/>
    <hyperlink ref="MPO8" location="'Cost Summary'!A1" display="'Cost Summary'!A1"/>
    <hyperlink ref="MPP8" location="'Cost Summary'!A1" display="'Cost Summary'!A1"/>
    <hyperlink ref="MPQ8" location="'Cost Summary'!A1" display="'Cost Summary'!A1"/>
    <hyperlink ref="MPR8" location="'Cost Summary'!A1" display="'Cost Summary'!A1"/>
    <hyperlink ref="MPS8" location="'Cost Summary'!A1" display="'Cost Summary'!A1"/>
    <hyperlink ref="MPT8" location="'Cost Summary'!A1" display="'Cost Summary'!A1"/>
    <hyperlink ref="MPU8" location="'Cost Summary'!A1" display="'Cost Summary'!A1"/>
    <hyperlink ref="MPV8" location="'Cost Summary'!A1" display="'Cost Summary'!A1"/>
    <hyperlink ref="MPW8" location="'Cost Summary'!A1" display="'Cost Summary'!A1"/>
    <hyperlink ref="MPX8" location="'Cost Summary'!A1" display="'Cost Summary'!A1"/>
    <hyperlink ref="MPY8" location="'Cost Summary'!A1" display="'Cost Summary'!A1"/>
    <hyperlink ref="MPZ8" location="'Cost Summary'!A1" display="'Cost Summary'!A1"/>
    <hyperlink ref="MQA8" location="'Cost Summary'!A1" display="'Cost Summary'!A1"/>
    <hyperlink ref="MQB8" location="'Cost Summary'!A1" display="'Cost Summary'!A1"/>
    <hyperlink ref="MQC8" location="'Cost Summary'!A1" display="'Cost Summary'!A1"/>
    <hyperlink ref="MQD8" location="'Cost Summary'!A1" display="'Cost Summary'!A1"/>
    <hyperlink ref="MQE8" location="'Cost Summary'!A1" display="'Cost Summary'!A1"/>
    <hyperlink ref="MQF8" location="'Cost Summary'!A1" display="'Cost Summary'!A1"/>
    <hyperlink ref="MQG8" location="'Cost Summary'!A1" display="'Cost Summary'!A1"/>
    <hyperlink ref="MQH8" location="'Cost Summary'!A1" display="'Cost Summary'!A1"/>
    <hyperlink ref="MQI8" location="'Cost Summary'!A1" display="'Cost Summary'!A1"/>
    <hyperlink ref="MQJ8" location="'Cost Summary'!A1" display="'Cost Summary'!A1"/>
    <hyperlink ref="MQK8" location="'Cost Summary'!A1" display="'Cost Summary'!A1"/>
    <hyperlink ref="MQL8" location="'Cost Summary'!A1" display="'Cost Summary'!A1"/>
    <hyperlink ref="MQM8" location="'Cost Summary'!A1" display="'Cost Summary'!A1"/>
    <hyperlink ref="MQN8" location="'Cost Summary'!A1" display="'Cost Summary'!A1"/>
    <hyperlink ref="MQO8" location="'Cost Summary'!A1" display="'Cost Summary'!A1"/>
    <hyperlink ref="MQP8" location="'Cost Summary'!A1" display="'Cost Summary'!A1"/>
    <hyperlink ref="MQQ8" location="'Cost Summary'!A1" display="'Cost Summary'!A1"/>
    <hyperlink ref="MQR8" location="'Cost Summary'!A1" display="'Cost Summary'!A1"/>
    <hyperlink ref="MQS8" location="'Cost Summary'!A1" display="'Cost Summary'!A1"/>
    <hyperlink ref="MQT8" location="'Cost Summary'!A1" display="'Cost Summary'!A1"/>
    <hyperlink ref="MQU8" location="'Cost Summary'!A1" display="'Cost Summary'!A1"/>
    <hyperlink ref="MQV8" location="'Cost Summary'!A1" display="'Cost Summary'!A1"/>
    <hyperlink ref="MQW8" location="'Cost Summary'!A1" display="'Cost Summary'!A1"/>
    <hyperlink ref="MQX8" location="'Cost Summary'!A1" display="'Cost Summary'!A1"/>
    <hyperlink ref="MQY8" location="'Cost Summary'!A1" display="'Cost Summary'!A1"/>
    <hyperlink ref="MQZ8" location="'Cost Summary'!A1" display="'Cost Summary'!A1"/>
    <hyperlink ref="MRA8" location="'Cost Summary'!A1" display="'Cost Summary'!A1"/>
    <hyperlink ref="MRB8" location="'Cost Summary'!A1" display="'Cost Summary'!A1"/>
    <hyperlink ref="MRC8" location="'Cost Summary'!A1" display="'Cost Summary'!A1"/>
    <hyperlink ref="MRD8" location="'Cost Summary'!A1" display="'Cost Summary'!A1"/>
    <hyperlink ref="MRE8" location="'Cost Summary'!A1" display="'Cost Summary'!A1"/>
    <hyperlink ref="MRF8" location="'Cost Summary'!A1" display="'Cost Summary'!A1"/>
    <hyperlink ref="MRG8" location="'Cost Summary'!A1" display="'Cost Summary'!A1"/>
    <hyperlink ref="MRH8" location="'Cost Summary'!A1" display="'Cost Summary'!A1"/>
    <hyperlink ref="MRI8" location="'Cost Summary'!A1" display="'Cost Summary'!A1"/>
    <hyperlink ref="MRJ8" location="'Cost Summary'!A1" display="'Cost Summary'!A1"/>
    <hyperlink ref="MRK8" location="'Cost Summary'!A1" display="'Cost Summary'!A1"/>
    <hyperlink ref="MRL8" location="'Cost Summary'!A1" display="'Cost Summary'!A1"/>
    <hyperlink ref="MRM8" location="'Cost Summary'!A1" display="'Cost Summary'!A1"/>
    <hyperlink ref="MRN8" location="'Cost Summary'!A1" display="'Cost Summary'!A1"/>
    <hyperlink ref="MRO8" location="'Cost Summary'!A1" display="'Cost Summary'!A1"/>
    <hyperlink ref="MRP8" location="'Cost Summary'!A1" display="'Cost Summary'!A1"/>
    <hyperlink ref="MRQ8" location="'Cost Summary'!A1" display="'Cost Summary'!A1"/>
    <hyperlink ref="MRR8" location="'Cost Summary'!A1" display="'Cost Summary'!A1"/>
    <hyperlink ref="MRS8" location="'Cost Summary'!A1" display="'Cost Summary'!A1"/>
    <hyperlink ref="MRT8" location="'Cost Summary'!A1" display="'Cost Summary'!A1"/>
    <hyperlink ref="MRU8" location="'Cost Summary'!A1" display="'Cost Summary'!A1"/>
    <hyperlink ref="MRV8" location="'Cost Summary'!A1" display="'Cost Summary'!A1"/>
    <hyperlink ref="MRW8" location="'Cost Summary'!A1" display="'Cost Summary'!A1"/>
    <hyperlink ref="MRX8" location="'Cost Summary'!A1" display="'Cost Summary'!A1"/>
    <hyperlink ref="MRY8" location="'Cost Summary'!A1" display="'Cost Summary'!A1"/>
    <hyperlink ref="MRZ8" location="'Cost Summary'!A1" display="'Cost Summary'!A1"/>
    <hyperlink ref="MSA8" location="'Cost Summary'!A1" display="'Cost Summary'!A1"/>
    <hyperlink ref="MSB8" location="'Cost Summary'!A1" display="'Cost Summary'!A1"/>
    <hyperlink ref="MSC8" location="'Cost Summary'!A1" display="'Cost Summary'!A1"/>
    <hyperlink ref="MSD8" location="'Cost Summary'!A1" display="'Cost Summary'!A1"/>
    <hyperlink ref="MSE8" location="'Cost Summary'!A1" display="'Cost Summary'!A1"/>
    <hyperlink ref="MSF8" location="'Cost Summary'!A1" display="'Cost Summary'!A1"/>
    <hyperlink ref="MSG8" location="'Cost Summary'!A1" display="'Cost Summary'!A1"/>
    <hyperlink ref="MSH8" location="'Cost Summary'!A1" display="'Cost Summary'!A1"/>
    <hyperlink ref="MSI8" location="'Cost Summary'!A1" display="'Cost Summary'!A1"/>
    <hyperlink ref="MSJ8" location="'Cost Summary'!A1" display="'Cost Summary'!A1"/>
    <hyperlink ref="MSK8" location="'Cost Summary'!A1" display="'Cost Summary'!A1"/>
    <hyperlink ref="MSL8" location="'Cost Summary'!A1" display="'Cost Summary'!A1"/>
    <hyperlink ref="MSM8" location="'Cost Summary'!A1" display="'Cost Summary'!A1"/>
    <hyperlink ref="MSN8" location="'Cost Summary'!A1" display="'Cost Summary'!A1"/>
    <hyperlink ref="MSO8" location="'Cost Summary'!A1" display="'Cost Summary'!A1"/>
    <hyperlink ref="MSP8" location="'Cost Summary'!A1" display="'Cost Summary'!A1"/>
    <hyperlink ref="MSQ8" location="'Cost Summary'!A1" display="'Cost Summary'!A1"/>
    <hyperlink ref="MSR8" location="'Cost Summary'!A1" display="'Cost Summary'!A1"/>
    <hyperlink ref="MSS8" location="'Cost Summary'!A1" display="'Cost Summary'!A1"/>
    <hyperlink ref="MST8" location="'Cost Summary'!A1" display="'Cost Summary'!A1"/>
    <hyperlink ref="MSU8" location="'Cost Summary'!A1" display="'Cost Summary'!A1"/>
    <hyperlink ref="MSV8" location="'Cost Summary'!A1" display="'Cost Summary'!A1"/>
    <hyperlink ref="MSW8" location="'Cost Summary'!A1" display="'Cost Summary'!A1"/>
    <hyperlink ref="MSX8" location="'Cost Summary'!A1" display="'Cost Summary'!A1"/>
    <hyperlink ref="MSY8" location="'Cost Summary'!A1" display="'Cost Summary'!A1"/>
    <hyperlink ref="MSZ8" location="'Cost Summary'!A1" display="'Cost Summary'!A1"/>
    <hyperlink ref="MTA8" location="'Cost Summary'!A1" display="'Cost Summary'!A1"/>
    <hyperlink ref="MTB8" location="'Cost Summary'!A1" display="'Cost Summary'!A1"/>
    <hyperlink ref="MTC8" location="'Cost Summary'!A1" display="'Cost Summary'!A1"/>
    <hyperlink ref="MTD8" location="'Cost Summary'!A1" display="'Cost Summary'!A1"/>
    <hyperlink ref="MTE8" location="'Cost Summary'!A1" display="'Cost Summary'!A1"/>
    <hyperlink ref="MTF8" location="'Cost Summary'!A1" display="'Cost Summary'!A1"/>
    <hyperlink ref="MTG8" location="'Cost Summary'!A1" display="'Cost Summary'!A1"/>
    <hyperlink ref="MTH8" location="'Cost Summary'!A1" display="'Cost Summary'!A1"/>
    <hyperlink ref="MTI8" location="'Cost Summary'!A1" display="'Cost Summary'!A1"/>
    <hyperlink ref="MTJ8" location="'Cost Summary'!A1" display="'Cost Summary'!A1"/>
    <hyperlink ref="MTK8" location="'Cost Summary'!A1" display="'Cost Summary'!A1"/>
    <hyperlink ref="MTL8" location="'Cost Summary'!A1" display="'Cost Summary'!A1"/>
    <hyperlink ref="MTM8" location="'Cost Summary'!A1" display="'Cost Summary'!A1"/>
    <hyperlink ref="MTN8" location="'Cost Summary'!A1" display="'Cost Summary'!A1"/>
    <hyperlink ref="MTO8" location="'Cost Summary'!A1" display="'Cost Summary'!A1"/>
    <hyperlink ref="MTP8" location="'Cost Summary'!A1" display="'Cost Summary'!A1"/>
    <hyperlink ref="MTQ8" location="'Cost Summary'!A1" display="'Cost Summary'!A1"/>
    <hyperlink ref="MTR8" location="'Cost Summary'!A1" display="'Cost Summary'!A1"/>
    <hyperlink ref="MTS8" location="'Cost Summary'!A1" display="'Cost Summary'!A1"/>
    <hyperlink ref="MTT8" location="'Cost Summary'!A1" display="'Cost Summary'!A1"/>
    <hyperlink ref="MTU8" location="'Cost Summary'!A1" display="'Cost Summary'!A1"/>
    <hyperlink ref="MTV8" location="'Cost Summary'!A1" display="'Cost Summary'!A1"/>
    <hyperlink ref="MTW8" location="'Cost Summary'!A1" display="'Cost Summary'!A1"/>
    <hyperlink ref="MTX8" location="'Cost Summary'!A1" display="'Cost Summary'!A1"/>
    <hyperlink ref="MTY8" location="'Cost Summary'!A1" display="'Cost Summary'!A1"/>
    <hyperlink ref="MTZ8" location="'Cost Summary'!A1" display="'Cost Summary'!A1"/>
    <hyperlink ref="MUA8" location="'Cost Summary'!A1" display="'Cost Summary'!A1"/>
    <hyperlink ref="MUB8" location="'Cost Summary'!A1" display="'Cost Summary'!A1"/>
    <hyperlink ref="MUC8" location="'Cost Summary'!A1" display="'Cost Summary'!A1"/>
    <hyperlink ref="MUD8" location="'Cost Summary'!A1" display="'Cost Summary'!A1"/>
    <hyperlink ref="MUE8" location="'Cost Summary'!A1" display="'Cost Summary'!A1"/>
    <hyperlink ref="MUF8" location="'Cost Summary'!A1" display="'Cost Summary'!A1"/>
    <hyperlink ref="MUG8" location="'Cost Summary'!A1" display="'Cost Summary'!A1"/>
    <hyperlink ref="MUH8" location="'Cost Summary'!A1" display="'Cost Summary'!A1"/>
    <hyperlink ref="MUI8" location="'Cost Summary'!A1" display="'Cost Summary'!A1"/>
    <hyperlink ref="MUJ8" location="'Cost Summary'!A1" display="'Cost Summary'!A1"/>
    <hyperlink ref="MUK8" location="'Cost Summary'!A1" display="'Cost Summary'!A1"/>
    <hyperlink ref="MUL8" location="'Cost Summary'!A1" display="'Cost Summary'!A1"/>
    <hyperlink ref="MUM8" location="'Cost Summary'!A1" display="'Cost Summary'!A1"/>
    <hyperlink ref="MUN8" location="'Cost Summary'!A1" display="'Cost Summary'!A1"/>
    <hyperlink ref="MUO8" location="'Cost Summary'!A1" display="'Cost Summary'!A1"/>
    <hyperlink ref="MUP8" location="'Cost Summary'!A1" display="'Cost Summary'!A1"/>
    <hyperlink ref="MUQ8" location="'Cost Summary'!A1" display="'Cost Summary'!A1"/>
    <hyperlink ref="MUR8" location="'Cost Summary'!A1" display="'Cost Summary'!A1"/>
    <hyperlink ref="MUS8" location="'Cost Summary'!A1" display="'Cost Summary'!A1"/>
    <hyperlink ref="MUT8" location="'Cost Summary'!A1" display="'Cost Summary'!A1"/>
    <hyperlink ref="MUU8" location="'Cost Summary'!A1" display="'Cost Summary'!A1"/>
    <hyperlink ref="MUV8" location="'Cost Summary'!A1" display="'Cost Summary'!A1"/>
    <hyperlink ref="MUW8" location="'Cost Summary'!A1" display="'Cost Summary'!A1"/>
    <hyperlink ref="MUX8" location="'Cost Summary'!A1" display="'Cost Summary'!A1"/>
    <hyperlink ref="MUY8" location="'Cost Summary'!A1" display="'Cost Summary'!A1"/>
    <hyperlink ref="MUZ8" location="'Cost Summary'!A1" display="'Cost Summary'!A1"/>
    <hyperlink ref="MVA8" location="'Cost Summary'!A1" display="'Cost Summary'!A1"/>
    <hyperlink ref="MVB8" location="'Cost Summary'!A1" display="'Cost Summary'!A1"/>
    <hyperlink ref="MVC8" location="'Cost Summary'!A1" display="'Cost Summary'!A1"/>
    <hyperlink ref="MVD8" location="'Cost Summary'!A1" display="'Cost Summary'!A1"/>
    <hyperlink ref="MVE8" location="'Cost Summary'!A1" display="'Cost Summary'!A1"/>
    <hyperlink ref="MVF8" location="'Cost Summary'!A1" display="'Cost Summary'!A1"/>
    <hyperlink ref="MVG8" location="'Cost Summary'!A1" display="'Cost Summary'!A1"/>
    <hyperlink ref="MVH8" location="'Cost Summary'!A1" display="'Cost Summary'!A1"/>
    <hyperlink ref="MVI8" location="'Cost Summary'!A1" display="'Cost Summary'!A1"/>
    <hyperlink ref="MVJ8" location="'Cost Summary'!A1" display="'Cost Summary'!A1"/>
    <hyperlink ref="MVK8" location="'Cost Summary'!A1" display="'Cost Summary'!A1"/>
    <hyperlink ref="MVL8" location="'Cost Summary'!A1" display="'Cost Summary'!A1"/>
    <hyperlink ref="MVM8" location="'Cost Summary'!A1" display="'Cost Summary'!A1"/>
    <hyperlink ref="MVN8" location="'Cost Summary'!A1" display="'Cost Summary'!A1"/>
    <hyperlink ref="MVO8" location="'Cost Summary'!A1" display="'Cost Summary'!A1"/>
    <hyperlink ref="MVP8" location="'Cost Summary'!A1" display="'Cost Summary'!A1"/>
    <hyperlink ref="MVQ8" location="'Cost Summary'!A1" display="'Cost Summary'!A1"/>
    <hyperlink ref="MVR8" location="'Cost Summary'!A1" display="'Cost Summary'!A1"/>
    <hyperlink ref="MVS8" location="'Cost Summary'!A1" display="'Cost Summary'!A1"/>
    <hyperlink ref="MVT8" location="'Cost Summary'!A1" display="'Cost Summary'!A1"/>
    <hyperlink ref="MVU8" location="'Cost Summary'!A1" display="'Cost Summary'!A1"/>
    <hyperlink ref="MVV8" location="'Cost Summary'!A1" display="'Cost Summary'!A1"/>
    <hyperlink ref="MVW8" location="'Cost Summary'!A1" display="'Cost Summary'!A1"/>
    <hyperlink ref="MVX8" location="'Cost Summary'!A1" display="'Cost Summary'!A1"/>
    <hyperlink ref="MVY8" location="'Cost Summary'!A1" display="'Cost Summary'!A1"/>
    <hyperlink ref="MVZ8" location="'Cost Summary'!A1" display="'Cost Summary'!A1"/>
    <hyperlink ref="MWA8" location="'Cost Summary'!A1" display="'Cost Summary'!A1"/>
    <hyperlink ref="MWB8" location="'Cost Summary'!A1" display="'Cost Summary'!A1"/>
    <hyperlink ref="MWC8" location="'Cost Summary'!A1" display="'Cost Summary'!A1"/>
    <hyperlink ref="MWD8" location="'Cost Summary'!A1" display="'Cost Summary'!A1"/>
    <hyperlink ref="MWE8" location="'Cost Summary'!A1" display="'Cost Summary'!A1"/>
    <hyperlink ref="MWF8" location="'Cost Summary'!A1" display="'Cost Summary'!A1"/>
    <hyperlink ref="MWG8" location="'Cost Summary'!A1" display="'Cost Summary'!A1"/>
    <hyperlink ref="MWH8" location="'Cost Summary'!A1" display="'Cost Summary'!A1"/>
    <hyperlink ref="MWI8" location="'Cost Summary'!A1" display="'Cost Summary'!A1"/>
    <hyperlink ref="MWJ8" location="'Cost Summary'!A1" display="'Cost Summary'!A1"/>
    <hyperlink ref="MWK8" location="'Cost Summary'!A1" display="'Cost Summary'!A1"/>
    <hyperlink ref="MWL8" location="'Cost Summary'!A1" display="'Cost Summary'!A1"/>
    <hyperlink ref="MWM8" location="'Cost Summary'!A1" display="'Cost Summary'!A1"/>
    <hyperlink ref="MWN8" location="'Cost Summary'!A1" display="'Cost Summary'!A1"/>
    <hyperlink ref="MWO8" location="'Cost Summary'!A1" display="'Cost Summary'!A1"/>
    <hyperlink ref="MWP8" location="'Cost Summary'!A1" display="'Cost Summary'!A1"/>
    <hyperlink ref="MWQ8" location="'Cost Summary'!A1" display="'Cost Summary'!A1"/>
    <hyperlink ref="MWR8" location="'Cost Summary'!A1" display="'Cost Summary'!A1"/>
    <hyperlink ref="MWS8" location="'Cost Summary'!A1" display="'Cost Summary'!A1"/>
    <hyperlink ref="MWT8" location="'Cost Summary'!A1" display="'Cost Summary'!A1"/>
    <hyperlink ref="MWU8" location="'Cost Summary'!A1" display="'Cost Summary'!A1"/>
    <hyperlink ref="MWV8" location="'Cost Summary'!A1" display="'Cost Summary'!A1"/>
    <hyperlink ref="MWW8" location="'Cost Summary'!A1" display="'Cost Summary'!A1"/>
    <hyperlink ref="MWX8" location="'Cost Summary'!A1" display="'Cost Summary'!A1"/>
    <hyperlink ref="MWY8" location="'Cost Summary'!A1" display="'Cost Summary'!A1"/>
    <hyperlink ref="MWZ8" location="'Cost Summary'!A1" display="'Cost Summary'!A1"/>
    <hyperlink ref="MXA8" location="'Cost Summary'!A1" display="'Cost Summary'!A1"/>
    <hyperlink ref="MXB8" location="'Cost Summary'!A1" display="'Cost Summary'!A1"/>
    <hyperlink ref="MXC8" location="'Cost Summary'!A1" display="'Cost Summary'!A1"/>
    <hyperlink ref="MXD8" location="'Cost Summary'!A1" display="'Cost Summary'!A1"/>
    <hyperlink ref="MXE8" location="'Cost Summary'!A1" display="'Cost Summary'!A1"/>
    <hyperlink ref="MXF8" location="'Cost Summary'!A1" display="'Cost Summary'!A1"/>
    <hyperlink ref="MXG8" location="'Cost Summary'!A1" display="'Cost Summary'!A1"/>
    <hyperlink ref="MXH8" location="'Cost Summary'!A1" display="'Cost Summary'!A1"/>
    <hyperlink ref="MXI8" location="'Cost Summary'!A1" display="'Cost Summary'!A1"/>
    <hyperlink ref="MXJ8" location="'Cost Summary'!A1" display="'Cost Summary'!A1"/>
    <hyperlink ref="MXK8" location="'Cost Summary'!A1" display="'Cost Summary'!A1"/>
    <hyperlink ref="MXL8" location="'Cost Summary'!A1" display="'Cost Summary'!A1"/>
    <hyperlink ref="MXM8" location="'Cost Summary'!A1" display="'Cost Summary'!A1"/>
    <hyperlink ref="MXN8" location="'Cost Summary'!A1" display="'Cost Summary'!A1"/>
    <hyperlink ref="MXO8" location="'Cost Summary'!A1" display="'Cost Summary'!A1"/>
    <hyperlink ref="MXP8" location="'Cost Summary'!A1" display="'Cost Summary'!A1"/>
    <hyperlink ref="MXQ8" location="'Cost Summary'!A1" display="'Cost Summary'!A1"/>
    <hyperlink ref="MXR8" location="'Cost Summary'!A1" display="'Cost Summary'!A1"/>
    <hyperlink ref="MXS8" location="'Cost Summary'!A1" display="'Cost Summary'!A1"/>
    <hyperlink ref="MXT8" location="'Cost Summary'!A1" display="'Cost Summary'!A1"/>
    <hyperlink ref="MXU8" location="'Cost Summary'!A1" display="'Cost Summary'!A1"/>
    <hyperlink ref="MXV8" location="'Cost Summary'!A1" display="'Cost Summary'!A1"/>
    <hyperlink ref="MXW8" location="'Cost Summary'!A1" display="'Cost Summary'!A1"/>
    <hyperlink ref="MXX8" location="'Cost Summary'!A1" display="'Cost Summary'!A1"/>
    <hyperlink ref="MXY8" location="'Cost Summary'!A1" display="'Cost Summary'!A1"/>
    <hyperlink ref="MXZ8" location="'Cost Summary'!A1" display="'Cost Summary'!A1"/>
    <hyperlink ref="MYA8" location="'Cost Summary'!A1" display="'Cost Summary'!A1"/>
    <hyperlink ref="MYB8" location="'Cost Summary'!A1" display="'Cost Summary'!A1"/>
    <hyperlink ref="MYC8" location="'Cost Summary'!A1" display="'Cost Summary'!A1"/>
    <hyperlink ref="MYD8" location="'Cost Summary'!A1" display="'Cost Summary'!A1"/>
    <hyperlink ref="MYE8" location="'Cost Summary'!A1" display="'Cost Summary'!A1"/>
    <hyperlink ref="MYF8" location="'Cost Summary'!A1" display="'Cost Summary'!A1"/>
    <hyperlink ref="MYG8" location="'Cost Summary'!A1" display="'Cost Summary'!A1"/>
    <hyperlink ref="MYH8" location="'Cost Summary'!A1" display="'Cost Summary'!A1"/>
    <hyperlink ref="MYI8" location="'Cost Summary'!A1" display="'Cost Summary'!A1"/>
    <hyperlink ref="MYJ8" location="'Cost Summary'!A1" display="'Cost Summary'!A1"/>
    <hyperlink ref="MYK8" location="'Cost Summary'!A1" display="'Cost Summary'!A1"/>
    <hyperlink ref="MYL8" location="'Cost Summary'!A1" display="'Cost Summary'!A1"/>
    <hyperlink ref="MYM8" location="'Cost Summary'!A1" display="'Cost Summary'!A1"/>
    <hyperlink ref="MYN8" location="'Cost Summary'!A1" display="'Cost Summary'!A1"/>
    <hyperlink ref="MYO8" location="'Cost Summary'!A1" display="'Cost Summary'!A1"/>
    <hyperlink ref="MYP8" location="'Cost Summary'!A1" display="'Cost Summary'!A1"/>
    <hyperlink ref="MYQ8" location="'Cost Summary'!A1" display="'Cost Summary'!A1"/>
    <hyperlink ref="MYR8" location="'Cost Summary'!A1" display="'Cost Summary'!A1"/>
    <hyperlink ref="MYS8" location="'Cost Summary'!A1" display="'Cost Summary'!A1"/>
    <hyperlink ref="MYT8" location="'Cost Summary'!A1" display="'Cost Summary'!A1"/>
    <hyperlink ref="MYU8" location="'Cost Summary'!A1" display="'Cost Summary'!A1"/>
    <hyperlink ref="MYV8" location="'Cost Summary'!A1" display="'Cost Summary'!A1"/>
    <hyperlink ref="MYW8" location="'Cost Summary'!A1" display="'Cost Summary'!A1"/>
    <hyperlink ref="MYX8" location="'Cost Summary'!A1" display="'Cost Summary'!A1"/>
    <hyperlink ref="MYY8" location="'Cost Summary'!A1" display="'Cost Summary'!A1"/>
    <hyperlink ref="MYZ8" location="'Cost Summary'!A1" display="'Cost Summary'!A1"/>
    <hyperlink ref="MZA8" location="'Cost Summary'!A1" display="'Cost Summary'!A1"/>
    <hyperlink ref="MZB8" location="'Cost Summary'!A1" display="'Cost Summary'!A1"/>
    <hyperlink ref="MZC8" location="'Cost Summary'!A1" display="'Cost Summary'!A1"/>
    <hyperlink ref="MZD8" location="'Cost Summary'!A1" display="'Cost Summary'!A1"/>
    <hyperlink ref="MZE8" location="'Cost Summary'!A1" display="'Cost Summary'!A1"/>
    <hyperlink ref="MZF8" location="'Cost Summary'!A1" display="'Cost Summary'!A1"/>
    <hyperlink ref="MZG8" location="'Cost Summary'!A1" display="'Cost Summary'!A1"/>
    <hyperlink ref="MZH8" location="'Cost Summary'!A1" display="'Cost Summary'!A1"/>
    <hyperlink ref="MZI8" location="'Cost Summary'!A1" display="'Cost Summary'!A1"/>
    <hyperlink ref="MZJ8" location="'Cost Summary'!A1" display="'Cost Summary'!A1"/>
    <hyperlink ref="MZK8" location="'Cost Summary'!A1" display="'Cost Summary'!A1"/>
    <hyperlink ref="MZL8" location="'Cost Summary'!A1" display="'Cost Summary'!A1"/>
    <hyperlink ref="MZM8" location="'Cost Summary'!A1" display="'Cost Summary'!A1"/>
    <hyperlink ref="MZN8" location="'Cost Summary'!A1" display="'Cost Summary'!A1"/>
    <hyperlink ref="MZO8" location="'Cost Summary'!A1" display="'Cost Summary'!A1"/>
    <hyperlink ref="MZP8" location="'Cost Summary'!A1" display="'Cost Summary'!A1"/>
    <hyperlink ref="MZQ8" location="'Cost Summary'!A1" display="'Cost Summary'!A1"/>
    <hyperlink ref="MZR8" location="'Cost Summary'!A1" display="'Cost Summary'!A1"/>
    <hyperlink ref="MZS8" location="'Cost Summary'!A1" display="'Cost Summary'!A1"/>
    <hyperlink ref="MZT8" location="'Cost Summary'!A1" display="'Cost Summary'!A1"/>
    <hyperlink ref="MZU8" location="'Cost Summary'!A1" display="'Cost Summary'!A1"/>
    <hyperlink ref="MZV8" location="'Cost Summary'!A1" display="'Cost Summary'!A1"/>
    <hyperlink ref="MZW8" location="'Cost Summary'!A1" display="'Cost Summary'!A1"/>
    <hyperlink ref="MZX8" location="'Cost Summary'!A1" display="'Cost Summary'!A1"/>
    <hyperlink ref="MZY8" location="'Cost Summary'!A1" display="'Cost Summary'!A1"/>
    <hyperlink ref="MZZ8" location="'Cost Summary'!A1" display="'Cost Summary'!A1"/>
    <hyperlink ref="NAA8" location="'Cost Summary'!A1" display="'Cost Summary'!A1"/>
    <hyperlink ref="NAB8" location="'Cost Summary'!A1" display="'Cost Summary'!A1"/>
    <hyperlink ref="NAC8" location="'Cost Summary'!A1" display="'Cost Summary'!A1"/>
    <hyperlink ref="NAD8" location="'Cost Summary'!A1" display="'Cost Summary'!A1"/>
    <hyperlink ref="NAE8" location="'Cost Summary'!A1" display="'Cost Summary'!A1"/>
    <hyperlink ref="NAF8" location="'Cost Summary'!A1" display="'Cost Summary'!A1"/>
    <hyperlink ref="NAG8" location="'Cost Summary'!A1" display="'Cost Summary'!A1"/>
    <hyperlink ref="NAH8" location="'Cost Summary'!A1" display="'Cost Summary'!A1"/>
    <hyperlink ref="NAI8" location="'Cost Summary'!A1" display="'Cost Summary'!A1"/>
    <hyperlink ref="NAJ8" location="'Cost Summary'!A1" display="'Cost Summary'!A1"/>
    <hyperlink ref="NAK8" location="'Cost Summary'!A1" display="'Cost Summary'!A1"/>
    <hyperlink ref="NAL8" location="'Cost Summary'!A1" display="'Cost Summary'!A1"/>
    <hyperlink ref="NAM8" location="'Cost Summary'!A1" display="'Cost Summary'!A1"/>
    <hyperlink ref="NAN8" location="'Cost Summary'!A1" display="'Cost Summary'!A1"/>
    <hyperlink ref="NAO8" location="'Cost Summary'!A1" display="'Cost Summary'!A1"/>
    <hyperlink ref="NAP8" location="'Cost Summary'!A1" display="'Cost Summary'!A1"/>
    <hyperlink ref="NAQ8" location="'Cost Summary'!A1" display="'Cost Summary'!A1"/>
    <hyperlink ref="NAR8" location="'Cost Summary'!A1" display="'Cost Summary'!A1"/>
    <hyperlink ref="NAS8" location="'Cost Summary'!A1" display="'Cost Summary'!A1"/>
    <hyperlink ref="NAT8" location="'Cost Summary'!A1" display="'Cost Summary'!A1"/>
    <hyperlink ref="NAU8" location="'Cost Summary'!A1" display="'Cost Summary'!A1"/>
    <hyperlink ref="NAV8" location="'Cost Summary'!A1" display="'Cost Summary'!A1"/>
    <hyperlink ref="NAW8" location="'Cost Summary'!A1" display="'Cost Summary'!A1"/>
    <hyperlink ref="NAX8" location="'Cost Summary'!A1" display="'Cost Summary'!A1"/>
    <hyperlink ref="NAY8" location="'Cost Summary'!A1" display="'Cost Summary'!A1"/>
    <hyperlink ref="NAZ8" location="'Cost Summary'!A1" display="'Cost Summary'!A1"/>
    <hyperlink ref="NBA8" location="'Cost Summary'!A1" display="'Cost Summary'!A1"/>
    <hyperlink ref="NBB8" location="'Cost Summary'!A1" display="'Cost Summary'!A1"/>
    <hyperlink ref="NBC8" location="'Cost Summary'!A1" display="'Cost Summary'!A1"/>
    <hyperlink ref="NBD8" location="'Cost Summary'!A1" display="'Cost Summary'!A1"/>
    <hyperlink ref="NBE8" location="'Cost Summary'!A1" display="'Cost Summary'!A1"/>
    <hyperlink ref="NBF8" location="'Cost Summary'!A1" display="'Cost Summary'!A1"/>
    <hyperlink ref="NBG8" location="'Cost Summary'!A1" display="'Cost Summary'!A1"/>
    <hyperlink ref="NBH8" location="'Cost Summary'!A1" display="'Cost Summary'!A1"/>
    <hyperlink ref="NBI8" location="'Cost Summary'!A1" display="'Cost Summary'!A1"/>
    <hyperlink ref="NBJ8" location="'Cost Summary'!A1" display="'Cost Summary'!A1"/>
    <hyperlink ref="NBK8" location="'Cost Summary'!A1" display="'Cost Summary'!A1"/>
    <hyperlink ref="NBL8" location="'Cost Summary'!A1" display="'Cost Summary'!A1"/>
    <hyperlink ref="NBM8" location="'Cost Summary'!A1" display="'Cost Summary'!A1"/>
    <hyperlink ref="NBN8" location="'Cost Summary'!A1" display="'Cost Summary'!A1"/>
    <hyperlink ref="NBO8" location="'Cost Summary'!A1" display="'Cost Summary'!A1"/>
    <hyperlink ref="NBP8" location="'Cost Summary'!A1" display="'Cost Summary'!A1"/>
    <hyperlink ref="NBQ8" location="'Cost Summary'!A1" display="'Cost Summary'!A1"/>
    <hyperlink ref="NBR8" location="'Cost Summary'!A1" display="'Cost Summary'!A1"/>
    <hyperlink ref="NBS8" location="'Cost Summary'!A1" display="'Cost Summary'!A1"/>
    <hyperlink ref="NBT8" location="'Cost Summary'!A1" display="'Cost Summary'!A1"/>
    <hyperlink ref="NBU8" location="'Cost Summary'!A1" display="'Cost Summary'!A1"/>
    <hyperlink ref="NBV8" location="'Cost Summary'!A1" display="'Cost Summary'!A1"/>
    <hyperlink ref="NBW8" location="'Cost Summary'!A1" display="'Cost Summary'!A1"/>
    <hyperlink ref="NBX8" location="'Cost Summary'!A1" display="'Cost Summary'!A1"/>
    <hyperlink ref="NBY8" location="'Cost Summary'!A1" display="'Cost Summary'!A1"/>
    <hyperlink ref="NBZ8" location="'Cost Summary'!A1" display="'Cost Summary'!A1"/>
    <hyperlink ref="NCA8" location="'Cost Summary'!A1" display="'Cost Summary'!A1"/>
    <hyperlink ref="NCB8" location="'Cost Summary'!A1" display="'Cost Summary'!A1"/>
    <hyperlink ref="NCC8" location="'Cost Summary'!A1" display="'Cost Summary'!A1"/>
    <hyperlink ref="NCD8" location="'Cost Summary'!A1" display="'Cost Summary'!A1"/>
    <hyperlink ref="NCE8" location="'Cost Summary'!A1" display="'Cost Summary'!A1"/>
    <hyperlink ref="NCF8" location="'Cost Summary'!A1" display="'Cost Summary'!A1"/>
    <hyperlink ref="NCG8" location="'Cost Summary'!A1" display="'Cost Summary'!A1"/>
    <hyperlink ref="NCH8" location="'Cost Summary'!A1" display="'Cost Summary'!A1"/>
    <hyperlink ref="NCI8" location="'Cost Summary'!A1" display="'Cost Summary'!A1"/>
    <hyperlink ref="NCJ8" location="'Cost Summary'!A1" display="'Cost Summary'!A1"/>
    <hyperlink ref="NCK8" location="'Cost Summary'!A1" display="'Cost Summary'!A1"/>
    <hyperlink ref="NCL8" location="'Cost Summary'!A1" display="'Cost Summary'!A1"/>
    <hyperlink ref="NCM8" location="'Cost Summary'!A1" display="'Cost Summary'!A1"/>
    <hyperlink ref="NCN8" location="'Cost Summary'!A1" display="'Cost Summary'!A1"/>
    <hyperlink ref="NCO8" location="'Cost Summary'!A1" display="'Cost Summary'!A1"/>
    <hyperlink ref="NCP8" location="'Cost Summary'!A1" display="'Cost Summary'!A1"/>
    <hyperlink ref="NCQ8" location="'Cost Summary'!A1" display="'Cost Summary'!A1"/>
    <hyperlink ref="NCR8" location="'Cost Summary'!A1" display="'Cost Summary'!A1"/>
    <hyperlink ref="NCS8" location="'Cost Summary'!A1" display="'Cost Summary'!A1"/>
    <hyperlink ref="NCT8" location="'Cost Summary'!A1" display="'Cost Summary'!A1"/>
    <hyperlink ref="NCU8" location="'Cost Summary'!A1" display="'Cost Summary'!A1"/>
    <hyperlink ref="NCV8" location="'Cost Summary'!A1" display="'Cost Summary'!A1"/>
    <hyperlink ref="NCW8" location="'Cost Summary'!A1" display="'Cost Summary'!A1"/>
    <hyperlink ref="NCX8" location="'Cost Summary'!A1" display="'Cost Summary'!A1"/>
    <hyperlink ref="NCY8" location="'Cost Summary'!A1" display="'Cost Summary'!A1"/>
    <hyperlink ref="NCZ8" location="'Cost Summary'!A1" display="'Cost Summary'!A1"/>
    <hyperlink ref="NDA8" location="'Cost Summary'!A1" display="'Cost Summary'!A1"/>
    <hyperlink ref="NDB8" location="'Cost Summary'!A1" display="'Cost Summary'!A1"/>
    <hyperlink ref="NDC8" location="'Cost Summary'!A1" display="'Cost Summary'!A1"/>
    <hyperlink ref="NDD8" location="'Cost Summary'!A1" display="'Cost Summary'!A1"/>
    <hyperlink ref="NDE8" location="'Cost Summary'!A1" display="'Cost Summary'!A1"/>
    <hyperlink ref="NDF8" location="'Cost Summary'!A1" display="'Cost Summary'!A1"/>
    <hyperlink ref="NDG8" location="'Cost Summary'!A1" display="'Cost Summary'!A1"/>
    <hyperlink ref="NDH8" location="'Cost Summary'!A1" display="'Cost Summary'!A1"/>
    <hyperlink ref="NDI8" location="'Cost Summary'!A1" display="'Cost Summary'!A1"/>
    <hyperlink ref="NDJ8" location="'Cost Summary'!A1" display="'Cost Summary'!A1"/>
    <hyperlink ref="NDK8" location="'Cost Summary'!A1" display="'Cost Summary'!A1"/>
    <hyperlink ref="NDL8" location="'Cost Summary'!A1" display="'Cost Summary'!A1"/>
    <hyperlink ref="NDM8" location="'Cost Summary'!A1" display="'Cost Summary'!A1"/>
    <hyperlink ref="NDN8" location="'Cost Summary'!A1" display="'Cost Summary'!A1"/>
    <hyperlink ref="NDO8" location="'Cost Summary'!A1" display="'Cost Summary'!A1"/>
    <hyperlink ref="NDP8" location="'Cost Summary'!A1" display="'Cost Summary'!A1"/>
    <hyperlink ref="NDQ8" location="'Cost Summary'!A1" display="'Cost Summary'!A1"/>
    <hyperlink ref="NDR8" location="'Cost Summary'!A1" display="'Cost Summary'!A1"/>
    <hyperlink ref="NDS8" location="'Cost Summary'!A1" display="'Cost Summary'!A1"/>
    <hyperlink ref="NDT8" location="'Cost Summary'!A1" display="'Cost Summary'!A1"/>
    <hyperlink ref="NDU8" location="'Cost Summary'!A1" display="'Cost Summary'!A1"/>
    <hyperlink ref="NDV8" location="'Cost Summary'!A1" display="'Cost Summary'!A1"/>
    <hyperlink ref="NDW8" location="'Cost Summary'!A1" display="'Cost Summary'!A1"/>
    <hyperlink ref="NDX8" location="'Cost Summary'!A1" display="'Cost Summary'!A1"/>
    <hyperlink ref="NDY8" location="'Cost Summary'!A1" display="'Cost Summary'!A1"/>
    <hyperlink ref="NDZ8" location="'Cost Summary'!A1" display="'Cost Summary'!A1"/>
    <hyperlink ref="NEA8" location="'Cost Summary'!A1" display="'Cost Summary'!A1"/>
    <hyperlink ref="NEB8" location="'Cost Summary'!A1" display="'Cost Summary'!A1"/>
    <hyperlink ref="NEC8" location="'Cost Summary'!A1" display="'Cost Summary'!A1"/>
    <hyperlink ref="NED8" location="'Cost Summary'!A1" display="'Cost Summary'!A1"/>
    <hyperlink ref="NEE8" location="'Cost Summary'!A1" display="'Cost Summary'!A1"/>
    <hyperlink ref="NEF8" location="'Cost Summary'!A1" display="'Cost Summary'!A1"/>
    <hyperlink ref="NEG8" location="'Cost Summary'!A1" display="'Cost Summary'!A1"/>
    <hyperlink ref="NEH8" location="'Cost Summary'!A1" display="'Cost Summary'!A1"/>
    <hyperlink ref="NEI8" location="'Cost Summary'!A1" display="'Cost Summary'!A1"/>
    <hyperlink ref="NEJ8" location="'Cost Summary'!A1" display="'Cost Summary'!A1"/>
    <hyperlink ref="NEK8" location="'Cost Summary'!A1" display="'Cost Summary'!A1"/>
    <hyperlink ref="NEL8" location="'Cost Summary'!A1" display="'Cost Summary'!A1"/>
    <hyperlink ref="NEM8" location="'Cost Summary'!A1" display="'Cost Summary'!A1"/>
    <hyperlink ref="NEN8" location="'Cost Summary'!A1" display="'Cost Summary'!A1"/>
    <hyperlink ref="NEO8" location="'Cost Summary'!A1" display="'Cost Summary'!A1"/>
    <hyperlink ref="NEP8" location="'Cost Summary'!A1" display="'Cost Summary'!A1"/>
    <hyperlink ref="NEQ8" location="'Cost Summary'!A1" display="'Cost Summary'!A1"/>
    <hyperlink ref="NER8" location="'Cost Summary'!A1" display="'Cost Summary'!A1"/>
    <hyperlink ref="NES8" location="'Cost Summary'!A1" display="'Cost Summary'!A1"/>
    <hyperlink ref="NET8" location="'Cost Summary'!A1" display="'Cost Summary'!A1"/>
    <hyperlink ref="NEU8" location="'Cost Summary'!A1" display="'Cost Summary'!A1"/>
    <hyperlink ref="NEV8" location="'Cost Summary'!A1" display="'Cost Summary'!A1"/>
    <hyperlink ref="NEW8" location="'Cost Summary'!A1" display="'Cost Summary'!A1"/>
    <hyperlink ref="NEX8" location="'Cost Summary'!A1" display="'Cost Summary'!A1"/>
    <hyperlink ref="NEY8" location="'Cost Summary'!A1" display="'Cost Summary'!A1"/>
    <hyperlink ref="NEZ8" location="'Cost Summary'!A1" display="'Cost Summary'!A1"/>
    <hyperlink ref="NFA8" location="'Cost Summary'!A1" display="'Cost Summary'!A1"/>
    <hyperlink ref="NFB8" location="'Cost Summary'!A1" display="'Cost Summary'!A1"/>
    <hyperlink ref="NFC8" location="'Cost Summary'!A1" display="'Cost Summary'!A1"/>
    <hyperlink ref="NFD8" location="'Cost Summary'!A1" display="'Cost Summary'!A1"/>
    <hyperlink ref="NFE8" location="'Cost Summary'!A1" display="'Cost Summary'!A1"/>
    <hyperlink ref="NFF8" location="'Cost Summary'!A1" display="'Cost Summary'!A1"/>
    <hyperlink ref="NFG8" location="'Cost Summary'!A1" display="'Cost Summary'!A1"/>
    <hyperlink ref="NFH8" location="'Cost Summary'!A1" display="'Cost Summary'!A1"/>
    <hyperlink ref="NFI8" location="'Cost Summary'!A1" display="'Cost Summary'!A1"/>
    <hyperlink ref="NFJ8" location="'Cost Summary'!A1" display="'Cost Summary'!A1"/>
    <hyperlink ref="NFK8" location="'Cost Summary'!A1" display="'Cost Summary'!A1"/>
    <hyperlink ref="NFL8" location="'Cost Summary'!A1" display="'Cost Summary'!A1"/>
    <hyperlink ref="NFM8" location="'Cost Summary'!A1" display="'Cost Summary'!A1"/>
    <hyperlink ref="NFN8" location="'Cost Summary'!A1" display="'Cost Summary'!A1"/>
    <hyperlink ref="NFO8" location="'Cost Summary'!A1" display="'Cost Summary'!A1"/>
    <hyperlink ref="NFP8" location="'Cost Summary'!A1" display="'Cost Summary'!A1"/>
    <hyperlink ref="NFQ8" location="'Cost Summary'!A1" display="'Cost Summary'!A1"/>
    <hyperlink ref="NFR8" location="'Cost Summary'!A1" display="'Cost Summary'!A1"/>
    <hyperlink ref="NFS8" location="'Cost Summary'!A1" display="'Cost Summary'!A1"/>
    <hyperlink ref="NFT8" location="'Cost Summary'!A1" display="'Cost Summary'!A1"/>
    <hyperlink ref="NFU8" location="'Cost Summary'!A1" display="'Cost Summary'!A1"/>
    <hyperlink ref="NFV8" location="'Cost Summary'!A1" display="'Cost Summary'!A1"/>
    <hyperlink ref="NFW8" location="'Cost Summary'!A1" display="'Cost Summary'!A1"/>
    <hyperlink ref="NFX8" location="'Cost Summary'!A1" display="'Cost Summary'!A1"/>
    <hyperlink ref="NFY8" location="'Cost Summary'!A1" display="'Cost Summary'!A1"/>
    <hyperlink ref="NFZ8" location="'Cost Summary'!A1" display="'Cost Summary'!A1"/>
    <hyperlink ref="NGA8" location="'Cost Summary'!A1" display="'Cost Summary'!A1"/>
    <hyperlink ref="NGB8" location="'Cost Summary'!A1" display="'Cost Summary'!A1"/>
    <hyperlink ref="NGC8" location="'Cost Summary'!A1" display="'Cost Summary'!A1"/>
    <hyperlink ref="NGD8" location="'Cost Summary'!A1" display="'Cost Summary'!A1"/>
    <hyperlink ref="NGE8" location="'Cost Summary'!A1" display="'Cost Summary'!A1"/>
    <hyperlink ref="NGF8" location="'Cost Summary'!A1" display="'Cost Summary'!A1"/>
    <hyperlink ref="NGG8" location="'Cost Summary'!A1" display="'Cost Summary'!A1"/>
    <hyperlink ref="NGH8" location="'Cost Summary'!A1" display="'Cost Summary'!A1"/>
    <hyperlink ref="NGI8" location="'Cost Summary'!A1" display="'Cost Summary'!A1"/>
    <hyperlink ref="NGJ8" location="'Cost Summary'!A1" display="'Cost Summary'!A1"/>
    <hyperlink ref="NGK8" location="'Cost Summary'!A1" display="'Cost Summary'!A1"/>
    <hyperlink ref="NGL8" location="'Cost Summary'!A1" display="'Cost Summary'!A1"/>
    <hyperlink ref="NGM8" location="'Cost Summary'!A1" display="'Cost Summary'!A1"/>
    <hyperlink ref="NGN8" location="'Cost Summary'!A1" display="'Cost Summary'!A1"/>
    <hyperlink ref="NGO8" location="'Cost Summary'!A1" display="'Cost Summary'!A1"/>
    <hyperlink ref="NGP8" location="'Cost Summary'!A1" display="'Cost Summary'!A1"/>
    <hyperlink ref="NGQ8" location="'Cost Summary'!A1" display="'Cost Summary'!A1"/>
    <hyperlink ref="NGR8" location="'Cost Summary'!A1" display="'Cost Summary'!A1"/>
    <hyperlink ref="NGS8" location="'Cost Summary'!A1" display="'Cost Summary'!A1"/>
    <hyperlink ref="NGT8" location="'Cost Summary'!A1" display="'Cost Summary'!A1"/>
    <hyperlink ref="NGU8" location="'Cost Summary'!A1" display="'Cost Summary'!A1"/>
    <hyperlink ref="NGV8" location="'Cost Summary'!A1" display="'Cost Summary'!A1"/>
    <hyperlink ref="NGW8" location="'Cost Summary'!A1" display="'Cost Summary'!A1"/>
    <hyperlink ref="NGX8" location="'Cost Summary'!A1" display="'Cost Summary'!A1"/>
    <hyperlink ref="NGY8" location="'Cost Summary'!A1" display="'Cost Summary'!A1"/>
    <hyperlink ref="NGZ8" location="'Cost Summary'!A1" display="'Cost Summary'!A1"/>
    <hyperlink ref="NHA8" location="'Cost Summary'!A1" display="'Cost Summary'!A1"/>
    <hyperlink ref="NHB8" location="'Cost Summary'!A1" display="'Cost Summary'!A1"/>
    <hyperlink ref="NHC8" location="'Cost Summary'!A1" display="'Cost Summary'!A1"/>
    <hyperlink ref="NHD8" location="'Cost Summary'!A1" display="'Cost Summary'!A1"/>
    <hyperlink ref="NHE8" location="'Cost Summary'!A1" display="'Cost Summary'!A1"/>
    <hyperlink ref="NHF8" location="'Cost Summary'!A1" display="'Cost Summary'!A1"/>
    <hyperlink ref="NHG8" location="'Cost Summary'!A1" display="'Cost Summary'!A1"/>
    <hyperlink ref="NHH8" location="'Cost Summary'!A1" display="'Cost Summary'!A1"/>
    <hyperlink ref="NHI8" location="'Cost Summary'!A1" display="'Cost Summary'!A1"/>
    <hyperlink ref="NHJ8" location="'Cost Summary'!A1" display="'Cost Summary'!A1"/>
    <hyperlink ref="NHK8" location="'Cost Summary'!A1" display="'Cost Summary'!A1"/>
    <hyperlink ref="NHL8" location="'Cost Summary'!A1" display="'Cost Summary'!A1"/>
    <hyperlink ref="NHM8" location="'Cost Summary'!A1" display="'Cost Summary'!A1"/>
    <hyperlink ref="NHN8" location="'Cost Summary'!A1" display="'Cost Summary'!A1"/>
    <hyperlink ref="NHO8" location="'Cost Summary'!A1" display="'Cost Summary'!A1"/>
    <hyperlink ref="NHP8" location="'Cost Summary'!A1" display="'Cost Summary'!A1"/>
    <hyperlink ref="NHQ8" location="'Cost Summary'!A1" display="'Cost Summary'!A1"/>
    <hyperlink ref="NHR8" location="'Cost Summary'!A1" display="'Cost Summary'!A1"/>
    <hyperlink ref="NHS8" location="'Cost Summary'!A1" display="'Cost Summary'!A1"/>
    <hyperlink ref="NHT8" location="'Cost Summary'!A1" display="'Cost Summary'!A1"/>
    <hyperlink ref="NHU8" location="'Cost Summary'!A1" display="'Cost Summary'!A1"/>
    <hyperlink ref="NHV8" location="'Cost Summary'!A1" display="'Cost Summary'!A1"/>
    <hyperlink ref="NHW8" location="'Cost Summary'!A1" display="'Cost Summary'!A1"/>
    <hyperlink ref="NHX8" location="'Cost Summary'!A1" display="'Cost Summary'!A1"/>
    <hyperlink ref="NHY8" location="'Cost Summary'!A1" display="'Cost Summary'!A1"/>
    <hyperlink ref="NHZ8" location="'Cost Summary'!A1" display="'Cost Summary'!A1"/>
    <hyperlink ref="NIA8" location="'Cost Summary'!A1" display="'Cost Summary'!A1"/>
    <hyperlink ref="NIB8" location="'Cost Summary'!A1" display="'Cost Summary'!A1"/>
    <hyperlink ref="NIC8" location="'Cost Summary'!A1" display="'Cost Summary'!A1"/>
    <hyperlink ref="NID8" location="'Cost Summary'!A1" display="'Cost Summary'!A1"/>
    <hyperlink ref="NIE8" location="'Cost Summary'!A1" display="'Cost Summary'!A1"/>
    <hyperlink ref="NIF8" location="'Cost Summary'!A1" display="'Cost Summary'!A1"/>
    <hyperlink ref="NIG8" location="'Cost Summary'!A1" display="'Cost Summary'!A1"/>
    <hyperlink ref="NIH8" location="'Cost Summary'!A1" display="'Cost Summary'!A1"/>
    <hyperlink ref="NII8" location="'Cost Summary'!A1" display="'Cost Summary'!A1"/>
    <hyperlink ref="NIJ8" location="'Cost Summary'!A1" display="'Cost Summary'!A1"/>
    <hyperlink ref="NIK8" location="'Cost Summary'!A1" display="'Cost Summary'!A1"/>
    <hyperlink ref="NIL8" location="'Cost Summary'!A1" display="'Cost Summary'!A1"/>
    <hyperlink ref="NIM8" location="'Cost Summary'!A1" display="'Cost Summary'!A1"/>
    <hyperlink ref="NIN8" location="'Cost Summary'!A1" display="'Cost Summary'!A1"/>
    <hyperlink ref="NIO8" location="'Cost Summary'!A1" display="'Cost Summary'!A1"/>
    <hyperlink ref="NIP8" location="'Cost Summary'!A1" display="'Cost Summary'!A1"/>
    <hyperlink ref="NIQ8" location="'Cost Summary'!A1" display="'Cost Summary'!A1"/>
    <hyperlink ref="NIR8" location="'Cost Summary'!A1" display="'Cost Summary'!A1"/>
    <hyperlink ref="NIS8" location="'Cost Summary'!A1" display="'Cost Summary'!A1"/>
    <hyperlink ref="NIT8" location="'Cost Summary'!A1" display="'Cost Summary'!A1"/>
    <hyperlink ref="NIU8" location="'Cost Summary'!A1" display="'Cost Summary'!A1"/>
    <hyperlink ref="NIV8" location="'Cost Summary'!A1" display="'Cost Summary'!A1"/>
    <hyperlink ref="NIW8" location="'Cost Summary'!A1" display="'Cost Summary'!A1"/>
    <hyperlink ref="NIX8" location="'Cost Summary'!A1" display="'Cost Summary'!A1"/>
    <hyperlink ref="NIY8" location="'Cost Summary'!A1" display="'Cost Summary'!A1"/>
    <hyperlink ref="NIZ8" location="'Cost Summary'!A1" display="'Cost Summary'!A1"/>
    <hyperlink ref="NJA8" location="'Cost Summary'!A1" display="'Cost Summary'!A1"/>
    <hyperlink ref="NJB8" location="'Cost Summary'!A1" display="'Cost Summary'!A1"/>
    <hyperlink ref="NJC8" location="'Cost Summary'!A1" display="'Cost Summary'!A1"/>
    <hyperlink ref="NJD8" location="'Cost Summary'!A1" display="'Cost Summary'!A1"/>
    <hyperlink ref="NJE8" location="'Cost Summary'!A1" display="'Cost Summary'!A1"/>
    <hyperlink ref="NJF8" location="'Cost Summary'!A1" display="'Cost Summary'!A1"/>
    <hyperlink ref="NJG8" location="'Cost Summary'!A1" display="'Cost Summary'!A1"/>
    <hyperlink ref="NJH8" location="'Cost Summary'!A1" display="'Cost Summary'!A1"/>
    <hyperlink ref="NJI8" location="'Cost Summary'!A1" display="'Cost Summary'!A1"/>
    <hyperlink ref="NJJ8" location="'Cost Summary'!A1" display="'Cost Summary'!A1"/>
    <hyperlink ref="NJK8" location="'Cost Summary'!A1" display="'Cost Summary'!A1"/>
    <hyperlink ref="NJL8" location="'Cost Summary'!A1" display="'Cost Summary'!A1"/>
    <hyperlink ref="NJM8" location="'Cost Summary'!A1" display="'Cost Summary'!A1"/>
    <hyperlink ref="NJN8" location="'Cost Summary'!A1" display="'Cost Summary'!A1"/>
    <hyperlink ref="NJO8" location="'Cost Summary'!A1" display="'Cost Summary'!A1"/>
    <hyperlink ref="NJP8" location="'Cost Summary'!A1" display="'Cost Summary'!A1"/>
    <hyperlink ref="NJQ8" location="'Cost Summary'!A1" display="'Cost Summary'!A1"/>
    <hyperlink ref="NJR8" location="'Cost Summary'!A1" display="'Cost Summary'!A1"/>
    <hyperlink ref="NJS8" location="'Cost Summary'!A1" display="'Cost Summary'!A1"/>
    <hyperlink ref="NJT8" location="'Cost Summary'!A1" display="'Cost Summary'!A1"/>
    <hyperlink ref="NJU8" location="'Cost Summary'!A1" display="'Cost Summary'!A1"/>
    <hyperlink ref="NJV8" location="'Cost Summary'!A1" display="'Cost Summary'!A1"/>
    <hyperlink ref="NJW8" location="'Cost Summary'!A1" display="'Cost Summary'!A1"/>
    <hyperlink ref="NJX8" location="'Cost Summary'!A1" display="'Cost Summary'!A1"/>
    <hyperlink ref="NJY8" location="'Cost Summary'!A1" display="'Cost Summary'!A1"/>
    <hyperlink ref="NJZ8" location="'Cost Summary'!A1" display="'Cost Summary'!A1"/>
    <hyperlink ref="NKA8" location="'Cost Summary'!A1" display="'Cost Summary'!A1"/>
    <hyperlink ref="NKB8" location="'Cost Summary'!A1" display="'Cost Summary'!A1"/>
    <hyperlink ref="NKC8" location="'Cost Summary'!A1" display="'Cost Summary'!A1"/>
    <hyperlink ref="NKD8" location="'Cost Summary'!A1" display="'Cost Summary'!A1"/>
    <hyperlink ref="NKE8" location="'Cost Summary'!A1" display="'Cost Summary'!A1"/>
    <hyperlink ref="NKF8" location="'Cost Summary'!A1" display="'Cost Summary'!A1"/>
    <hyperlink ref="NKG8" location="'Cost Summary'!A1" display="'Cost Summary'!A1"/>
    <hyperlink ref="NKH8" location="'Cost Summary'!A1" display="'Cost Summary'!A1"/>
    <hyperlink ref="NKI8" location="'Cost Summary'!A1" display="'Cost Summary'!A1"/>
    <hyperlink ref="NKJ8" location="'Cost Summary'!A1" display="'Cost Summary'!A1"/>
    <hyperlink ref="NKK8" location="'Cost Summary'!A1" display="'Cost Summary'!A1"/>
    <hyperlink ref="NKL8" location="'Cost Summary'!A1" display="'Cost Summary'!A1"/>
    <hyperlink ref="NKM8" location="'Cost Summary'!A1" display="'Cost Summary'!A1"/>
    <hyperlink ref="NKN8" location="'Cost Summary'!A1" display="'Cost Summary'!A1"/>
    <hyperlink ref="NKO8" location="'Cost Summary'!A1" display="'Cost Summary'!A1"/>
    <hyperlink ref="NKP8" location="'Cost Summary'!A1" display="'Cost Summary'!A1"/>
    <hyperlink ref="NKQ8" location="'Cost Summary'!A1" display="'Cost Summary'!A1"/>
    <hyperlink ref="NKR8" location="'Cost Summary'!A1" display="'Cost Summary'!A1"/>
    <hyperlink ref="NKS8" location="'Cost Summary'!A1" display="'Cost Summary'!A1"/>
    <hyperlink ref="NKT8" location="'Cost Summary'!A1" display="'Cost Summary'!A1"/>
    <hyperlink ref="NKU8" location="'Cost Summary'!A1" display="'Cost Summary'!A1"/>
    <hyperlink ref="NKV8" location="'Cost Summary'!A1" display="'Cost Summary'!A1"/>
    <hyperlink ref="NKW8" location="'Cost Summary'!A1" display="'Cost Summary'!A1"/>
    <hyperlink ref="NKX8" location="'Cost Summary'!A1" display="'Cost Summary'!A1"/>
    <hyperlink ref="NKY8" location="'Cost Summary'!A1" display="'Cost Summary'!A1"/>
    <hyperlink ref="NKZ8" location="'Cost Summary'!A1" display="'Cost Summary'!A1"/>
    <hyperlink ref="NLA8" location="'Cost Summary'!A1" display="'Cost Summary'!A1"/>
    <hyperlink ref="NLB8" location="'Cost Summary'!A1" display="'Cost Summary'!A1"/>
    <hyperlink ref="NLC8" location="'Cost Summary'!A1" display="'Cost Summary'!A1"/>
    <hyperlink ref="NLD8" location="'Cost Summary'!A1" display="'Cost Summary'!A1"/>
    <hyperlink ref="NLE8" location="'Cost Summary'!A1" display="'Cost Summary'!A1"/>
    <hyperlink ref="NLF8" location="'Cost Summary'!A1" display="'Cost Summary'!A1"/>
    <hyperlink ref="NLG8" location="'Cost Summary'!A1" display="'Cost Summary'!A1"/>
    <hyperlink ref="NLH8" location="'Cost Summary'!A1" display="'Cost Summary'!A1"/>
    <hyperlink ref="NLI8" location="'Cost Summary'!A1" display="'Cost Summary'!A1"/>
    <hyperlink ref="NLJ8" location="'Cost Summary'!A1" display="'Cost Summary'!A1"/>
    <hyperlink ref="NLK8" location="'Cost Summary'!A1" display="'Cost Summary'!A1"/>
    <hyperlink ref="NLL8" location="'Cost Summary'!A1" display="'Cost Summary'!A1"/>
    <hyperlink ref="NLM8" location="'Cost Summary'!A1" display="'Cost Summary'!A1"/>
    <hyperlink ref="NLN8" location="'Cost Summary'!A1" display="'Cost Summary'!A1"/>
    <hyperlink ref="NLO8" location="'Cost Summary'!A1" display="'Cost Summary'!A1"/>
    <hyperlink ref="NLP8" location="'Cost Summary'!A1" display="'Cost Summary'!A1"/>
    <hyperlink ref="NLQ8" location="'Cost Summary'!A1" display="'Cost Summary'!A1"/>
    <hyperlink ref="NLR8" location="'Cost Summary'!A1" display="'Cost Summary'!A1"/>
    <hyperlink ref="NLS8" location="'Cost Summary'!A1" display="'Cost Summary'!A1"/>
    <hyperlink ref="NLT8" location="'Cost Summary'!A1" display="'Cost Summary'!A1"/>
    <hyperlink ref="NLU8" location="'Cost Summary'!A1" display="'Cost Summary'!A1"/>
    <hyperlink ref="NLV8" location="'Cost Summary'!A1" display="'Cost Summary'!A1"/>
    <hyperlink ref="NLW8" location="'Cost Summary'!A1" display="'Cost Summary'!A1"/>
    <hyperlink ref="NLX8" location="'Cost Summary'!A1" display="'Cost Summary'!A1"/>
    <hyperlink ref="NLY8" location="'Cost Summary'!A1" display="'Cost Summary'!A1"/>
    <hyperlink ref="NLZ8" location="'Cost Summary'!A1" display="'Cost Summary'!A1"/>
    <hyperlink ref="NMA8" location="'Cost Summary'!A1" display="'Cost Summary'!A1"/>
    <hyperlink ref="NMB8" location="'Cost Summary'!A1" display="'Cost Summary'!A1"/>
    <hyperlink ref="NMC8" location="'Cost Summary'!A1" display="'Cost Summary'!A1"/>
    <hyperlink ref="NMD8" location="'Cost Summary'!A1" display="'Cost Summary'!A1"/>
    <hyperlink ref="NME8" location="'Cost Summary'!A1" display="'Cost Summary'!A1"/>
    <hyperlink ref="NMF8" location="'Cost Summary'!A1" display="'Cost Summary'!A1"/>
    <hyperlink ref="NMG8" location="'Cost Summary'!A1" display="'Cost Summary'!A1"/>
    <hyperlink ref="NMH8" location="'Cost Summary'!A1" display="'Cost Summary'!A1"/>
    <hyperlink ref="NMI8" location="'Cost Summary'!A1" display="'Cost Summary'!A1"/>
    <hyperlink ref="NMJ8" location="'Cost Summary'!A1" display="'Cost Summary'!A1"/>
    <hyperlink ref="NMK8" location="'Cost Summary'!A1" display="'Cost Summary'!A1"/>
    <hyperlink ref="NML8" location="'Cost Summary'!A1" display="'Cost Summary'!A1"/>
    <hyperlink ref="NMM8" location="'Cost Summary'!A1" display="'Cost Summary'!A1"/>
    <hyperlink ref="NMN8" location="'Cost Summary'!A1" display="'Cost Summary'!A1"/>
    <hyperlink ref="NMO8" location="'Cost Summary'!A1" display="'Cost Summary'!A1"/>
    <hyperlink ref="NMP8" location="'Cost Summary'!A1" display="'Cost Summary'!A1"/>
    <hyperlink ref="NMQ8" location="'Cost Summary'!A1" display="'Cost Summary'!A1"/>
    <hyperlink ref="NMR8" location="'Cost Summary'!A1" display="'Cost Summary'!A1"/>
    <hyperlink ref="NMS8" location="'Cost Summary'!A1" display="'Cost Summary'!A1"/>
    <hyperlink ref="NMT8" location="'Cost Summary'!A1" display="'Cost Summary'!A1"/>
    <hyperlink ref="NMU8" location="'Cost Summary'!A1" display="'Cost Summary'!A1"/>
    <hyperlink ref="NMV8" location="'Cost Summary'!A1" display="'Cost Summary'!A1"/>
    <hyperlink ref="NMW8" location="'Cost Summary'!A1" display="'Cost Summary'!A1"/>
    <hyperlink ref="NMX8" location="'Cost Summary'!A1" display="'Cost Summary'!A1"/>
    <hyperlink ref="NMY8" location="'Cost Summary'!A1" display="'Cost Summary'!A1"/>
    <hyperlink ref="NMZ8" location="'Cost Summary'!A1" display="'Cost Summary'!A1"/>
    <hyperlink ref="NNA8" location="'Cost Summary'!A1" display="'Cost Summary'!A1"/>
    <hyperlink ref="NNB8" location="'Cost Summary'!A1" display="'Cost Summary'!A1"/>
    <hyperlink ref="NNC8" location="'Cost Summary'!A1" display="'Cost Summary'!A1"/>
    <hyperlink ref="NND8" location="'Cost Summary'!A1" display="'Cost Summary'!A1"/>
    <hyperlink ref="NNE8" location="'Cost Summary'!A1" display="'Cost Summary'!A1"/>
    <hyperlink ref="NNF8" location="'Cost Summary'!A1" display="'Cost Summary'!A1"/>
    <hyperlink ref="NNG8" location="'Cost Summary'!A1" display="'Cost Summary'!A1"/>
    <hyperlink ref="NNH8" location="'Cost Summary'!A1" display="'Cost Summary'!A1"/>
    <hyperlink ref="NNI8" location="'Cost Summary'!A1" display="'Cost Summary'!A1"/>
    <hyperlink ref="NNJ8" location="'Cost Summary'!A1" display="'Cost Summary'!A1"/>
    <hyperlink ref="NNK8" location="'Cost Summary'!A1" display="'Cost Summary'!A1"/>
    <hyperlink ref="NNL8" location="'Cost Summary'!A1" display="'Cost Summary'!A1"/>
    <hyperlink ref="NNM8" location="'Cost Summary'!A1" display="'Cost Summary'!A1"/>
    <hyperlink ref="NNN8" location="'Cost Summary'!A1" display="'Cost Summary'!A1"/>
    <hyperlink ref="NNO8" location="'Cost Summary'!A1" display="'Cost Summary'!A1"/>
    <hyperlink ref="NNP8" location="'Cost Summary'!A1" display="'Cost Summary'!A1"/>
    <hyperlink ref="NNQ8" location="'Cost Summary'!A1" display="'Cost Summary'!A1"/>
    <hyperlink ref="NNR8" location="'Cost Summary'!A1" display="'Cost Summary'!A1"/>
    <hyperlink ref="NNS8" location="'Cost Summary'!A1" display="'Cost Summary'!A1"/>
    <hyperlink ref="NNT8" location="'Cost Summary'!A1" display="'Cost Summary'!A1"/>
    <hyperlink ref="NNU8" location="'Cost Summary'!A1" display="'Cost Summary'!A1"/>
    <hyperlink ref="NNV8" location="'Cost Summary'!A1" display="'Cost Summary'!A1"/>
    <hyperlink ref="NNW8" location="'Cost Summary'!A1" display="'Cost Summary'!A1"/>
    <hyperlink ref="NNX8" location="'Cost Summary'!A1" display="'Cost Summary'!A1"/>
    <hyperlink ref="NNY8" location="'Cost Summary'!A1" display="'Cost Summary'!A1"/>
    <hyperlink ref="NNZ8" location="'Cost Summary'!A1" display="'Cost Summary'!A1"/>
    <hyperlink ref="NOA8" location="'Cost Summary'!A1" display="'Cost Summary'!A1"/>
    <hyperlink ref="NOB8" location="'Cost Summary'!A1" display="'Cost Summary'!A1"/>
    <hyperlink ref="NOC8" location="'Cost Summary'!A1" display="'Cost Summary'!A1"/>
    <hyperlink ref="NOD8" location="'Cost Summary'!A1" display="'Cost Summary'!A1"/>
    <hyperlink ref="NOE8" location="'Cost Summary'!A1" display="'Cost Summary'!A1"/>
    <hyperlink ref="NOF8" location="'Cost Summary'!A1" display="'Cost Summary'!A1"/>
    <hyperlink ref="NOG8" location="'Cost Summary'!A1" display="'Cost Summary'!A1"/>
    <hyperlink ref="NOH8" location="'Cost Summary'!A1" display="'Cost Summary'!A1"/>
    <hyperlink ref="NOI8" location="'Cost Summary'!A1" display="'Cost Summary'!A1"/>
    <hyperlink ref="NOJ8" location="'Cost Summary'!A1" display="'Cost Summary'!A1"/>
    <hyperlink ref="NOK8" location="'Cost Summary'!A1" display="'Cost Summary'!A1"/>
    <hyperlink ref="NOL8" location="'Cost Summary'!A1" display="'Cost Summary'!A1"/>
    <hyperlink ref="NOM8" location="'Cost Summary'!A1" display="'Cost Summary'!A1"/>
    <hyperlink ref="NON8" location="'Cost Summary'!A1" display="'Cost Summary'!A1"/>
    <hyperlink ref="NOO8" location="'Cost Summary'!A1" display="'Cost Summary'!A1"/>
    <hyperlink ref="NOP8" location="'Cost Summary'!A1" display="'Cost Summary'!A1"/>
    <hyperlink ref="NOQ8" location="'Cost Summary'!A1" display="'Cost Summary'!A1"/>
    <hyperlink ref="NOR8" location="'Cost Summary'!A1" display="'Cost Summary'!A1"/>
    <hyperlink ref="NOS8" location="'Cost Summary'!A1" display="'Cost Summary'!A1"/>
    <hyperlink ref="NOT8" location="'Cost Summary'!A1" display="'Cost Summary'!A1"/>
    <hyperlink ref="NOU8" location="'Cost Summary'!A1" display="'Cost Summary'!A1"/>
    <hyperlink ref="NOV8" location="'Cost Summary'!A1" display="'Cost Summary'!A1"/>
    <hyperlink ref="NOW8" location="'Cost Summary'!A1" display="'Cost Summary'!A1"/>
    <hyperlink ref="NOX8" location="'Cost Summary'!A1" display="'Cost Summary'!A1"/>
    <hyperlink ref="NOY8" location="'Cost Summary'!A1" display="'Cost Summary'!A1"/>
    <hyperlink ref="NOZ8" location="'Cost Summary'!A1" display="'Cost Summary'!A1"/>
    <hyperlink ref="NPA8" location="'Cost Summary'!A1" display="'Cost Summary'!A1"/>
    <hyperlink ref="NPB8" location="'Cost Summary'!A1" display="'Cost Summary'!A1"/>
    <hyperlink ref="NPC8" location="'Cost Summary'!A1" display="'Cost Summary'!A1"/>
    <hyperlink ref="NPD8" location="'Cost Summary'!A1" display="'Cost Summary'!A1"/>
    <hyperlink ref="NPE8" location="'Cost Summary'!A1" display="'Cost Summary'!A1"/>
    <hyperlink ref="NPF8" location="'Cost Summary'!A1" display="'Cost Summary'!A1"/>
    <hyperlink ref="NPG8" location="'Cost Summary'!A1" display="'Cost Summary'!A1"/>
    <hyperlink ref="NPH8" location="'Cost Summary'!A1" display="'Cost Summary'!A1"/>
    <hyperlink ref="NPI8" location="'Cost Summary'!A1" display="'Cost Summary'!A1"/>
    <hyperlink ref="NPJ8" location="'Cost Summary'!A1" display="'Cost Summary'!A1"/>
    <hyperlink ref="NPK8" location="'Cost Summary'!A1" display="'Cost Summary'!A1"/>
    <hyperlink ref="NPL8" location="'Cost Summary'!A1" display="'Cost Summary'!A1"/>
    <hyperlink ref="NPM8" location="'Cost Summary'!A1" display="'Cost Summary'!A1"/>
    <hyperlink ref="NPN8" location="'Cost Summary'!A1" display="'Cost Summary'!A1"/>
    <hyperlink ref="NPO8" location="'Cost Summary'!A1" display="'Cost Summary'!A1"/>
    <hyperlink ref="NPP8" location="'Cost Summary'!A1" display="'Cost Summary'!A1"/>
    <hyperlink ref="NPQ8" location="'Cost Summary'!A1" display="'Cost Summary'!A1"/>
    <hyperlink ref="NPR8" location="'Cost Summary'!A1" display="'Cost Summary'!A1"/>
    <hyperlink ref="NPS8" location="'Cost Summary'!A1" display="'Cost Summary'!A1"/>
    <hyperlink ref="NPT8" location="'Cost Summary'!A1" display="'Cost Summary'!A1"/>
    <hyperlink ref="NPU8" location="'Cost Summary'!A1" display="'Cost Summary'!A1"/>
    <hyperlink ref="NPV8" location="'Cost Summary'!A1" display="'Cost Summary'!A1"/>
    <hyperlink ref="NPW8" location="'Cost Summary'!A1" display="'Cost Summary'!A1"/>
    <hyperlink ref="NPX8" location="'Cost Summary'!A1" display="'Cost Summary'!A1"/>
    <hyperlink ref="NPY8" location="'Cost Summary'!A1" display="'Cost Summary'!A1"/>
    <hyperlink ref="NPZ8" location="'Cost Summary'!A1" display="'Cost Summary'!A1"/>
    <hyperlink ref="NQA8" location="'Cost Summary'!A1" display="'Cost Summary'!A1"/>
    <hyperlink ref="NQB8" location="'Cost Summary'!A1" display="'Cost Summary'!A1"/>
    <hyperlink ref="NQC8" location="'Cost Summary'!A1" display="'Cost Summary'!A1"/>
    <hyperlink ref="NQD8" location="'Cost Summary'!A1" display="'Cost Summary'!A1"/>
    <hyperlink ref="NQE8" location="'Cost Summary'!A1" display="'Cost Summary'!A1"/>
    <hyperlink ref="NQF8" location="'Cost Summary'!A1" display="'Cost Summary'!A1"/>
    <hyperlink ref="NQG8" location="'Cost Summary'!A1" display="'Cost Summary'!A1"/>
    <hyperlink ref="NQH8" location="'Cost Summary'!A1" display="'Cost Summary'!A1"/>
    <hyperlink ref="NQI8" location="'Cost Summary'!A1" display="'Cost Summary'!A1"/>
    <hyperlink ref="NQJ8" location="'Cost Summary'!A1" display="'Cost Summary'!A1"/>
    <hyperlink ref="NQK8" location="'Cost Summary'!A1" display="'Cost Summary'!A1"/>
    <hyperlink ref="NQL8" location="'Cost Summary'!A1" display="'Cost Summary'!A1"/>
    <hyperlink ref="NQM8" location="'Cost Summary'!A1" display="'Cost Summary'!A1"/>
    <hyperlink ref="NQN8" location="'Cost Summary'!A1" display="'Cost Summary'!A1"/>
    <hyperlink ref="NQO8" location="'Cost Summary'!A1" display="'Cost Summary'!A1"/>
    <hyperlink ref="NQP8" location="'Cost Summary'!A1" display="'Cost Summary'!A1"/>
    <hyperlink ref="NQQ8" location="'Cost Summary'!A1" display="'Cost Summary'!A1"/>
    <hyperlink ref="NQR8" location="'Cost Summary'!A1" display="'Cost Summary'!A1"/>
    <hyperlink ref="NQS8" location="'Cost Summary'!A1" display="'Cost Summary'!A1"/>
    <hyperlink ref="NQT8" location="'Cost Summary'!A1" display="'Cost Summary'!A1"/>
    <hyperlink ref="NQU8" location="'Cost Summary'!A1" display="'Cost Summary'!A1"/>
    <hyperlink ref="NQV8" location="'Cost Summary'!A1" display="'Cost Summary'!A1"/>
    <hyperlink ref="NQW8" location="'Cost Summary'!A1" display="'Cost Summary'!A1"/>
    <hyperlink ref="NQX8" location="'Cost Summary'!A1" display="'Cost Summary'!A1"/>
    <hyperlink ref="NQY8" location="'Cost Summary'!A1" display="'Cost Summary'!A1"/>
    <hyperlink ref="NQZ8" location="'Cost Summary'!A1" display="'Cost Summary'!A1"/>
    <hyperlink ref="NRA8" location="'Cost Summary'!A1" display="'Cost Summary'!A1"/>
    <hyperlink ref="NRB8" location="'Cost Summary'!A1" display="'Cost Summary'!A1"/>
    <hyperlink ref="NRC8" location="'Cost Summary'!A1" display="'Cost Summary'!A1"/>
    <hyperlink ref="NRD8" location="'Cost Summary'!A1" display="'Cost Summary'!A1"/>
    <hyperlink ref="NRE8" location="'Cost Summary'!A1" display="'Cost Summary'!A1"/>
    <hyperlink ref="NRF8" location="'Cost Summary'!A1" display="'Cost Summary'!A1"/>
    <hyperlink ref="NRG8" location="'Cost Summary'!A1" display="'Cost Summary'!A1"/>
    <hyperlink ref="NRH8" location="'Cost Summary'!A1" display="'Cost Summary'!A1"/>
    <hyperlink ref="NRI8" location="'Cost Summary'!A1" display="'Cost Summary'!A1"/>
    <hyperlink ref="NRJ8" location="'Cost Summary'!A1" display="'Cost Summary'!A1"/>
    <hyperlink ref="NRK8" location="'Cost Summary'!A1" display="'Cost Summary'!A1"/>
    <hyperlink ref="NRL8" location="'Cost Summary'!A1" display="'Cost Summary'!A1"/>
    <hyperlink ref="NRM8" location="'Cost Summary'!A1" display="'Cost Summary'!A1"/>
    <hyperlink ref="NRN8" location="'Cost Summary'!A1" display="'Cost Summary'!A1"/>
    <hyperlink ref="NRO8" location="'Cost Summary'!A1" display="'Cost Summary'!A1"/>
    <hyperlink ref="NRP8" location="'Cost Summary'!A1" display="'Cost Summary'!A1"/>
    <hyperlink ref="NRQ8" location="'Cost Summary'!A1" display="'Cost Summary'!A1"/>
    <hyperlink ref="NRR8" location="'Cost Summary'!A1" display="'Cost Summary'!A1"/>
    <hyperlink ref="NRS8" location="'Cost Summary'!A1" display="'Cost Summary'!A1"/>
    <hyperlink ref="NRT8" location="'Cost Summary'!A1" display="'Cost Summary'!A1"/>
    <hyperlink ref="NRU8" location="'Cost Summary'!A1" display="'Cost Summary'!A1"/>
    <hyperlink ref="NRV8" location="'Cost Summary'!A1" display="'Cost Summary'!A1"/>
    <hyperlink ref="NRW8" location="'Cost Summary'!A1" display="'Cost Summary'!A1"/>
    <hyperlink ref="NRX8" location="'Cost Summary'!A1" display="'Cost Summary'!A1"/>
    <hyperlink ref="NRY8" location="'Cost Summary'!A1" display="'Cost Summary'!A1"/>
    <hyperlink ref="NRZ8" location="'Cost Summary'!A1" display="'Cost Summary'!A1"/>
    <hyperlink ref="NSA8" location="'Cost Summary'!A1" display="'Cost Summary'!A1"/>
    <hyperlink ref="NSB8" location="'Cost Summary'!A1" display="'Cost Summary'!A1"/>
    <hyperlink ref="NSC8" location="'Cost Summary'!A1" display="'Cost Summary'!A1"/>
    <hyperlink ref="NSD8" location="'Cost Summary'!A1" display="'Cost Summary'!A1"/>
    <hyperlink ref="NSE8" location="'Cost Summary'!A1" display="'Cost Summary'!A1"/>
    <hyperlink ref="NSF8" location="'Cost Summary'!A1" display="'Cost Summary'!A1"/>
    <hyperlink ref="NSG8" location="'Cost Summary'!A1" display="'Cost Summary'!A1"/>
    <hyperlink ref="NSH8" location="'Cost Summary'!A1" display="'Cost Summary'!A1"/>
    <hyperlink ref="NSI8" location="'Cost Summary'!A1" display="'Cost Summary'!A1"/>
    <hyperlink ref="NSJ8" location="'Cost Summary'!A1" display="'Cost Summary'!A1"/>
    <hyperlink ref="NSK8" location="'Cost Summary'!A1" display="'Cost Summary'!A1"/>
    <hyperlink ref="NSL8" location="'Cost Summary'!A1" display="'Cost Summary'!A1"/>
    <hyperlink ref="NSM8" location="'Cost Summary'!A1" display="'Cost Summary'!A1"/>
    <hyperlink ref="NSN8" location="'Cost Summary'!A1" display="'Cost Summary'!A1"/>
    <hyperlink ref="NSO8" location="'Cost Summary'!A1" display="'Cost Summary'!A1"/>
    <hyperlink ref="NSP8" location="'Cost Summary'!A1" display="'Cost Summary'!A1"/>
    <hyperlink ref="NSQ8" location="'Cost Summary'!A1" display="'Cost Summary'!A1"/>
    <hyperlink ref="NSR8" location="'Cost Summary'!A1" display="'Cost Summary'!A1"/>
    <hyperlink ref="NSS8" location="'Cost Summary'!A1" display="'Cost Summary'!A1"/>
    <hyperlink ref="NST8" location="'Cost Summary'!A1" display="'Cost Summary'!A1"/>
    <hyperlink ref="NSU8" location="'Cost Summary'!A1" display="'Cost Summary'!A1"/>
    <hyperlink ref="NSV8" location="'Cost Summary'!A1" display="'Cost Summary'!A1"/>
    <hyperlink ref="NSW8" location="'Cost Summary'!A1" display="'Cost Summary'!A1"/>
    <hyperlink ref="NSX8" location="'Cost Summary'!A1" display="'Cost Summary'!A1"/>
    <hyperlink ref="NSY8" location="'Cost Summary'!A1" display="'Cost Summary'!A1"/>
    <hyperlink ref="NSZ8" location="'Cost Summary'!A1" display="'Cost Summary'!A1"/>
    <hyperlink ref="NTA8" location="'Cost Summary'!A1" display="'Cost Summary'!A1"/>
    <hyperlink ref="NTB8" location="'Cost Summary'!A1" display="'Cost Summary'!A1"/>
    <hyperlink ref="NTC8" location="'Cost Summary'!A1" display="'Cost Summary'!A1"/>
    <hyperlink ref="NTD8" location="'Cost Summary'!A1" display="'Cost Summary'!A1"/>
    <hyperlink ref="NTE8" location="'Cost Summary'!A1" display="'Cost Summary'!A1"/>
    <hyperlink ref="NTF8" location="'Cost Summary'!A1" display="'Cost Summary'!A1"/>
    <hyperlink ref="NTG8" location="'Cost Summary'!A1" display="'Cost Summary'!A1"/>
    <hyperlink ref="NTH8" location="'Cost Summary'!A1" display="'Cost Summary'!A1"/>
    <hyperlink ref="NTI8" location="'Cost Summary'!A1" display="'Cost Summary'!A1"/>
    <hyperlink ref="NTJ8" location="'Cost Summary'!A1" display="'Cost Summary'!A1"/>
    <hyperlink ref="NTK8" location="'Cost Summary'!A1" display="'Cost Summary'!A1"/>
    <hyperlink ref="NTL8" location="'Cost Summary'!A1" display="'Cost Summary'!A1"/>
    <hyperlink ref="NTM8" location="'Cost Summary'!A1" display="'Cost Summary'!A1"/>
    <hyperlink ref="NTN8" location="'Cost Summary'!A1" display="'Cost Summary'!A1"/>
    <hyperlink ref="NTO8" location="'Cost Summary'!A1" display="'Cost Summary'!A1"/>
    <hyperlink ref="NTP8" location="'Cost Summary'!A1" display="'Cost Summary'!A1"/>
    <hyperlink ref="NTQ8" location="'Cost Summary'!A1" display="'Cost Summary'!A1"/>
    <hyperlink ref="NTR8" location="'Cost Summary'!A1" display="'Cost Summary'!A1"/>
    <hyperlink ref="NTS8" location="'Cost Summary'!A1" display="'Cost Summary'!A1"/>
    <hyperlink ref="NTT8" location="'Cost Summary'!A1" display="'Cost Summary'!A1"/>
    <hyperlink ref="NTU8" location="'Cost Summary'!A1" display="'Cost Summary'!A1"/>
    <hyperlink ref="NTV8" location="'Cost Summary'!A1" display="'Cost Summary'!A1"/>
    <hyperlink ref="NTW8" location="'Cost Summary'!A1" display="'Cost Summary'!A1"/>
    <hyperlink ref="NTX8" location="'Cost Summary'!A1" display="'Cost Summary'!A1"/>
    <hyperlink ref="NTY8" location="'Cost Summary'!A1" display="'Cost Summary'!A1"/>
    <hyperlink ref="NTZ8" location="'Cost Summary'!A1" display="'Cost Summary'!A1"/>
    <hyperlink ref="NUA8" location="'Cost Summary'!A1" display="'Cost Summary'!A1"/>
    <hyperlink ref="NUB8" location="'Cost Summary'!A1" display="'Cost Summary'!A1"/>
    <hyperlink ref="NUC8" location="'Cost Summary'!A1" display="'Cost Summary'!A1"/>
    <hyperlink ref="NUD8" location="'Cost Summary'!A1" display="'Cost Summary'!A1"/>
    <hyperlink ref="NUE8" location="'Cost Summary'!A1" display="'Cost Summary'!A1"/>
    <hyperlink ref="NUF8" location="'Cost Summary'!A1" display="'Cost Summary'!A1"/>
    <hyperlink ref="NUG8" location="'Cost Summary'!A1" display="'Cost Summary'!A1"/>
    <hyperlink ref="NUH8" location="'Cost Summary'!A1" display="'Cost Summary'!A1"/>
    <hyperlink ref="NUI8" location="'Cost Summary'!A1" display="'Cost Summary'!A1"/>
    <hyperlink ref="NUJ8" location="'Cost Summary'!A1" display="'Cost Summary'!A1"/>
    <hyperlink ref="NUK8" location="'Cost Summary'!A1" display="'Cost Summary'!A1"/>
    <hyperlink ref="NUL8" location="'Cost Summary'!A1" display="'Cost Summary'!A1"/>
    <hyperlink ref="NUM8" location="'Cost Summary'!A1" display="'Cost Summary'!A1"/>
    <hyperlink ref="NUN8" location="'Cost Summary'!A1" display="'Cost Summary'!A1"/>
    <hyperlink ref="NUO8" location="'Cost Summary'!A1" display="'Cost Summary'!A1"/>
    <hyperlink ref="NUP8" location="'Cost Summary'!A1" display="'Cost Summary'!A1"/>
    <hyperlink ref="NUQ8" location="'Cost Summary'!A1" display="'Cost Summary'!A1"/>
    <hyperlink ref="NUR8" location="'Cost Summary'!A1" display="'Cost Summary'!A1"/>
    <hyperlink ref="NUS8" location="'Cost Summary'!A1" display="'Cost Summary'!A1"/>
    <hyperlink ref="NUT8" location="'Cost Summary'!A1" display="'Cost Summary'!A1"/>
    <hyperlink ref="NUU8" location="'Cost Summary'!A1" display="'Cost Summary'!A1"/>
    <hyperlink ref="NUV8" location="'Cost Summary'!A1" display="'Cost Summary'!A1"/>
    <hyperlink ref="NUW8" location="'Cost Summary'!A1" display="'Cost Summary'!A1"/>
    <hyperlink ref="NUX8" location="'Cost Summary'!A1" display="'Cost Summary'!A1"/>
    <hyperlink ref="NUY8" location="'Cost Summary'!A1" display="'Cost Summary'!A1"/>
    <hyperlink ref="NUZ8" location="'Cost Summary'!A1" display="'Cost Summary'!A1"/>
    <hyperlink ref="NVA8" location="'Cost Summary'!A1" display="'Cost Summary'!A1"/>
    <hyperlink ref="NVB8" location="'Cost Summary'!A1" display="'Cost Summary'!A1"/>
    <hyperlink ref="NVC8" location="'Cost Summary'!A1" display="'Cost Summary'!A1"/>
    <hyperlink ref="NVD8" location="'Cost Summary'!A1" display="'Cost Summary'!A1"/>
    <hyperlink ref="NVE8" location="'Cost Summary'!A1" display="'Cost Summary'!A1"/>
    <hyperlink ref="NVF8" location="'Cost Summary'!A1" display="'Cost Summary'!A1"/>
    <hyperlink ref="NVG8" location="'Cost Summary'!A1" display="'Cost Summary'!A1"/>
    <hyperlink ref="NVH8" location="'Cost Summary'!A1" display="'Cost Summary'!A1"/>
    <hyperlink ref="NVI8" location="'Cost Summary'!A1" display="'Cost Summary'!A1"/>
    <hyperlink ref="NVJ8" location="'Cost Summary'!A1" display="'Cost Summary'!A1"/>
    <hyperlink ref="NVK8" location="'Cost Summary'!A1" display="'Cost Summary'!A1"/>
    <hyperlink ref="NVL8" location="'Cost Summary'!A1" display="'Cost Summary'!A1"/>
    <hyperlink ref="NVM8" location="'Cost Summary'!A1" display="'Cost Summary'!A1"/>
    <hyperlink ref="NVN8" location="'Cost Summary'!A1" display="'Cost Summary'!A1"/>
    <hyperlink ref="NVO8" location="'Cost Summary'!A1" display="'Cost Summary'!A1"/>
    <hyperlink ref="NVP8" location="'Cost Summary'!A1" display="'Cost Summary'!A1"/>
    <hyperlink ref="NVQ8" location="'Cost Summary'!A1" display="'Cost Summary'!A1"/>
    <hyperlink ref="NVR8" location="'Cost Summary'!A1" display="'Cost Summary'!A1"/>
    <hyperlink ref="NVS8" location="'Cost Summary'!A1" display="'Cost Summary'!A1"/>
    <hyperlink ref="NVT8" location="'Cost Summary'!A1" display="'Cost Summary'!A1"/>
    <hyperlink ref="NVU8" location="'Cost Summary'!A1" display="'Cost Summary'!A1"/>
    <hyperlink ref="NVV8" location="'Cost Summary'!A1" display="'Cost Summary'!A1"/>
    <hyperlink ref="NVW8" location="'Cost Summary'!A1" display="'Cost Summary'!A1"/>
    <hyperlink ref="NVX8" location="'Cost Summary'!A1" display="'Cost Summary'!A1"/>
    <hyperlink ref="NVY8" location="'Cost Summary'!A1" display="'Cost Summary'!A1"/>
    <hyperlink ref="NVZ8" location="'Cost Summary'!A1" display="'Cost Summary'!A1"/>
    <hyperlink ref="NWA8" location="'Cost Summary'!A1" display="'Cost Summary'!A1"/>
    <hyperlink ref="NWB8" location="'Cost Summary'!A1" display="'Cost Summary'!A1"/>
    <hyperlink ref="NWC8" location="'Cost Summary'!A1" display="'Cost Summary'!A1"/>
    <hyperlink ref="NWD8" location="'Cost Summary'!A1" display="'Cost Summary'!A1"/>
    <hyperlink ref="NWE8" location="'Cost Summary'!A1" display="'Cost Summary'!A1"/>
    <hyperlink ref="NWF8" location="'Cost Summary'!A1" display="'Cost Summary'!A1"/>
    <hyperlink ref="NWG8" location="'Cost Summary'!A1" display="'Cost Summary'!A1"/>
    <hyperlink ref="NWH8" location="'Cost Summary'!A1" display="'Cost Summary'!A1"/>
    <hyperlink ref="NWI8" location="'Cost Summary'!A1" display="'Cost Summary'!A1"/>
    <hyperlink ref="NWJ8" location="'Cost Summary'!A1" display="'Cost Summary'!A1"/>
    <hyperlink ref="NWK8" location="'Cost Summary'!A1" display="'Cost Summary'!A1"/>
    <hyperlink ref="NWL8" location="'Cost Summary'!A1" display="'Cost Summary'!A1"/>
    <hyperlink ref="NWM8" location="'Cost Summary'!A1" display="'Cost Summary'!A1"/>
    <hyperlink ref="NWN8" location="'Cost Summary'!A1" display="'Cost Summary'!A1"/>
    <hyperlink ref="NWO8" location="'Cost Summary'!A1" display="'Cost Summary'!A1"/>
    <hyperlink ref="NWP8" location="'Cost Summary'!A1" display="'Cost Summary'!A1"/>
    <hyperlink ref="NWQ8" location="'Cost Summary'!A1" display="'Cost Summary'!A1"/>
    <hyperlink ref="NWR8" location="'Cost Summary'!A1" display="'Cost Summary'!A1"/>
    <hyperlink ref="NWS8" location="'Cost Summary'!A1" display="'Cost Summary'!A1"/>
    <hyperlink ref="NWT8" location="'Cost Summary'!A1" display="'Cost Summary'!A1"/>
    <hyperlink ref="NWU8" location="'Cost Summary'!A1" display="'Cost Summary'!A1"/>
    <hyperlink ref="NWV8" location="'Cost Summary'!A1" display="'Cost Summary'!A1"/>
    <hyperlink ref="NWW8" location="'Cost Summary'!A1" display="'Cost Summary'!A1"/>
    <hyperlink ref="NWX8" location="'Cost Summary'!A1" display="'Cost Summary'!A1"/>
    <hyperlink ref="NWY8" location="'Cost Summary'!A1" display="'Cost Summary'!A1"/>
    <hyperlink ref="NWZ8" location="'Cost Summary'!A1" display="'Cost Summary'!A1"/>
    <hyperlink ref="NXA8" location="'Cost Summary'!A1" display="'Cost Summary'!A1"/>
    <hyperlink ref="NXB8" location="'Cost Summary'!A1" display="'Cost Summary'!A1"/>
    <hyperlink ref="NXC8" location="'Cost Summary'!A1" display="'Cost Summary'!A1"/>
    <hyperlink ref="NXD8" location="'Cost Summary'!A1" display="'Cost Summary'!A1"/>
    <hyperlink ref="NXE8" location="'Cost Summary'!A1" display="'Cost Summary'!A1"/>
    <hyperlink ref="NXF8" location="'Cost Summary'!A1" display="'Cost Summary'!A1"/>
    <hyperlink ref="NXG8" location="'Cost Summary'!A1" display="'Cost Summary'!A1"/>
    <hyperlink ref="NXH8" location="'Cost Summary'!A1" display="'Cost Summary'!A1"/>
    <hyperlink ref="NXI8" location="'Cost Summary'!A1" display="'Cost Summary'!A1"/>
    <hyperlink ref="NXJ8" location="'Cost Summary'!A1" display="'Cost Summary'!A1"/>
    <hyperlink ref="NXK8" location="'Cost Summary'!A1" display="'Cost Summary'!A1"/>
    <hyperlink ref="NXL8" location="'Cost Summary'!A1" display="'Cost Summary'!A1"/>
    <hyperlink ref="NXM8" location="'Cost Summary'!A1" display="'Cost Summary'!A1"/>
    <hyperlink ref="NXN8" location="'Cost Summary'!A1" display="'Cost Summary'!A1"/>
    <hyperlink ref="NXO8" location="'Cost Summary'!A1" display="'Cost Summary'!A1"/>
    <hyperlink ref="NXP8" location="'Cost Summary'!A1" display="'Cost Summary'!A1"/>
    <hyperlink ref="NXQ8" location="'Cost Summary'!A1" display="'Cost Summary'!A1"/>
    <hyperlink ref="NXR8" location="'Cost Summary'!A1" display="'Cost Summary'!A1"/>
    <hyperlink ref="NXS8" location="'Cost Summary'!A1" display="'Cost Summary'!A1"/>
    <hyperlink ref="NXT8" location="'Cost Summary'!A1" display="'Cost Summary'!A1"/>
    <hyperlink ref="NXU8" location="'Cost Summary'!A1" display="'Cost Summary'!A1"/>
    <hyperlink ref="NXV8" location="'Cost Summary'!A1" display="'Cost Summary'!A1"/>
    <hyperlink ref="NXW8" location="'Cost Summary'!A1" display="'Cost Summary'!A1"/>
    <hyperlink ref="NXX8" location="'Cost Summary'!A1" display="'Cost Summary'!A1"/>
    <hyperlink ref="NXY8" location="'Cost Summary'!A1" display="'Cost Summary'!A1"/>
    <hyperlink ref="NXZ8" location="'Cost Summary'!A1" display="'Cost Summary'!A1"/>
    <hyperlink ref="NYA8" location="'Cost Summary'!A1" display="'Cost Summary'!A1"/>
    <hyperlink ref="NYB8" location="'Cost Summary'!A1" display="'Cost Summary'!A1"/>
    <hyperlink ref="NYC8" location="'Cost Summary'!A1" display="'Cost Summary'!A1"/>
    <hyperlink ref="NYD8" location="'Cost Summary'!A1" display="'Cost Summary'!A1"/>
    <hyperlink ref="NYE8" location="'Cost Summary'!A1" display="'Cost Summary'!A1"/>
    <hyperlink ref="NYF8" location="'Cost Summary'!A1" display="'Cost Summary'!A1"/>
    <hyperlink ref="NYG8" location="'Cost Summary'!A1" display="'Cost Summary'!A1"/>
    <hyperlink ref="NYH8" location="'Cost Summary'!A1" display="'Cost Summary'!A1"/>
    <hyperlink ref="NYI8" location="'Cost Summary'!A1" display="'Cost Summary'!A1"/>
    <hyperlink ref="NYJ8" location="'Cost Summary'!A1" display="'Cost Summary'!A1"/>
    <hyperlink ref="NYK8" location="'Cost Summary'!A1" display="'Cost Summary'!A1"/>
    <hyperlink ref="NYL8" location="'Cost Summary'!A1" display="'Cost Summary'!A1"/>
    <hyperlink ref="NYM8" location="'Cost Summary'!A1" display="'Cost Summary'!A1"/>
    <hyperlink ref="NYN8" location="'Cost Summary'!A1" display="'Cost Summary'!A1"/>
    <hyperlink ref="NYO8" location="'Cost Summary'!A1" display="'Cost Summary'!A1"/>
    <hyperlink ref="NYP8" location="'Cost Summary'!A1" display="'Cost Summary'!A1"/>
    <hyperlink ref="NYQ8" location="'Cost Summary'!A1" display="'Cost Summary'!A1"/>
    <hyperlink ref="NYR8" location="'Cost Summary'!A1" display="'Cost Summary'!A1"/>
    <hyperlink ref="NYS8" location="'Cost Summary'!A1" display="'Cost Summary'!A1"/>
    <hyperlink ref="NYT8" location="'Cost Summary'!A1" display="'Cost Summary'!A1"/>
    <hyperlink ref="NYU8" location="'Cost Summary'!A1" display="'Cost Summary'!A1"/>
    <hyperlink ref="NYV8" location="'Cost Summary'!A1" display="'Cost Summary'!A1"/>
    <hyperlink ref="NYW8" location="'Cost Summary'!A1" display="'Cost Summary'!A1"/>
    <hyperlink ref="NYX8" location="'Cost Summary'!A1" display="'Cost Summary'!A1"/>
    <hyperlink ref="NYY8" location="'Cost Summary'!A1" display="'Cost Summary'!A1"/>
    <hyperlink ref="NYZ8" location="'Cost Summary'!A1" display="'Cost Summary'!A1"/>
    <hyperlink ref="NZA8" location="'Cost Summary'!A1" display="'Cost Summary'!A1"/>
    <hyperlink ref="NZB8" location="'Cost Summary'!A1" display="'Cost Summary'!A1"/>
    <hyperlink ref="NZC8" location="'Cost Summary'!A1" display="'Cost Summary'!A1"/>
    <hyperlink ref="NZD8" location="'Cost Summary'!A1" display="'Cost Summary'!A1"/>
    <hyperlink ref="NZE8" location="'Cost Summary'!A1" display="'Cost Summary'!A1"/>
    <hyperlink ref="NZF8" location="'Cost Summary'!A1" display="'Cost Summary'!A1"/>
    <hyperlink ref="NZG8" location="'Cost Summary'!A1" display="'Cost Summary'!A1"/>
    <hyperlink ref="NZH8" location="'Cost Summary'!A1" display="'Cost Summary'!A1"/>
    <hyperlink ref="NZI8" location="'Cost Summary'!A1" display="'Cost Summary'!A1"/>
    <hyperlink ref="NZJ8" location="'Cost Summary'!A1" display="'Cost Summary'!A1"/>
    <hyperlink ref="NZK8" location="'Cost Summary'!A1" display="'Cost Summary'!A1"/>
    <hyperlink ref="NZL8" location="'Cost Summary'!A1" display="'Cost Summary'!A1"/>
    <hyperlink ref="NZM8" location="'Cost Summary'!A1" display="'Cost Summary'!A1"/>
    <hyperlink ref="NZN8" location="'Cost Summary'!A1" display="'Cost Summary'!A1"/>
    <hyperlink ref="NZO8" location="'Cost Summary'!A1" display="'Cost Summary'!A1"/>
    <hyperlink ref="NZP8" location="'Cost Summary'!A1" display="'Cost Summary'!A1"/>
    <hyperlink ref="NZQ8" location="'Cost Summary'!A1" display="'Cost Summary'!A1"/>
    <hyperlink ref="NZR8" location="'Cost Summary'!A1" display="'Cost Summary'!A1"/>
    <hyperlink ref="NZS8" location="'Cost Summary'!A1" display="'Cost Summary'!A1"/>
    <hyperlink ref="NZT8" location="'Cost Summary'!A1" display="'Cost Summary'!A1"/>
    <hyperlink ref="NZU8" location="'Cost Summary'!A1" display="'Cost Summary'!A1"/>
    <hyperlink ref="NZV8" location="'Cost Summary'!A1" display="'Cost Summary'!A1"/>
    <hyperlink ref="NZW8" location="'Cost Summary'!A1" display="'Cost Summary'!A1"/>
    <hyperlink ref="NZX8" location="'Cost Summary'!A1" display="'Cost Summary'!A1"/>
    <hyperlink ref="NZY8" location="'Cost Summary'!A1" display="'Cost Summary'!A1"/>
    <hyperlink ref="NZZ8" location="'Cost Summary'!A1" display="'Cost Summary'!A1"/>
    <hyperlink ref="OAA8" location="'Cost Summary'!A1" display="'Cost Summary'!A1"/>
    <hyperlink ref="OAB8" location="'Cost Summary'!A1" display="'Cost Summary'!A1"/>
    <hyperlink ref="OAC8" location="'Cost Summary'!A1" display="'Cost Summary'!A1"/>
    <hyperlink ref="OAD8" location="'Cost Summary'!A1" display="'Cost Summary'!A1"/>
    <hyperlink ref="OAE8" location="'Cost Summary'!A1" display="'Cost Summary'!A1"/>
    <hyperlink ref="OAF8" location="'Cost Summary'!A1" display="'Cost Summary'!A1"/>
    <hyperlink ref="OAG8" location="'Cost Summary'!A1" display="'Cost Summary'!A1"/>
    <hyperlink ref="OAH8" location="'Cost Summary'!A1" display="'Cost Summary'!A1"/>
    <hyperlink ref="OAI8" location="'Cost Summary'!A1" display="'Cost Summary'!A1"/>
    <hyperlink ref="OAJ8" location="'Cost Summary'!A1" display="'Cost Summary'!A1"/>
    <hyperlink ref="OAK8" location="'Cost Summary'!A1" display="'Cost Summary'!A1"/>
    <hyperlink ref="OAL8" location="'Cost Summary'!A1" display="'Cost Summary'!A1"/>
    <hyperlink ref="OAM8" location="'Cost Summary'!A1" display="'Cost Summary'!A1"/>
    <hyperlink ref="OAN8" location="'Cost Summary'!A1" display="'Cost Summary'!A1"/>
    <hyperlink ref="OAO8" location="'Cost Summary'!A1" display="'Cost Summary'!A1"/>
    <hyperlink ref="OAP8" location="'Cost Summary'!A1" display="'Cost Summary'!A1"/>
    <hyperlink ref="OAQ8" location="'Cost Summary'!A1" display="'Cost Summary'!A1"/>
    <hyperlink ref="OAR8" location="'Cost Summary'!A1" display="'Cost Summary'!A1"/>
    <hyperlink ref="OAS8" location="'Cost Summary'!A1" display="'Cost Summary'!A1"/>
    <hyperlink ref="OAT8" location="'Cost Summary'!A1" display="'Cost Summary'!A1"/>
    <hyperlink ref="OAU8" location="'Cost Summary'!A1" display="'Cost Summary'!A1"/>
    <hyperlink ref="OAV8" location="'Cost Summary'!A1" display="'Cost Summary'!A1"/>
    <hyperlink ref="OAW8" location="'Cost Summary'!A1" display="'Cost Summary'!A1"/>
    <hyperlink ref="OAX8" location="'Cost Summary'!A1" display="'Cost Summary'!A1"/>
    <hyperlink ref="OAY8" location="'Cost Summary'!A1" display="'Cost Summary'!A1"/>
    <hyperlink ref="OAZ8" location="'Cost Summary'!A1" display="'Cost Summary'!A1"/>
    <hyperlink ref="OBA8" location="'Cost Summary'!A1" display="'Cost Summary'!A1"/>
    <hyperlink ref="OBB8" location="'Cost Summary'!A1" display="'Cost Summary'!A1"/>
    <hyperlink ref="OBC8" location="'Cost Summary'!A1" display="'Cost Summary'!A1"/>
    <hyperlink ref="OBD8" location="'Cost Summary'!A1" display="'Cost Summary'!A1"/>
    <hyperlink ref="OBE8" location="'Cost Summary'!A1" display="'Cost Summary'!A1"/>
    <hyperlink ref="OBF8" location="'Cost Summary'!A1" display="'Cost Summary'!A1"/>
    <hyperlink ref="OBG8" location="'Cost Summary'!A1" display="'Cost Summary'!A1"/>
    <hyperlink ref="OBH8" location="'Cost Summary'!A1" display="'Cost Summary'!A1"/>
    <hyperlink ref="OBI8" location="'Cost Summary'!A1" display="'Cost Summary'!A1"/>
    <hyperlink ref="OBJ8" location="'Cost Summary'!A1" display="'Cost Summary'!A1"/>
    <hyperlink ref="OBK8" location="'Cost Summary'!A1" display="'Cost Summary'!A1"/>
    <hyperlink ref="OBL8" location="'Cost Summary'!A1" display="'Cost Summary'!A1"/>
    <hyperlink ref="OBM8" location="'Cost Summary'!A1" display="'Cost Summary'!A1"/>
    <hyperlink ref="OBN8" location="'Cost Summary'!A1" display="'Cost Summary'!A1"/>
    <hyperlink ref="OBO8" location="'Cost Summary'!A1" display="'Cost Summary'!A1"/>
    <hyperlink ref="OBP8" location="'Cost Summary'!A1" display="'Cost Summary'!A1"/>
    <hyperlink ref="OBQ8" location="'Cost Summary'!A1" display="'Cost Summary'!A1"/>
    <hyperlink ref="OBR8" location="'Cost Summary'!A1" display="'Cost Summary'!A1"/>
    <hyperlink ref="OBS8" location="'Cost Summary'!A1" display="'Cost Summary'!A1"/>
    <hyperlink ref="OBT8" location="'Cost Summary'!A1" display="'Cost Summary'!A1"/>
    <hyperlink ref="OBU8" location="'Cost Summary'!A1" display="'Cost Summary'!A1"/>
    <hyperlink ref="OBV8" location="'Cost Summary'!A1" display="'Cost Summary'!A1"/>
    <hyperlink ref="OBW8" location="'Cost Summary'!A1" display="'Cost Summary'!A1"/>
    <hyperlink ref="OBX8" location="'Cost Summary'!A1" display="'Cost Summary'!A1"/>
    <hyperlink ref="OBY8" location="'Cost Summary'!A1" display="'Cost Summary'!A1"/>
    <hyperlink ref="OBZ8" location="'Cost Summary'!A1" display="'Cost Summary'!A1"/>
    <hyperlink ref="OCA8" location="'Cost Summary'!A1" display="'Cost Summary'!A1"/>
    <hyperlink ref="OCB8" location="'Cost Summary'!A1" display="'Cost Summary'!A1"/>
    <hyperlink ref="OCC8" location="'Cost Summary'!A1" display="'Cost Summary'!A1"/>
    <hyperlink ref="OCD8" location="'Cost Summary'!A1" display="'Cost Summary'!A1"/>
    <hyperlink ref="OCE8" location="'Cost Summary'!A1" display="'Cost Summary'!A1"/>
    <hyperlink ref="OCF8" location="'Cost Summary'!A1" display="'Cost Summary'!A1"/>
    <hyperlink ref="OCG8" location="'Cost Summary'!A1" display="'Cost Summary'!A1"/>
    <hyperlink ref="OCH8" location="'Cost Summary'!A1" display="'Cost Summary'!A1"/>
    <hyperlink ref="OCI8" location="'Cost Summary'!A1" display="'Cost Summary'!A1"/>
    <hyperlink ref="OCJ8" location="'Cost Summary'!A1" display="'Cost Summary'!A1"/>
    <hyperlink ref="OCK8" location="'Cost Summary'!A1" display="'Cost Summary'!A1"/>
    <hyperlink ref="OCL8" location="'Cost Summary'!A1" display="'Cost Summary'!A1"/>
    <hyperlink ref="OCM8" location="'Cost Summary'!A1" display="'Cost Summary'!A1"/>
    <hyperlink ref="OCN8" location="'Cost Summary'!A1" display="'Cost Summary'!A1"/>
    <hyperlink ref="OCO8" location="'Cost Summary'!A1" display="'Cost Summary'!A1"/>
    <hyperlink ref="OCP8" location="'Cost Summary'!A1" display="'Cost Summary'!A1"/>
    <hyperlink ref="OCQ8" location="'Cost Summary'!A1" display="'Cost Summary'!A1"/>
    <hyperlink ref="OCR8" location="'Cost Summary'!A1" display="'Cost Summary'!A1"/>
    <hyperlink ref="OCS8" location="'Cost Summary'!A1" display="'Cost Summary'!A1"/>
    <hyperlink ref="OCT8" location="'Cost Summary'!A1" display="'Cost Summary'!A1"/>
    <hyperlink ref="OCU8" location="'Cost Summary'!A1" display="'Cost Summary'!A1"/>
    <hyperlink ref="OCV8" location="'Cost Summary'!A1" display="'Cost Summary'!A1"/>
    <hyperlink ref="OCW8" location="'Cost Summary'!A1" display="'Cost Summary'!A1"/>
    <hyperlink ref="OCX8" location="'Cost Summary'!A1" display="'Cost Summary'!A1"/>
    <hyperlink ref="OCY8" location="'Cost Summary'!A1" display="'Cost Summary'!A1"/>
    <hyperlink ref="OCZ8" location="'Cost Summary'!A1" display="'Cost Summary'!A1"/>
    <hyperlink ref="ODA8" location="'Cost Summary'!A1" display="'Cost Summary'!A1"/>
    <hyperlink ref="ODB8" location="'Cost Summary'!A1" display="'Cost Summary'!A1"/>
    <hyperlink ref="ODC8" location="'Cost Summary'!A1" display="'Cost Summary'!A1"/>
    <hyperlink ref="ODD8" location="'Cost Summary'!A1" display="'Cost Summary'!A1"/>
    <hyperlink ref="ODE8" location="'Cost Summary'!A1" display="'Cost Summary'!A1"/>
    <hyperlink ref="ODF8" location="'Cost Summary'!A1" display="'Cost Summary'!A1"/>
    <hyperlink ref="ODG8" location="'Cost Summary'!A1" display="'Cost Summary'!A1"/>
    <hyperlink ref="ODH8" location="'Cost Summary'!A1" display="'Cost Summary'!A1"/>
    <hyperlink ref="ODI8" location="'Cost Summary'!A1" display="'Cost Summary'!A1"/>
    <hyperlink ref="ODJ8" location="'Cost Summary'!A1" display="'Cost Summary'!A1"/>
    <hyperlink ref="ODK8" location="'Cost Summary'!A1" display="'Cost Summary'!A1"/>
    <hyperlink ref="ODL8" location="'Cost Summary'!A1" display="'Cost Summary'!A1"/>
    <hyperlink ref="ODM8" location="'Cost Summary'!A1" display="'Cost Summary'!A1"/>
    <hyperlink ref="ODN8" location="'Cost Summary'!A1" display="'Cost Summary'!A1"/>
    <hyperlink ref="ODO8" location="'Cost Summary'!A1" display="'Cost Summary'!A1"/>
    <hyperlink ref="ODP8" location="'Cost Summary'!A1" display="'Cost Summary'!A1"/>
    <hyperlink ref="ODQ8" location="'Cost Summary'!A1" display="'Cost Summary'!A1"/>
    <hyperlink ref="ODR8" location="'Cost Summary'!A1" display="'Cost Summary'!A1"/>
    <hyperlink ref="ODS8" location="'Cost Summary'!A1" display="'Cost Summary'!A1"/>
    <hyperlink ref="ODT8" location="'Cost Summary'!A1" display="'Cost Summary'!A1"/>
    <hyperlink ref="ODU8" location="'Cost Summary'!A1" display="'Cost Summary'!A1"/>
    <hyperlink ref="ODV8" location="'Cost Summary'!A1" display="'Cost Summary'!A1"/>
    <hyperlink ref="ODW8" location="'Cost Summary'!A1" display="'Cost Summary'!A1"/>
    <hyperlink ref="ODX8" location="'Cost Summary'!A1" display="'Cost Summary'!A1"/>
    <hyperlink ref="ODY8" location="'Cost Summary'!A1" display="'Cost Summary'!A1"/>
    <hyperlink ref="ODZ8" location="'Cost Summary'!A1" display="'Cost Summary'!A1"/>
    <hyperlink ref="OEA8" location="'Cost Summary'!A1" display="'Cost Summary'!A1"/>
    <hyperlink ref="OEB8" location="'Cost Summary'!A1" display="'Cost Summary'!A1"/>
    <hyperlink ref="OEC8" location="'Cost Summary'!A1" display="'Cost Summary'!A1"/>
    <hyperlink ref="OED8" location="'Cost Summary'!A1" display="'Cost Summary'!A1"/>
    <hyperlink ref="OEE8" location="'Cost Summary'!A1" display="'Cost Summary'!A1"/>
    <hyperlink ref="OEF8" location="'Cost Summary'!A1" display="'Cost Summary'!A1"/>
    <hyperlink ref="OEG8" location="'Cost Summary'!A1" display="'Cost Summary'!A1"/>
    <hyperlink ref="OEH8" location="'Cost Summary'!A1" display="'Cost Summary'!A1"/>
    <hyperlink ref="OEI8" location="'Cost Summary'!A1" display="'Cost Summary'!A1"/>
    <hyperlink ref="OEJ8" location="'Cost Summary'!A1" display="'Cost Summary'!A1"/>
    <hyperlink ref="OEK8" location="'Cost Summary'!A1" display="'Cost Summary'!A1"/>
    <hyperlink ref="OEL8" location="'Cost Summary'!A1" display="'Cost Summary'!A1"/>
    <hyperlink ref="OEM8" location="'Cost Summary'!A1" display="'Cost Summary'!A1"/>
    <hyperlink ref="OEN8" location="'Cost Summary'!A1" display="'Cost Summary'!A1"/>
    <hyperlink ref="OEO8" location="'Cost Summary'!A1" display="'Cost Summary'!A1"/>
    <hyperlink ref="OEP8" location="'Cost Summary'!A1" display="'Cost Summary'!A1"/>
    <hyperlink ref="OEQ8" location="'Cost Summary'!A1" display="'Cost Summary'!A1"/>
    <hyperlink ref="OER8" location="'Cost Summary'!A1" display="'Cost Summary'!A1"/>
    <hyperlink ref="OES8" location="'Cost Summary'!A1" display="'Cost Summary'!A1"/>
    <hyperlink ref="OET8" location="'Cost Summary'!A1" display="'Cost Summary'!A1"/>
    <hyperlink ref="OEU8" location="'Cost Summary'!A1" display="'Cost Summary'!A1"/>
    <hyperlink ref="OEV8" location="'Cost Summary'!A1" display="'Cost Summary'!A1"/>
    <hyperlink ref="OEW8" location="'Cost Summary'!A1" display="'Cost Summary'!A1"/>
    <hyperlink ref="OEX8" location="'Cost Summary'!A1" display="'Cost Summary'!A1"/>
    <hyperlink ref="OEY8" location="'Cost Summary'!A1" display="'Cost Summary'!A1"/>
    <hyperlink ref="OEZ8" location="'Cost Summary'!A1" display="'Cost Summary'!A1"/>
    <hyperlink ref="OFA8" location="'Cost Summary'!A1" display="'Cost Summary'!A1"/>
    <hyperlink ref="OFB8" location="'Cost Summary'!A1" display="'Cost Summary'!A1"/>
    <hyperlink ref="OFC8" location="'Cost Summary'!A1" display="'Cost Summary'!A1"/>
    <hyperlink ref="OFD8" location="'Cost Summary'!A1" display="'Cost Summary'!A1"/>
    <hyperlink ref="OFE8" location="'Cost Summary'!A1" display="'Cost Summary'!A1"/>
    <hyperlink ref="OFF8" location="'Cost Summary'!A1" display="'Cost Summary'!A1"/>
    <hyperlink ref="OFG8" location="'Cost Summary'!A1" display="'Cost Summary'!A1"/>
    <hyperlink ref="OFH8" location="'Cost Summary'!A1" display="'Cost Summary'!A1"/>
    <hyperlink ref="OFI8" location="'Cost Summary'!A1" display="'Cost Summary'!A1"/>
    <hyperlink ref="OFJ8" location="'Cost Summary'!A1" display="'Cost Summary'!A1"/>
    <hyperlink ref="OFK8" location="'Cost Summary'!A1" display="'Cost Summary'!A1"/>
    <hyperlink ref="OFL8" location="'Cost Summary'!A1" display="'Cost Summary'!A1"/>
    <hyperlink ref="OFM8" location="'Cost Summary'!A1" display="'Cost Summary'!A1"/>
    <hyperlink ref="OFN8" location="'Cost Summary'!A1" display="'Cost Summary'!A1"/>
    <hyperlink ref="OFO8" location="'Cost Summary'!A1" display="'Cost Summary'!A1"/>
    <hyperlink ref="OFP8" location="'Cost Summary'!A1" display="'Cost Summary'!A1"/>
    <hyperlink ref="OFQ8" location="'Cost Summary'!A1" display="'Cost Summary'!A1"/>
    <hyperlink ref="OFR8" location="'Cost Summary'!A1" display="'Cost Summary'!A1"/>
    <hyperlink ref="OFS8" location="'Cost Summary'!A1" display="'Cost Summary'!A1"/>
    <hyperlink ref="OFT8" location="'Cost Summary'!A1" display="'Cost Summary'!A1"/>
    <hyperlink ref="OFU8" location="'Cost Summary'!A1" display="'Cost Summary'!A1"/>
    <hyperlink ref="OFV8" location="'Cost Summary'!A1" display="'Cost Summary'!A1"/>
    <hyperlink ref="OFW8" location="'Cost Summary'!A1" display="'Cost Summary'!A1"/>
    <hyperlink ref="OFX8" location="'Cost Summary'!A1" display="'Cost Summary'!A1"/>
    <hyperlink ref="OFY8" location="'Cost Summary'!A1" display="'Cost Summary'!A1"/>
    <hyperlink ref="OFZ8" location="'Cost Summary'!A1" display="'Cost Summary'!A1"/>
    <hyperlink ref="OGA8" location="'Cost Summary'!A1" display="'Cost Summary'!A1"/>
    <hyperlink ref="OGB8" location="'Cost Summary'!A1" display="'Cost Summary'!A1"/>
    <hyperlink ref="OGC8" location="'Cost Summary'!A1" display="'Cost Summary'!A1"/>
    <hyperlink ref="OGD8" location="'Cost Summary'!A1" display="'Cost Summary'!A1"/>
    <hyperlink ref="OGE8" location="'Cost Summary'!A1" display="'Cost Summary'!A1"/>
    <hyperlink ref="OGF8" location="'Cost Summary'!A1" display="'Cost Summary'!A1"/>
    <hyperlink ref="OGG8" location="'Cost Summary'!A1" display="'Cost Summary'!A1"/>
    <hyperlink ref="OGH8" location="'Cost Summary'!A1" display="'Cost Summary'!A1"/>
    <hyperlink ref="OGI8" location="'Cost Summary'!A1" display="'Cost Summary'!A1"/>
    <hyperlink ref="OGJ8" location="'Cost Summary'!A1" display="'Cost Summary'!A1"/>
    <hyperlink ref="OGK8" location="'Cost Summary'!A1" display="'Cost Summary'!A1"/>
    <hyperlink ref="OGL8" location="'Cost Summary'!A1" display="'Cost Summary'!A1"/>
    <hyperlink ref="OGM8" location="'Cost Summary'!A1" display="'Cost Summary'!A1"/>
    <hyperlink ref="OGN8" location="'Cost Summary'!A1" display="'Cost Summary'!A1"/>
    <hyperlink ref="OGO8" location="'Cost Summary'!A1" display="'Cost Summary'!A1"/>
    <hyperlink ref="OGP8" location="'Cost Summary'!A1" display="'Cost Summary'!A1"/>
    <hyperlink ref="OGQ8" location="'Cost Summary'!A1" display="'Cost Summary'!A1"/>
    <hyperlink ref="OGR8" location="'Cost Summary'!A1" display="'Cost Summary'!A1"/>
    <hyperlink ref="OGS8" location="'Cost Summary'!A1" display="'Cost Summary'!A1"/>
    <hyperlink ref="OGT8" location="'Cost Summary'!A1" display="'Cost Summary'!A1"/>
    <hyperlink ref="OGU8" location="'Cost Summary'!A1" display="'Cost Summary'!A1"/>
    <hyperlink ref="OGV8" location="'Cost Summary'!A1" display="'Cost Summary'!A1"/>
    <hyperlink ref="OGW8" location="'Cost Summary'!A1" display="'Cost Summary'!A1"/>
    <hyperlink ref="OGX8" location="'Cost Summary'!A1" display="'Cost Summary'!A1"/>
    <hyperlink ref="OGY8" location="'Cost Summary'!A1" display="'Cost Summary'!A1"/>
    <hyperlink ref="OGZ8" location="'Cost Summary'!A1" display="'Cost Summary'!A1"/>
    <hyperlink ref="OHA8" location="'Cost Summary'!A1" display="'Cost Summary'!A1"/>
    <hyperlink ref="OHB8" location="'Cost Summary'!A1" display="'Cost Summary'!A1"/>
    <hyperlink ref="OHC8" location="'Cost Summary'!A1" display="'Cost Summary'!A1"/>
    <hyperlink ref="OHD8" location="'Cost Summary'!A1" display="'Cost Summary'!A1"/>
    <hyperlink ref="OHE8" location="'Cost Summary'!A1" display="'Cost Summary'!A1"/>
    <hyperlink ref="OHF8" location="'Cost Summary'!A1" display="'Cost Summary'!A1"/>
    <hyperlink ref="OHG8" location="'Cost Summary'!A1" display="'Cost Summary'!A1"/>
    <hyperlink ref="OHH8" location="'Cost Summary'!A1" display="'Cost Summary'!A1"/>
    <hyperlink ref="OHI8" location="'Cost Summary'!A1" display="'Cost Summary'!A1"/>
    <hyperlink ref="OHJ8" location="'Cost Summary'!A1" display="'Cost Summary'!A1"/>
    <hyperlink ref="OHK8" location="'Cost Summary'!A1" display="'Cost Summary'!A1"/>
    <hyperlink ref="OHL8" location="'Cost Summary'!A1" display="'Cost Summary'!A1"/>
    <hyperlink ref="OHM8" location="'Cost Summary'!A1" display="'Cost Summary'!A1"/>
    <hyperlink ref="OHN8" location="'Cost Summary'!A1" display="'Cost Summary'!A1"/>
    <hyperlink ref="OHO8" location="'Cost Summary'!A1" display="'Cost Summary'!A1"/>
    <hyperlink ref="OHP8" location="'Cost Summary'!A1" display="'Cost Summary'!A1"/>
    <hyperlink ref="OHQ8" location="'Cost Summary'!A1" display="'Cost Summary'!A1"/>
    <hyperlink ref="OHR8" location="'Cost Summary'!A1" display="'Cost Summary'!A1"/>
    <hyperlink ref="OHS8" location="'Cost Summary'!A1" display="'Cost Summary'!A1"/>
    <hyperlink ref="OHT8" location="'Cost Summary'!A1" display="'Cost Summary'!A1"/>
    <hyperlink ref="OHU8" location="'Cost Summary'!A1" display="'Cost Summary'!A1"/>
    <hyperlink ref="OHV8" location="'Cost Summary'!A1" display="'Cost Summary'!A1"/>
    <hyperlink ref="OHW8" location="'Cost Summary'!A1" display="'Cost Summary'!A1"/>
    <hyperlink ref="OHX8" location="'Cost Summary'!A1" display="'Cost Summary'!A1"/>
    <hyperlink ref="OHY8" location="'Cost Summary'!A1" display="'Cost Summary'!A1"/>
    <hyperlink ref="OHZ8" location="'Cost Summary'!A1" display="'Cost Summary'!A1"/>
    <hyperlink ref="OIA8" location="'Cost Summary'!A1" display="'Cost Summary'!A1"/>
    <hyperlink ref="OIB8" location="'Cost Summary'!A1" display="'Cost Summary'!A1"/>
    <hyperlink ref="OIC8" location="'Cost Summary'!A1" display="'Cost Summary'!A1"/>
    <hyperlink ref="OID8" location="'Cost Summary'!A1" display="'Cost Summary'!A1"/>
    <hyperlink ref="OIE8" location="'Cost Summary'!A1" display="'Cost Summary'!A1"/>
    <hyperlink ref="OIF8" location="'Cost Summary'!A1" display="'Cost Summary'!A1"/>
    <hyperlink ref="OIG8" location="'Cost Summary'!A1" display="'Cost Summary'!A1"/>
    <hyperlink ref="OIH8" location="'Cost Summary'!A1" display="'Cost Summary'!A1"/>
    <hyperlink ref="OII8" location="'Cost Summary'!A1" display="'Cost Summary'!A1"/>
    <hyperlink ref="OIJ8" location="'Cost Summary'!A1" display="'Cost Summary'!A1"/>
    <hyperlink ref="OIK8" location="'Cost Summary'!A1" display="'Cost Summary'!A1"/>
    <hyperlink ref="OIL8" location="'Cost Summary'!A1" display="'Cost Summary'!A1"/>
    <hyperlink ref="OIM8" location="'Cost Summary'!A1" display="'Cost Summary'!A1"/>
    <hyperlink ref="OIN8" location="'Cost Summary'!A1" display="'Cost Summary'!A1"/>
    <hyperlink ref="OIO8" location="'Cost Summary'!A1" display="'Cost Summary'!A1"/>
    <hyperlink ref="OIP8" location="'Cost Summary'!A1" display="'Cost Summary'!A1"/>
    <hyperlink ref="OIQ8" location="'Cost Summary'!A1" display="'Cost Summary'!A1"/>
    <hyperlink ref="OIR8" location="'Cost Summary'!A1" display="'Cost Summary'!A1"/>
    <hyperlink ref="OIS8" location="'Cost Summary'!A1" display="'Cost Summary'!A1"/>
    <hyperlink ref="OIT8" location="'Cost Summary'!A1" display="'Cost Summary'!A1"/>
    <hyperlink ref="OIU8" location="'Cost Summary'!A1" display="'Cost Summary'!A1"/>
    <hyperlink ref="OIV8" location="'Cost Summary'!A1" display="'Cost Summary'!A1"/>
    <hyperlink ref="OIW8" location="'Cost Summary'!A1" display="'Cost Summary'!A1"/>
    <hyperlink ref="OIX8" location="'Cost Summary'!A1" display="'Cost Summary'!A1"/>
    <hyperlink ref="OIY8" location="'Cost Summary'!A1" display="'Cost Summary'!A1"/>
    <hyperlink ref="OIZ8" location="'Cost Summary'!A1" display="'Cost Summary'!A1"/>
    <hyperlink ref="OJA8" location="'Cost Summary'!A1" display="'Cost Summary'!A1"/>
    <hyperlink ref="OJB8" location="'Cost Summary'!A1" display="'Cost Summary'!A1"/>
    <hyperlink ref="OJC8" location="'Cost Summary'!A1" display="'Cost Summary'!A1"/>
    <hyperlink ref="OJD8" location="'Cost Summary'!A1" display="'Cost Summary'!A1"/>
    <hyperlink ref="OJE8" location="'Cost Summary'!A1" display="'Cost Summary'!A1"/>
    <hyperlink ref="OJF8" location="'Cost Summary'!A1" display="'Cost Summary'!A1"/>
    <hyperlink ref="OJG8" location="'Cost Summary'!A1" display="'Cost Summary'!A1"/>
    <hyperlink ref="OJH8" location="'Cost Summary'!A1" display="'Cost Summary'!A1"/>
    <hyperlink ref="OJI8" location="'Cost Summary'!A1" display="'Cost Summary'!A1"/>
    <hyperlink ref="OJJ8" location="'Cost Summary'!A1" display="'Cost Summary'!A1"/>
    <hyperlink ref="OJK8" location="'Cost Summary'!A1" display="'Cost Summary'!A1"/>
    <hyperlink ref="OJL8" location="'Cost Summary'!A1" display="'Cost Summary'!A1"/>
    <hyperlink ref="OJM8" location="'Cost Summary'!A1" display="'Cost Summary'!A1"/>
    <hyperlink ref="OJN8" location="'Cost Summary'!A1" display="'Cost Summary'!A1"/>
    <hyperlink ref="OJO8" location="'Cost Summary'!A1" display="'Cost Summary'!A1"/>
    <hyperlink ref="OJP8" location="'Cost Summary'!A1" display="'Cost Summary'!A1"/>
    <hyperlink ref="OJQ8" location="'Cost Summary'!A1" display="'Cost Summary'!A1"/>
    <hyperlink ref="OJR8" location="'Cost Summary'!A1" display="'Cost Summary'!A1"/>
    <hyperlink ref="OJS8" location="'Cost Summary'!A1" display="'Cost Summary'!A1"/>
    <hyperlink ref="OJT8" location="'Cost Summary'!A1" display="'Cost Summary'!A1"/>
    <hyperlink ref="OJU8" location="'Cost Summary'!A1" display="'Cost Summary'!A1"/>
    <hyperlink ref="OJV8" location="'Cost Summary'!A1" display="'Cost Summary'!A1"/>
    <hyperlink ref="OJW8" location="'Cost Summary'!A1" display="'Cost Summary'!A1"/>
    <hyperlink ref="OJX8" location="'Cost Summary'!A1" display="'Cost Summary'!A1"/>
    <hyperlink ref="OJY8" location="'Cost Summary'!A1" display="'Cost Summary'!A1"/>
    <hyperlink ref="OJZ8" location="'Cost Summary'!A1" display="'Cost Summary'!A1"/>
    <hyperlink ref="OKA8" location="'Cost Summary'!A1" display="'Cost Summary'!A1"/>
    <hyperlink ref="OKB8" location="'Cost Summary'!A1" display="'Cost Summary'!A1"/>
    <hyperlink ref="OKC8" location="'Cost Summary'!A1" display="'Cost Summary'!A1"/>
    <hyperlink ref="OKD8" location="'Cost Summary'!A1" display="'Cost Summary'!A1"/>
    <hyperlink ref="OKE8" location="'Cost Summary'!A1" display="'Cost Summary'!A1"/>
    <hyperlink ref="OKF8" location="'Cost Summary'!A1" display="'Cost Summary'!A1"/>
    <hyperlink ref="OKG8" location="'Cost Summary'!A1" display="'Cost Summary'!A1"/>
    <hyperlink ref="OKH8" location="'Cost Summary'!A1" display="'Cost Summary'!A1"/>
    <hyperlink ref="OKI8" location="'Cost Summary'!A1" display="'Cost Summary'!A1"/>
    <hyperlink ref="OKJ8" location="'Cost Summary'!A1" display="'Cost Summary'!A1"/>
    <hyperlink ref="OKK8" location="'Cost Summary'!A1" display="'Cost Summary'!A1"/>
    <hyperlink ref="OKL8" location="'Cost Summary'!A1" display="'Cost Summary'!A1"/>
    <hyperlink ref="OKM8" location="'Cost Summary'!A1" display="'Cost Summary'!A1"/>
    <hyperlink ref="OKN8" location="'Cost Summary'!A1" display="'Cost Summary'!A1"/>
    <hyperlink ref="OKO8" location="'Cost Summary'!A1" display="'Cost Summary'!A1"/>
    <hyperlink ref="OKP8" location="'Cost Summary'!A1" display="'Cost Summary'!A1"/>
    <hyperlink ref="OKQ8" location="'Cost Summary'!A1" display="'Cost Summary'!A1"/>
    <hyperlink ref="OKR8" location="'Cost Summary'!A1" display="'Cost Summary'!A1"/>
    <hyperlink ref="OKS8" location="'Cost Summary'!A1" display="'Cost Summary'!A1"/>
    <hyperlink ref="OKT8" location="'Cost Summary'!A1" display="'Cost Summary'!A1"/>
    <hyperlink ref="OKU8" location="'Cost Summary'!A1" display="'Cost Summary'!A1"/>
    <hyperlink ref="OKV8" location="'Cost Summary'!A1" display="'Cost Summary'!A1"/>
    <hyperlink ref="OKW8" location="'Cost Summary'!A1" display="'Cost Summary'!A1"/>
    <hyperlink ref="OKX8" location="'Cost Summary'!A1" display="'Cost Summary'!A1"/>
    <hyperlink ref="OKY8" location="'Cost Summary'!A1" display="'Cost Summary'!A1"/>
    <hyperlink ref="OKZ8" location="'Cost Summary'!A1" display="'Cost Summary'!A1"/>
    <hyperlink ref="OLA8" location="'Cost Summary'!A1" display="'Cost Summary'!A1"/>
    <hyperlink ref="OLB8" location="'Cost Summary'!A1" display="'Cost Summary'!A1"/>
    <hyperlink ref="OLC8" location="'Cost Summary'!A1" display="'Cost Summary'!A1"/>
    <hyperlink ref="OLD8" location="'Cost Summary'!A1" display="'Cost Summary'!A1"/>
    <hyperlink ref="OLE8" location="'Cost Summary'!A1" display="'Cost Summary'!A1"/>
    <hyperlink ref="OLF8" location="'Cost Summary'!A1" display="'Cost Summary'!A1"/>
    <hyperlink ref="OLG8" location="'Cost Summary'!A1" display="'Cost Summary'!A1"/>
    <hyperlink ref="OLH8" location="'Cost Summary'!A1" display="'Cost Summary'!A1"/>
    <hyperlink ref="OLI8" location="'Cost Summary'!A1" display="'Cost Summary'!A1"/>
    <hyperlink ref="OLJ8" location="'Cost Summary'!A1" display="'Cost Summary'!A1"/>
    <hyperlink ref="OLK8" location="'Cost Summary'!A1" display="'Cost Summary'!A1"/>
    <hyperlink ref="OLL8" location="'Cost Summary'!A1" display="'Cost Summary'!A1"/>
    <hyperlink ref="OLM8" location="'Cost Summary'!A1" display="'Cost Summary'!A1"/>
    <hyperlink ref="OLN8" location="'Cost Summary'!A1" display="'Cost Summary'!A1"/>
    <hyperlink ref="OLO8" location="'Cost Summary'!A1" display="'Cost Summary'!A1"/>
    <hyperlink ref="OLP8" location="'Cost Summary'!A1" display="'Cost Summary'!A1"/>
    <hyperlink ref="OLQ8" location="'Cost Summary'!A1" display="'Cost Summary'!A1"/>
    <hyperlink ref="OLR8" location="'Cost Summary'!A1" display="'Cost Summary'!A1"/>
    <hyperlink ref="OLS8" location="'Cost Summary'!A1" display="'Cost Summary'!A1"/>
    <hyperlink ref="OLT8" location="'Cost Summary'!A1" display="'Cost Summary'!A1"/>
    <hyperlink ref="OLU8" location="'Cost Summary'!A1" display="'Cost Summary'!A1"/>
    <hyperlink ref="OLV8" location="'Cost Summary'!A1" display="'Cost Summary'!A1"/>
    <hyperlink ref="OLW8" location="'Cost Summary'!A1" display="'Cost Summary'!A1"/>
    <hyperlink ref="OLX8" location="'Cost Summary'!A1" display="'Cost Summary'!A1"/>
    <hyperlink ref="OLY8" location="'Cost Summary'!A1" display="'Cost Summary'!A1"/>
    <hyperlink ref="OLZ8" location="'Cost Summary'!A1" display="'Cost Summary'!A1"/>
    <hyperlink ref="OMA8" location="'Cost Summary'!A1" display="'Cost Summary'!A1"/>
    <hyperlink ref="OMB8" location="'Cost Summary'!A1" display="'Cost Summary'!A1"/>
    <hyperlink ref="OMC8" location="'Cost Summary'!A1" display="'Cost Summary'!A1"/>
    <hyperlink ref="OMD8" location="'Cost Summary'!A1" display="'Cost Summary'!A1"/>
    <hyperlink ref="OME8" location="'Cost Summary'!A1" display="'Cost Summary'!A1"/>
    <hyperlink ref="OMF8" location="'Cost Summary'!A1" display="'Cost Summary'!A1"/>
    <hyperlink ref="OMG8" location="'Cost Summary'!A1" display="'Cost Summary'!A1"/>
    <hyperlink ref="OMH8" location="'Cost Summary'!A1" display="'Cost Summary'!A1"/>
    <hyperlink ref="OMI8" location="'Cost Summary'!A1" display="'Cost Summary'!A1"/>
    <hyperlink ref="OMJ8" location="'Cost Summary'!A1" display="'Cost Summary'!A1"/>
    <hyperlink ref="OMK8" location="'Cost Summary'!A1" display="'Cost Summary'!A1"/>
    <hyperlink ref="OML8" location="'Cost Summary'!A1" display="'Cost Summary'!A1"/>
    <hyperlink ref="OMM8" location="'Cost Summary'!A1" display="'Cost Summary'!A1"/>
    <hyperlink ref="OMN8" location="'Cost Summary'!A1" display="'Cost Summary'!A1"/>
    <hyperlink ref="OMO8" location="'Cost Summary'!A1" display="'Cost Summary'!A1"/>
    <hyperlink ref="OMP8" location="'Cost Summary'!A1" display="'Cost Summary'!A1"/>
    <hyperlink ref="OMQ8" location="'Cost Summary'!A1" display="'Cost Summary'!A1"/>
    <hyperlink ref="OMR8" location="'Cost Summary'!A1" display="'Cost Summary'!A1"/>
    <hyperlink ref="OMS8" location="'Cost Summary'!A1" display="'Cost Summary'!A1"/>
    <hyperlink ref="OMT8" location="'Cost Summary'!A1" display="'Cost Summary'!A1"/>
    <hyperlink ref="OMU8" location="'Cost Summary'!A1" display="'Cost Summary'!A1"/>
    <hyperlink ref="OMV8" location="'Cost Summary'!A1" display="'Cost Summary'!A1"/>
    <hyperlink ref="OMW8" location="'Cost Summary'!A1" display="'Cost Summary'!A1"/>
    <hyperlink ref="OMX8" location="'Cost Summary'!A1" display="'Cost Summary'!A1"/>
    <hyperlink ref="OMY8" location="'Cost Summary'!A1" display="'Cost Summary'!A1"/>
    <hyperlink ref="OMZ8" location="'Cost Summary'!A1" display="'Cost Summary'!A1"/>
    <hyperlink ref="ONA8" location="'Cost Summary'!A1" display="'Cost Summary'!A1"/>
    <hyperlink ref="ONB8" location="'Cost Summary'!A1" display="'Cost Summary'!A1"/>
    <hyperlink ref="ONC8" location="'Cost Summary'!A1" display="'Cost Summary'!A1"/>
    <hyperlink ref="OND8" location="'Cost Summary'!A1" display="'Cost Summary'!A1"/>
    <hyperlink ref="ONE8" location="'Cost Summary'!A1" display="'Cost Summary'!A1"/>
    <hyperlink ref="ONF8" location="'Cost Summary'!A1" display="'Cost Summary'!A1"/>
    <hyperlink ref="ONG8" location="'Cost Summary'!A1" display="'Cost Summary'!A1"/>
    <hyperlink ref="ONH8" location="'Cost Summary'!A1" display="'Cost Summary'!A1"/>
    <hyperlink ref="ONI8" location="'Cost Summary'!A1" display="'Cost Summary'!A1"/>
    <hyperlink ref="ONJ8" location="'Cost Summary'!A1" display="'Cost Summary'!A1"/>
    <hyperlink ref="ONK8" location="'Cost Summary'!A1" display="'Cost Summary'!A1"/>
    <hyperlink ref="ONL8" location="'Cost Summary'!A1" display="'Cost Summary'!A1"/>
    <hyperlink ref="ONM8" location="'Cost Summary'!A1" display="'Cost Summary'!A1"/>
    <hyperlink ref="ONN8" location="'Cost Summary'!A1" display="'Cost Summary'!A1"/>
    <hyperlink ref="ONO8" location="'Cost Summary'!A1" display="'Cost Summary'!A1"/>
    <hyperlink ref="ONP8" location="'Cost Summary'!A1" display="'Cost Summary'!A1"/>
    <hyperlink ref="ONQ8" location="'Cost Summary'!A1" display="'Cost Summary'!A1"/>
    <hyperlink ref="ONR8" location="'Cost Summary'!A1" display="'Cost Summary'!A1"/>
    <hyperlink ref="ONS8" location="'Cost Summary'!A1" display="'Cost Summary'!A1"/>
    <hyperlink ref="ONT8" location="'Cost Summary'!A1" display="'Cost Summary'!A1"/>
    <hyperlink ref="ONU8" location="'Cost Summary'!A1" display="'Cost Summary'!A1"/>
    <hyperlink ref="ONV8" location="'Cost Summary'!A1" display="'Cost Summary'!A1"/>
    <hyperlink ref="ONW8" location="'Cost Summary'!A1" display="'Cost Summary'!A1"/>
    <hyperlink ref="ONX8" location="'Cost Summary'!A1" display="'Cost Summary'!A1"/>
    <hyperlink ref="ONY8" location="'Cost Summary'!A1" display="'Cost Summary'!A1"/>
    <hyperlink ref="ONZ8" location="'Cost Summary'!A1" display="'Cost Summary'!A1"/>
    <hyperlink ref="OOA8" location="'Cost Summary'!A1" display="'Cost Summary'!A1"/>
    <hyperlink ref="OOB8" location="'Cost Summary'!A1" display="'Cost Summary'!A1"/>
    <hyperlink ref="OOC8" location="'Cost Summary'!A1" display="'Cost Summary'!A1"/>
    <hyperlink ref="OOD8" location="'Cost Summary'!A1" display="'Cost Summary'!A1"/>
    <hyperlink ref="OOE8" location="'Cost Summary'!A1" display="'Cost Summary'!A1"/>
    <hyperlink ref="OOF8" location="'Cost Summary'!A1" display="'Cost Summary'!A1"/>
    <hyperlink ref="OOG8" location="'Cost Summary'!A1" display="'Cost Summary'!A1"/>
    <hyperlink ref="OOH8" location="'Cost Summary'!A1" display="'Cost Summary'!A1"/>
    <hyperlink ref="OOI8" location="'Cost Summary'!A1" display="'Cost Summary'!A1"/>
    <hyperlink ref="OOJ8" location="'Cost Summary'!A1" display="'Cost Summary'!A1"/>
    <hyperlink ref="OOK8" location="'Cost Summary'!A1" display="'Cost Summary'!A1"/>
    <hyperlink ref="OOL8" location="'Cost Summary'!A1" display="'Cost Summary'!A1"/>
    <hyperlink ref="OOM8" location="'Cost Summary'!A1" display="'Cost Summary'!A1"/>
    <hyperlink ref="OON8" location="'Cost Summary'!A1" display="'Cost Summary'!A1"/>
    <hyperlink ref="OOO8" location="'Cost Summary'!A1" display="'Cost Summary'!A1"/>
    <hyperlink ref="OOP8" location="'Cost Summary'!A1" display="'Cost Summary'!A1"/>
    <hyperlink ref="OOQ8" location="'Cost Summary'!A1" display="'Cost Summary'!A1"/>
    <hyperlink ref="OOR8" location="'Cost Summary'!A1" display="'Cost Summary'!A1"/>
    <hyperlink ref="OOS8" location="'Cost Summary'!A1" display="'Cost Summary'!A1"/>
    <hyperlink ref="OOT8" location="'Cost Summary'!A1" display="'Cost Summary'!A1"/>
    <hyperlink ref="OOU8" location="'Cost Summary'!A1" display="'Cost Summary'!A1"/>
    <hyperlink ref="OOV8" location="'Cost Summary'!A1" display="'Cost Summary'!A1"/>
    <hyperlink ref="OOW8" location="'Cost Summary'!A1" display="'Cost Summary'!A1"/>
    <hyperlink ref="OOX8" location="'Cost Summary'!A1" display="'Cost Summary'!A1"/>
    <hyperlink ref="OOY8" location="'Cost Summary'!A1" display="'Cost Summary'!A1"/>
    <hyperlink ref="OOZ8" location="'Cost Summary'!A1" display="'Cost Summary'!A1"/>
    <hyperlink ref="OPA8" location="'Cost Summary'!A1" display="'Cost Summary'!A1"/>
    <hyperlink ref="OPB8" location="'Cost Summary'!A1" display="'Cost Summary'!A1"/>
    <hyperlink ref="OPC8" location="'Cost Summary'!A1" display="'Cost Summary'!A1"/>
    <hyperlink ref="OPD8" location="'Cost Summary'!A1" display="'Cost Summary'!A1"/>
    <hyperlink ref="OPE8" location="'Cost Summary'!A1" display="'Cost Summary'!A1"/>
    <hyperlink ref="OPF8" location="'Cost Summary'!A1" display="'Cost Summary'!A1"/>
    <hyperlink ref="OPG8" location="'Cost Summary'!A1" display="'Cost Summary'!A1"/>
    <hyperlink ref="OPH8" location="'Cost Summary'!A1" display="'Cost Summary'!A1"/>
    <hyperlink ref="OPI8" location="'Cost Summary'!A1" display="'Cost Summary'!A1"/>
    <hyperlink ref="OPJ8" location="'Cost Summary'!A1" display="'Cost Summary'!A1"/>
    <hyperlink ref="OPK8" location="'Cost Summary'!A1" display="'Cost Summary'!A1"/>
    <hyperlink ref="OPL8" location="'Cost Summary'!A1" display="'Cost Summary'!A1"/>
    <hyperlink ref="OPM8" location="'Cost Summary'!A1" display="'Cost Summary'!A1"/>
    <hyperlink ref="OPN8" location="'Cost Summary'!A1" display="'Cost Summary'!A1"/>
    <hyperlink ref="OPO8" location="'Cost Summary'!A1" display="'Cost Summary'!A1"/>
    <hyperlink ref="OPP8" location="'Cost Summary'!A1" display="'Cost Summary'!A1"/>
    <hyperlink ref="OPQ8" location="'Cost Summary'!A1" display="'Cost Summary'!A1"/>
    <hyperlink ref="OPR8" location="'Cost Summary'!A1" display="'Cost Summary'!A1"/>
    <hyperlink ref="OPS8" location="'Cost Summary'!A1" display="'Cost Summary'!A1"/>
    <hyperlink ref="OPT8" location="'Cost Summary'!A1" display="'Cost Summary'!A1"/>
    <hyperlink ref="OPU8" location="'Cost Summary'!A1" display="'Cost Summary'!A1"/>
    <hyperlink ref="OPV8" location="'Cost Summary'!A1" display="'Cost Summary'!A1"/>
    <hyperlink ref="OPW8" location="'Cost Summary'!A1" display="'Cost Summary'!A1"/>
    <hyperlink ref="OPX8" location="'Cost Summary'!A1" display="'Cost Summary'!A1"/>
    <hyperlink ref="OPY8" location="'Cost Summary'!A1" display="'Cost Summary'!A1"/>
    <hyperlink ref="OPZ8" location="'Cost Summary'!A1" display="'Cost Summary'!A1"/>
    <hyperlink ref="OQA8" location="'Cost Summary'!A1" display="'Cost Summary'!A1"/>
    <hyperlink ref="OQB8" location="'Cost Summary'!A1" display="'Cost Summary'!A1"/>
    <hyperlink ref="OQC8" location="'Cost Summary'!A1" display="'Cost Summary'!A1"/>
    <hyperlink ref="OQD8" location="'Cost Summary'!A1" display="'Cost Summary'!A1"/>
    <hyperlink ref="OQE8" location="'Cost Summary'!A1" display="'Cost Summary'!A1"/>
    <hyperlink ref="OQF8" location="'Cost Summary'!A1" display="'Cost Summary'!A1"/>
    <hyperlink ref="OQG8" location="'Cost Summary'!A1" display="'Cost Summary'!A1"/>
    <hyperlink ref="OQH8" location="'Cost Summary'!A1" display="'Cost Summary'!A1"/>
    <hyperlink ref="OQI8" location="'Cost Summary'!A1" display="'Cost Summary'!A1"/>
    <hyperlink ref="OQJ8" location="'Cost Summary'!A1" display="'Cost Summary'!A1"/>
    <hyperlink ref="OQK8" location="'Cost Summary'!A1" display="'Cost Summary'!A1"/>
    <hyperlink ref="OQL8" location="'Cost Summary'!A1" display="'Cost Summary'!A1"/>
    <hyperlink ref="OQM8" location="'Cost Summary'!A1" display="'Cost Summary'!A1"/>
    <hyperlink ref="OQN8" location="'Cost Summary'!A1" display="'Cost Summary'!A1"/>
    <hyperlink ref="OQO8" location="'Cost Summary'!A1" display="'Cost Summary'!A1"/>
    <hyperlink ref="OQP8" location="'Cost Summary'!A1" display="'Cost Summary'!A1"/>
    <hyperlink ref="OQQ8" location="'Cost Summary'!A1" display="'Cost Summary'!A1"/>
    <hyperlink ref="OQR8" location="'Cost Summary'!A1" display="'Cost Summary'!A1"/>
    <hyperlink ref="OQS8" location="'Cost Summary'!A1" display="'Cost Summary'!A1"/>
    <hyperlink ref="OQT8" location="'Cost Summary'!A1" display="'Cost Summary'!A1"/>
    <hyperlink ref="OQU8" location="'Cost Summary'!A1" display="'Cost Summary'!A1"/>
    <hyperlink ref="OQV8" location="'Cost Summary'!A1" display="'Cost Summary'!A1"/>
    <hyperlink ref="OQW8" location="'Cost Summary'!A1" display="'Cost Summary'!A1"/>
    <hyperlink ref="OQX8" location="'Cost Summary'!A1" display="'Cost Summary'!A1"/>
    <hyperlink ref="OQY8" location="'Cost Summary'!A1" display="'Cost Summary'!A1"/>
    <hyperlink ref="OQZ8" location="'Cost Summary'!A1" display="'Cost Summary'!A1"/>
    <hyperlink ref="ORA8" location="'Cost Summary'!A1" display="'Cost Summary'!A1"/>
    <hyperlink ref="ORB8" location="'Cost Summary'!A1" display="'Cost Summary'!A1"/>
    <hyperlink ref="ORC8" location="'Cost Summary'!A1" display="'Cost Summary'!A1"/>
    <hyperlink ref="ORD8" location="'Cost Summary'!A1" display="'Cost Summary'!A1"/>
    <hyperlink ref="ORE8" location="'Cost Summary'!A1" display="'Cost Summary'!A1"/>
    <hyperlink ref="ORF8" location="'Cost Summary'!A1" display="'Cost Summary'!A1"/>
    <hyperlink ref="ORG8" location="'Cost Summary'!A1" display="'Cost Summary'!A1"/>
    <hyperlink ref="ORH8" location="'Cost Summary'!A1" display="'Cost Summary'!A1"/>
    <hyperlink ref="ORI8" location="'Cost Summary'!A1" display="'Cost Summary'!A1"/>
    <hyperlink ref="ORJ8" location="'Cost Summary'!A1" display="'Cost Summary'!A1"/>
    <hyperlink ref="ORK8" location="'Cost Summary'!A1" display="'Cost Summary'!A1"/>
    <hyperlink ref="ORL8" location="'Cost Summary'!A1" display="'Cost Summary'!A1"/>
    <hyperlink ref="ORM8" location="'Cost Summary'!A1" display="'Cost Summary'!A1"/>
    <hyperlink ref="ORN8" location="'Cost Summary'!A1" display="'Cost Summary'!A1"/>
    <hyperlink ref="ORO8" location="'Cost Summary'!A1" display="'Cost Summary'!A1"/>
    <hyperlink ref="ORP8" location="'Cost Summary'!A1" display="'Cost Summary'!A1"/>
    <hyperlink ref="ORQ8" location="'Cost Summary'!A1" display="'Cost Summary'!A1"/>
    <hyperlink ref="ORR8" location="'Cost Summary'!A1" display="'Cost Summary'!A1"/>
    <hyperlink ref="ORS8" location="'Cost Summary'!A1" display="'Cost Summary'!A1"/>
    <hyperlink ref="ORT8" location="'Cost Summary'!A1" display="'Cost Summary'!A1"/>
    <hyperlink ref="ORU8" location="'Cost Summary'!A1" display="'Cost Summary'!A1"/>
    <hyperlink ref="ORV8" location="'Cost Summary'!A1" display="'Cost Summary'!A1"/>
    <hyperlink ref="ORW8" location="'Cost Summary'!A1" display="'Cost Summary'!A1"/>
    <hyperlink ref="ORX8" location="'Cost Summary'!A1" display="'Cost Summary'!A1"/>
    <hyperlink ref="ORY8" location="'Cost Summary'!A1" display="'Cost Summary'!A1"/>
    <hyperlink ref="ORZ8" location="'Cost Summary'!A1" display="'Cost Summary'!A1"/>
    <hyperlink ref="OSA8" location="'Cost Summary'!A1" display="'Cost Summary'!A1"/>
    <hyperlink ref="OSB8" location="'Cost Summary'!A1" display="'Cost Summary'!A1"/>
    <hyperlink ref="OSC8" location="'Cost Summary'!A1" display="'Cost Summary'!A1"/>
    <hyperlink ref="OSD8" location="'Cost Summary'!A1" display="'Cost Summary'!A1"/>
    <hyperlink ref="OSE8" location="'Cost Summary'!A1" display="'Cost Summary'!A1"/>
    <hyperlink ref="OSF8" location="'Cost Summary'!A1" display="'Cost Summary'!A1"/>
    <hyperlink ref="OSG8" location="'Cost Summary'!A1" display="'Cost Summary'!A1"/>
    <hyperlink ref="OSH8" location="'Cost Summary'!A1" display="'Cost Summary'!A1"/>
    <hyperlink ref="OSI8" location="'Cost Summary'!A1" display="'Cost Summary'!A1"/>
    <hyperlink ref="OSJ8" location="'Cost Summary'!A1" display="'Cost Summary'!A1"/>
    <hyperlink ref="OSK8" location="'Cost Summary'!A1" display="'Cost Summary'!A1"/>
    <hyperlink ref="OSL8" location="'Cost Summary'!A1" display="'Cost Summary'!A1"/>
    <hyperlink ref="OSM8" location="'Cost Summary'!A1" display="'Cost Summary'!A1"/>
    <hyperlink ref="OSN8" location="'Cost Summary'!A1" display="'Cost Summary'!A1"/>
    <hyperlink ref="OSO8" location="'Cost Summary'!A1" display="'Cost Summary'!A1"/>
    <hyperlink ref="OSP8" location="'Cost Summary'!A1" display="'Cost Summary'!A1"/>
    <hyperlink ref="OSQ8" location="'Cost Summary'!A1" display="'Cost Summary'!A1"/>
    <hyperlink ref="OSR8" location="'Cost Summary'!A1" display="'Cost Summary'!A1"/>
    <hyperlink ref="OSS8" location="'Cost Summary'!A1" display="'Cost Summary'!A1"/>
    <hyperlink ref="OST8" location="'Cost Summary'!A1" display="'Cost Summary'!A1"/>
    <hyperlink ref="OSU8" location="'Cost Summary'!A1" display="'Cost Summary'!A1"/>
    <hyperlink ref="OSV8" location="'Cost Summary'!A1" display="'Cost Summary'!A1"/>
    <hyperlink ref="OSW8" location="'Cost Summary'!A1" display="'Cost Summary'!A1"/>
    <hyperlink ref="OSX8" location="'Cost Summary'!A1" display="'Cost Summary'!A1"/>
    <hyperlink ref="OSY8" location="'Cost Summary'!A1" display="'Cost Summary'!A1"/>
    <hyperlink ref="OSZ8" location="'Cost Summary'!A1" display="'Cost Summary'!A1"/>
    <hyperlink ref="OTA8" location="'Cost Summary'!A1" display="'Cost Summary'!A1"/>
    <hyperlink ref="OTB8" location="'Cost Summary'!A1" display="'Cost Summary'!A1"/>
    <hyperlink ref="OTC8" location="'Cost Summary'!A1" display="'Cost Summary'!A1"/>
    <hyperlink ref="OTD8" location="'Cost Summary'!A1" display="'Cost Summary'!A1"/>
    <hyperlink ref="OTE8" location="'Cost Summary'!A1" display="'Cost Summary'!A1"/>
    <hyperlink ref="OTF8" location="'Cost Summary'!A1" display="'Cost Summary'!A1"/>
    <hyperlink ref="OTG8" location="'Cost Summary'!A1" display="'Cost Summary'!A1"/>
    <hyperlink ref="OTH8" location="'Cost Summary'!A1" display="'Cost Summary'!A1"/>
    <hyperlink ref="OTI8" location="'Cost Summary'!A1" display="'Cost Summary'!A1"/>
    <hyperlink ref="OTJ8" location="'Cost Summary'!A1" display="'Cost Summary'!A1"/>
    <hyperlink ref="OTK8" location="'Cost Summary'!A1" display="'Cost Summary'!A1"/>
    <hyperlink ref="OTL8" location="'Cost Summary'!A1" display="'Cost Summary'!A1"/>
    <hyperlink ref="OTM8" location="'Cost Summary'!A1" display="'Cost Summary'!A1"/>
    <hyperlink ref="OTN8" location="'Cost Summary'!A1" display="'Cost Summary'!A1"/>
    <hyperlink ref="OTO8" location="'Cost Summary'!A1" display="'Cost Summary'!A1"/>
    <hyperlink ref="OTP8" location="'Cost Summary'!A1" display="'Cost Summary'!A1"/>
    <hyperlink ref="OTQ8" location="'Cost Summary'!A1" display="'Cost Summary'!A1"/>
    <hyperlink ref="OTR8" location="'Cost Summary'!A1" display="'Cost Summary'!A1"/>
    <hyperlink ref="OTS8" location="'Cost Summary'!A1" display="'Cost Summary'!A1"/>
    <hyperlink ref="OTT8" location="'Cost Summary'!A1" display="'Cost Summary'!A1"/>
    <hyperlink ref="OTU8" location="'Cost Summary'!A1" display="'Cost Summary'!A1"/>
    <hyperlink ref="OTV8" location="'Cost Summary'!A1" display="'Cost Summary'!A1"/>
    <hyperlink ref="OTW8" location="'Cost Summary'!A1" display="'Cost Summary'!A1"/>
    <hyperlink ref="OTX8" location="'Cost Summary'!A1" display="'Cost Summary'!A1"/>
    <hyperlink ref="OTY8" location="'Cost Summary'!A1" display="'Cost Summary'!A1"/>
    <hyperlink ref="OTZ8" location="'Cost Summary'!A1" display="'Cost Summary'!A1"/>
    <hyperlink ref="OUA8" location="'Cost Summary'!A1" display="'Cost Summary'!A1"/>
    <hyperlink ref="OUB8" location="'Cost Summary'!A1" display="'Cost Summary'!A1"/>
    <hyperlink ref="OUC8" location="'Cost Summary'!A1" display="'Cost Summary'!A1"/>
    <hyperlink ref="OUD8" location="'Cost Summary'!A1" display="'Cost Summary'!A1"/>
    <hyperlink ref="OUE8" location="'Cost Summary'!A1" display="'Cost Summary'!A1"/>
    <hyperlink ref="OUF8" location="'Cost Summary'!A1" display="'Cost Summary'!A1"/>
    <hyperlink ref="OUG8" location="'Cost Summary'!A1" display="'Cost Summary'!A1"/>
    <hyperlink ref="OUH8" location="'Cost Summary'!A1" display="'Cost Summary'!A1"/>
    <hyperlink ref="OUI8" location="'Cost Summary'!A1" display="'Cost Summary'!A1"/>
    <hyperlink ref="OUJ8" location="'Cost Summary'!A1" display="'Cost Summary'!A1"/>
    <hyperlink ref="OUK8" location="'Cost Summary'!A1" display="'Cost Summary'!A1"/>
    <hyperlink ref="OUL8" location="'Cost Summary'!A1" display="'Cost Summary'!A1"/>
    <hyperlink ref="OUM8" location="'Cost Summary'!A1" display="'Cost Summary'!A1"/>
    <hyperlink ref="OUN8" location="'Cost Summary'!A1" display="'Cost Summary'!A1"/>
    <hyperlink ref="OUO8" location="'Cost Summary'!A1" display="'Cost Summary'!A1"/>
    <hyperlink ref="OUP8" location="'Cost Summary'!A1" display="'Cost Summary'!A1"/>
    <hyperlink ref="OUQ8" location="'Cost Summary'!A1" display="'Cost Summary'!A1"/>
    <hyperlink ref="OUR8" location="'Cost Summary'!A1" display="'Cost Summary'!A1"/>
    <hyperlink ref="OUS8" location="'Cost Summary'!A1" display="'Cost Summary'!A1"/>
    <hyperlink ref="OUT8" location="'Cost Summary'!A1" display="'Cost Summary'!A1"/>
    <hyperlink ref="OUU8" location="'Cost Summary'!A1" display="'Cost Summary'!A1"/>
    <hyperlink ref="OUV8" location="'Cost Summary'!A1" display="'Cost Summary'!A1"/>
    <hyperlink ref="OUW8" location="'Cost Summary'!A1" display="'Cost Summary'!A1"/>
    <hyperlink ref="OUX8" location="'Cost Summary'!A1" display="'Cost Summary'!A1"/>
    <hyperlink ref="OUY8" location="'Cost Summary'!A1" display="'Cost Summary'!A1"/>
    <hyperlink ref="OUZ8" location="'Cost Summary'!A1" display="'Cost Summary'!A1"/>
    <hyperlink ref="OVA8" location="'Cost Summary'!A1" display="'Cost Summary'!A1"/>
    <hyperlink ref="OVB8" location="'Cost Summary'!A1" display="'Cost Summary'!A1"/>
    <hyperlink ref="OVC8" location="'Cost Summary'!A1" display="'Cost Summary'!A1"/>
    <hyperlink ref="OVD8" location="'Cost Summary'!A1" display="'Cost Summary'!A1"/>
    <hyperlink ref="OVE8" location="'Cost Summary'!A1" display="'Cost Summary'!A1"/>
    <hyperlink ref="OVF8" location="'Cost Summary'!A1" display="'Cost Summary'!A1"/>
    <hyperlink ref="OVG8" location="'Cost Summary'!A1" display="'Cost Summary'!A1"/>
    <hyperlink ref="OVH8" location="'Cost Summary'!A1" display="'Cost Summary'!A1"/>
    <hyperlink ref="OVI8" location="'Cost Summary'!A1" display="'Cost Summary'!A1"/>
    <hyperlink ref="OVJ8" location="'Cost Summary'!A1" display="'Cost Summary'!A1"/>
    <hyperlink ref="OVK8" location="'Cost Summary'!A1" display="'Cost Summary'!A1"/>
    <hyperlink ref="OVL8" location="'Cost Summary'!A1" display="'Cost Summary'!A1"/>
    <hyperlink ref="OVM8" location="'Cost Summary'!A1" display="'Cost Summary'!A1"/>
    <hyperlink ref="OVN8" location="'Cost Summary'!A1" display="'Cost Summary'!A1"/>
    <hyperlink ref="OVO8" location="'Cost Summary'!A1" display="'Cost Summary'!A1"/>
    <hyperlink ref="OVP8" location="'Cost Summary'!A1" display="'Cost Summary'!A1"/>
    <hyperlink ref="OVQ8" location="'Cost Summary'!A1" display="'Cost Summary'!A1"/>
    <hyperlink ref="OVR8" location="'Cost Summary'!A1" display="'Cost Summary'!A1"/>
    <hyperlink ref="OVS8" location="'Cost Summary'!A1" display="'Cost Summary'!A1"/>
    <hyperlink ref="OVT8" location="'Cost Summary'!A1" display="'Cost Summary'!A1"/>
    <hyperlink ref="OVU8" location="'Cost Summary'!A1" display="'Cost Summary'!A1"/>
    <hyperlink ref="OVV8" location="'Cost Summary'!A1" display="'Cost Summary'!A1"/>
    <hyperlink ref="OVW8" location="'Cost Summary'!A1" display="'Cost Summary'!A1"/>
    <hyperlink ref="OVX8" location="'Cost Summary'!A1" display="'Cost Summary'!A1"/>
    <hyperlink ref="OVY8" location="'Cost Summary'!A1" display="'Cost Summary'!A1"/>
    <hyperlink ref="OVZ8" location="'Cost Summary'!A1" display="'Cost Summary'!A1"/>
    <hyperlink ref="OWA8" location="'Cost Summary'!A1" display="'Cost Summary'!A1"/>
    <hyperlink ref="OWB8" location="'Cost Summary'!A1" display="'Cost Summary'!A1"/>
    <hyperlink ref="OWC8" location="'Cost Summary'!A1" display="'Cost Summary'!A1"/>
    <hyperlink ref="OWD8" location="'Cost Summary'!A1" display="'Cost Summary'!A1"/>
    <hyperlink ref="OWE8" location="'Cost Summary'!A1" display="'Cost Summary'!A1"/>
    <hyperlink ref="OWF8" location="'Cost Summary'!A1" display="'Cost Summary'!A1"/>
    <hyperlink ref="OWG8" location="'Cost Summary'!A1" display="'Cost Summary'!A1"/>
    <hyperlink ref="OWH8" location="'Cost Summary'!A1" display="'Cost Summary'!A1"/>
    <hyperlink ref="OWI8" location="'Cost Summary'!A1" display="'Cost Summary'!A1"/>
    <hyperlink ref="OWJ8" location="'Cost Summary'!A1" display="'Cost Summary'!A1"/>
    <hyperlink ref="OWK8" location="'Cost Summary'!A1" display="'Cost Summary'!A1"/>
    <hyperlink ref="OWL8" location="'Cost Summary'!A1" display="'Cost Summary'!A1"/>
    <hyperlink ref="OWM8" location="'Cost Summary'!A1" display="'Cost Summary'!A1"/>
    <hyperlink ref="OWN8" location="'Cost Summary'!A1" display="'Cost Summary'!A1"/>
    <hyperlink ref="OWO8" location="'Cost Summary'!A1" display="'Cost Summary'!A1"/>
    <hyperlink ref="OWP8" location="'Cost Summary'!A1" display="'Cost Summary'!A1"/>
    <hyperlink ref="OWQ8" location="'Cost Summary'!A1" display="'Cost Summary'!A1"/>
    <hyperlink ref="OWR8" location="'Cost Summary'!A1" display="'Cost Summary'!A1"/>
    <hyperlink ref="OWS8" location="'Cost Summary'!A1" display="'Cost Summary'!A1"/>
    <hyperlink ref="OWT8" location="'Cost Summary'!A1" display="'Cost Summary'!A1"/>
    <hyperlink ref="OWU8" location="'Cost Summary'!A1" display="'Cost Summary'!A1"/>
    <hyperlink ref="OWV8" location="'Cost Summary'!A1" display="'Cost Summary'!A1"/>
    <hyperlink ref="OWW8" location="'Cost Summary'!A1" display="'Cost Summary'!A1"/>
    <hyperlink ref="OWX8" location="'Cost Summary'!A1" display="'Cost Summary'!A1"/>
    <hyperlink ref="OWY8" location="'Cost Summary'!A1" display="'Cost Summary'!A1"/>
    <hyperlink ref="OWZ8" location="'Cost Summary'!A1" display="'Cost Summary'!A1"/>
    <hyperlink ref="OXA8" location="'Cost Summary'!A1" display="'Cost Summary'!A1"/>
    <hyperlink ref="OXB8" location="'Cost Summary'!A1" display="'Cost Summary'!A1"/>
    <hyperlink ref="OXC8" location="'Cost Summary'!A1" display="'Cost Summary'!A1"/>
    <hyperlink ref="OXD8" location="'Cost Summary'!A1" display="'Cost Summary'!A1"/>
    <hyperlink ref="OXE8" location="'Cost Summary'!A1" display="'Cost Summary'!A1"/>
    <hyperlink ref="OXF8" location="'Cost Summary'!A1" display="'Cost Summary'!A1"/>
    <hyperlink ref="OXG8" location="'Cost Summary'!A1" display="'Cost Summary'!A1"/>
    <hyperlink ref="OXH8" location="'Cost Summary'!A1" display="'Cost Summary'!A1"/>
    <hyperlink ref="OXI8" location="'Cost Summary'!A1" display="'Cost Summary'!A1"/>
    <hyperlink ref="OXJ8" location="'Cost Summary'!A1" display="'Cost Summary'!A1"/>
    <hyperlink ref="OXK8" location="'Cost Summary'!A1" display="'Cost Summary'!A1"/>
    <hyperlink ref="OXL8" location="'Cost Summary'!A1" display="'Cost Summary'!A1"/>
    <hyperlink ref="OXM8" location="'Cost Summary'!A1" display="'Cost Summary'!A1"/>
    <hyperlink ref="OXN8" location="'Cost Summary'!A1" display="'Cost Summary'!A1"/>
    <hyperlink ref="OXO8" location="'Cost Summary'!A1" display="'Cost Summary'!A1"/>
    <hyperlink ref="OXP8" location="'Cost Summary'!A1" display="'Cost Summary'!A1"/>
    <hyperlink ref="OXQ8" location="'Cost Summary'!A1" display="'Cost Summary'!A1"/>
    <hyperlink ref="OXR8" location="'Cost Summary'!A1" display="'Cost Summary'!A1"/>
    <hyperlink ref="OXS8" location="'Cost Summary'!A1" display="'Cost Summary'!A1"/>
    <hyperlink ref="OXT8" location="'Cost Summary'!A1" display="'Cost Summary'!A1"/>
    <hyperlink ref="OXU8" location="'Cost Summary'!A1" display="'Cost Summary'!A1"/>
    <hyperlink ref="OXV8" location="'Cost Summary'!A1" display="'Cost Summary'!A1"/>
    <hyperlink ref="OXW8" location="'Cost Summary'!A1" display="'Cost Summary'!A1"/>
    <hyperlink ref="OXX8" location="'Cost Summary'!A1" display="'Cost Summary'!A1"/>
    <hyperlink ref="OXY8" location="'Cost Summary'!A1" display="'Cost Summary'!A1"/>
    <hyperlink ref="OXZ8" location="'Cost Summary'!A1" display="'Cost Summary'!A1"/>
    <hyperlink ref="OYA8" location="'Cost Summary'!A1" display="'Cost Summary'!A1"/>
    <hyperlink ref="OYB8" location="'Cost Summary'!A1" display="'Cost Summary'!A1"/>
    <hyperlink ref="OYC8" location="'Cost Summary'!A1" display="'Cost Summary'!A1"/>
    <hyperlink ref="OYD8" location="'Cost Summary'!A1" display="'Cost Summary'!A1"/>
    <hyperlink ref="OYE8" location="'Cost Summary'!A1" display="'Cost Summary'!A1"/>
    <hyperlink ref="OYF8" location="'Cost Summary'!A1" display="'Cost Summary'!A1"/>
    <hyperlink ref="OYG8" location="'Cost Summary'!A1" display="'Cost Summary'!A1"/>
    <hyperlink ref="OYH8" location="'Cost Summary'!A1" display="'Cost Summary'!A1"/>
    <hyperlink ref="OYI8" location="'Cost Summary'!A1" display="'Cost Summary'!A1"/>
    <hyperlink ref="OYJ8" location="'Cost Summary'!A1" display="'Cost Summary'!A1"/>
    <hyperlink ref="OYK8" location="'Cost Summary'!A1" display="'Cost Summary'!A1"/>
    <hyperlink ref="OYL8" location="'Cost Summary'!A1" display="'Cost Summary'!A1"/>
    <hyperlink ref="OYM8" location="'Cost Summary'!A1" display="'Cost Summary'!A1"/>
    <hyperlink ref="OYN8" location="'Cost Summary'!A1" display="'Cost Summary'!A1"/>
    <hyperlink ref="OYO8" location="'Cost Summary'!A1" display="'Cost Summary'!A1"/>
    <hyperlink ref="OYP8" location="'Cost Summary'!A1" display="'Cost Summary'!A1"/>
    <hyperlink ref="OYQ8" location="'Cost Summary'!A1" display="'Cost Summary'!A1"/>
    <hyperlink ref="OYR8" location="'Cost Summary'!A1" display="'Cost Summary'!A1"/>
    <hyperlink ref="OYS8" location="'Cost Summary'!A1" display="'Cost Summary'!A1"/>
    <hyperlink ref="OYT8" location="'Cost Summary'!A1" display="'Cost Summary'!A1"/>
    <hyperlink ref="OYU8" location="'Cost Summary'!A1" display="'Cost Summary'!A1"/>
    <hyperlink ref="OYV8" location="'Cost Summary'!A1" display="'Cost Summary'!A1"/>
    <hyperlink ref="OYW8" location="'Cost Summary'!A1" display="'Cost Summary'!A1"/>
    <hyperlink ref="OYX8" location="'Cost Summary'!A1" display="'Cost Summary'!A1"/>
    <hyperlink ref="OYY8" location="'Cost Summary'!A1" display="'Cost Summary'!A1"/>
    <hyperlink ref="OYZ8" location="'Cost Summary'!A1" display="'Cost Summary'!A1"/>
    <hyperlink ref="OZA8" location="'Cost Summary'!A1" display="'Cost Summary'!A1"/>
    <hyperlink ref="OZB8" location="'Cost Summary'!A1" display="'Cost Summary'!A1"/>
    <hyperlink ref="OZC8" location="'Cost Summary'!A1" display="'Cost Summary'!A1"/>
    <hyperlink ref="OZD8" location="'Cost Summary'!A1" display="'Cost Summary'!A1"/>
    <hyperlink ref="OZE8" location="'Cost Summary'!A1" display="'Cost Summary'!A1"/>
    <hyperlink ref="OZF8" location="'Cost Summary'!A1" display="'Cost Summary'!A1"/>
    <hyperlink ref="OZG8" location="'Cost Summary'!A1" display="'Cost Summary'!A1"/>
    <hyperlink ref="OZH8" location="'Cost Summary'!A1" display="'Cost Summary'!A1"/>
    <hyperlink ref="OZI8" location="'Cost Summary'!A1" display="'Cost Summary'!A1"/>
    <hyperlink ref="OZJ8" location="'Cost Summary'!A1" display="'Cost Summary'!A1"/>
    <hyperlink ref="OZK8" location="'Cost Summary'!A1" display="'Cost Summary'!A1"/>
    <hyperlink ref="OZL8" location="'Cost Summary'!A1" display="'Cost Summary'!A1"/>
    <hyperlink ref="OZM8" location="'Cost Summary'!A1" display="'Cost Summary'!A1"/>
    <hyperlink ref="OZN8" location="'Cost Summary'!A1" display="'Cost Summary'!A1"/>
    <hyperlink ref="OZO8" location="'Cost Summary'!A1" display="'Cost Summary'!A1"/>
    <hyperlink ref="OZP8" location="'Cost Summary'!A1" display="'Cost Summary'!A1"/>
    <hyperlink ref="OZQ8" location="'Cost Summary'!A1" display="'Cost Summary'!A1"/>
    <hyperlink ref="OZR8" location="'Cost Summary'!A1" display="'Cost Summary'!A1"/>
    <hyperlink ref="OZS8" location="'Cost Summary'!A1" display="'Cost Summary'!A1"/>
    <hyperlink ref="OZT8" location="'Cost Summary'!A1" display="'Cost Summary'!A1"/>
    <hyperlink ref="OZU8" location="'Cost Summary'!A1" display="'Cost Summary'!A1"/>
    <hyperlink ref="OZV8" location="'Cost Summary'!A1" display="'Cost Summary'!A1"/>
    <hyperlink ref="OZW8" location="'Cost Summary'!A1" display="'Cost Summary'!A1"/>
    <hyperlink ref="OZX8" location="'Cost Summary'!A1" display="'Cost Summary'!A1"/>
    <hyperlink ref="OZY8" location="'Cost Summary'!A1" display="'Cost Summary'!A1"/>
    <hyperlink ref="OZZ8" location="'Cost Summary'!A1" display="'Cost Summary'!A1"/>
    <hyperlink ref="PAA8" location="'Cost Summary'!A1" display="'Cost Summary'!A1"/>
    <hyperlink ref="PAB8" location="'Cost Summary'!A1" display="'Cost Summary'!A1"/>
    <hyperlink ref="PAC8" location="'Cost Summary'!A1" display="'Cost Summary'!A1"/>
    <hyperlink ref="PAD8" location="'Cost Summary'!A1" display="'Cost Summary'!A1"/>
    <hyperlink ref="PAE8" location="'Cost Summary'!A1" display="'Cost Summary'!A1"/>
    <hyperlink ref="PAF8" location="'Cost Summary'!A1" display="'Cost Summary'!A1"/>
    <hyperlink ref="PAG8" location="'Cost Summary'!A1" display="'Cost Summary'!A1"/>
    <hyperlink ref="PAH8" location="'Cost Summary'!A1" display="'Cost Summary'!A1"/>
    <hyperlink ref="PAI8" location="'Cost Summary'!A1" display="'Cost Summary'!A1"/>
    <hyperlink ref="PAJ8" location="'Cost Summary'!A1" display="'Cost Summary'!A1"/>
    <hyperlink ref="PAK8" location="'Cost Summary'!A1" display="'Cost Summary'!A1"/>
    <hyperlink ref="PAL8" location="'Cost Summary'!A1" display="'Cost Summary'!A1"/>
    <hyperlink ref="PAM8" location="'Cost Summary'!A1" display="'Cost Summary'!A1"/>
    <hyperlink ref="PAN8" location="'Cost Summary'!A1" display="'Cost Summary'!A1"/>
    <hyperlink ref="PAO8" location="'Cost Summary'!A1" display="'Cost Summary'!A1"/>
    <hyperlink ref="PAP8" location="'Cost Summary'!A1" display="'Cost Summary'!A1"/>
    <hyperlink ref="PAQ8" location="'Cost Summary'!A1" display="'Cost Summary'!A1"/>
    <hyperlink ref="PAR8" location="'Cost Summary'!A1" display="'Cost Summary'!A1"/>
    <hyperlink ref="PAS8" location="'Cost Summary'!A1" display="'Cost Summary'!A1"/>
    <hyperlink ref="PAT8" location="'Cost Summary'!A1" display="'Cost Summary'!A1"/>
    <hyperlink ref="PAU8" location="'Cost Summary'!A1" display="'Cost Summary'!A1"/>
    <hyperlink ref="PAV8" location="'Cost Summary'!A1" display="'Cost Summary'!A1"/>
    <hyperlink ref="PAW8" location="'Cost Summary'!A1" display="'Cost Summary'!A1"/>
    <hyperlink ref="PAX8" location="'Cost Summary'!A1" display="'Cost Summary'!A1"/>
    <hyperlink ref="PAY8" location="'Cost Summary'!A1" display="'Cost Summary'!A1"/>
    <hyperlink ref="PAZ8" location="'Cost Summary'!A1" display="'Cost Summary'!A1"/>
    <hyperlink ref="PBA8" location="'Cost Summary'!A1" display="'Cost Summary'!A1"/>
    <hyperlink ref="PBB8" location="'Cost Summary'!A1" display="'Cost Summary'!A1"/>
    <hyperlink ref="PBC8" location="'Cost Summary'!A1" display="'Cost Summary'!A1"/>
    <hyperlink ref="PBD8" location="'Cost Summary'!A1" display="'Cost Summary'!A1"/>
    <hyperlink ref="PBE8" location="'Cost Summary'!A1" display="'Cost Summary'!A1"/>
    <hyperlink ref="PBF8" location="'Cost Summary'!A1" display="'Cost Summary'!A1"/>
    <hyperlink ref="PBG8" location="'Cost Summary'!A1" display="'Cost Summary'!A1"/>
    <hyperlink ref="PBH8" location="'Cost Summary'!A1" display="'Cost Summary'!A1"/>
    <hyperlink ref="PBI8" location="'Cost Summary'!A1" display="'Cost Summary'!A1"/>
    <hyperlink ref="PBJ8" location="'Cost Summary'!A1" display="'Cost Summary'!A1"/>
    <hyperlink ref="PBK8" location="'Cost Summary'!A1" display="'Cost Summary'!A1"/>
    <hyperlink ref="PBL8" location="'Cost Summary'!A1" display="'Cost Summary'!A1"/>
    <hyperlink ref="PBM8" location="'Cost Summary'!A1" display="'Cost Summary'!A1"/>
    <hyperlink ref="PBN8" location="'Cost Summary'!A1" display="'Cost Summary'!A1"/>
    <hyperlink ref="PBO8" location="'Cost Summary'!A1" display="'Cost Summary'!A1"/>
    <hyperlink ref="PBP8" location="'Cost Summary'!A1" display="'Cost Summary'!A1"/>
    <hyperlink ref="PBQ8" location="'Cost Summary'!A1" display="'Cost Summary'!A1"/>
    <hyperlink ref="PBR8" location="'Cost Summary'!A1" display="'Cost Summary'!A1"/>
    <hyperlink ref="PBS8" location="'Cost Summary'!A1" display="'Cost Summary'!A1"/>
    <hyperlink ref="PBT8" location="'Cost Summary'!A1" display="'Cost Summary'!A1"/>
    <hyperlink ref="PBU8" location="'Cost Summary'!A1" display="'Cost Summary'!A1"/>
    <hyperlink ref="PBV8" location="'Cost Summary'!A1" display="'Cost Summary'!A1"/>
    <hyperlink ref="PBW8" location="'Cost Summary'!A1" display="'Cost Summary'!A1"/>
    <hyperlink ref="PBX8" location="'Cost Summary'!A1" display="'Cost Summary'!A1"/>
    <hyperlink ref="PBY8" location="'Cost Summary'!A1" display="'Cost Summary'!A1"/>
    <hyperlink ref="PBZ8" location="'Cost Summary'!A1" display="'Cost Summary'!A1"/>
    <hyperlink ref="PCA8" location="'Cost Summary'!A1" display="'Cost Summary'!A1"/>
    <hyperlink ref="PCB8" location="'Cost Summary'!A1" display="'Cost Summary'!A1"/>
    <hyperlink ref="PCC8" location="'Cost Summary'!A1" display="'Cost Summary'!A1"/>
    <hyperlink ref="PCD8" location="'Cost Summary'!A1" display="'Cost Summary'!A1"/>
    <hyperlink ref="PCE8" location="'Cost Summary'!A1" display="'Cost Summary'!A1"/>
    <hyperlink ref="PCF8" location="'Cost Summary'!A1" display="'Cost Summary'!A1"/>
    <hyperlink ref="PCG8" location="'Cost Summary'!A1" display="'Cost Summary'!A1"/>
    <hyperlink ref="PCH8" location="'Cost Summary'!A1" display="'Cost Summary'!A1"/>
    <hyperlink ref="PCI8" location="'Cost Summary'!A1" display="'Cost Summary'!A1"/>
    <hyperlink ref="PCJ8" location="'Cost Summary'!A1" display="'Cost Summary'!A1"/>
    <hyperlink ref="PCK8" location="'Cost Summary'!A1" display="'Cost Summary'!A1"/>
    <hyperlink ref="PCL8" location="'Cost Summary'!A1" display="'Cost Summary'!A1"/>
    <hyperlink ref="PCM8" location="'Cost Summary'!A1" display="'Cost Summary'!A1"/>
    <hyperlink ref="PCN8" location="'Cost Summary'!A1" display="'Cost Summary'!A1"/>
    <hyperlink ref="PCO8" location="'Cost Summary'!A1" display="'Cost Summary'!A1"/>
    <hyperlink ref="PCP8" location="'Cost Summary'!A1" display="'Cost Summary'!A1"/>
    <hyperlink ref="PCQ8" location="'Cost Summary'!A1" display="'Cost Summary'!A1"/>
    <hyperlink ref="PCR8" location="'Cost Summary'!A1" display="'Cost Summary'!A1"/>
    <hyperlink ref="PCS8" location="'Cost Summary'!A1" display="'Cost Summary'!A1"/>
    <hyperlink ref="PCT8" location="'Cost Summary'!A1" display="'Cost Summary'!A1"/>
    <hyperlink ref="PCU8" location="'Cost Summary'!A1" display="'Cost Summary'!A1"/>
    <hyperlink ref="PCV8" location="'Cost Summary'!A1" display="'Cost Summary'!A1"/>
    <hyperlink ref="PCW8" location="'Cost Summary'!A1" display="'Cost Summary'!A1"/>
    <hyperlink ref="PCX8" location="'Cost Summary'!A1" display="'Cost Summary'!A1"/>
    <hyperlink ref="PCY8" location="'Cost Summary'!A1" display="'Cost Summary'!A1"/>
    <hyperlink ref="PCZ8" location="'Cost Summary'!A1" display="'Cost Summary'!A1"/>
    <hyperlink ref="PDA8" location="'Cost Summary'!A1" display="'Cost Summary'!A1"/>
    <hyperlink ref="PDB8" location="'Cost Summary'!A1" display="'Cost Summary'!A1"/>
    <hyperlink ref="PDC8" location="'Cost Summary'!A1" display="'Cost Summary'!A1"/>
    <hyperlink ref="PDD8" location="'Cost Summary'!A1" display="'Cost Summary'!A1"/>
    <hyperlink ref="PDE8" location="'Cost Summary'!A1" display="'Cost Summary'!A1"/>
    <hyperlink ref="PDF8" location="'Cost Summary'!A1" display="'Cost Summary'!A1"/>
    <hyperlink ref="PDG8" location="'Cost Summary'!A1" display="'Cost Summary'!A1"/>
    <hyperlink ref="PDH8" location="'Cost Summary'!A1" display="'Cost Summary'!A1"/>
    <hyperlink ref="PDI8" location="'Cost Summary'!A1" display="'Cost Summary'!A1"/>
    <hyperlink ref="PDJ8" location="'Cost Summary'!A1" display="'Cost Summary'!A1"/>
    <hyperlink ref="PDK8" location="'Cost Summary'!A1" display="'Cost Summary'!A1"/>
    <hyperlink ref="PDL8" location="'Cost Summary'!A1" display="'Cost Summary'!A1"/>
    <hyperlink ref="PDM8" location="'Cost Summary'!A1" display="'Cost Summary'!A1"/>
    <hyperlink ref="PDN8" location="'Cost Summary'!A1" display="'Cost Summary'!A1"/>
    <hyperlink ref="PDO8" location="'Cost Summary'!A1" display="'Cost Summary'!A1"/>
    <hyperlink ref="PDP8" location="'Cost Summary'!A1" display="'Cost Summary'!A1"/>
    <hyperlink ref="PDQ8" location="'Cost Summary'!A1" display="'Cost Summary'!A1"/>
    <hyperlink ref="PDR8" location="'Cost Summary'!A1" display="'Cost Summary'!A1"/>
    <hyperlink ref="PDS8" location="'Cost Summary'!A1" display="'Cost Summary'!A1"/>
    <hyperlink ref="PDT8" location="'Cost Summary'!A1" display="'Cost Summary'!A1"/>
    <hyperlink ref="PDU8" location="'Cost Summary'!A1" display="'Cost Summary'!A1"/>
    <hyperlink ref="PDV8" location="'Cost Summary'!A1" display="'Cost Summary'!A1"/>
    <hyperlink ref="PDW8" location="'Cost Summary'!A1" display="'Cost Summary'!A1"/>
    <hyperlink ref="PDX8" location="'Cost Summary'!A1" display="'Cost Summary'!A1"/>
    <hyperlink ref="PDY8" location="'Cost Summary'!A1" display="'Cost Summary'!A1"/>
    <hyperlink ref="PDZ8" location="'Cost Summary'!A1" display="'Cost Summary'!A1"/>
    <hyperlink ref="PEA8" location="'Cost Summary'!A1" display="'Cost Summary'!A1"/>
    <hyperlink ref="PEB8" location="'Cost Summary'!A1" display="'Cost Summary'!A1"/>
    <hyperlink ref="PEC8" location="'Cost Summary'!A1" display="'Cost Summary'!A1"/>
    <hyperlink ref="PED8" location="'Cost Summary'!A1" display="'Cost Summary'!A1"/>
    <hyperlink ref="PEE8" location="'Cost Summary'!A1" display="'Cost Summary'!A1"/>
    <hyperlink ref="PEF8" location="'Cost Summary'!A1" display="'Cost Summary'!A1"/>
    <hyperlink ref="PEG8" location="'Cost Summary'!A1" display="'Cost Summary'!A1"/>
    <hyperlink ref="PEH8" location="'Cost Summary'!A1" display="'Cost Summary'!A1"/>
    <hyperlink ref="PEI8" location="'Cost Summary'!A1" display="'Cost Summary'!A1"/>
    <hyperlink ref="PEJ8" location="'Cost Summary'!A1" display="'Cost Summary'!A1"/>
    <hyperlink ref="PEK8" location="'Cost Summary'!A1" display="'Cost Summary'!A1"/>
    <hyperlink ref="PEL8" location="'Cost Summary'!A1" display="'Cost Summary'!A1"/>
    <hyperlink ref="PEM8" location="'Cost Summary'!A1" display="'Cost Summary'!A1"/>
    <hyperlink ref="PEN8" location="'Cost Summary'!A1" display="'Cost Summary'!A1"/>
    <hyperlink ref="PEO8" location="'Cost Summary'!A1" display="'Cost Summary'!A1"/>
    <hyperlink ref="PEP8" location="'Cost Summary'!A1" display="'Cost Summary'!A1"/>
    <hyperlink ref="PEQ8" location="'Cost Summary'!A1" display="'Cost Summary'!A1"/>
    <hyperlink ref="PER8" location="'Cost Summary'!A1" display="'Cost Summary'!A1"/>
    <hyperlink ref="PES8" location="'Cost Summary'!A1" display="'Cost Summary'!A1"/>
    <hyperlink ref="PET8" location="'Cost Summary'!A1" display="'Cost Summary'!A1"/>
    <hyperlink ref="PEU8" location="'Cost Summary'!A1" display="'Cost Summary'!A1"/>
    <hyperlink ref="PEV8" location="'Cost Summary'!A1" display="'Cost Summary'!A1"/>
    <hyperlink ref="PEW8" location="'Cost Summary'!A1" display="'Cost Summary'!A1"/>
    <hyperlink ref="PEX8" location="'Cost Summary'!A1" display="'Cost Summary'!A1"/>
    <hyperlink ref="PEY8" location="'Cost Summary'!A1" display="'Cost Summary'!A1"/>
    <hyperlink ref="PEZ8" location="'Cost Summary'!A1" display="'Cost Summary'!A1"/>
    <hyperlink ref="PFA8" location="'Cost Summary'!A1" display="'Cost Summary'!A1"/>
    <hyperlink ref="PFB8" location="'Cost Summary'!A1" display="'Cost Summary'!A1"/>
    <hyperlink ref="PFC8" location="'Cost Summary'!A1" display="'Cost Summary'!A1"/>
    <hyperlink ref="PFD8" location="'Cost Summary'!A1" display="'Cost Summary'!A1"/>
    <hyperlink ref="PFE8" location="'Cost Summary'!A1" display="'Cost Summary'!A1"/>
    <hyperlink ref="PFF8" location="'Cost Summary'!A1" display="'Cost Summary'!A1"/>
    <hyperlink ref="PFG8" location="'Cost Summary'!A1" display="'Cost Summary'!A1"/>
    <hyperlink ref="PFH8" location="'Cost Summary'!A1" display="'Cost Summary'!A1"/>
    <hyperlink ref="PFI8" location="'Cost Summary'!A1" display="'Cost Summary'!A1"/>
    <hyperlink ref="PFJ8" location="'Cost Summary'!A1" display="'Cost Summary'!A1"/>
    <hyperlink ref="PFK8" location="'Cost Summary'!A1" display="'Cost Summary'!A1"/>
    <hyperlink ref="PFL8" location="'Cost Summary'!A1" display="'Cost Summary'!A1"/>
    <hyperlink ref="PFM8" location="'Cost Summary'!A1" display="'Cost Summary'!A1"/>
    <hyperlink ref="PFN8" location="'Cost Summary'!A1" display="'Cost Summary'!A1"/>
    <hyperlink ref="PFO8" location="'Cost Summary'!A1" display="'Cost Summary'!A1"/>
    <hyperlink ref="PFP8" location="'Cost Summary'!A1" display="'Cost Summary'!A1"/>
    <hyperlink ref="PFQ8" location="'Cost Summary'!A1" display="'Cost Summary'!A1"/>
    <hyperlink ref="PFR8" location="'Cost Summary'!A1" display="'Cost Summary'!A1"/>
    <hyperlink ref="PFS8" location="'Cost Summary'!A1" display="'Cost Summary'!A1"/>
    <hyperlink ref="PFT8" location="'Cost Summary'!A1" display="'Cost Summary'!A1"/>
    <hyperlink ref="PFU8" location="'Cost Summary'!A1" display="'Cost Summary'!A1"/>
    <hyperlink ref="PFV8" location="'Cost Summary'!A1" display="'Cost Summary'!A1"/>
    <hyperlink ref="PFW8" location="'Cost Summary'!A1" display="'Cost Summary'!A1"/>
    <hyperlink ref="PFX8" location="'Cost Summary'!A1" display="'Cost Summary'!A1"/>
    <hyperlink ref="PFY8" location="'Cost Summary'!A1" display="'Cost Summary'!A1"/>
    <hyperlink ref="PFZ8" location="'Cost Summary'!A1" display="'Cost Summary'!A1"/>
    <hyperlink ref="PGA8" location="'Cost Summary'!A1" display="'Cost Summary'!A1"/>
    <hyperlink ref="PGB8" location="'Cost Summary'!A1" display="'Cost Summary'!A1"/>
    <hyperlink ref="PGC8" location="'Cost Summary'!A1" display="'Cost Summary'!A1"/>
    <hyperlink ref="PGD8" location="'Cost Summary'!A1" display="'Cost Summary'!A1"/>
    <hyperlink ref="PGE8" location="'Cost Summary'!A1" display="'Cost Summary'!A1"/>
    <hyperlink ref="PGF8" location="'Cost Summary'!A1" display="'Cost Summary'!A1"/>
    <hyperlink ref="PGG8" location="'Cost Summary'!A1" display="'Cost Summary'!A1"/>
    <hyperlink ref="PGH8" location="'Cost Summary'!A1" display="'Cost Summary'!A1"/>
    <hyperlink ref="PGI8" location="'Cost Summary'!A1" display="'Cost Summary'!A1"/>
    <hyperlink ref="PGJ8" location="'Cost Summary'!A1" display="'Cost Summary'!A1"/>
    <hyperlink ref="PGK8" location="'Cost Summary'!A1" display="'Cost Summary'!A1"/>
    <hyperlink ref="PGL8" location="'Cost Summary'!A1" display="'Cost Summary'!A1"/>
    <hyperlink ref="PGM8" location="'Cost Summary'!A1" display="'Cost Summary'!A1"/>
    <hyperlink ref="PGN8" location="'Cost Summary'!A1" display="'Cost Summary'!A1"/>
    <hyperlink ref="PGO8" location="'Cost Summary'!A1" display="'Cost Summary'!A1"/>
    <hyperlink ref="PGP8" location="'Cost Summary'!A1" display="'Cost Summary'!A1"/>
    <hyperlink ref="PGQ8" location="'Cost Summary'!A1" display="'Cost Summary'!A1"/>
    <hyperlink ref="PGR8" location="'Cost Summary'!A1" display="'Cost Summary'!A1"/>
    <hyperlink ref="PGS8" location="'Cost Summary'!A1" display="'Cost Summary'!A1"/>
    <hyperlink ref="PGT8" location="'Cost Summary'!A1" display="'Cost Summary'!A1"/>
    <hyperlink ref="PGU8" location="'Cost Summary'!A1" display="'Cost Summary'!A1"/>
    <hyperlink ref="PGV8" location="'Cost Summary'!A1" display="'Cost Summary'!A1"/>
    <hyperlink ref="PGW8" location="'Cost Summary'!A1" display="'Cost Summary'!A1"/>
    <hyperlink ref="PGX8" location="'Cost Summary'!A1" display="'Cost Summary'!A1"/>
    <hyperlink ref="PGY8" location="'Cost Summary'!A1" display="'Cost Summary'!A1"/>
    <hyperlink ref="PGZ8" location="'Cost Summary'!A1" display="'Cost Summary'!A1"/>
    <hyperlink ref="PHA8" location="'Cost Summary'!A1" display="'Cost Summary'!A1"/>
    <hyperlink ref="PHB8" location="'Cost Summary'!A1" display="'Cost Summary'!A1"/>
    <hyperlink ref="PHC8" location="'Cost Summary'!A1" display="'Cost Summary'!A1"/>
    <hyperlink ref="PHD8" location="'Cost Summary'!A1" display="'Cost Summary'!A1"/>
    <hyperlink ref="PHE8" location="'Cost Summary'!A1" display="'Cost Summary'!A1"/>
    <hyperlink ref="PHF8" location="'Cost Summary'!A1" display="'Cost Summary'!A1"/>
    <hyperlink ref="PHG8" location="'Cost Summary'!A1" display="'Cost Summary'!A1"/>
    <hyperlink ref="PHH8" location="'Cost Summary'!A1" display="'Cost Summary'!A1"/>
    <hyperlink ref="PHI8" location="'Cost Summary'!A1" display="'Cost Summary'!A1"/>
    <hyperlink ref="PHJ8" location="'Cost Summary'!A1" display="'Cost Summary'!A1"/>
    <hyperlink ref="PHK8" location="'Cost Summary'!A1" display="'Cost Summary'!A1"/>
    <hyperlink ref="PHL8" location="'Cost Summary'!A1" display="'Cost Summary'!A1"/>
    <hyperlink ref="PHM8" location="'Cost Summary'!A1" display="'Cost Summary'!A1"/>
    <hyperlink ref="PHN8" location="'Cost Summary'!A1" display="'Cost Summary'!A1"/>
    <hyperlink ref="PHO8" location="'Cost Summary'!A1" display="'Cost Summary'!A1"/>
    <hyperlink ref="PHP8" location="'Cost Summary'!A1" display="'Cost Summary'!A1"/>
    <hyperlink ref="PHQ8" location="'Cost Summary'!A1" display="'Cost Summary'!A1"/>
    <hyperlink ref="PHR8" location="'Cost Summary'!A1" display="'Cost Summary'!A1"/>
    <hyperlink ref="PHS8" location="'Cost Summary'!A1" display="'Cost Summary'!A1"/>
    <hyperlink ref="PHT8" location="'Cost Summary'!A1" display="'Cost Summary'!A1"/>
    <hyperlink ref="PHU8" location="'Cost Summary'!A1" display="'Cost Summary'!A1"/>
    <hyperlink ref="PHV8" location="'Cost Summary'!A1" display="'Cost Summary'!A1"/>
    <hyperlink ref="PHW8" location="'Cost Summary'!A1" display="'Cost Summary'!A1"/>
    <hyperlink ref="PHX8" location="'Cost Summary'!A1" display="'Cost Summary'!A1"/>
    <hyperlink ref="PHY8" location="'Cost Summary'!A1" display="'Cost Summary'!A1"/>
    <hyperlink ref="PHZ8" location="'Cost Summary'!A1" display="'Cost Summary'!A1"/>
    <hyperlink ref="PIA8" location="'Cost Summary'!A1" display="'Cost Summary'!A1"/>
    <hyperlink ref="PIB8" location="'Cost Summary'!A1" display="'Cost Summary'!A1"/>
    <hyperlink ref="PIC8" location="'Cost Summary'!A1" display="'Cost Summary'!A1"/>
    <hyperlink ref="PID8" location="'Cost Summary'!A1" display="'Cost Summary'!A1"/>
    <hyperlink ref="PIE8" location="'Cost Summary'!A1" display="'Cost Summary'!A1"/>
    <hyperlink ref="PIF8" location="'Cost Summary'!A1" display="'Cost Summary'!A1"/>
    <hyperlink ref="PIG8" location="'Cost Summary'!A1" display="'Cost Summary'!A1"/>
    <hyperlink ref="PIH8" location="'Cost Summary'!A1" display="'Cost Summary'!A1"/>
    <hyperlink ref="PII8" location="'Cost Summary'!A1" display="'Cost Summary'!A1"/>
    <hyperlink ref="PIJ8" location="'Cost Summary'!A1" display="'Cost Summary'!A1"/>
    <hyperlink ref="PIK8" location="'Cost Summary'!A1" display="'Cost Summary'!A1"/>
    <hyperlink ref="PIL8" location="'Cost Summary'!A1" display="'Cost Summary'!A1"/>
    <hyperlink ref="PIM8" location="'Cost Summary'!A1" display="'Cost Summary'!A1"/>
    <hyperlink ref="PIN8" location="'Cost Summary'!A1" display="'Cost Summary'!A1"/>
    <hyperlink ref="PIO8" location="'Cost Summary'!A1" display="'Cost Summary'!A1"/>
    <hyperlink ref="PIP8" location="'Cost Summary'!A1" display="'Cost Summary'!A1"/>
    <hyperlink ref="PIQ8" location="'Cost Summary'!A1" display="'Cost Summary'!A1"/>
    <hyperlink ref="PIR8" location="'Cost Summary'!A1" display="'Cost Summary'!A1"/>
    <hyperlink ref="PIS8" location="'Cost Summary'!A1" display="'Cost Summary'!A1"/>
    <hyperlink ref="PIT8" location="'Cost Summary'!A1" display="'Cost Summary'!A1"/>
    <hyperlink ref="PIU8" location="'Cost Summary'!A1" display="'Cost Summary'!A1"/>
    <hyperlink ref="PIV8" location="'Cost Summary'!A1" display="'Cost Summary'!A1"/>
    <hyperlink ref="PIW8" location="'Cost Summary'!A1" display="'Cost Summary'!A1"/>
    <hyperlink ref="PIX8" location="'Cost Summary'!A1" display="'Cost Summary'!A1"/>
    <hyperlink ref="PIY8" location="'Cost Summary'!A1" display="'Cost Summary'!A1"/>
    <hyperlink ref="PIZ8" location="'Cost Summary'!A1" display="'Cost Summary'!A1"/>
    <hyperlink ref="PJA8" location="'Cost Summary'!A1" display="'Cost Summary'!A1"/>
    <hyperlink ref="PJB8" location="'Cost Summary'!A1" display="'Cost Summary'!A1"/>
    <hyperlink ref="PJC8" location="'Cost Summary'!A1" display="'Cost Summary'!A1"/>
    <hyperlink ref="PJD8" location="'Cost Summary'!A1" display="'Cost Summary'!A1"/>
    <hyperlink ref="PJE8" location="'Cost Summary'!A1" display="'Cost Summary'!A1"/>
    <hyperlink ref="PJF8" location="'Cost Summary'!A1" display="'Cost Summary'!A1"/>
    <hyperlink ref="PJG8" location="'Cost Summary'!A1" display="'Cost Summary'!A1"/>
    <hyperlink ref="PJH8" location="'Cost Summary'!A1" display="'Cost Summary'!A1"/>
    <hyperlink ref="PJI8" location="'Cost Summary'!A1" display="'Cost Summary'!A1"/>
    <hyperlink ref="PJJ8" location="'Cost Summary'!A1" display="'Cost Summary'!A1"/>
    <hyperlink ref="PJK8" location="'Cost Summary'!A1" display="'Cost Summary'!A1"/>
    <hyperlink ref="PJL8" location="'Cost Summary'!A1" display="'Cost Summary'!A1"/>
    <hyperlink ref="PJM8" location="'Cost Summary'!A1" display="'Cost Summary'!A1"/>
    <hyperlink ref="PJN8" location="'Cost Summary'!A1" display="'Cost Summary'!A1"/>
    <hyperlink ref="PJO8" location="'Cost Summary'!A1" display="'Cost Summary'!A1"/>
    <hyperlink ref="PJP8" location="'Cost Summary'!A1" display="'Cost Summary'!A1"/>
    <hyperlink ref="PJQ8" location="'Cost Summary'!A1" display="'Cost Summary'!A1"/>
    <hyperlink ref="PJR8" location="'Cost Summary'!A1" display="'Cost Summary'!A1"/>
    <hyperlink ref="PJS8" location="'Cost Summary'!A1" display="'Cost Summary'!A1"/>
    <hyperlink ref="PJT8" location="'Cost Summary'!A1" display="'Cost Summary'!A1"/>
    <hyperlink ref="PJU8" location="'Cost Summary'!A1" display="'Cost Summary'!A1"/>
    <hyperlink ref="PJV8" location="'Cost Summary'!A1" display="'Cost Summary'!A1"/>
    <hyperlink ref="PJW8" location="'Cost Summary'!A1" display="'Cost Summary'!A1"/>
    <hyperlink ref="PJX8" location="'Cost Summary'!A1" display="'Cost Summary'!A1"/>
    <hyperlink ref="PJY8" location="'Cost Summary'!A1" display="'Cost Summary'!A1"/>
    <hyperlink ref="PJZ8" location="'Cost Summary'!A1" display="'Cost Summary'!A1"/>
    <hyperlink ref="PKA8" location="'Cost Summary'!A1" display="'Cost Summary'!A1"/>
    <hyperlink ref="PKB8" location="'Cost Summary'!A1" display="'Cost Summary'!A1"/>
    <hyperlink ref="PKC8" location="'Cost Summary'!A1" display="'Cost Summary'!A1"/>
    <hyperlink ref="PKD8" location="'Cost Summary'!A1" display="'Cost Summary'!A1"/>
    <hyperlink ref="PKE8" location="'Cost Summary'!A1" display="'Cost Summary'!A1"/>
    <hyperlink ref="PKF8" location="'Cost Summary'!A1" display="'Cost Summary'!A1"/>
    <hyperlink ref="PKG8" location="'Cost Summary'!A1" display="'Cost Summary'!A1"/>
    <hyperlink ref="PKH8" location="'Cost Summary'!A1" display="'Cost Summary'!A1"/>
    <hyperlink ref="PKI8" location="'Cost Summary'!A1" display="'Cost Summary'!A1"/>
    <hyperlink ref="PKJ8" location="'Cost Summary'!A1" display="'Cost Summary'!A1"/>
    <hyperlink ref="PKK8" location="'Cost Summary'!A1" display="'Cost Summary'!A1"/>
    <hyperlink ref="PKL8" location="'Cost Summary'!A1" display="'Cost Summary'!A1"/>
    <hyperlink ref="PKM8" location="'Cost Summary'!A1" display="'Cost Summary'!A1"/>
    <hyperlink ref="PKN8" location="'Cost Summary'!A1" display="'Cost Summary'!A1"/>
    <hyperlink ref="PKO8" location="'Cost Summary'!A1" display="'Cost Summary'!A1"/>
    <hyperlink ref="PKP8" location="'Cost Summary'!A1" display="'Cost Summary'!A1"/>
    <hyperlink ref="PKQ8" location="'Cost Summary'!A1" display="'Cost Summary'!A1"/>
    <hyperlink ref="PKR8" location="'Cost Summary'!A1" display="'Cost Summary'!A1"/>
    <hyperlink ref="PKS8" location="'Cost Summary'!A1" display="'Cost Summary'!A1"/>
    <hyperlink ref="PKT8" location="'Cost Summary'!A1" display="'Cost Summary'!A1"/>
    <hyperlink ref="PKU8" location="'Cost Summary'!A1" display="'Cost Summary'!A1"/>
    <hyperlink ref="PKV8" location="'Cost Summary'!A1" display="'Cost Summary'!A1"/>
    <hyperlink ref="PKW8" location="'Cost Summary'!A1" display="'Cost Summary'!A1"/>
    <hyperlink ref="PKX8" location="'Cost Summary'!A1" display="'Cost Summary'!A1"/>
    <hyperlink ref="PKY8" location="'Cost Summary'!A1" display="'Cost Summary'!A1"/>
    <hyperlink ref="PKZ8" location="'Cost Summary'!A1" display="'Cost Summary'!A1"/>
    <hyperlink ref="PLA8" location="'Cost Summary'!A1" display="'Cost Summary'!A1"/>
    <hyperlink ref="PLB8" location="'Cost Summary'!A1" display="'Cost Summary'!A1"/>
    <hyperlink ref="PLC8" location="'Cost Summary'!A1" display="'Cost Summary'!A1"/>
    <hyperlink ref="PLD8" location="'Cost Summary'!A1" display="'Cost Summary'!A1"/>
    <hyperlink ref="PLE8" location="'Cost Summary'!A1" display="'Cost Summary'!A1"/>
    <hyperlink ref="PLF8" location="'Cost Summary'!A1" display="'Cost Summary'!A1"/>
    <hyperlink ref="PLG8" location="'Cost Summary'!A1" display="'Cost Summary'!A1"/>
    <hyperlink ref="PLH8" location="'Cost Summary'!A1" display="'Cost Summary'!A1"/>
    <hyperlink ref="PLI8" location="'Cost Summary'!A1" display="'Cost Summary'!A1"/>
    <hyperlink ref="PLJ8" location="'Cost Summary'!A1" display="'Cost Summary'!A1"/>
    <hyperlink ref="PLK8" location="'Cost Summary'!A1" display="'Cost Summary'!A1"/>
    <hyperlink ref="PLL8" location="'Cost Summary'!A1" display="'Cost Summary'!A1"/>
    <hyperlink ref="PLM8" location="'Cost Summary'!A1" display="'Cost Summary'!A1"/>
    <hyperlink ref="PLN8" location="'Cost Summary'!A1" display="'Cost Summary'!A1"/>
    <hyperlink ref="PLO8" location="'Cost Summary'!A1" display="'Cost Summary'!A1"/>
    <hyperlink ref="PLP8" location="'Cost Summary'!A1" display="'Cost Summary'!A1"/>
    <hyperlink ref="PLQ8" location="'Cost Summary'!A1" display="'Cost Summary'!A1"/>
    <hyperlink ref="PLR8" location="'Cost Summary'!A1" display="'Cost Summary'!A1"/>
    <hyperlink ref="PLS8" location="'Cost Summary'!A1" display="'Cost Summary'!A1"/>
    <hyperlink ref="PLT8" location="'Cost Summary'!A1" display="'Cost Summary'!A1"/>
    <hyperlink ref="PLU8" location="'Cost Summary'!A1" display="'Cost Summary'!A1"/>
    <hyperlink ref="PLV8" location="'Cost Summary'!A1" display="'Cost Summary'!A1"/>
    <hyperlink ref="PLW8" location="'Cost Summary'!A1" display="'Cost Summary'!A1"/>
    <hyperlink ref="PLX8" location="'Cost Summary'!A1" display="'Cost Summary'!A1"/>
    <hyperlink ref="PLY8" location="'Cost Summary'!A1" display="'Cost Summary'!A1"/>
    <hyperlink ref="PLZ8" location="'Cost Summary'!A1" display="'Cost Summary'!A1"/>
    <hyperlink ref="PMA8" location="'Cost Summary'!A1" display="'Cost Summary'!A1"/>
    <hyperlink ref="PMB8" location="'Cost Summary'!A1" display="'Cost Summary'!A1"/>
    <hyperlink ref="PMC8" location="'Cost Summary'!A1" display="'Cost Summary'!A1"/>
    <hyperlink ref="PMD8" location="'Cost Summary'!A1" display="'Cost Summary'!A1"/>
    <hyperlink ref="PME8" location="'Cost Summary'!A1" display="'Cost Summary'!A1"/>
    <hyperlink ref="PMF8" location="'Cost Summary'!A1" display="'Cost Summary'!A1"/>
    <hyperlink ref="PMG8" location="'Cost Summary'!A1" display="'Cost Summary'!A1"/>
    <hyperlink ref="PMH8" location="'Cost Summary'!A1" display="'Cost Summary'!A1"/>
    <hyperlink ref="PMI8" location="'Cost Summary'!A1" display="'Cost Summary'!A1"/>
    <hyperlink ref="PMJ8" location="'Cost Summary'!A1" display="'Cost Summary'!A1"/>
    <hyperlink ref="PMK8" location="'Cost Summary'!A1" display="'Cost Summary'!A1"/>
    <hyperlink ref="PML8" location="'Cost Summary'!A1" display="'Cost Summary'!A1"/>
    <hyperlink ref="PMM8" location="'Cost Summary'!A1" display="'Cost Summary'!A1"/>
    <hyperlink ref="PMN8" location="'Cost Summary'!A1" display="'Cost Summary'!A1"/>
    <hyperlink ref="PMO8" location="'Cost Summary'!A1" display="'Cost Summary'!A1"/>
    <hyperlink ref="PMP8" location="'Cost Summary'!A1" display="'Cost Summary'!A1"/>
    <hyperlink ref="PMQ8" location="'Cost Summary'!A1" display="'Cost Summary'!A1"/>
    <hyperlink ref="PMR8" location="'Cost Summary'!A1" display="'Cost Summary'!A1"/>
    <hyperlink ref="PMS8" location="'Cost Summary'!A1" display="'Cost Summary'!A1"/>
    <hyperlink ref="PMT8" location="'Cost Summary'!A1" display="'Cost Summary'!A1"/>
    <hyperlink ref="PMU8" location="'Cost Summary'!A1" display="'Cost Summary'!A1"/>
    <hyperlink ref="PMV8" location="'Cost Summary'!A1" display="'Cost Summary'!A1"/>
    <hyperlink ref="PMW8" location="'Cost Summary'!A1" display="'Cost Summary'!A1"/>
    <hyperlink ref="PMX8" location="'Cost Summary'!A1" display="'Cost Summary'!A1"/>
    <hyperlink ref="PMY8" location="'Cost Summary'!A1" display="'Cost Summary'!A1"/>
    <hyperlink ref="PMZ8" location="'Cost Summary'!A1" display="'Cost Summary'!A1"/>
    <hyperlink ref="PNA8" location="'Cost Summary'!A1" display="'Cost Summary'!A1"/>
    <hyperlink ref="PNB8" location="'Cost Summary'!A1" display="'Cost Summary'!A1"/>
    <hyperlink ref="PNC8" location="'Cost Summary'!A1" display="'Cost Summary'!A1"/>
    <hyperlink ref="PND8" location="'Cost Summary'!A1" display="'Cost Summary'!A1"/>
    <hyperlink ref="PNE8" location="'Cost Summary'!A1" display="'Cost Summary'!A1"/>
    <hyperlink ref="PNF8" location="'Cost Summary'!A1" display="'Cost Summary'!A1"/>
    <hyperlink ref="PNG8" location="'Cost Summary'!A1" display="'Cost Summary'!A1"/>
    <hyperlink ref="PNH8" location="'Cost Summary'!A1" display="'Cost Summary'!A1"/>
    <hyperlink ref="PNI8" location="'Cost Summary'!A1" display="'Cost Summary'!A1"/>
    <hyperlink ref="PNJ8" location="'Cost Summary'!A1" display="'Cost Summary'!A1"/>
    <hyperlink ref="PNK8" location="'Cost Summary'!A1" display="'Cost Summary'!A1"/>
    <hyperlink ref="PNL8" location="'Cost Summary'!A1" display="'Cost Summary'!A1"/>
    <hyperlink ref="PNM8" location="'Cost Summary'!A1" display="'Cost Summary'!A1"/>
    <hyperlink ref="PNN8" location="'Cost Summary'!A1" display="'Cost Summary'!A1"/>
    <hyperlink ref="PNO8" location="'Cost Summary'!A1" display="'Cost Summary'!A1"/>
    <hyperlink ref="PNP8" location="'Cost Summary'!A1" display="'Cost Summary'!A1"/>
    <hyperlink ref="PNQ8" location="'Cost Summary'!A1" display="'Cost Summary'!A1"/>
    <hyperlink ref="PNR8" location="'Cost Summary'!A1" display="'Cost Summary'!A1"/>
    <hyperlink ref="PNS8" location="'Cost Summary'!A1" display="'Cost Summary'!A1"/>
    <hyperlink ref="PNT8" location="'Cost Summary'!A1" display="'Cost Summary'!A1"/>
    <hyperlink ref="PNU8" location="'Cost Summary'!A1" display="'Cost Summary'!A1"/>
    <hyperlink ref="PNV8" location="'Cost Summary'!A1" display="'Cost Summary'!A1"/>
    <hyperlink ref="PNW8" location="'Cost Summary'!A1" display="'Cost Summary'!A1"/>
    <hyperlink ref="PNX8" location="'Cost Summary'!A1" display="'Cost Summary'!A1"/>
    <hyperlink ref="PNY8" location="'Cost Summary'!A1" display="'Cost Summary'!A1"/>
    <hyperlink ref="PNZ8" location="'Cost Summary'!A1" display="'Cost Summary'!A1"/>
    <hyperlink ref="POA8" location="'Cost Summary'!A1" display="'Cost Summary'!A1"/>
    <hyperlink ref="POB8" location="'Cost Summary'!A1" display="'Cost Summary'!A1"/>
    <hyperlink ref="POC8" location="'Cost Summary'!A1" display="'Cost Summary'!A1"/>
    <hyperlink ref="POD8" location="'Cost Summary'!A1" display="'Cost Summary'!A1"/>
    <hyperlink ref="POE8" location="'Cost Summary'!A1" display="'Cost Summary'!A1"/>
    <hyperlink ref="POF8" location="'Cost Summary'!A1" display="'Cost Summary'!A1"/>
    <hyperlink ref="POG8" location="'Cost Summary'!A1" display="'Cost Summary'!A1"/>
    <hyperlink ref="POH8" location="'Cost Summary'!A1" display="'Cost Summary'!A1"/>
    <hyperlink ref="POI8" location="'Cost Summary'!A1" display="'Cost Summary'!A1"/>
    <hyperlink ref="POJ8" location="'Cost Summary'!A1" display="'Cost Summary'!A1"/>
    <hyperlink ref="POK8" location="'Cost Summary'!A1" display="'Cost Summary'!A1"/>
    <hyperlink ref="POL8" location="'Cost Summary'!A1" display="'Cost Summary'!A1"/>
    <hyperlink ref="POM8" location="'Cost Summary'!A1" display="'Cost Summary'!A1"/>
    <hyperlink ref="PON8" location="'Cost Summary'!A1" display="'Cost Summary'!A1"/>
    <hyperlink ref="POO8" location="'Cost Summary'!A1" display="'Cost Summary'!A1"/>
    <hyperlink ref="POP8" location="'Cost Summary'!A1" display="'Cost Summary'!A1"/>
    <hyperlink ref="POQ8" location="'Cost Summary'!A1" display="'Cost Summary'!A1"/>
    <hyperlink ref="POR8" location="'Cost Summary'!A1" display="'Cost Summary'!A1"/>
    <hyperlink ref="POS8" location="'Cost Summary'!A1" display="'Cost Summary'!A1"/>
    <hyperlink ref="POT8" location="'Cost Summary'!A1" display="'Cost Summary'!A1"/>
    <hyperlink ref="POU8" location="'Cost Summary'!A1" display="'Cost Summary'!A1"/>
    <hyperlink ref="POV8" location="'Cost Summary'!A1" display="'Cost Summary'!A1"/>
    <hyperlink ref="POW8" location="'Cost Summary'!A1" display="'Cost Summary'!A1"/>
    <hyperlink ref="POX8" location="'Cost Summary'!A1" display="'Cost Summary'!A1"/>
    <hyperlink ref="POY8" location="'Cost Summary'!A1" display="'Cost Summary'!A1"/>
    <hyperlink ref="POZ8" location="'Cost Summary'!A1" display="'Cost Summary'!A1"/>
    <hyperlink ref="PPA8" location="'Cost Summary'!A1" display="'Cost Summary'!A1"/>
    <hyperlink ref="PPB8" location="'Cost Summary'!A1" display="'Cost Summary'!A1"/>
    <hyperlink ref="PPC8" location="'Cost Summary'!A1" display="'Cost Summary'!A1"/>
    <hyperlink ref="PPD8" location="'Cost Summary'!A1" display="'Cost Summary'!A1"/>
    <hyperlink ref="PPE8" location="'Cost Summary'!A1" display="'Cost Summary'!A1"/>
    <hyperlink ref="PPF8" location="'Cost Summary'!A1" display="'Cost Summary'!A1"/>
    <hyperlink ref="PPG8" location="'Cost Summary'!A1" display="'Cost Summary'!A1"/>
    <hyperlink ref="PPH8" location="'Cost Summary'!A1" display="'Cost Summary'!A1"/>
    <hyperlink ref="PPI8" location="'Cost Summary'!A1" display="'Cost Summary'!A1"/>
    <hyperlink ref="PPJ8" location="'Cost Summary'!A1" display="'Cost Summary'!A1"/>
    <hyperlink ref="PPK8" location="'Cost Summary'!A1" display="'Cost Summary'!A1"/>
    <hyperlink ref="PPL8" location="'Cost Summary'!A1" display="'Cost Summary'!A1"/>
    <hyperlink ref="PPM8" location="'Cost Summary'!A1" display="'Cost Summary'!A1"/>
    <hyperlink ref="PPN8" location="'Cost Summary'!A1" display="'Cost Summary'!A1"/>
    <hyperlink ref="PPO8" location="'Cost Summary'!A1" display="'Cost Summary'!A1"/>
    <hyperlink ref="PPP8" location="'Cost Summary'!A1" display="'Cost Summary'!A1"/>
    <hyperlink ref="PPQ8" location="'Cost Summary'!A1" display="'Cost Summary'!A1"/>
    <hyperlink ref="PPR8" location="'Cost Summary'!A1" display="'Cost Summary'!A1"/>
    <hyperlink ref="PPS8" location="'Cost Summary'!A1" display="'Cost Summary'!A1"/>
    <hyperlink ref="PPT8" location="'Cost Summary'!A1" display="'Cost Summary'!A1"/>
    <hyperlink ref="PPU8" location="'Cost Summary'!A1" display="'Cost Summary'!A1"/>
    <hyperlink ref="PPV8" location="'Cost Summary'!A1" display="'Cost Summary'!A1"/>
    <hyperlink ref="PPW8" location="'Cost Summary'!A1" display="'Cost Summary'!A1"/>
    <hyperlink ref="PPX8" location="'Cost Summary'!A1" display="'Cost Summary'!A1"/>
    <hyperlink ref="PPY8" location="'Cost Summary'!A1" display="'Cost Summary'!A1"/>
    <hyperlink ref="PPZ8" location="'Cost Summary'!A1" display="'Cost Summary'!A1"/>
    <hyperlink ref="PQA8" location="'Cost Summary'!A1" display="'Cost Summary'!A1"/>
    <hyperlink ref="PQB8" location="'Cost Summary'!A1" display="'Cost Summary'!A1"/>
    <hyperlink ref="PQC8" location="'Cost Summary'!A1" display="'Cost Summary'!A1"/>
    <hyperlink ref="PQD8" location="'Cost Summary'!A1" display="'Cost Summary'!A1"/>
    <hyperlink ref="PQE8" location="'Cost Summary'!A1" display="'Cost Summary'!A1"/>
    <hyperlink ref="PQF8" location="'Cost Summary'!A1" display="'Cost Summary'!A1"/>
    <hyperlink ref="PQG8" location="'Cost Summary'!A1" display="'Cost Summary'!A1"/>
    <hyperlink ref="PQH8" location="'Cost Summary'!A1" display="'Cost Summary'!A1"/>
    <hyperlink ref="PQI8" location="'Cost Summary'!A1" display="'Cost Summary'!A1"/>
    <hyperlink ref="PQJ8" location="'Cost Summary'!A1" display="'Cost Summary'!A1"/>
    <hyperlink ref="PQK8" location="'Cost Summary'!A1" display="'Cost Summary'!A1"/>
    <hyperlink ref="PQL8" location="'Cost Summary'!A1" display="'Cost Summary'!A1"/>
    <hyperlink ref="PQM8" location="'Cost Summary'!A1" display="'Cost Summary'!A1"/>
    <hyperlink ref="PQN8" location="'Cost Summary'!A1" display="'Cost Summary'!A1"/>
    <hyperlink ref="PQO8" location="'Cost Summary'!A1" display="'Cost Summary'!A1"/>
    <hyperlink ref="PQP8" location="'Cost Summary'!A1" display="'Cost Summary'!A1"/>
    <hyperlink ref="PQQ8" location="'Cost Summary'!A1" display="'Cost Summary'!A1"/>
    <hyperlink ref="PQR8" location="'Cost Summary'!A1" display="'Cost Summary'!A1"/>
    <hyperlink ref="PQS8" location="'Cost Summary'!A1" display="'Cost Summary'!A1"/>
    <hyperlink ref="PQT8" location="'Cost Summary'!A1" display="'Cost Summary'!A1"/>
    <hyperlink ref="PQU8" location="'Cost Summary'!A1" display="'Cost Summary'!A1"/>
    <hyperlink ref="PQV8" location="'Cost Summary'!A1" display="'Cost Summary'!A1"/>
    <hyperlink ref="PQW8" location="'Cost Summary'!A1" display="'Cost Summary'!A1"/>
    <hyperlink ref="PQX8" location="'Cost Summary'!A1" display="'Cost Summary'!A1"/>
    <hyperlink ref="PQY8" location="'Cost Summary'!A1" display="'Cost Summary'!A1"/>
    <hyperlink ref="PQZ8" location="'Cost Summary'!A1" display="'Cost Summary'!A1"/>
    <hyperlink ref="PRA8" location="'Cost Summary'!A1" display="'Cost Summary'!A1"/>
    <hyperlink ref="PRB8" location="'Cost Summary'!A1" display="'Cost Summary'!A1"/>
    <hyperlink ref="PRC8" location="'Cost Summary'!A1" display="'Cost Summary'!A1"/>
    <hyperlink ref="PRD8" location="'Cost Summary'!A1" display="'Cost Summary'!A1"/>
    <hyperlink ref="PRE8" location="'Cost Summary'!A1" display="'Cost Summary'!A1"/>
    <hyperlink ref="PRF8" location="'Cost Summary'!A1" display="'Cost Summary'!A1"/>
    <hyperlink ref="PRG8" location="'Cost Summary'!A1" display="'Cost Summary'!A1"/>
    <hyperlink ref="PRH8" location="'Cost Summary'!A1" display="'Cost Summary'!A1"/>
    <hyperlink ref="PRI8" location="'Cost Summary'!A1" display="'Cost Summary'!A1"/>
    <hyperlink ref="PRJ8" location="'Cost Summary'!A1" display="'Cost Summary'!A1"/>
    <hyperlink ref="PRK8" location="'Cost Summary'!A1" display="'Cost Summary'!A1"/>
    <hyperlink ref="PRL8" location="'Cost Summary'!A1" display="'Cost Summary'!A1"/>
    <hyperlink ref="PRM8" location="'Cost Summary'!A1" display="'Cost Summary'!A1"/>
    <hyperlink ref="PRN8" location="'Cost Summary'!A1" display="'Cost Summary'!A1"/>
    <hyperlink ref="PRO8" location="'Cost Summary'!A1" display="'Cost Summary'!A1"/>
    <hyperlink ref="PRP8" location="'Cost Summary'!A1" display="'Cost Summary'!A1"/>
    <hyperlink ref="PRQ8" location="'Cost Summary'!A1" display="'Cost Summary'!A1"/>
    <hyperlink ref="PRR8" location="'Cost Summary'!A1" display="'Cost Summary'!A1"/>
    <hyperlink ref="PRS8" location="'Cost Summary'!A1" display="'Cost Summary'!A1"/>
    <hyperlink ref="PRT8" location="'Cost Summary'!A1" display="'Cost Summary'!A1"/>
    <hyperlink ref="PRU8" location="'Cost Summary'!A1" display="'Cost Summary'!A1"/>
    <hyperlink ref="PRV8" location="'Cost Summary'!A1" display="'Cost Summary'!A1"/>
    <hyperlink ref="PRW8" location="'Cost Summary'!A1" display="'Cost Summary'!A1"/>
    <hyperlink ref="PRX8" location="'Cost Summary'!A1" display="'Cost Summary'!A1"/>
    <hyperlink ref="PRY8" location="'Cost Summary'!A1" display="'Cost Summary'!A1"/>
    <hyperlink ref="PRZ8" location="'Cost Summary'!A1" display="'Cost Summary'!A1"/>
    <hyperlink ref="PSA8" location="'Cost Summary'!A1" display="'Cost Summary'!A1"/>
    <hyperlink ref="PSB8" location="'Cost Summary'!A1" display="'Cost Summary'!A1"/>
    <hyperlink ref="PSC8" location="'Cost Summary'!A1" display="'Cost Summary'!A1"/>
    <hyperlink ref="PSD8" location="'Cost Summary'!A1" display="'Cost Summary'!A1"/>
    <hyperlink ref="PSE8" location="'Cost Summary'!A1" display="'Cost Summary'!A1"/>
    <hyperlink ref="PSF8" location="'Cost Summary'!A1" display="'Cost Summary'!A1"/>
    <hyperlink ref="PSG8" location="'Cost Summary'!A1" display="'Cost Summary'!A1"/>
    <hyperlink ref="PSH8" location="'Cost Summary'!A1" display="'Cost Summary'!A1"/>
    <hyperlink ref="PSI8" location="'Cost Summary'!A1" display="'Cost Summary'!A1"/>
    <hyperlink ref="PSJ8" location="'Cost Summary'!A1" display="'Cost Summary'!A1"/>
    <hyperlink ref="PSK8" location="'Cost Summary'!A1" display="'Cost Summary'!A1"/>
    <hyperlink ref="PSL8" location="'Cost Summary'!A1" display="'Cost Summary'!A1"/>
    <hyperlink ref="PSM8" location="'Cost Summary'!A1" display="'Cost Summary'!A1"/>
    <hyperlink ref="PSN8" location="'Cost Summary'!A1" display="'Cost Summary'!A1"/>
    <hyperlink ref="PSO8" location="'Cost Summary'!A1" display="'Cost Summary'!A1"/>
    <hyperlink ref="PSP8" location="'Cost Summary'!A1" display="'Cost Summary'!A1"/>
    <hyperlink ref="PSQ8" location="'Cost Summary'!A1" display="'Cost Summary'!A1"/>
    <hyperlink ref="PSR8" location="'Cost Summary'!A1" display="'Cost Summary'!A1"/>
    <hyperlink ref="PSS8" location="'Cost Summary'!A1" display="'Cost Summary'!A1"/>
    <hyperlink ref="PST8" location="'Cost Summary'!A1" display="'Cost Summary'!A1"/>
    <hyperlink ref="PSU8" location="'Cost Summary'!A1" display="'Cost Summary'!A1"/>
    <hyperlink ref="PSV8" location="'Cost Summary'!A1" display="'Cost Summary'!A1"/>
    <hyperlink ref="PSW8" location="'Cost Summary'!A1" display="'Cost Summary'!A1"/>
    <hyperlink ref="PSX8" location="'Cost Summary'!A1" display="'Cost Summary'!A1"/>
    <hyperlink ref="PSY8" location="'Cost Summary'!A1" display="'Cost Summary'!A1"/>
    <hyperlink ref="PSZ8" location="'Cost Summary'!A1" display="'Cost Summary'!A1"/>
    <hyperlink ref="PTA8" location="'Cost Summary'!A1" display="'Cost Summary'!A1"/>
    <hyperlink ref="PTB8" location="'Cost Summary'!A1" display="'Cost Summary'!A1"/>
    <hyperlink ref="PTC8" location="'Cost Summary'!A1" display="'Cost Summary'!A1"/>
    <hyperlink ref="PTD8" location="'Cost Summary'!A1" display="'Cost Summary'!A1"/>
    <hyperlink ref="PTE8" location="'Cost Summary'!A1" display="'Cost Summary'!A1"/>
    <hyperlink ref="PTF8" location="'Cost Summary'!A1" display="'Cost Summary'!A1"/>
    <hyperlink ref="PTG8" location="'Cost Summary'!A1" display="'Cost Summary'!A1"/>
    <hyperlink ref="PTH8" location="'Cost Summary'!A1" display="'Cost Summary'!A1"/>
    <hyperlink ref="PTI8" location="'Cost Summary'!A1" display="'Cost Summary'!A1"/>
    <hyperlink ref="PTJ8" location="'Cost Summary'!A1" display="'Cost Summary'!A1"/>
    <hyperlink ref="PTK8" location="'Cost Summary'!A1" display="'Cost Summary'!A1"/>
    <hyperlink ref="PTL8" location="'Cost Summary'!A1" display="'Cost Summary'!A1"/>
    <hyperlink ref="PTM8" location="'Cost Summary'!A1" display="'Cost Summary'!A1"/>
    <hyperlink ref="PTN8" location="'Cost Summary'!A1" display="'Cost Summary'!A1"/>
    <hyperlink ref="PTO8" location="'Cost Summary'!A1" display="'Cost Summary'!A1"/>
    <hyperlink ref="PTP8" location="'Cost Summary'!A1" display="'Cost Summary'!A1"/>
    <hyperlink ref="PTQ8" location="'Cost Summary'!A1" display="'Cost Summary'!A1"/>
    <hyperlink ref="PTR8" location="'Cost Summary'!A1" display="'Cost Summary'!A1"/>
    <hyperlink ref="PTS8" location="'Cost Summary'!A1" display="'Cost Summary'!A1"/>
    <hyperlink ref="PTT8" location="'Cost Summary'!A1" display="'Cost Summary'!A1"/>
    <hyperlink ref="PTU8" location="'Cost Summary'!A1" display="'Cost Summary'!A1"/>
    <hyperlink ref="PTV8" location="'Cost Summary'!A1" display="'Cost Summary'!A1"/>
    <hyperlink ref="PTW8" location="'Cost Summary'!A1" display="'Cost Summary'!A1"/>
    <hyperlink ref="PTX8" location="'Cost Summary'!A1" display="'Cost Summary'!A1"/>
    <hyperlink ref="PTY8" location="'Cost Summary'!A1" display="'Cost Summary'!A1"/>
    <hyperlink ref="PTZ8" location="'Cost Summary'!A1" display="'Cost Summary'!A1"/>
    <hyperlink ref="PUA8" location="'Cost Summary'!A1" display="'Cost Summary'!A1"/>
    <hyperlink ref="PUB8" location="'Cost Summary'!A1" display="'Cost Summary'!A1"/>
    <hyperlink ref="PUC8" location="'Cost Summary'!A1" display="'Cost Summary'!A1"/>
    <hyperlink ref="PUD8" location="'Cost Summary'!A1" display="'Cost Summary'!A1"/>
    <hyperlink ref="PUE8" location="'Cost Summary'!A1" display="'Cost Summary'!A1"/>
    <hyperlink ref="PUF8" location="'Cost Summary'!A1" display="'Cost Summary'!A1"/>
    <hyperlink ref="PUG8" location="'Cost Summary'!A1" display="'Cost Summary'!A1"/>
    <hyperlink ref="PUH8" location="'Cost Summary'!A1" display="'Cost Summary'!A1"/>
    <hyperlink ref="PUI8" location="'Cost Summary'!A1" display="'Cost Summary'!A1"/>
    <hyperlink ref="PUJ8" location="'Cost Summary'!A1" display="'Cost Summary'!A1"/>
    <hyperlink ref="PUK8" location="'Cost Summary'!A1" display="'Cost Summary'!A1"/>
    <hyperlink ref="PUL8" location="'Cost Summary'!A1" display="'Cost Summary'!A1"/>
    <hyperlink ref="PUM8" location="'Cost Summary'!A1" display="'Cost Summary'!A1"/>
    <hyperlink ref="PUN8" location="'Cost Summary'!A1" display="'Cost Summary'!A1"/>
    <hyperlink ref="PUO8" location="'Cost Summary'!A1" display="'Cost Summary'!A1"/>
    <hyperlink ref="PUP8" location="'Cost Summary'!A1" display="'Cost Summary'!A1"/>
    <hyperlink ref="PUQ8" location="'Cost Summary'!A1" display="'Cost Summary'!A1"/>
    <hyperlink ref="PUR8" location="'Cost Summary'!A1" display="'Cost Summary'!A1"/>
    <hyperlink ref="PUS8" location="'Cost Summary'!A1" display="'Cost Summary'!A1"/>
    <hyperlink ref="PUT8" location="'Cost Summary'!A1" display="'Cost Summary'!A1"/>
    <hyperlink ref="PUU8" location="'Cost Summary'!A1" display="'Cost Summary'!A1"/>
    <hyperlink ref="PUV8" location="'Cost Summary'!A1" display="'Cost Summary'!A1"/>
    <hyperlink ref="PUW8" location="'Cost Summary'!A1" display="'Cost Summary'!A1"/>
    <hyperlink ref="PUX8" location="'Cost Summary'!A1" display="'Cost Summary'!A1"/>
    <hyperlink ref="PUY8" location="'Cost Summary'!A1" display="'Cost Summary'!A1"/>
    <hyperlink ref="PUZ8" location="'Cost Summary'!A1" display="'Cost Summary'!A1"/>
    <hyperlink ref="PVA8" location="'Cost Summary'!A1" display="'Cost Summary'!A1"/>
    <hyperlink ref="PVB8" location="'Cost Summary'!A1" display="'Cost Summary'!A1"/>
    <hyperlink ref="PVC8" location="'Cost Summary'!A1" display="'Cost Summary'!A1"/>
    <hyperlink ref="PVD8" location="'Cost Summary'!A1" display="'Cost Summary'!A1"/>
    <hyperlink ref="PVE8" location="'Cost Summary'!A1" display="'Cost Summary'!A1"/>
    <hyperlink ref="PVF8" location="'Cost Summary'!A1" display="'Cost Summary'!A1"/>
    <hyperlink ref="PVG8" location="'Cost Summary'!A1" display="'Cost Summary'!A1"/>
    <hyperlink ref="PVH8" location="'Cost Summary'!A1" display="'Cost Summary'!A1"/>
    <hyperlink ref="PVI8" location="'Cost Summary'!A1" display="'Cost Summary'!A1"/>
    <hyperlink ref="PVJ8" location="'Cost Summary'!A1" display="'Cost Summary'!A1"/>
    <hyperlink ref="PVK8" location="'Cost Summary'!A1" display="'Cost Summary'!A1"/>
    <hyperlink ref="PVL8" location="'Cost Summary'!A1" display="'Cost Summary'!A1"/>
    <hyperlink ref="PVM8" location="'Cost Summary'!A1" display="'Cost Summary'!A1"/>
    <hyperlink ref="PVN8" location="'Cost Summary'!A1" display="'Cost Summary'!A1"/>
    <hyperlink ref="PVO8" location="'Cost Summary'!A1" display="'Cost Summary'!A1"/>
    <hyperlink ref="PVP8" location="'Cost Summary'!A1" display="'Cost Summary'!A1"/>
    <hyperlink ref="PVQ8" location="'Cost Summary'!A1" display="'Cost Summary'!A1"/>
    <hyperlink ref="PVR8" location="'Cost Summary'!A1" display="'Cost Summary'!A1"/>
    <hyperlink ref="PVS8" location="'Cost Summary'!A1" display="'Cost Summary'!A1"/>
    <hyperlink ref="PVT8" location="'Cost Summary'!A1" display="'Cost Summary'!A1"/>
    <hyperlink ref="PVU8" location="'Cost Summary'!A1" display="'Cost Summary'!A1"/>
    <hyperlink ref="PVV8" location="'Cost Summary'!A1" display="'Cost Summary'!A1"/>
    <hyperlink ref="PVW8" location="'Cost Summary'!A1" display="'Cost Summary'!A1"/>
    <hyperlink ref="PVX8" location="'Cost Summary'!A1" display="'Cost Summary'!A1"/>
    <hyperlink ref="PVY8" location="'Cost Summary'!A1" display="'Cost Summary'!A1"/>
    <hyperlink ref="PVZ8" location="'Cost Summary'!A1" display="'Cost Summary'!A1"/>
    <hyperlink ref="PWA8" location="'Cost Summary'!A1" display="'Cost Summary'!A1"/>
    <hyperlink ref="PWB8" location="'Cost Summary'!A1" display="'Cost Summary'!A1"/>
    <hyperlink ref="PWC8" location="'Cost Summary'!A1" display="'Cost Summary'!A1"/>
    <hyperlink ref="PWD8" location="'Cost Summary'!A1" display="'Cost Summary'!A1"/>
    <hyperlink ref="PWE8" location="'Cost Summary'!A1" display="'Cost Summary'!A1"/>
    <hyperlink ref="PWF8" location="'Cost Summary'!A1" display="'Cost Summary'!A1"/>
    <hyperlink ref="PWG8" location="'Cost Summary'!A1" display="'Cost Summary'!A1"/>
    <hyperlink ref="PWH8" location="'Cost Summary'!A1" display="'Cost Summary'!A1"/>
    <hyperlink ref="PWI8" location="'Cost Summary'!A1" display="'Cost Summary'!A1"/>
    <hyperlink ref="PWJ8" location="'Cost Summary'!A1" display="'Cost Summary'!A1"/>
    <hyperlink ref="PWK8" location="'Cost Summary'!A1" display="'Cost Summary'!A1"/>
    <hyperlink ref="PWL8" location="'Cost Summary'!A1" display="'Cost Summary'!A1"/>
    <hyperlink ref="PWM8" location="'Cost Summary'!A1" display="'Cost Summary'!A1"/>
    <hyperlink ref="PWN8" location="'Cost Summary'!A1" display="'Cost Summary'!A1"/>
    <hyperlink ref="PWO8" location="'Cost Summary'!A1" display="'Cost Summary'!A1"/>
    <hyperlink ref="PWP8" location="'Cost Summary'!A1" display="'Cost Summary'!A1"/>
    <hyperlink ref="PWQ8" location="'Cost Summary'!A1" display="'Cost Summary'!A1"/>
    <hyperlink ref="PWR8" location="'Cost Summary'!A1" display="'Cost Summary'!A1"/>
    <hyperlink ref="PWS8" location="'Cost Summary'!A1" display="'Cost Summary'!A1"/>
    <hyperlink ref="PWT8" location="'Cost Summary'!A1" display="'Cost Summary'!A1"/>
    <hyperlink ref="PWU8" location="'Cost Summary'!A1" display="'Cost Summary'!A1"/>
    <hyperlink ref="PWV8" location="'Cost Summary'!A1" display="'Cost Summary'!A1"/>
    <hyperlink ref="PWW8" location="'Cost Summary'!A1" display="'Cost Summary'!A1"/>
    <hyperlink ref="PWX8" location="'Cost Summary'!A1" display="'Cost Summary'!A1"/>
    <hyperlink ref="PWY8" location="'Cost Summary'!A1" display="'Cost Summary'!A1"/>
    <hyperlink ref="PWZ8" location="'Cost Summary'!A1" display="'Cost Summary'!A1"/>
    <hyperlink ref="PXA8" location="'Cost Summary'!A1" display="'Cost Summary'!A1"/>
    <hyperlink ref="PXB8" location="'Cost Summary'!A1" display="'Cost Summary'!A1"/>
    <hyperlink ref="PXC8" location="'Cost Summary'!A1" display="'Cost Summary'!A1"/>
    <hyperlink ref="PXD8" location="'Cost Summary'!A1" display="'Cost Summary'!A1"/>
    <hyperlink ref="PXE8" location="'Cost Summary'!A1" display="'Cost Summary'!A1"/>
    <hyperlink ref="PXF8" location="'Cost Summary'!A1" display="'Cost Summary'!A1"/>
    <hyperlink ref="PXG8" location="'Cost Summary'!A1" display="'Cost Summary'!A1"/>
    <hyperlink ref="PXH8" location="'Cost Summary'!A1" display="'Cost Summary'!A1"/>
    <hyperlink ref="PXI8" location="'Cost Summary'!A1" display="'Cost Summary'!A1"/>
    <hyperlink ref="PXJ8" location="'Cost Summary'!A1" display="'Cost Summary'!A1"/>
    <hyperlink ref="PXK8" location="'Cost Summary'!A1" display="'Cost Summary'!A1"/>
    <hyperlink ref="PXL8" location="'Cost Summary'!A1" display="'Cost Summary'!A1"/>
    <hyperlink ref="PXM8" location="'Cost Summary'!A1" display="'Cost Summary'!A1"/>
    <hyperlink ref="PXN8" location="'Cost Summary'!A1" display="'Cost Summary'!A1"/>
    <hyperlink ref="PXO8" location="'Cost Summary'!A1" display="'Cost Summary'!A1"/>
    <hyperlink ref="PXP8" location="'Cost Summary'!A1" display="'Cost Summary'!A1"/>
    <hyperlink ref="PXQ8" location="'Cost Summary'!A1" display="'Cost Summary'!A1"/>
    <hyperlink ref="PXR8" location="'Cost Summary'!A1" display="'Cost Summary'!A1"/>
    <hyperlink ref="PXS8" location="'Cost Summary'!A1" display="'Cost Summary'!A1"/>
    <hyperlink ref="PXT8" location="'Cost Summary'!A1" display="'Cost Summary'!A1"/>
    <hyperlink ref="PXU8" location="'Cost Summary'!A1" display="'Cost Summary'!A1"/>
    <hyperlink ref="PXV8" location="'Cost Summary'!A1" display="'Cost Summary'!A1"/>
    <hyperlink ref="PXW8" location="'Cost Summary'!A1" display="'Cost Summary'!A1"/>
    <hyperlink ref="PXX8" location="'Cost Summary'!A1" display="'Cost Summary'!A1"/>
    <hyperlink ref="PXY8" location="'Cost Summary'!A1" display="'Cost Summary'!A1"/>
    <hyperlink ref="PXZ8" location="'Cost Summary'!A1" display="'Cost Summary'!A1"/>
    <hyperlink ref="PYA8" location="'Cost Summary'!A1" display="'Cost Summary'!A1"/>
    <hyperlink ref="PYB8" location="'Cost Summary'!A1" display="'Cost Summary'!A1"/>
    <hyperlink ref="PYC8" location="'Cost Summary'!A1" display="'Cost Summary'!A1"/>
    <hyperlink ref="PYD8" location="'Cost Summary'!A1" display="'Cost Summary'!A1"/>
    <hyperlink ref="PYE8" location="'Cost Summary'!A1" display="'Cost Summary'!A1"/>
    <hyperlink ref="PYF8" location="'Cost Summary'!A1" display="'Cost Summary'!A1"/>
    <hyperlink ref="PYG8" location="'Cost Summary'!A1" display="'Cost Summary'!A1"/>
    <hyperlink ref="PYH8" location="'Cost Summary'!A1" display="'Cost Summary'!A1"/>
    <hyperlink ref="PYI8" location="'Cost Summary'!A1" display="'Cost Summary'!A1"/>
    <hyperlink ref="PYJ8" location="'Cost Summary'!A1" display="'Cost Summary'!A1"/>
    <hyperlink ref="PYK8" location="'Cost Summary'!A1" display="'Cost Summary'!A1"/>
    <hyperlink ref="PYL8" location="'Cost Summary'!A1" display="'Cost Summary'!A1"/>
    <hyperlink ref="PYM8" location="'Cost Summary'!A1" display="'Cost Summary'!A1"/>
    <hyperlink ref="PYN8" location="'Cost Summary'!A1" display="'Cost Summary'!A1"/>
    <hyperlink ref="PYO8" location="'Cost Summary'!A1" display="'Cost Summary'!A1"/>
    <hyperlink ref="PYP8" location="'Cost Summary'!A1" display="'Cost Summary'!A1"/>
    <hyperlink ref="PYQ8" location="'Cost Summary'!A1" display="'Cost Summary'!A1"/>
    <hyperlink ref="PYR8" location="'Cost Summary'!A1" display="'Cost Summary'!A1"/>
    <hyperlink ref="PYS8" location="'Cost Summary'!A1" display="'Cost Summary'!A1"/>
    <hyperlink ref="PYT8" location="'Cost Summary'!A1" display="'Cost Summary'!A1"/>
    <hyperlink ref="PYU8" location="'Cost Summary'!A1" display="'Cost Summary'!A1"/>
    <hyperlink ref="PYV8" location="'Cost Summary'!A1" display="'Cost Summary'!A1"/>
    <hyperlink ref="PYW8" location="'Cost Summary'!A1" display="'Cost Summary'!A1"/>
    <hyperlink ref="PYX8" location="'Cost Summary'!A1" display="'Cost Summary'!A1"/>
    <hyperlink ref="PYY8" location="'Cost Summary'!A1" display="'Cost Summary'!A1"/>
    <hyperlink ref="PYZ8" location="'Cost Summary'!A1" display="'Cost Summary'!A1"/>
    <hyperlink ref="PZA8" location="'Cost Summary'!A1" display="'Cost Summary'!A1"/>
    <hyperlink ref="PZB8" location="'Cost Summary'!A1" display="'Cost Summary'!A1"/>
    <hyperlink ref="PZC8" location="'Cost Summary'!A1" display="'Cost Summary'!A1"/>
    <hyperlink ref="PZD8" location="'Cost Summary'!A1" display="'Cost Summary'!A1"/>
    <hyperlink ref="PZE8" location="'Cost Summary'!A1" display="'Cost Summary'!A1"/>
    <hyperlink ref="PZF8" location="'Cost Summary'!A1" display="'Cost Summary'!A1"/>
    <hyperlink ref="PZG8" location="'Cost Summary'!A1" display="'Cost Summary'!A1"/>
    <hyperlink ref="PZH8" location="'Cost Summary'!A1" display="'Cost Summary'!A1"/>
    <hyperlink ref="PZI8" location="'Cost Summary'!A1" display="'Cost Summary'!A1"/>
    <hyperlink ref="PZJ8" location="'Cost Summary'!A1" display="'Cost Summary'!A1"/>
    <hyperlink ref="PZK8" location="'Cost Summary'!A1" display="'Cost Summary'!A1"/>
    <hyperlink ref="PZL8" location="'Cost Summary'!A1" display="'Cost Summary'!A1"/>
    <hyperlink ref="PZM8" location="'Cost Summary'!A1" display="'Cost Summary'!A1"/>
    <hyperlink ref="PZN8" location="'Cost Summary'!A1" display="'Cost Summary'!A1"/>
    <hyperlink ref="PZO8" location="'Cost Summary'!A1" display="'Cost Summary'!A1"/>
    <hyperlink ref="PZP8" location="'Cost Summary'!A1" display="'Cost Summary'!A1"/>
    <hyperlink ref="PZQ8" location="'Cost Summary'!A1" display="'Cost Summary'!A1"/>
    <hyperlink ref="PZR8" location="'Cost Summary'!A1" display="'Cost Summary'!A1"/>
    <hyperlink ref="PZS8" location="'Cost Summary'!A1" display="'Cost Summary'!A1"/>
    <hyperlink ref="PZT8" location="'Cost Summary'!A1" display="'Cost Summary'!A1"/>
    <hyperlink ref="PZU8" location="'Cost Summary'!A1" display="'Cost Summary'!A1"/>
    <hyperlink ref="PZV8" location="'Cost Summary'!A1" display="'Cost Summary'!A1"/>
    <hyperlink ref="PZW8" location="'Cost Summary'!A1" display="'Cost Summary'!A1"/>
    <hyperlink ref="PZX8" location="'Cost Summary'!A1" display="'Cost Summary'!A1"/>
    <hyperlink ref="PZY8" location="'Cost Summary'!A1" display="'Cost Summary'!A1"/>
    <hyperlink ref="PZZ8" location="'Cost Summary'!A1" display="'Cost Summary'!A1"/>
    <hyperlink ref="QAA8" location="'Cost Summary'!A1" display="'Cost Summary'!A1"/>
    <hyperlink ref="QAB8" location="'Cost Summary'!A1" display="'Cost Summary'!A1"/>
    <hyperlink ref="QAC8" location="'Cost Summary'!A1" display="'Cost Summary'!A1"/>
    <hyperlink ref="QAD8" location="'Cost Summary'!A1" display="'Cost Summary'!A1"/>
    <hyperlink ref="QAE8" location="'Cost Summary'!A1" display="'Cost Summary'!A1"/>
    <hyperlink ref="QAF8" location="'Cost Summary'!A1" display="'Cost Summary'!A1"/>
    <hyperlink ref="QAG8" location="'Cost Summary'!A1" display="'Cost Summary'!A1"/>
    <hyperlink ref="QAH8" location="'Cost Summary'!A1" display="'Cost Summary'!A1"/>
    <hyperlink ref="QAI8" location="'Cost Summary'!A1" display="'Cost Summary'!A1"/>
    <hyperlink ref="QAJ8" location="'Cost Summary'!A1" display="'Cost Summary'!A1"/>
    <hyperlink ref="QAK8" location="'Cost Summary'!A1" display="'Cost Summary'!A1"/>
    <hyperlink ref="QAL8" location="'Cost Summary'!A1" display="'Cost Summary'!A1"/>
    <hyperlink ref="QAM8" location="'Cost Summary'!A1" display="'Cost Summary'!A1"/>
    <hyperlink ref="QAN8" location="'Cost Summary'!A1" display="'Cost Summary'!A1"/>
    <hyperlink ref="QAO8" location="'Cost Summary'!A1" display="'Cost Summary'!A1"/>
    <hyperlink ref="QAP8" location="'Cost Summary'!A1" display="'Cost Summary'!A1"/>
    <hyperlink ref="QAQ8" location="'Cost Summary'!A1" display="'Cost Summary'!A1"/>
    <hyperlink ref="QAR8" location="'Cost Summary'!A1" display="'Cost Summary'!A1"/>
    <hyperlink ref="QAS8" location="'Cost Summary'!A1" display="'Cost Summary'!A1"/>
    <hyperlink ref="QAT8" location="'Cost Summary'!A1" display="'Cost Summary'!A1"/>
    <hyperlink ref="QAU8" location="'Cost Summary'!A1" display="'Cost Summary'!A1"/>
    <hyperlink ref="QAV8" location="'Cost Summary'!A1" display="'Cost Summary'!A1"/>
    <hyperlink ref="QAW8" location="'Cost Summary'!A1" display="'Cost Summary'!A1"/>
    <hyperlink ref="QAX8" location="'Cost Summary'!A1" display="'Cost Summary'!A1"/>
    <hyperlink ref="QAY8" location="'Cost Summary'!A1" display="'Cost Summary'!A1"/>
    <hyperlink ref="QAZ8" location="'Cost Summary'!A1" display="'Cost Summary'!A1"/>
    <hyperlink ref="QBA8" location="'Cost Summary'!A1" display="'Cost Summary'!A1"/>
    <hyperlink ref="QBB8" location="'Cost Summary'!A1" display="'Cost Summary'!A1"/>
    <hyperlink ref="QBC8" location="'Cost Summary'!A1" display="'Cost Summary'!A1"/>
    <hyperlink ref="QBD8" location="'Cost Summary'!A1" display="'Cost Summary'!A1"/>
    <hyperlink ref="QBE8" location="'Cost Summary'!A1" display="'Cost Summary'!A1"/>
    <hyperlink ref="QBF8" location="'Cost Summary'!A1" display="'Cost Summary'!A1"/>
    <hyperlink ref="QBG8" location="'Cost Summary'!A1" display="'Cost Summary'!A1"/>
    <hyperlink ref="QBH8" location="'Cost Summary'!A1" display="'Cost Summary'!A1"/>
    <hyperlink ref="QBI8" location="'Cost Summary'!A1" display="'Cost Summary'!A1"/>
    <hyperlink ref="QBJ8" location="'Cost Summary'!A1" display="'Cost Summary'!A1"/>
    <hyperlink ref="QBK8" location="'Cost Summary'!A1" display="'Cost Summary'!A1"/>
    <hyperlink ref="QBL8" location="'Cost Summary'!A1" display="'Cost Summary'!A1"/>
    <hyperlink ref="QBM8" location="'Cost Summary'!A1" display="'Cost Summary'!A1"/>
    <hyperlink ref="QBN8" location="'Cost Summary'!A1" display="'Cost Summary'!A1"/>
    <hyperlink ref="QBO8" location="'Cost Summary'!A1" display="'Cost Summary'!A1"/>
    <hyperlink ref="QBP8" location="'Cost Summary'!A1" display="'Cost Summary'!A1"/>
    <hyperlink ref="QBQ8" location="'Cost Summary'!A1" display="'Cost Summary'!A1"/>
    <hyperlink ref="QBR8" location="'Cost Summary'!A1" display="'Cost Summary'!A1"/>
    <hyperlink ref="QBS8" location="'Cost Summary'!A1" display="'Cost Summary'!A1"/>
    <hyperlink ref="QBT8" location="'Cost Summary'!A1" display="'Cost Summary'!A1"/>
    <hyperlink ref="QBU8" location="'Cost Summary'!A1" display="'Cost Summary'!A1"/>
    <hyperlink ref="QBV8" location="'Cost Summary'!A1" display="'Cost Summary'!A1"/>
    <hyperlink ref="QBW8" location="'Cost Summary'!A1" display="'Cost Summary'!A1"/>
    <hyperlink ref="QBX8" location="'Cost Summary'!A1" display="'Cost Summary'!A1"/>
    <hyperlink ref="QBY8" location="'Cost Summary'!A1" display="'Cost Summary'!A1"/>
    <hyperlink ref="QBZ8" location="'Cost Summary'!A1" display="'Cost Summary'!A1"/>
    <hyperlink ref="QCA8" location="'Cost Summary'!A1" display="'Cost Summary'!A1"/>
    <hyperlink ref="QCB8" location="'Cost Summary'!A1" display="'Cost Summary'!A1"/>
    <hyperlink ref="QCC8" location="'Cost Summary'!A1" display="'Cost Summary'!A1"/>
    <hyperlink ref="QCD8" location="'Cost Summary'!A1" display="'Cost Summary'!A1"/>
    <hyperlink ref="QCE8" location="'Cost Summary'!A1" display="'Cost Summary'!A1"/>
    <hyperlink ref="QCF8" location="'Cost Summary'!A1" display="'Cost Summary'!A1"/>
    <hyperlink ref="QCG8" location="'Cost Summary'!A1" display="'Cost Summary'!A1"/>
    <hyperlink ref="QCH8" location="'Cost Summary'!A1" display="'Cost Summary'!A1"/>
    <hyperlink ref="QCI8" location="'Cost Summary'!A1" display="'Cost Summary'!A1"/>
    <hyperlink ref="QCJ8" location="'Cost Summary'!A1" display="'Cost Summary'!A1"/>
    <hyperlink ref="QCK8" location="'Cost Summary'!A1" display="'Cost Summary'!A1"/>
    <hyperlink ref="QCL8" location="'Cost Summary'!A1" display="'Cost Summary'!A1"/>
    <hyperlink ref="QCM8" location="'Cost Summary'!A1" display="'Cost Summary'!A1"/>
    <hyperlink ref="QCN8" location="'Cost Summary'!A1" display="'Cost Summary'!A1"/>
    <hyperlink ref="QCO8" location="'Cost Summary'!A1" display="'Cost Summary'!A1"/>
    <hyperlink ref="QCP8" location="'Cost Summary'!A1" display="'Cost Summary'!A1"/>
    <hyperlink ref="QCQ8" location="'Cost Summary'!A1" display="'Cost Summary'!A1"/>
    <hyperlink ref="QCR8" location="'Cost Summary'!A1" display="'Cost Summary'!A1"/>
    <hyperlink ref="QCS8" location="'Cost Summary'!A1" display="'Cost Summary'!A1"/>
    <hyperlink ref="QCT8" location="'Cost Summary'!A1" display="'Cost Summary'!A1"/>
    <hyperlink ref="QCU8" location="'Cost Summary'!A1" display="'Cost Summary'!A1"/>
    <hyperlink ref="QCV8" location="'Cost Summary'!A1" display="'Cost Summary'!A1"/>
    <hyperlink ref="QCW8" location="'Cost Summary'!A1" display="'Cost Summary'!A1"/>
    <hyperlink ref="QCX8" location="'Cost Summary'!A1" display="'Cost Summary'!A1"/>
    <hyperlink ref="QCY8" location="'Cost Summary'!A1" display="'Cost Summary'!A1"/>
    <hyperlink ref="QCZ8" location="'Cost Summary'!A1" display="'Cost Summary'!A1"/>
    <hyperlink ref="QDA8" location="'Cost Summary'!A1" display="'Cost Summary'!A1"/>
    <hyperlink ref="QDB8" location="'Cost Summary'!A1" display="'Cost Summary'!A1"/>
    <hyperlink ref="QDC8" location="'Cost Summary'!A1" display="'Cost Summary'!A1"/>
    <hyperlink ref="QDD8" location="'Cost Summary'!A1" display="'Cost Summary'!A1"/>
    <hyperlink ref="QDE8" location="'Cost Summary'!A1" display="'Cost Summary'!A1"/>
    <hyperlink ref="QDF8" location="'Cost Summary'!A1" display="'Cost Summary'!A1"/>
    <hyperlink ref="QDG8" location="'Cost Summary'!A1" display="'Cost Summary'!A1"/>
    <hyperlink ref="QDH8" location="'Cost Summary'!A1" display="'Cost Summary'!A1"/>
    <hyperlink ref="QDI8" location="'Cost Summary'!A1" display="'Cost Summary'!A1"/>
    <hyperlink ref="QDJ8" location="'Cost Summary'!A1" display="'Cost Summary'!A1"/>
    <hyperlink ref="QDK8" location="'Cost Summary'!A1" display="'Cost Summary'!A1"/>
    <hyperlink ref="QDL8" location="'Cost Summary'!A1" display="'Cost Summary'!A1"/>
    <hyperlink ref="QDM8" location="'Cost Summary'!A1" display="'Cost Summary'!A1"/>
    <hyperlink ref="QDN8" location="'Cost Summary'!A1" display="'Cost Summary'!A1"/>
    <hyperlink ref="QDO8" location="'Cost Summary'!A1" display="'Cost Summary'!A1"/>
    <hyperlink ref="QDP8" location="'Cost Summary'!A1" display="'Cost Summary'!A1"/>
    <hyperlink ref="QDQ8" location="'Cost Summary'!A1" display="'Cost Summary'!A1"/>
    <hyperlink ref="QDR8" location="'Cost Summary'!A1" display="'Cost Summary'!A1"/>
    <hyperlink ref="QDS8" location="'Cost Summary'!A1" display="'Cost Summary'!A1"/>
    <hyperlink ref="QDT8" location="'Cost Summary'!A1" display="'Cost Summary'!A1"/>
    <hyperlink ref="QDU8" location="'Cost Summary'!A1" display="'Cost Summary'!A1"/>
    <hyperlink ref="QDV8" location="'Cost Summary'!A1" display="'Cost Summary'!A1"/>
    <hyperlink ref="QDW8" location="'Cost Summary'!A1" display="'Cost Summary'!A1"/>
    <hyperlink ref="QDX8" location="'Cost Summary'!A1" display="'Cost Summary'!A1"/>
    <hyperlink ref="QDY8" location="'Cost Summary'!A1" display="'Cost Summary'!A1"/>
    <hyperlink ref="QDZ8" location="'Cost Summary'!A1" display="'Cost Summary'!A1"/>
    <hyperlink ref="QEA8" location="'Cost Summary'!A1" display="'Cost Summary'!A1"/>
    <hyperlink ref="QEB8" location="'Cost Summary'!A1" display="'Cost Summary'!A1"/>
    <hyperlink ref="QEC8" location="'Cost Summary'!A1" display="'Cost Summary'!A1"/>
    <hyperlink ref="QED8" location="'Cost Summary'!A1" display="'Cost Summary'!A1"/>
    <hyperlink ref="QEE8" location="'Cost Summary'!A1" display="'Cost Summary'!A1"/>
    <hyperlink ref="QEF8" location="'Cost Summary'!A1" display="'Cost Summary'!A1"/>
    <hyperlink ref="QEG8" location="'Cost Summary'!A1" display="'Cost Summary'!A1"/>
    <hyperlink ref="QEH8" location="'Cost Summary'!A1" display="'Cost Summary'!A1"/>
    <hyperlink ref="QEI8" location="'Cost Summary'!A1" display="'Cost Summary'!A1"/>
    <hyperlink ref="QEJ8" location="'Cost Summary'!A1" display="'Cost Summary'!A1"/>
    <hyperlink ref="QEK8" location="'Cost Summary'!A1" display="'Cost Summary'!A1"/>
    <hyperlink ref="QEL8" location="'Cost Summary'!A1" display="'Cost Summary'!A1"/>
    <hyperlink ref="QEM8" location="'Cost Summary'!A1" display="'Cost Summary'!A1"/>
    <hyperlink ref="QEN8" location="'Cost Summary'!A1" display="'Cost Summary'!A1"/>
    <hyperlink ref="QEO8" location="'Cost Summary'!A1" display="'Cost Summary'!A1"/>
    <hyperlink ref="QEP8" location="'Cost Summary'!A1" display="'Cost Summary'!A1"/>
    <hyperlink ref="QEQ8" location="'Cost Summary'!A1" display="'Cost Summary'!A1"/>
    <hyperlink ref="QER8" location="'Cost Summary'!A1" display="'Cost Summary'!A1"/>
    <hyperlink ref="QES8" location="'Cost Summary'!A1" display="'Cost Summary'!A1"/>
    <hyperlink ref="QET8" location="'Cost Summary'!A1" display="'Cost Summary'!A1"/>
    <hyperlink ref="QEU8" location="'Cost Summary'!A1" display="'Cost Summary'!A1"/>
    <hyperlink ref="QEV8" location="'Cost Summary'!A1" display="'Cost Summary'!A1"/>
    <hyperlink ref="QEW8" location="'Cost Summary'!A1" display="'Cost Summary'!A1"/>
    <hyperlink ref="QEX8" location="'Cost Summary'!A1" display="'Cost Summary'!A1"/>
    <hyperlink ref="QEY8" location="'Cost Summary'!A1" display="'Cost Summary'!A1"/>
    <hyperlink ref="QEZ8" location="'Cost Summary'!A1" display="'Cost Summary'!A1"/>
    <hyperlink ref="QFA8" location="'Cost Summary'!A1" display="'Cost Summary'!A1"/>
    <hyperlink ref="QFB8" location="'Cost Summary'!A1" display="'Cost Summary'!A1"/>
    <hyperlink ref="QFC8" location="'Cost Summary'!A1" display="'Cost Summary'!A1"/>
    <hyperlink ref="QFD8" location="'Cost Summary'!A1" display="'Cost Summary'!A1"/>
    <hyperlink ref="QFE8" location="'Cost Summary'!A1" display="'Cost Summary'!A1"/>
    <hyperlink ref="QFF8" location="'Cost Summary'!A1" display="'Cost Summary'!A1"/>
    <hyperlink ref="QFG8" location="'Cost Summary'!A1" display="'Cost Summary'!A1"/>
    <hyperlink ref="QFH8" location="'Cost Summary'!A1" display="'Cost Summary'!A1"/>
    <hyperlink ref="QFI8" location="'Cost Summary'!A1" display="'Cost Summary'!A1"/>
    <hyperlink ref="QFJ8" location="'Cost Summary'!A1" display="'Cost Summary'!A1"/>
    <hyperlink ref="QFK8" location="'Cost Summary'!A1" display="'Cost Summary'!A1"/>
    <hyperlink ref="QFL8" location="'Cost Summary'!A1" display="'Cost Summary'!A1"/>
    <hyperlink ref="QFM8" location="'Cost Summary'!A1" display="'Cost Summary'!A1"/>
    <hyperlink ref="QFN8" location="'Cost Summary'!A1" display="'Cost Summary'!A1"/>
    <hyperlink ref="QFO8" location="'Cost Summary'!A1" display="'Cost Summary'!A1"/>
    <hyperlink ref="QFP8" location="'Cost Summary'!A1" display="'Cost Summary'!A1"/>
    <hyperlink ref="QFQ8" location="'Cost Summary'!A1" display="'Cost Summary'!A1"/>
    <hyperlink ref="QFR8" location="'Cost Summary'!A1" display="'Cost Summary'!A1"/>
    <hyperlink ref="QFS8" location="'Cost Summary'!A1" display="'Cost Summary'!A1"/>
    <hyperlink ref="QFT8" location="'Cost Summary'!A1" display="'Cost Summary'!A1"/>
    <hyperlink ref="QFU8" location="'Cost Summary'!A1" display="'Cost Summary'!A1"/>
    <hyperlink ref="QFV8" location="'Cost Summary'!A1" display="'Cost Summary'!A1"/>
    <hyperlink ref="QFW8" location="'Cost Summary'!A1" display="'Cost Summary'!A1"/>
    <hyperlink ref="QFX8" location="'Cost Summary'!A1" display="'Cost Summary'!A1"/>
    <hyperlink ref="QFY8" location="'Cost Summary'!A1" display="'Cost Summary'!A1"/>
    <hyperlink ref="QFZ8" location="'Cost Summary'!A1" display="'Cost Summary'!A1"/>
    <hyperlink ref="QGA8" location="'Cost Summary'!A1" display="'Cost Summary'!A1"/>
    <hyperlink ref="QGB8" location="'Cost Summary'!A1" display="'Cost Summary'!A1"/>
    <hyperlink ref="QGC8" location="'Cost Summary'!A1" display="'Cost Summary'!A1"/>
    <hyperlink ref="QGD8" location="'Cost Summary'!A1" display="'Cost Summary'!A1"/>
    <hyperlink ref="QGE8" location="'Cost Summary'!A1" display="'Cost Summary'!A1"/>
    <hyperlink ref="QGF8" location="'Cost Summary'!A1" display="'Cost Summary'!A1"/>
    <hyperlink ref="QGG8" location="'Cost Summary'!A1" display="'Cost Summary'!A1"/>
    <hyperlink ref="QGH8" location="'Cost Summary'!A1" display="'Cost Summary'!A1"/>
    <hyperlink ref="QGI8" location="'Cost Summary'!A1" display="'Cost Summary'!A1"/>
    <hyperlink ref="QGJ8" location="'Cost Summary'!A1" display="'Cost Summary'!A1"/>
    <hyperlink ref="QGK8" location="'Cost Summary'!A1" display="'Cost Summary'!A1"/>
    <hyperlink ref="QGL8" location="'Cost Summary'!A1" display="'Cost Summary'!A1"/>
    <hyperlink ref="QGM8" location="'Cost Summary'!A1" display="'Cost Summary'!A1"/>
    <hyperlink ref="QGN8" location="'Cost Summary'!A1" display="'Cost Summary'!A1"/>
    <hyperlink ref="QGO8" location="'Cost Summary'!A1" display="'Cost Summary'!A1"/>
    <hyperlink ref="QGP8" location="'Cost Summary'!A1" display="'Cost Summary'!A1"/>
    <hyperlink ref="QGQ8" location="'Cost Summary'!A1" display="'Cost Summary'!A1"/>
    <hyperlink ref="QGR8" location="'Cost Summary'!A1" display="'Cost Summary'!A1"/>
    <hyperlink ref="QGS8" location="'Cost Summary'!A1" display="'Cost Summary'!A1"/>
    <hyperlink ref="QGT8" location="'Cost Summary'!A1" display="'Cost Summary'!A1"/>
    <hyperlink ref="QGU8" location="'Cost Summary'!A1" display="'Cost Summary'!A1"/>
    <hyperlink ref="QGV8" location="'Cost Summary'!A1" display="'Cost Summary'!A1"/>
    <hyperlink ref="QGW8" location="'Cost Summary'!A1" display="'Cost Summary'!A1"/>
    <hyperlink ref="QGX8" location="'Cost Summary'!A1" display="'Cost Summary'!A1"/>
    <hyperlink ref="QGY8" location="'Cost Summary'!A1" display="'Cost Summary'!A1"/>
    <hyperlink ref="QGZ8" location="'Cost Summary'!A1" display="'Cost Summary'!A1"/>
    <hyperlink ref="QHA8" location="'Cost Summary'!A1" display="'Cost Summary'!A1"/>
    <hyperlink ref="QHB8" location="'Cost Summary'!A1" display="'Cost Summary'!A1"/>
    <hyperlink ref="QHC8" location="'Cost Summary'!A1" display="'Cost Summary'!A1"/>
    <hyperlink ref="QHD8" location="'Cost Summary'!A1" display="'Cost Summary'!A1"/>
    <hyperlink ref="QHE8" location="'Cost Summary'!A1" display="'Cost Summary'!A1"/>
    <hyperlink ref="QHF8" location="'Cost Summary'!A1" display="'Cost Summary'!A1"/>
    <hyperlink ref="QHG8" location="'Cost Summary'!A1" display="'Cost Summary'!A1"/>
    <hyperlink ref="QHH8" location="'Cost Summary'!A1" display="'Cost Summary'!A1"/>
    <hyperlink ref="QHI8" location="'Cost Summary'!A1" display="'Cost Summary'!A1"/>
    <hyperlink ref="QHJ8" location="'Cost Summary'!A1" display="'Cost Summary'!A1"/>
    <hyperlink ref="QHK8" location="'Cost Summary'!A1" display="'Cost Summary'!A1"/>
    <hyperlink ref="QHL8" location="'Cost Summary'!A1" display="'Cost Summary'!A1"/>
    <hyperlink ref="QHM8" location="'Cost Summary'!A1" display="'Cost Summary'!A1"/>
    <hyperlink ref="QHN8" location="'Cost Summary'!A1" display="'Cost Summary'!A1"/>
    <hyperlink ref="QHO8" location="'Cost Summary'!A1" display="'Cost Summary'!A1"/>
    <hyperlink ref="QHP8" location="'Cost Summary'!A1" display="'Cost Summary'!A1"/>
    <hyperlink ref="QHQ8" location="'Cost Summary'!A1" display="'Cost Summary'!A1"/>
    <hyperlink ref="QHR8" location="'Cost Summary'!A1" display="'Cost Summary'!A1"/>
    <hyperlink ref="QHS8" location="'Cost Summary'!A1" display="'Cost Summary'!A1"/>
    <hyperlink ref="QHT8" location="'Cost Summary'!A1" display="'Cost Summary'!A1"/>
    <hyperlink ref="QHU8" location="'Cost Summary'!A1" display="'Cost Summary'!A1"/>
    <hyperlink ref="QHV8" location="'Cost Summary'!A1" display="'Cost Summary'!A1"/>
    <hyperlink ref="QHW8" location="'Cost Summary'!A1" display="'Cost Summary'!A1"/>
    <hyperlink ref="QHX8" location="'Cost Summary'!A1" display="'Cost Summary'!A1"/>
    <hyperlink ref="QHY8" location="'Cost Summary'!A1" display="'Cost Summary'!A1"/>
    <hyperlink ref="QHZ8" location="'Cost Summary'!A1" display="'Cost Summary'!A1"/>
    <hyperlink ref="QIA8" location="'Cost Summary'!A1" display="'Cost Summary'!A1"/>
    <hyperlink ref="QIB8" location="'Cost Summary'!A1" display="'Cost Summary'!A1"/>
    <hyperlink ref="QIC8" location="'Cost Summary'!A1" display="'Cost Summary'!A1"/>
    <hyperlink ref="QID8" location="'Cost Summary'!A1" display="'Cost Summary'!A1"/>
    <hyperlink ref="QIE8" location="'Cost Summary'!A1" display="'Cost Summary'!A1"/>
    <hyperlink ref="QIF8" location="'Cost Summary'!A1" display="'Cost Summary'!A1"/>
    <hyperlink ref="QIG8" location="'Cost Summary'!A1" display="'Cost Summary'!A1"/>
    <hyperlink ref="QIH8" location="'Cost Summary'!A1" display="'Cost Summary'!A1"/>
    <hyperlink ref="QII8" location="'Cost Summary'!A1" display="'Cost Summary'!A1"/>
    <hyperlink ref="QIJ8" location="'Cost Summary'!A1" display="'Cost Summary'!A1"/>
    <hyperlink ref="QIK8" location="'Cost Summary'!A1" display="'Cost Summary'!A1"/>
    <hyperlink ref="QIL8" location="'Cost Summary'!A1" display="'Cost Summary'!A1"/>
    <hyperlink ref="QIM8" location="'Cost Summary'!A1" display="'Cost Summary'!A1"/>
    <hyperlink ref="QIN8" location="'Cost Summary'!A1" display="'Cost Summary'!A1"/>
    <hyperlink ref="QIO8" location="'Cost Summary'!A1" display="'Cost Summary'!A1"/>
    <hyperlink ref="QIP8" location="'Cost Summary'!A1" display="'Cost Summary'!A1"/>
    <hyperlink ref="QIQ8" location="'Cost Summary'!A1" display="'Cost Summary'!A1"/>
    <hyperlink ref="QIR8" location="'Cost Summary'!A1" display="'Cost Summary'!A1"/>
    <hyperlink ref="QIS8" location="'Cost Summary'!A1" display="'Cost Summary'!A1"/>
    <hyperlink ref="QIT8" location="'Cost Summary'!A1" display="'Cost Summary'!A1"/>
    <hyperlink ref="QIU8" location="'Cost Summary'!A1" display="'Cost Summary'!A1"/>
    <hyperlink ref="QIV8" location="'Cost Summary'!A1" display="'Cost Summary'!A1"/>
    <hyperlink ref="QIW8" location="'Cost Summary'!A1" display="'Cost Summary'!A1"/>
    <hyperlink ref="QIX8" location="'Cost Summary'!A1" display="'Cost Summary'!A1"/>
    <hyperlink ref="QIY8" location="'Cost Summary'!A1" display="'Cost Summary'!A1"/>
    <hyperlink ref="QIZ8" location="'Cost Summary'!A1" display="'Cost Summary'!A1"/>
    <hyperlink ref="QJA8" location="'Cost Summary'!A1" display="'Cost Summary'!A1"/>
    <hyperlink ref="QJB8" location="'Cost Summary'!A1" display="'Cost Summary'!A1"/>
    <hyperlink ref="QJC8" location="'Cost Summary'!A1" display="'Cost Summary'!A1"/>
    <hyperlink ref="QJD8" location="'Cost Summary'!A1" display="'Cost Summary'!A1"/>
    <hyperlink ref="QJE8" location="'Cost Summary'!A1" display="'Cost Summary'!A1"/>
    <hyperlink ref="QJF8" location="'Cost Summary'!A1" display="'Cost Summary'!A1"/>
    <hyperlink ref="QJG8" location="'Cost Summary'!A1" display="'Cost Summary'!A1"/>
    <hyperlink ref="QJH8" location="'Cost Summary'!A1" display="'Cost Summary'!A1"/>
    <hyperlink ref="QJI8" location="'Cost Summary'!A1" display="'Cost Summary'!A1"/>
    <hyperlink ref="QJJ8" location="'Cost Summary'!A1" display="'Cost Summary'!A1"/>
    <hyperlink ref="QJK8" location="'Cost Summary'!A1" display="'Cost Summary'!A1"/>
    <hyperlink ref="QJL8" location="'Cost Summary'!A1" display="'Cost Summary'!A1"/>
    <hyperlink ref="QJM8" location="'Cost Summary'!A1" display="'Cost Summary'!A1"/>
    <hyperlink ref="QJN8" location="'Cost Summary'!A1" display="'Cost Summary'!A1"/>
    <hyperlink ref="QJO8" location="'Cost Summary'!A1" display="'Cost Summary'!A1"/>
    <hyperlink ref="QJP8" location="'Cost Summary'!A1" display="'Cost Summary'!A1"/>
    <hyperlink ref="QJQ8" location="'Cost Summary'!A1" display="'Cost Summary'!A1"/>
    <hyperlink ref="QJR8" location="'Cost Summary'!A1" display="'Cost Summary'!A1"/>
    <hyperlink ref="QJS8" location="'Cost Summary'!A1" display="'Cost Summary'!A1"/>
    <hyperlink ref="QJT8" location="'Cost Summary'!A1" display="'Cost Summary'!A1"/>
    <hyperlink ref="QJU8" location="'Cost Summary'!A1" display="'Cost Summary'!A1"/>
    <hyperlink ref="QJV8" location="'Cost Summary'!A1" display="'Cost Summary'!A1"/>
    <hyperlink ref="QJW8" location="'Cost Summary'!A1" display="'Cost Summary'!A1"/>
    <hyperlink ref="QJX8" location="'Cost Summary'!A1" display="'Cost Summary'!A1"/>
    <hyperlink ref="QJY8" location="'Cost Summary'!A1" display="'Cost Summary'!A1"/>
    <hyperlink ref="QJZ8" location="'Cost Summary'!A1" display="'Cost Summary'!A1"/>
    <hyperlink ref="QKA8" location="'Cost Summary'!A1" display="'Cost Summary'!A1"/>
    <hyperlink ref="QKB8" location="'Cost Summary'!A1" display="'Cost Summary'!A1"/>
    <hyperlink ref="QKC8" location="'Cost Summary'!A1" display="'Cost Summary'!A1"/>
    <hyperlink ref="QKD8" location="'Cost Summary'!A1" display="'Cost Summary'!A1"/>
    <hyperlink ref="QKE8" location="'Cost Summary'!A1" display="'Cost Summary'!A1"/>
    <hyperlink ref="QKF8" location="'Cost Summary'!A1" display="'Cost Summary'!A1"/>
    <hyperlink ref="QKG8" location="'Cost Summary'!A1" display="'Cost Summary'!A1"/>
    <hyperlink ref="QKH8" location="'Cost Summary'!A1" display="'Cost Summary'!A1"/>
    <hyperlink ref="QKI8" location="'Cost Summary'!A1" display="'Cost Summary'!A1"/>
    <hyperlink ref="QKJ8" location="'Cost Summary'!A1" display="'Cost Summary'!A1"/>
    <hyperlink ref="QKK8" location="'Cost Summary'!A1" display="'Cost Summary'!A1"/>
    <hyperlink ref="QKL8" location="'Cost Summary'!A1" display="'Cost Summary'!A1"/>
    <hyperlink ref="QKM8" location="'Cost Summary'!A1" display="'Cost Summary'!A1"/>
    <hyperlink ref="QKN8" location="'Cost Summary'!A1" display="'Cost Summary'!A1"/>
    <hyperlink ref="QKO8" location="'Cost Summary'!A1" display="'Cost Summary'!A1"/>
    <hyperlink ref="QKP8" location="'Cost Summary'!A1" display="'Cost Summary'!A1"/>
    <hyperlink ref="QKQ8" location="'Cost Summary'!A1" display="'Cost Summary'!A1"/>
    <hyperlink ref="QKR8" location="'Cost Summary'!A1" display="'Cost Summary'!A1"/>
    <hyperlink ref="QKS8" location="'Cost Summary'!A1" display="'Cost Summary'!A1"/>
    <hyperlink ref="QKT8" location="'Cost Summary'!A1" display="'Cost Summary'!A1"/>
    <hyperlink ref="QKU8" location="'Cost Summary'!A1" display="'Cost Summary'!A1"/>
    <hyperlink ref="QKV8" location="'Cost Summary'!A1" display="'Cost Summary'!A1"/>
    <hyperlink ref="QKW8" location="'Cost Summary'!A1" display="'Cost Summary'!A1"/>
    <hyperlink ref="QKX8" location="'Cost Summary'!A1" display="'Cost Summary'!A1"/>
    <hyperlink ref="QKY8" location="'Cost Summary'!A1" display="'Cost Summary'!A1"/>
    <hyperlink ref="QKZ8" location="'Cost Summary'!A1" display="'Cost Summary'!A1"/>
    <hyperlink ref="QLA8" location="'Cost Summary'!A1" display="'Cost Summary'!A1"/>
    <hyperlink ref="QLB8" location="'Cost Summary'!A1" display="'Cost Summary'!A1"/>
    <hyperlink ref="QLC8" location="'Cost Summary'!A1" display="'Cost Summary'!A1"/>
    <hyperlink ref="QLD8" location="'Cost Summary'!A1" display="'Cost Summary'!A1"/>
    <hyperlink ref="QLE8" location="'Cost Summary'!A1" display="'Cost Summary'!A1"/>
    <hyperlink ref="QLF8" location="'Cost Summary'!A1" display="'Cost Summary'!A1"/>
    <hyperlink ref="QLG8" location="'Cost Summary'!A1" display="'Cost Summary'!A1"/>
    <hyperlink ref="QLH8" location="'Cost Summary'!A1" display="'Cost Summary'!A1"/>
    <hyperlink ref="QLI8" location="'Cost Summary'!A1" display="'Cost Summary'!A1"/>
    <hyperlink ref="QLJ8" location="'Cost Summary'!A1" display="'Cost Summary'!A1"/>
    <hyperlink ref="QLK8" location="'Cost Summary'!A1" display="'Cost Summary'!A1"/>
    <hyperlink ref="QLL8" location="'Cost Summary'!A1" display="'Cost Summary'!A1"/>
    <hyperlink ref="QLM8" location="'Cost Summary'!A1" display="'Cost Summary'!A1"/>
    <hyperlink ref="QLN8" location="'Cost Summary'!A1" display="'Cost Summary'!A1"/>
    <hyperlink ref="QLO8" location="'Cost Summary'!A1" display="'Cost Summary'!A1"/>
    <hyperlink ref="QLP8" location="'Cost Summary'!A1" display="'Cost Summary'!A1"/>
    <hyperlink ref="QLQ8" location="'Cost Summary'!A1" display="'Cost Summary'!A1"/>
    <hyperlink ref="QLR8" location="'Cost Summary'!A1" display="'Cost Summary'!A1"/>
    <hyperlink ref="QLS8" location="'Cost Summary'!A1" display="'Cost Summary'!A1"/>
    <hyperlink ref="QLT8" location="'Cost Summary'!A1" display="'Cost Summary'!A1"/>
    <hyperlink ref="QLU8" location="'Cost Summary'!A1" display="'Cost Summary'!A1"/>
    <hyperlink ref="QLV8" location="'Cost Summary'!A1" display="'Cost Summary'!A1"/>
    <hyperlink ref="QLW8" location="'Cost Summary'!A1" display="'Cost Summary'!A1"/>
    <hyperlink ref="QLX8" location="'Cost Summary'!A1" display="'Cost Summary'!A1"/>
    <hyperlink ref="QLY8" location="'Cost Summary'!A1" display="'Cost Summary'!A1"/>
    <hyperlink ref="QLZ8" location="'Cost Summary'!A1" display="'Cost Summary'!A1"/>
    <hyperlink ref="QMA8" location="'Cost Summary'!A1" display="'Cost Summary'!A1"/>
    <hyperlink ref="QMB8" location="'Cost Summary'!A1" display="'Cost Summary'!A1"/>
    <hyperlink ref="QMC8" location="'Cost Summary'!A1" display="'Cost Summary'!A1"/>
    <hyperlink ref="QMD8" location="'Cost Summary'!A1" display="'Cost Summary'!A1"/>
    <hyperlink ref="QME8" location="'Cost Summary'!A1" display="'Cost Summary'!A1"/>
    <hyperlink ref="QMF8" location="'Cost Summary'!A1" display="'Cost Summary'!A1"/>
    <hyperlink ref="QMG8" location="'Cost Summary'!A1" display="'Cost Summary'!A1"/>
    <hyperlink ref="QMH8" location="'Cost Summary'!A1" display="'Cost Summary'!A1"/>
    <hyperlink ref="QMI8" location="'Cost Summary'!A1" display="'Cost Summary'!A1"/>
    <hyperlink ref="QMJ8" location="'Cost Summary'!A1" display="'Cost Summary'!A1"/>
    <hyperlink ref="QMK8" location="'Cost Summary'!A1" display="'Cost Summary'!A1"/>
    <hyperlink ref="QML8" location="'Cost Summary'!A1" display="'Cost Summary'!A1"/>
    <hyperlink ref="QMM8" location="'Cost Summary'!A1" display="'Cost Summary'!A1"/>
    <hyperlink ref="QMN8" location="'Cost Summary'!A1" display="'Cost Summary'!A1"/>
    <hyperlink ref="QMO8" location="'Cost Summary'!A1" display="'Cost Summary'!A1"/>
    <hyperlink ref="QMP8" location="'Cost Summary'!A1" display="'Cost Summary'!A1"/>
    <hyperlink ref="QMQ8" location="'Cost Summary'!A1" display="'Cost Summary'!A1"/>
    <hyperlink ref="QMR8" location="'Cost Summary'!A1" display="'Cost Summary'!A1"/>
    <hyperlink ref="QMS8" location="'Cost Summary'!A1" display="'Cost Summary'!A1"/>
    <hyperlink ref="QMT8" location="'Cost Summary'!A1" display="'Cost Summary'!A1"/>
    <hyperlink ref="QMU8" location="'Cost Summary'!A1" display="'Cost Summary'!A1"/>
    <hyperlink ref="QMV8" location="'Cost Summary'!A1" display="'Cost Summary'!A1"/>
    <hyperlink ref="QMW8" location="'Cost Summary'!A1" display="'Cost Summary'!A1"/>
    <hyperlink ref="QMX8" location="'Cost Summary'!A1" display="'Cost Summary'!A1"/>
    <hyperlink ref="QMY8" location="'Cost Summary'!A1" display="'Cost Summary'!A1"/>
    <hyperlink ref="QMZ8" location="'Cost Summary'!A1" display="'Cost Summary'!A1"/>
    <hyperlink ref="QNA8" location="'Cost Summary'!A1" display="'Cost Summary'!A1"/>
    <hyperlink ref="QNB8" location="'Cost Summary'!A1" display="'Cost Summary'!A1"/>
    <hyperlink ref="QNC8" location="'Cost Summary'!A1" display="'Cost Summary'!A1"/>
    <hyperlink ref="QND8" location="'Cost Summary'!A1" display="'Cost Summary'!A1"/>
    <hyperlink ref="QNE8" location="'Cost Summary'!A1" display="'Cost Summary'!A1"/>
    <hyperlink ref="QNF8" location="'Cost Summary'!A1" display="'Cost Summary'!A1"/>
    <hyperlink ref="QNG8" location="'Cost Summary'!A1" display="'Cost Summary'!A1"/>
    <hyperlink ref="QNH8" location="'Cost Summary'!A1" display="'Cost Summary'!A1"/>
    <hyperlink ref="QNI8" location="'Cost Summary'!A1" display="'Cost Summary'!A1"/>
    <hyperlink ref="QNJ8" location="'Cost Summary'!A1" display="'Cost Summary'!A1"/>
    <hyperlink ref="QNK8" location="'Cost Summary'!A1" display="'Cost Summary'!A1"/>
    <hyperlink ref="QNL8" location="'Cost Summary'!A1" display="'Cost Summary'!A1"/>
    <hyperlink ref="QNM8" location="'Cost Summary'!A1" display="'Cost Summary'!A1"/>
    <hyperlink ref="QNN8" location="'Cost Summary'!A1" display="'Cost Summary'!A1"/>
    <hyperlink ref="QNO8" location="'Cost Summary'!A1" display="'Cost Summary'!A1"/>
    <hyperlink ref="QNP8" location="'Cost Summary'!A1" display="'Cost Summary'!A1"/>
    <hyperlink ref="QNQ8" location="'Cost Summary'!A1" display="'Cost Summary'!A1"/>
    <hyperlink ref="QNR8" location="'Cost Summary'!A1" display="'Cost Summary'!A1"/>
    <hyperlink ref="QNS8" location="'Cost Summary'!A1" display="'Cost Summary'!A1"/>
    <hyperlink ref="QNT8" location="'Cost Summary'!A1" display="'Cost Summary'!A1"/>
    <hyperlink ref="QNU8" location="'Cost Summary'!A1" display="'Cost Summary'!A1"/>
    <hyperlink ref="QNV8" location="'Cost Summary'!A1" display="'Cost Summary'!A1"/>
    <hyperlink ref="QNW8" location="'Cost Summary'!A1" display="'Cost Summary'!A1"/>
    <hyperlink ref="QNX8" location="'Cost Summary'!A1" display="'Cost Summary'!A1"/>
    <hyperlink ref="QNY8" location="'Cost Summary'!A1" display="'Cost Summary'!A1"/>
    <hyperlink ref="QNZ8" location="'Cost Summary'!A1" display="'Cost Summary'!A1"/>
    <hyperlink ref="QOA8" location="'Cost Summary'!A1" display="'Cost Summary'!A1"/>
    <hyperlink ref="QOB8" location="'Cost Summary'!A1" display="'Cost Summary'!A1"/>
    <hyperlink ref="QOC8" location="'Cost Summary'!A1" display="'Cost Summary'!A1"/>
    <hyperlink ref="QOD8" location="'Cost Summary'!A1" display="'Cost Summary'!A1"/>
    <hyperlink ref="QOE8" location="'Cost Summary'!A1" display="'Cost Summary'!A1"/>
    <hyperlink ref="QOF8" location="'Cost Summary'!A1" display="'Cost Summary'!A1"/>
    <hyperlink ref="QOG8" location="'Cost Summary'!A1" display="'Cost Summary'!A1"/>
    <hyperlink ref="QOH8" location="'Cost Summary'!A1" display="'Cost Summary'!A1"/>
    <hyperlink ref="QOI8" location="'Cost Summary'!A1" display="'Cost Summary'!A1"/>
    <hyperlink ref="QOJ8" location="'Cost Summary'!A1" display="'Cost Summary'!A1"/>
    <hyperlink ref="QOK8" location="'Cost Summary'!A1" display="'Cost Summary'!A1"/>
    <hyperlink ref="QOL8" location="'Cost Summary'!A1" display="'Cost Summary'!A1"/>
    <hyperlink ref="QOM8" location="'Cost Summary'!A1" display="'Cost Summary'!A1"/>
    <hyperlink ref="QON8" location="'Cost Summary'!A1" display="'Cost Summary'!A1"/>
    <hyperlink ref="QOO8" location="'Cost Summary'!A1" display="'Cost Summary'!A1"/>
    <hyperlink ref="QOP8" location="'Cost Summary'!A1" display="'Cost Summary'!A1"/>
    <hyperlink ref="QOQ8" location="'Cost Summary'!A1" display="'Cost Summary'!A1"/>
    <hyperlink ref="QOR8" location="'Cost Summary'!A1" display="'Cost Summary'!A1"/>
    <hyperlink ref="QOS8" location="'Cost Summary'!A1" display="'Cost Summary'!A1"/>
    <hyperlink ref="QOT8" location="'Cost Summary'!A1" display="'Cost Summary'!A1"/>
    <hyperlink ref="QOU8" location="'Cost Summary'!A1" display="'Cost Summary'!A1"/>
    <hyperlink ref="QOV8" location="'Cost Summary'!A1" display="'Cost Summary'!A1"/>
    <hyperlink ref="QOW8" location="'Cost Summary'!A1" display="'Cost Summary'!A1"/>
    <hyperlink ref="QOX8" location="'Cost Summary'!A1" display="'Cost Summary'!A1"/>
    <hyperlink ref="QOY8" location="'Cost Summary'!A1" display="'Cost Summary'!A1"/>
    <hyperlink ref="QOZ8" location="'Cost Summary'!A1" display="'Cost Summary'!A1"/>
    <hyperlink ref="QPA8" location="'Cost Summary'!A1" display="'Cost Summary'!A1"/>
    <hyperlink ref="QPB8" location="'Cost Summary'!A1" display="'Cost Summary'!A1"/>
    <hyperlink ref="QPC8" location="'Cost Summary'!A1" display="'Cost Summary'!A1"/>
    <hyperlink ref="QPD8" location="'Cost Summary'!A1" display="'Cost Summary'!A1"/>
    <hyperlink ref="QPE8" location="'Cost Summary'!A1" display="'Cost Summary'!A1"/>
    <hyperlink ref="QPF8" location="'Cost Summary'!A1" display="'Cost Summary'!A1"/>
    <hyperlink ref="QPG8" location="'Cost Summary'!A1" display="'Cost Summary'!A1"/>
    <hyperlink ref="QPH8" location="'Cost Summary'!A1" display="'Cost Summary'!A1"/>
    <hyperlink ref="QPI8" location="'Cost Summary'!A1" display="'Cost Summary'!A1"/>
    <hyperlink ref="QPJ8" location="'Cost Summary'!A1" display="'Cost Summary'!A1"/>
    <hyperlink ref="QPK8" location="'Cost Summary'!A1" display="'Cost Summary'!A1"/>
    <hyperlink ref="QPL8" location="'Cost Summary'!A1" display="'Cost Summary'!A1"/>
    <hyperlink ref="QPM8" location="'Cost Summary'!A1" display="'Cost Summary'!A1"/>
    <hyperlink ref="QPN8" location="'Cost Summary'!A1" display="'Cost Summary'!A1"/>
    <hyperlink ref="QPO8" location="'Cost Summary'!A1" display="'Cost Summary'!A1"/>
    <hyperlink ref="QPP8" location="'Cost Summary'!A1" display="'Cost Summary'!A1"/>
    <hyperlink ref="QPQ8" location="'Cost Summary'!A1" display="'Cost Summary'!A1"/>
    <hyperlink ref="QPR8" location="'Cost Summary'!A1" display="'Cost Summary'!A1"/>
    <hyperlink ref="QPS8" location="'Cost Summary'!A1" display="'Cost Summary'!A1"/>
    <hyperlink ref="QPT8" location="'Cost Summary'!A1" display="'Cost Summary'!A1"/>
    <hyperlink ref="QPU8" location="'Cost Summary'!A1" display="'Cost Summary'!A1"/>
    <hyperlink ref="QPV8" location="'Cost Summary'!A1" display="'Cost Summary'!A1"/>
    <hyperlink ref="QPW8" location="'Cost Summary'!A1" display="'Cost Summary'!A1"/>
    <hyperlink ref="QPX8" location="'Cost Summary'!A1" display="'Cost Summary'!A1"/>
    <hyperlink ref="QPY8" location="'Cost Summary'!A1" display="'Cost Summary'!A1"/>
    <hyperlink ref="QPZ8" location="'Cost Summary'!A1" display="'Cost Summary'!A1"/>
    <hyperlink ref="QQA8" location="'Cost Summary'!A1" display="'Cost Summary'!A1"/>
    <hyperlink ref="QQB8" location="'Cost Summary'!A1" display="'Cost Summary'!A1"/>
    <hyperlink ref="QQC8" location="'Cost Summary'!A1" display="'Cost Summary'!A1"/>
    <hyperlink ref="QQD8" location="'Cost Summary'!A1" display="'Cost Summary'!A1"/>
    <hyperlink ref="QQE8" location="'Cost Summary'!A1" display="'Cost Summary'!A1"/>
    <hyperlink ref="QQF8" location="'Cost Summary'!A1" display="'Cost Summary'!A1"/>
    <hyperlink ref="QQG8" location="'Cost Summary'!A1" display="'Cost Summary'!A1"/>
    <hyperlink ref="QQH8" location="'Cost Summary'!A1" display="'Cost Summary'!A1"/>
    <hyperlink ref="QQI8" location="'Cost Summary'!A1" display="'Cost Summary'!A1"/>
    <hyperlink ref="QQJ8" location="'Cost Summary'!A1" display="'Cost Summary'!A1"/>
    <hyperlink ref="QQK8" location="'Cost Summary'!A1" display="'Cost Summary'!A1"/>
    <hyperlink ref="QQL8" location="'Cost Summary'!A1" display="'Cost Summary'!A1"/>
    <hyperlink ref="QQM8" location="'Cost Summary'!A1" display="'Cost Summary'!A1"/>
    <hyperlink ref="QQN8" location="'Cost Summary'!A1" display="'Cost Summary'!A1"/>
    <hyperlink ref="QQO8" location="'Cost Summary'!A1" display="'Cost Summary'!A1"/>
    <hyperlink ref="QQP8" location="'Cost Summary'!A1" display="'Cost Summary'!A1"/>
    <hyperlink ref="QQQ8" location="'Cost Summary'!A1" display="'Cost Summary'!A1"/>
    <hyperlink ref="QQR8" location="'Cost Summary'!A1" display="'Cost Summary'!A1"/>
    <hyperlink ref="QQS8" location="'Cost Summary'!A1" display="'Cost Summary'!A1"/>
    <hyperlink ref="QQT8" location="'Cost Summary'!A1" display="'Cost Summary'!A1"/>
    <hyperlink ref="QQU8" location="'Cost Summary'!A1" display="'Cost Summary'!A1"/>
    <hyperlink ref="QQV8" location="'Cost Summary'!A1" display="'Cost Summary'!A1"/>
    <hyperlink ref="QQW8" location="'Cost Summary'!A1" display="'Cost Summary'!A1"/>
    <hyperlink ref="QQX8" location="'Cost Summary'!A1" display="'Cost Summary'!A1"/>
    <hyperlink ref="QQY8" location="'Cost Summary'!A1" display="'Cost Summary'!A1"/>
    <hyperlink ref="QQZ8" location="'Cost Summary'!A1" display="'Cost Summary'!A1"/>
    <hyperlink ref="QRA8" location="'Cost Summary'!A1" display="'Cost Summary'!A1"/>
    <hyperlink ref="QRB8" location="'Cost Summary'!A1" display="'Cost Summary'!A1"/>
    <hyperlink ref="QRC8" location="'Cost Summary'!A1" display="'Cost Summary'!A1"/>
    <hyperlink ref="QRD8" location="'Cost Summary'!A1" display="'Cost Summary'!A1"/>
    <hyperlink ref="QRE8" location="'Cost Summary'!A1" display="'Cost Summary'!A1"/>
    <hyperlink ref="QRF8" location="'Cost Summary'!A1" display="'Cost Summary'!A1"/>
    <hyperlink ref="QRG8" location="'Cost Summary'!A1" display="'Cost Summary'!A1"/>
    <hyperlink ref="QRH8" location="'Cost Summary'!A1" display="'Cost Summary'!A1"/>
    <hyperlink ref="QRI8" location="'Cost Summary'!A1" display="'Cost Summary'!A1"/>
    <hyperlink ref="QRJ8" location="'Cost Summary'!A1" display="'Cost Summary'!A1"/>
    <hyperlink ref="QRK8" location="'Cost Summary'!A1" display="'Cost Summary'!A1"/>
    <hyperlink ref="QRL8" location="'Cost Summary'!A1" display="'Cost Summary'!A1"/>
    <hyperlink ref="QRM8" location="'Cost Summary'!A1" display="'Cost Summary'!A1"/>
    <hyperlink ref="QRN8" location="'Cost Summary'!A1" display="'Cost Summary'!A1"/>
    <hyperlink ref="QRO8" location="'Cost Summary'!A1" display="'Cost Summary'!A1"/>
    <hyperlink ref="QRP8" location="'Cost Summary'!A1" display="'Cost Summary'!A1"/>
    <hyperlink ref="QRQ8" location="'Cost Summary'!A1" display="'Cost Summary'!A1"/>
    <hyperlink ref="QRR8" location="'Cost Summary'!A1" display="'Cost Summary'!A1"/>
    <hyperlink ref="QRS8" location="'Cost Summary'!A1" display="'Cost Summary'!A1"/>
    <hyperlink ref="QRT8" location="'Cost Summary'!A1" display="'Cost Summary'!A1"/>
    <hyperlink ref="QRU8" location="'Cost Summary'!A1" display="'Cost Summary'!A1"/>
    <hyperlink ref="QRV8" location="'Cost Summary'!A1" display="'Cost Summary'!A1"/>
    <hyperlink ref="QRW8" location="'Cost Summary'!A1" display="'Cost Summary'!A1"/>
    <hyperlink ref="QRX8" location="'Cost Summary'!A1" display="'Cost Summary'!A1"/>
    <hyperlink ref="QRY8" location="'Cost Summary'!A1" display="'Cost Summary'!A1"/>
    <hyperlink ref="QRZ8" location="'Cost Summary'!A1" display="'Cost Summary'!A1"/>
    <hyperlink ref="QSA8" location="'Cost Summary'!A1" display="'Cost Summary'!A1"/>
    <hyperlink ref="QSB8" location="'Cost Summary'!A1" display="'Cost Summary'!A1"/>
    <hyperlink ref="QSC8" location="'Cost Summary'!A1" display="'Cost Summary'!A1"/>
    <hyperlink ref="QSD8" location="'Cost Summary'!A1" display="'Cost Summary'!A1"/>
    <hyperlink ref="QSE8" location="'Cost Summary'!A1" display="'Cost Summary'!A1"/>
    <hyperlink ref="QSF8" location="'Cost Summary'!A1" display="'Cost Summary'!A1"/>
    <hyperlink ref="QSG8" location="'Cost Summary'!A1" display="'Cost Summary'!A1"/>
    <hyperlink ref="QSH8" location="'Cost Summary'!A1" display="'Cost Summary'!A1"/>
    <hyperlink ref="QSI8" location="'Cost Summary'!A1" display="'Cost Summary'!A1"/>
    <hyperlink ref="QSJ8" location="'Cost Summary'!A1" display="'Cost Summary'!A1"/>
    <hyperlink ref="QSK8" location="'Cost Summary'!A1" display="'Cost Summary'!A1"/>
    <hyperlink ref="QSL8" location="'Cost Summary'!A1" display="'Cost Summary'!A1"/>
    <hyperlink ref="QSM8" location="'Cost Summary'!A1" display="'Cost Summary'!A1"/>
    <hyperlink ref="QSN8" location="'Cost Summary'!A1" display="'Cost Summary'!A1"/>
    <hyperlink ref="QSO8" location="'Cost Summary'!A1" display="'Cost Summary'!A1"/>
    <hyperlink ref="QSP8" location="'Cost Summary'!A1" display="'Cost Summary'!A1"/>
    <hyperlink ref="QSQ8" location="'Cost Summary'!A1" display="'Cost Summary'!A1"/>
    <hyperlink ref="QSR8" location="'Cost Summary'!A1" display="'Cost Summary'!A1"/>
    <hyperlink ref="QSS8" location="'Cost Summary'!A1" display="'Cost Summary'!A1"/>
    <hyperlink ref="QST8" location="'Cost Summary'!A1" display="'Cost Summary'!A1"/>
    <hyperlink ref="QSU8" location="'Cost Summary'!A1" display="'Cost Summary'!A1"/>
    <hyperlink ref="QSV8" location="'Cost Summary'!A1" display="'Cost Summary'!A1"/>
    <hyperlink ref="QSW8" location="'Cost Summary'!A1" display="'Cost Summary'!A1"/>
    <hyperlink ref="QSX8" location="'Cost Summary'!A1" display="'Cost Summary'!A1"/>
    <hyperlink ref="QSY8" location="'Cost Summary'!A1" display="'Cost Summary'!A1"/>
    <hyperlink ref="QSZ8" location="'Cost Summary'!A1" display="'Cost Summary'!A1"/>
    <hyperlink ref="QTA8" location="'Cost Summary'!A1" display="'Cost Summary'!A1"/>
    <hyperlink ref="QTB8" location="'Cost Summary'!A1" display="'Cost Summary'!A1"/>
    <hyperlink ref="QTC8" location="'Cost Summary'!A1" display="'Cost Summary'!A1"/>
    <hyperlink ref="QTD8" location="'Cost Summary'!A1" display="'Cost Summary'!A1"/>
    <hyperlink ref="QTE8" location="'Cost Summary'!A1" display="'Cost Summary'!A1"/>
    <hyperlink ref="QTF8" location="'Cost Summary'!A1" display="'Cost Summary'!A1"/>
    <hyperlink ref="QTG8" location="'Cost Summary'!A1" display="'Cost Summary'!A1"/>
    <hyperlink ref="QTH8" location="'Cost Summary'!A1" display="'Cost Summary'!A1"/>
    <hyperlink ref="QTI8" location="'Cost Summary'!A1" display="'Cost Summary'!A1"/>
    <hyperlink ref="QTJ8" location="'Cost Summary'!A1" display="'Cost Summary'!A1"/>
    <hyperlink ref="QTK8" location="'Cost Summary'!A1" display="'Cost Summary'!A1"/>
    <hyperlink ref="QTL8" location="'Cost Summary'!A1" display="'Cost Summary'!A1"/>
    <hyperlink ref="QTM8" location="'Cost Summary'!A1" display="'Cost Summary'!A1"/>
    <hyperlink ref="QTN8" location="'Cost Summary'!A1" display="'Cost Summary'!A1"/>
    <hyperlink ref="QTO8" location="'Cost Summary'!A1" display="'Cost Summary'!A1"/>
    <hyperlink ref="QTP8" location="'Cost Summary'!A1" display="'Cost Summary'!A1"/>
    <hyperlink ref="QTQ8" location="'Cost Summary'!A1" display="'Cost Summary'!A1"/>
    <hyperlink ref="QTR8" location="'Cost Summary'!A1" display="'Cost Summary'!A1"/>
    <hyperlink ref="QTS8" location="'Cost Summary'!A1" display="'Cost Summary'!A1"/>
    <hyperlink ref="QTT8" location="'Cost Summary'!A1" display="'Cost Summary'!A1"/>
    <hyperlink ref="QTU8" location="'Cost Summary'!A1" display="'Cost Summary'!A1"/>
    <hyperlink ref="QTV8" location="'Cost Summary'!A1" display="'Cost Summary'!A1"/>
    <hyperlink ref="QTW8" location="'Cost Summary'!A1" display="'Cost Summary'!A1"/>
    <hyperlink ref="QTX8" location="'Cost Summary'!A1" display="'Cost Summary'!A1"/>
    <hyperlink ref="QTY8" location="'Cost Summary'!A1" display="'Cost Summary'!A1"/>
    <hyperlink ref="QTZ8" location="'Cost Summary'!A1" display="'Cost Summary'!A1"/>
    <hyperlink ref="QUA8" location="'Cost Summary'!A1" display="'Cost Summary'!A1"/>
    <hyperlink ref="QUB8" location="'Cost Summary'!A1" display="'Cost Summary'!A1"/>
    <hyperlink ref="QUC8" location="'Cost Summary'!A1" display="'Cost Summary'!A1"/>
    <hyperlink ref="QUD8" location="'Cost Summary'!A1" display="'Cost Summary'!A1"/>
    <hyperlink ref="QUE8" location="'Cost Summary'!A1" display="'Cost Summary'!A1"/>
    <hyperlink ref="QUF8" location="'Cost Summary'!A1" display="'Cost Summary'!A1"/>
    <hyperlink ref="QUG8" location="'Cost Summary'!A1" display="'Cost Summary'!A1"/>
    <hyperlink ref="QUH8" location="'Cost Summary'!A1" display="'Cost Summary'!A1"/>
    <hyperlink ref="QUI8" location="'Cost Summary'!A1" display="'Cost Summary'!A1"/>
    <hyperlink ref="QUJ8" location="'Cost Summary'!A1" display="'Cost Summary'!A1"/>
    <hyperlink ref="QUK8" location="'Cost Summary'!A1" display="'Cost Summary'!A1"/>
    <hyperlink ref="QUL8" location="'Cost Summary'!A1" display="'Cost Summary'!A1"/>
    <hyperlink ref="QUM8" location="'Cost Summary'!A1" display="'Cost Summary'!A1"/>
    <hyperlink ref="QUN8" location="'Cost Summary'!A1" display="'Cost Summary'!A1"/>
    <hyperlink ref="QUO8" location="'Cost Summary'!A1" display="'Cost Summary'!A1"/>
    <hyperlink ref="QUP8" location="'Cost Summary'!A1" display="'Cost Summary'!A1"/>
    <hyperlink ref="QUQ8" location="'Cost Summary'!A1" display="'Cost Summary'!A1"/>
    <hyperlink ref="QUR8" location="'Cost Summary'!A1" display="'Cost Summary'!A1"/>
    <hyperlink ref="QUS8" location="'Cost Summary'!A1" display="'Cost Summary'!A1"/>
    <hyperlink ref="QUT8" location="'Cost Summary'!A1" display="'Cost Summary'!A1"/>
    <hyperlink ref="QUU8" location="'Cost Summary'!A1" display="'Cost Summary'!A1"/>
    <hyperlink ref="QUV8" location="'Cost Summary'!A1" display="'Cost Summary'!A1"/>
    <hyperlink ref="QUW8" location="'Cost Summary'!A1" display="'Cost Summary'!A1"/>
    <hyperlink ref="QUX8" location="'Cost Summary'!A1" display="'Cost Summary'!A1"/>
    <hyperlink ref="QUY8" location="'Cost Summary'!A1" display="'Cost Summary'!A1"/>
    <hyperlink ref="QUZ8" location="'Cost Summary'!A1" display="'Cost Summary'!A1"/>
    <hyperlink ref="QVA8" location="'Cost Summary'!A1" display="'Cost Summary'!A1"/>
    <hyperlink ref="QVB8" location="'Cost Summary'!A1" display="'Cost Summary'!A1"/>
    <hyperlink ref="QVC8" location="'Cost Summary'!A1" display="'Cost Summary'!A1"/>
    <hyperlink ref="QVD8" location="'Cost Summary'!A1" display="'Cost Summary'!A1"/>
    <hyperlink ref="QVE8" location="'Cost Summary'!A1" display="'Cost Summary'!A1"/>
    <hyperlink ref="QVF8" location="'Cost Summary'!A1" display="'Cost Summary'!A1"/>
    <hyperlink ref="QVG8" location="'Cost Summary'!A1" display="'Cost Summary'!A1"/>
    <hyperlink ref="QVH8" location="'Cost Summary'!A1" display="'Cost Summary'!A1"/>
    <hyperlink ref="QVI8" location="'Cost Summary'!A1" display="'Cost Summary'!A1"/>
    <hyperlink ref="QVJ8" location="'Cost Summary'!A1" display="'Cost Summary'!A1"/>
    <hyperlink ref="QVK8" location="'Cost Summary'!A1" display="'Cost Summary'!A1"/>
    <hyperlink ref="QVL8" location="'Cost Summary'!A1" display="'Cost Summary'!A1"/>
    <hyperlink ref="QVM8" location="'Cost Summary'!A1" display="'Cost Summary'!A1"/>
    <hyperlink ref="QVN8" location="'Cost Summary'!A1" display="'Cost Summary'!A1"/>
    <hyperlink ref="QVO8" location="'Cost Summary'!A1" display="'Cost Summary'!A1"/>
    <hyperlink ref="QVP8" location="'Cost Summary'!A1" display="'Cost Summary'!A1"/>
    <hyperlink ref="QVQ8" location="'Cost Summary'!A1" display="'Cost Summary'!A1"/>
    <hyperlink ref="QVR8" location="'Cost Summary'!A1" display="'Cost Summary'!A1"/>
    <hyperlink ref="QVS8" location="'Cost Summary'!A1" display="'Cost Summary'!A1"/>
    <hyperlink ref="QVT8" location="'Cost Summary'!A1" display="'Cost Summary'!A1"/>
    <hyperlink ref="QVU8" location="'Cost Summary'!A1" display="'Cost Summary'!A1"/>
    <hyperlink ref="QVV8" location="'Cost Summary'!A1" display="'Cost Summary'!A1"/>
    <hyperlink ref="QVW8" location="'Cost Summary'!A1" display="'Cost Summary'!A1"/>
    <hyperlink ref="QVX8" location="'Cost Summary'!A1" display="'Cost Summary'!A1"/>
    <hyperlink ref="QVY8" location="'Cost Summary'!A1" display="'Cost Summary'!A1"/>
    <hyperlink ref="QVZ8" location="'Cost Summary'!A1" display="'Cost Summary'!A1"/>
    <hyperlink ref="QWA8" location="'Cost Summary'!A1" display="'Cost Summary'!A1"/>
    <hyperlink ref="QWB8" location="'Cost Summary'!A1" display="'Cost Summary'!A1"/>
    <hyperlink ref="QWC8" location="'Cost Summary'!A1" display="'Cost Summary'!A1"/>
    <hyperlink ref="QWD8" location="'Cost Summary'!A1" display="'Cost Summary'!A1"/>
    <hyperlink ref="QWE8" location="'Cost Summary'!A1" display="'Cost Summary'!A1"/>
    <hyperlink ref="QWF8" location="'Cost Summary'!A1" display="'Cost Summary'!A1"/>
    <hyperlink ref="QWG8" location="'Cost Summary'!A1" display="'Cost Summary'!A1"/>
    <hyperlink ref="QWH8" location="'Cost Summary'!A1" display="'Cost Summary'!A1"/>
    <hyperlink ref="QWI8" location="'Cost Summary'!A1" display="'Cost Summary'!A1"/>
    <hyperlink ref="QWJ8" location="'Cost Summary'!A1" display="'Cost Summary'!A1"/>
    <hyperlink ref="QWK8" location="'Cost Summary'!A1" display="'Cost Summary'!A1"/>
    <hyperlink ref="QWL8" location="'Cost Summary'!A1" display="'Cost Summary'!A1"/>
    <hyperlink ref="QWM8" location="'Cost Summary'!A1" display="'Cost Summary'!A1"/>
    <hyperlink ref="QWN8" location="'Cost Summary'!A1" display="'Cost Summary'!A1"/>
    <hyperlink ref="QWO8" location="'Cost Summary'!A1" display="'Cost Summary'!A1"/>
    <hyperlink ref="QWP8" location="'Cost Summary'!A1" display="'Cost Summary'!A1"/>
    <hyperlink ref="QWQ8" location="'Cost Summary'!A1" display="'Cost Summary'!A1"/>
    <hyperlink ref="QWR8" location="'Cost Summary'!A1" display="'Cost Summary'!A1"/>
    <hyperlink ref="QWS8" location="'Cost Summary'!A1" display="'Cost Summary'!A1"/>
    <hyperlink ref="QWT8" location="'Cost Summary'!A1" display="'Cost Summary'!A1"/>
    <hyperlink ref="QWU8" location="'Cost Summary'!A1" display="'Cost Summary'!A1"/>
    <hyperlink ref="QWV8" location="'Cost Summary'!A1" display="'Cost Summary'!A1"/>
    <hyperlink ref="QWW8" location="'Cost Summary'!A1" display="'Cost Summary'!A1"/>
    <hyperlink ref="QWX8" location="'Cost Summary'!A1" display="'Cost Summary'!A1"/>
    <hyperlink ref="QWY8" location="'Cost Summary'!A1" display="'Cost Summary'!A1"/>
    <hyperlink ref="QWZ8" location="'Cost Summary'!A1" display="'Cost Summary'!A1"/>
    <hyperlink ref="QXA8" location="'Cost Summary'!A1" display="'Cost Summary'!A1"/>
    <hyperlink ref="QXB8" location="'Cost Summary'!A1" display="'Cost Summary'!A1"/>
    <hyperlink ref="QXC8" location="'Cost Summary'!A1" display="'Cost Summary'!A1"/>
    <hyperlink ref="QXD8" location="'Cost Summary'!A1" display="'Cost Summary'!A1"/>
    <hyperlink ref="QXE8" location="'Cost Summary'!A1" display="'Cost Summary'!A1"/>
    <hyperlink ref="QXF8" location="'Cost Summary'!A1" display="'Cost Summary'!A1"/>
    <hyperlink ref="QXG8" location="'Cost Summary'!A1" display="'Cost Summary'!A1"/>
    <hyperlink ref="QXH8" location="'Cost Summary'!A1" display="'Cost Summary'!A1"/>
    <hyperlink ref="QXI8" location="'Cost Summary'!A1" display="'Cost Summary'!A1"/>
    <hyperlink ref="QXJ8" location="'Cost Summary'!A1" display="'Cost Summary'!A1"/>
    <hyperlink ref="QXK8" location="'Cost Summary'!A1" display="'Cost Summary'!A1"/>
    <hyperlink ref="QXL8" location="'Cost Summary'!A1" display="'Cost Summary'!A1"/>
    <hyperlink ref="QXM8" location="'Cost Summary'!A1" display="'Cost Summary'!A1"/>
    <hyperlink ref="QXN8" location="'Cost Summary'!A1" display="'Cost Summary'!A1"/>
    <hyperlink ref="QXO8" location="'Cost Summary'!A1" display="'Cost Summary'!A1"/>
    <hyperlink ref="QXP8" location="'Cost Summary'!A1" display="'Cost Summary'!A1"/>
    <hyperlink ref="QXQ8" location="'Cost Summary'!A1" display="'Cost Summary'!A1"/>
    <hyperlink ref="QXR8" location="'Cost Summary'!A1" display="'Cost Summary'!A1"/>
    <hyperlink ref="QXS8" location="'Cost Summary'!A1" display="'Cost Summary'!A1"/>
    <hyperlink ref="QXT8" location="'Cost Summary'!A1" display="'Cost Summary'!A1"/>
    <hyperlink ref="QXU8" location="'Cost Summary'!A1" display="'Cost Summary'!A1"/>
    <hyperlink ref="QXV8" location="'Cost Summary'!A1" display="'Cost Summary'!A1"/>
    <hyperlink ref="QXW8" location="'Cost Summary'!A1" display="'Cost Summary'!A1"/>
    <hyperlink ref="QXX8" location="'Cost Summary'!A1" display="'Cost Summary'!A1"/>
    <hyperlink ref="QXY8" location="'Cost Summary'!A1" display="'Cost Summary'!A1"/>
    <hyperlink ref="QXZ8" location="'Cost Summary'!A1" display="'Cost Summary'!A1"/>
    <hyperlink ref="QYA8" location="'Cost Summary'!A1" display="'Cost Summary'!A1"/>
    <hyperlink ref="QYB8" location="'Cost Summary'!A1" display="'Cost Summary'!A1"/>
    <hyperlink ref="QYC8" location="'Cost Summary'!A1" display="'Cost Summary'!A1"/>
    <hyperlink ref="QYD8" location="'Cost Summary'!A1" display="'Cost Summary'!A1"/>
    <hyperlink ref="QYE8" location="'Cost Summary'!A1" display="'Cost Summary'!A1"/>
    <hyperlink ref="QYF8" location="'Cost Summary'!A1" display="'Cost Summary'!A1"/>
    <hyperlink ref="QYG8" location="'Cost Summary'!A1" display="'Cost Summary'!A1"/>
    <hyperlink ref="QYH8" location="'Cost Summary'!A1" display="'Cost Summary'!A1"/>
    <hyperlink ref="QYI8" location="'Cost Summary'!A1" display="'Cost Summary'!A1"/>
    <hyperlink ref="QYJ8" location="'Cost Summary'!A1" display="'Cost Summary'!A1"/>
    <hyperlink ref="QYK8" location="'Cost Summary'!A1" display="'Cost Summary'!A1"/>
    <hyperlink ref="QYL8" location="'Cost Summary'!A1" display="'Cost Summary'!A1"/>
    <hyperlink ref="QYM8" location="'Cost Summary'!A1" display="'Cost Summary'!A1"/>
    <hyperlink ref="QYN8" location="'Cost Summary'!A1" display="'Cost Summary'!A1"/>
    <hyperlink ref="QYO8" location="'Cost Summary'!A1" display="'Cost Summary'!A1"/>
    <hyperlink ref="QYP8" location="'Cost Summary'!A1" display="'Cost Summary'!A1"/>
    <hyperlink ref="QYQ8" location="'Cost Summary'!A1" display="'Cost Summary'!A1"/>
    <hyperlink ref="QYR8" location="'Cost Summary'!A1" display="'Cost Summary'!A1"/>
    <hyperlink ref="QYS8" location="'Cost Summary'!A1" display="'Cost Summary'!A1"/>
    <hyperlink ref="QYT8" location="'Cost Summary'!A1" display="'Cost Summary'!A1"/>
    <hyperlink ref="QYU8" location="'Cost Summary'!A1" display="'Cost Summary'!A1"/>
    <hyperlink ref="QYV8" location="'Cost Summary'!A1" display="'Cost Summary'!A1"/>
    <hyperlink ref="QYW8" location="'Cost Summary'!A1" display="'Cost Summary'!A1"/>
    <hyperlink ref="QYX8" location="'Cost Summary'!A1" display="'Cost Summary'!A1"/>
    <hyperlink ref="QYY8" location="'Cost Summary'!A1" display="'Cost Summary'!A1"/>
    <hyperlink ref="QYZ8" location="'Cost Summary'!A1" display="'Cost Summary'!A1"/>
    <hyperlink ref="QZA8" location="'Cost Summary'!A1" display="'Cost Summary'!A1"/>
    <hyperlink ref="QZB8" location="'Cost Summary'!A1" display="'Cost Summary'!A1"/>
    <hyperlink ref="QZC8" location="'Cost Summary'!A1" display="'Cost Summary'!A1"/>
    <hyperlink ref="QZD8" location="'Cost Summary'!A1" display="'Cost Summary'!A1"/>
    <hyperlink ref="QZE8" location="'Cost Summary'!A1" display="'Cost Summary'!A1"/>
    <hyperlink ref="QZF8" location="'Cost Summary'!A1" display="'Cost Summary'!A1"/>
    <hyperlink ref="QZG8" location="'Cost Summary'!A1" display="'Cost Summary'!A1"/>
    <hyperlink ref="QZH8" location="'Cost Summary'!A1" display="'Cost Summary'!A1"/>
    <hyperlink ref="QZI8" location="'Cost Summary'!A1" display="'Cost Summary'!A1"/>
    <hyperlink ref="QZJ8" location="'Cost Summary'!A1" display="'Cost Summary'!A1"/>
    <hyperlink ref="QZK8" location="'Cost Summary'!A1" display="'Cost Summary'!A1"/>
    <hyperlink ref="QZL8" location="'Cost Summary'!A1" display="'Cost Summary'!A1"/>
    <hyperlink ref="QZM8" location="'Cost Summary'!A1" display="'Cost Summary'!A1"/>
    <hyperlink ref="QZN8" location="'Cost Summary'!A1" display="'Cost Summary'!A1"/>
    <hyperlink ref="QZO8" location="'Cost Summary'!A1" display="'Cost Summary'!A1"/>
    <hyperlink ref="QZP8" location="'Cost Summary'!A1" display="'Cost Summary'!A1"/>
    <hyperlink ref="QZQ8" location="'Cost Summary'!A1" display="'Cost Summary'!A1"/>
    <hyperlink ref="QZR8" location="'Cost Summary'!A1" display="'Cost Summary'!A1"/>
    <hyperlink ref="QZS8" location="'Cost Summary'!A1" display="'Cost Summary'!A1"/>
    <hyperlink ref="QZT8" location="'Cost Summary'!A1" display="'Cost Summary'!A1"/>
    <hyperlink ref="QZU8" location="'Cost Summary'!A1" display="'Cost Summary'!A1"/>
    <hyperlink ref="QZV8" location="'Cost Summary'!A1" display="'Cost Summary'!A1"/>
    <hyperlink ref="QZW8" location="'Cost Summary'!A1" display="'Cost Summary'!A1"/>
    <hyperlink ref="QZX8" location="'Cost Summary'!A1" display="'Cost Summary'!A1"/>
    <hyperlink ref="QZY8" location="'Cost Summary'!A1" display="'Cost Summary'!A1"/>
    <hyperlink ref="QZZ8" location="'Cost Summary'!A1" display="'Cost Summary'!A1"/>
    <hyperlink ref="RAA8" location="'Cost Summary'!A1" display="'Cost Summary'!A1"/>
    <hyperlink ref="RAB8" location="'Cost Summary'!A1" display="'Cost Summary'!A1"/>
    <hyperlink ref="RAC8" location="'Cost Summary'!A1" display="'Cost Summary'!A1"/>
    <hyperlink ref="RAD8" location="'Cost Summary'!A1" display="'Cost Summary'!A1"/>
    <hyperlink ref="RAE8" location="'Cost Summary'!A1" display="'Cost Summary'!A1"/>
    <hyperlink ref="RAF8" location="'Cost Summary'!A1" display="'Cost Summary'!A1"/>
    <hyperlink ref="RAG8" location="'Cost Summary'!A1" display="'Cost Summary'!A1"/>
    <hyperlink ref="RAH8" location="'Cost Summary'!A1" display="'Cost Summary'!A1"/>
    <hyperlink ref="RAI8" location="'Cost Summary'!A1" display="'Cost Summary'!A1"/>
    <hyperlink ref="RAJ8" location="'Cost Summary'!A1" display="'Cost Summary'!A1"/>
    <hyperlink ref="RAK8" location="'Cost Summary'!A1" display="'Cost Summary'!A1"/>
    <hyperlink ref="RAL8" location="'Cost Summary'!A1" display="'Cost Summary'!A1"/>
    <hyperlink ref="RAM8" location="'Cost Summary'!A1" display="'Cost Summary'!A1"/>
    <hyperlink ref="RAN8" location="'Cost Summary'!A1" display="'Cost Summary'!A1"/>
    <hyperlink ref="RAO8" location="'Cost Summary'!A1" display="'Cost Summary'!A1"/>
    <hyperlink ref="RAP8" location="'Cost Summary'!A1" display="'Cost Summary'!A1"/>
    <hyperlink ref="RAQ8" location="'Cost Summary'!A1" display="'Cost Summary'!A1"/>
    <hyperlink ref="RAR8" location="'Cost Summary'!A1" display="'Cost Summary'!A1"/>
    <hyperlink ref="RAS8" location="'Cost Summary'!A1" display="'Cost Summary'!A1"/>
    <hyperlink ref="RAT8" location="'Cost Summary'!A1" display="'Cost Summary'!A1"/>
    <hyperlink ref="RAU8" location="'Cost Summary'!A1" display="'Cost Summary'!A1"/>
    <hyperlink ref="RAV8" location="'Cost Summary'!A1" display="'Cost Summary'!A1"/>
    <hyperlink ref="RAW8" location="'Cost Summary'!A1" display="'Cost Summary'!A1"/>
    <hyperlink ref="RAX8" location="'Cost Summary'!A1" display="'Cost Summary'!A1"/>
    <hyperlink ref="RAY8" location="'Cost Summary'!A1" display="'Cost Summary'!A1"/>
    <hyperlink ref="RAZ8" location="'Cost Summary'!A1" display="'Cost Summary'!A1"/>
    <hyperlink ref="RBA8" location="'Cost Summary'!A1" display="'Cost Summary'!A1"/>
    <hyperlink ref="RBB8" location="'Cost Summary'!A1" display="'Cost Summary'!A1"/>
    <hyperlink ref="RBC8" location="'Cost Summary'!A1" display="'Cost Summary'!A1"/>
    <hyperlink ref="RBD8" location="'Cost Summary'!A1" display="'Cost Summary'!A1"/>
    <hyperlink ref="RBE8" location="'Cost Summary'!A1" display="'Cost Summary'!A1"/>
    <hyperlink ref="RBF8" location="'Cost Summary'!A1" display="'Cost Summary'!A1"/>
    <hyperlink ref="RBG8" location="'Cost Summary'!A1" display="'Cost Summary'!A1"/>
    <hyperlink ref="RBH8" location="'Cost Summary'!A1" display="'Cost Summary'!A1"/>
    <hyperlink ref="RBI8" location="'Cost Summary'!A1" display="'Cost Summary'!A1"/>
    <hyperlink ref="RBJ8" location="'Cost Summary'!A1" display="'Cost Summary'!A1"/>
    <hyperlink ref="RBK8" location="'Cost Summary'!A1" display="'Cost Summary'!A1"/>
    <hyperlink ref="RBL8" location="'Cost Summary'!A1" display="'Cost Summary'!A1"/>
    <hyperlink ref="RBM8" location="'Cost Summary'!A1" display="'Cost Summary'!A1"/>
    <hyperlink ref="RBN8" location="'Cost Summary'!A1" display="'Cost Summary'!A1"/>
    <hyperlink ref="RBO8" location="'Cost Summary'!A1" display="'Cost Summary'!A1"/>
    <hyperlink ref="RBP8" location="'Cost Summary'!A1" display="'Cost Summary'!A1"/>
    <hyperlink ref="RBQ8" location="'Cost Summary'!A1" display="'Cost Summary'!A1"/>
    <hyperlink ref="RBR8" location="'Cost Summary'!A1" display="'Cost Summary'!A1"/>
    <hyperlink ref="RBS8" location="'Cost Summary'!A1" display="'Cost Summary'!A1"/>
    <hyperlink ref="RBT8" location="'Cost Summary'!A1" display="'Cost Summary'!A1"/>
    <hyperlink ref="RBU8" location="'Cost Summary'!A1" display="'Cost Summary'!A1"/>
    <hyperlink ref="RBV8" location="'Cost Summary'!A1" display="'Cost Summary'!A1"/>
    <hyperlink ref="RBW8" location="'Cost Summary'!A1" display="'Cost Summary'!A1"/>
    <hyperlink ref="RBX8" location="'Cost Summary'!A1" display="'Cost Summary'!A1"/>
    <hyperlink ref="RBY8" location="'Cost Summary'!A1" display="'Cost Summary'!A1"/>
    <hyperlink ref="RBZ8" location="'Cost Summary'!A1" display="'Cost Summary'!A1"/>
    <hyperlink ref="RCA8" location="'Cost Summary'!A1" display="'Cost Summary'!A1"/>
    <hyperlink ref="RCB8" location="'Cost Summary'!A1" display="'Cost Summary'!A1"/>
    <hyperlink ref="RCC8" location="'Cost Summary'!A1" display="'Cost Summary'!A1"/>
    <hyperlink ref="RCD8" location="'Cost Summary'!A1" display="'Cost Summary'!A1"/>
    <hyperlink ref="RCE8" location="'Cost Summary'!A1" display="'Cost Summary'!A1"/>
    <hyperlink ref="RCF8" location="'Cost Summary'!A1" display="'Cost Summary'!A1"/>
    <hyperlink ref="RCG8" location="'Cost Summary'!A1" display="'Cost Summary'!A1"/>
    <hyperlink ref="RCH8" location="'Cost Summary'!A1" display="'Cost Summary'!A1"/>
    <hyperlink ref="RCI8" location="'Cost Summary'!A1" display="'Cost Summary'!A1"/>
    <hyperlink ref="RCJ8" location="'Cost Summary'!A1" display="'Cost Summary'!A1"/>
    <hyperlink ref="RCK8" location="'Cost Summary'!A1" display="'Cost Summary'!A1"/>
    <hyperlink ref="RCL8" location="'Cost Summary'!A1" display="'Cost Summary'!A1"/>
    <hyperlink ref="RCM8" location="'Cost Summary'!A1" display="'Cost Summary'!A1"/>
    <hyperlink ref="RCN8" location="'Cost Summary'!A1" display="'Cost Summary'!A1"/>
    <hyperlink ref="RCO8" location="'Cost Summary'!A1" display="'Cost Summary'!A1"/>
    <hyperlink ref="RCP8" location="'Cost Summary'!A1" display="'Cost Summary'!A1"/>
    <hyperlink ref="RCQ8" location="'Cost Summary'!A1" display="'Cost Summary'!A1"/>
    <hyperlink ref="RCR8" location="'Cost Summary'!A1" display="'Cost Summary'!A1"/>
    <hyperlink ref="RCS8" location="'Cost Summary'!A1" display="'Cost Summary'!A1"/>
    <hyperlink ref="RCT8" location="'Cost Summary'!A1" display="'Cost Summary'!A1"/>
    <hyperlink ref="RCU8" location="'Cost Summary'!A1" display="'Cost Summary'!A1"/>
    <hyperlink ref="RCV8" location="'Cost Summary'!A1" display="'Cost Summary'!A1"/>
    <hyperlink ref="RCW8" location="'Cost Summary'!A1" display="'Cost Summary'!A1"/>
    <hyperlink ref="RCX8" location="'Cost Summary'!A1" display="'Cost Summary'!A1"/>
    <hyperlink ref="RCY8" location="'Cost Summary'!A1" display="'Cost Summary'!A1"/>
    <hyperlink ref="RCZ8" location="'Cost Summary'!A1" display="'Cost Summary'!A1"/>
    <hyperlink ref="RDA8" location="'Cost Summary'!A1" display="'Cost Summary'!A1"/>
    <hyperlink ref="RDB8" location="'Cost Summary'!A1" display="'Cost Summary'!A1"/>
    <hyperlink ref="RDC8" location="'Cost Summary'!A1" display="'Cost Summary'!A1"/>
    <hyperlink ref="RDD8" location="'Cost Summary'!A1" display="'Cost Summary'!A1"/>
    <hyperlink ref="RDE8" location="'Cost Summary'!A1" display="'Cost Summary'!A1"/>
    <hyperlink ref="RDF8" location="'Cost Summary'!A1" display="'Cost Summary'!A1"/>
    <hyperlink ref="RDG8" location="'Cost Summary'!A1" display="'Cost Summary'!A1"/>
    <hyperlink ref="RDH8" location="'Cost Summary'!A1" display="'Cost Summary'!A1"/>
    <hyperlink ref="RDI8" location="'Cost Summary'!A1" display="'Cost Summary'!A1"/>
    <hyperlink ref="RDJ8" location="'Cost Summary'!A1" display="'Cost Summary'!A1"/>
    <hyperlink ref="RDK8" location="'Cost Summary'!A1" display="'Cost Summary'!A1"/>
    <hyperlink ref="RDL8" location="'Cost Summary'!A1" display="'Cost Summary'!A1"/>
    <hyperlink ref="RDM8" location="'Cost Summary'!A1" display="'Cost Summary'!A1"/>
    <hyperlink ref="RDN8" location="'Cost Summary'!A1" display="'Cost Summary'!A1"/>
    <hyperlink ref="RDO8" location="'Cost Summary'!A1" display="'Cost Summary'!A1"/>
    <hyperlink ref="RDP8" location="'Cost Summary'!A1" display="'Cost Summary'!A1"/>
    <hyperlink ref="RDQ8" location="'Cost Summary'!A1" display="'Cost Summary'!A1"/>
    <hyperlink ref="RDR8" location="'Cost Summary'!A1" display="'Cost Summary'!A1"/>
    <hyperlink ref="RDS8" location="'Cost Summary'!A1" display="'Cost Summary'!A1"/>
    <hyperlink ref="RDT8" location="'Cost Summary'!A1" display="'Cost Summary'!A1"/>
    <hyperlink ref="RDU8" location="'Cost Summary'!A1" display="'Cost Summary'!A1"/>
    <hyperlink ref="RDV8" location="'Cost Summary'!A1" display="'Cost Summary'!A1"/>
    <hyperlink ref="RDW8" location="'Cost Summary'!A1" display="'Cost Summary'!A1"/>
    <hyperlink ref="RDX8" location="'Cost Summary'!A1" display="'Cost Summary'!A1"/>
    <hyperlink ref="RDY8" location="'Cost Summary'!A1" display="'Cost Summary'!A1"/>
    <hyperlink ref="RDZ8" location="'Cost Summary'!A1" display="'Cost Summary'!A1"/>
    <hyperlink ref="REA8" location="'Cost Summary'!A1" display="'Cost Summary'!A1"/>
    <hyperlink ref="REB8" location="'Cost Summary'!A1" display="'Cost Summary'!A1"/>
    <hyperlink ref="REC8" location="'Cost Summary'!A1" display="'Cost Summary'!A1"/>
    <hyperlink ref="RED8" location="'Cost Summary'!A1" display="'Cost Summary'!A1"/>
    <hyperlink ref="REE8" location="'Cost Summary'!A1" display="'Cost Summary'!A1"/>
    <hyperlink ref="REF8" location="'Cost Summary'!A1" display="'Cost Summary'!A1"/>
    <hyperlink ref="REG8" location="'Cost Summary'!A1" display="'Cost Summary'!A1"/>
    <hyperlink ref="REH8" location="'Cost Summary'!A1" display="'Cost Summary'!A1"/>
    <hyperlink ref="REI8" location="'Cost Summary'!A1" display="'Cost Summary'!A1"/>
    <hyperlink ref="REJ8" location="'Cost Summary'!A1" display="'Cost Summary'!A1"/>
    <hyperlink ref="REK8" location="'Cost Summary'!A1" display="'Cost Summary'!A1"/>
    <hyperlink ref="REL8" location="'Cost Summary'!A1" display="'Cost Summary'!A1"/>
    <hyperlink ref="REM8" location="'Cost Summary'!A1" display="'Cost Summary'!A1"/>
    <hyperlink ref="REN8" location="'Cost Summary'!A1" display="'Cost Summary'!A1"/>
    <hyperlink ref="REO8" location="'Cost Summary'!A1" display="'Cost Summary'!A1"/>
    <hyperlink ref="REP8" location="'Cost Summary'!A1" display="'Cost Summary'!A1"/>
    <hyperlink ref="REQ8" location="'Cost Summary'!A1" display="'Cost Summary'!A1"/>
    <hyperlink ref="RER8" location="'Cost Summary'!A1" display="'Cost Summary'!A1"/>
    <hyperlink ref="RES8" location="'Cost Summary'!A1" display="'Cost Summary'!A1"/>
    <hyperlink ref="RET8" location="'Cost Summary'!A1" display="'Cost Summary'!A1"/>
    <hyperlink ref="REU8" location="'Cost Summary'!A1" display="'Cost Summary'!A1"/>
    <hyperlink ref="REV8" location="'Cost Summary'!A1" display="'Cost Summary'!A1"/>
    <hyperlink ref="REW8" location="'Cost Summary'!A1" display="'Cost Summary'!A1"/>
    <hyperlink ref="REX8" location="'Cost Summary'!A1" display="'Cost Summary'!A1"/>
    <hyperlink ref="REY8" location="'Cost Summary'!A1" display="'Cost Summary'!A1"/>
    <hyperlink ref="REZ8" location="'Cost Summary'!A1" display="'Cost Summary'!A1"/>
    <hyperlink ref="RFA8" location="'Cost Summary'!A1" display="'Cost Summary'!A1"/>
    <hyperlink ref="RFB8" location="'Cost Summary'!A1" display="'Cost Summary'!A1"/>
    <hyperlink ref="RFC8" location="'Cost Summary'!A1" display="'Cost Summary'!A1"/>
    <hyperlink ref="RFD8" location="'Cost Summary'!A1" display="'Cost Summary'!A1"/>
    <hyperlink ref="RFE8" location="'Cost Summary'!A1" display="'Cost Summary'!A1"/>
    <hyperlink ref="RFF8" location="'Cost Summary'!A1" display="'Cost Summary'!A1"/>
    <hyperlink ref="RFG8" location="'Cost Summary'!A1" display="'Cost Summary'!A1"/>
    <hyperlink ref="RFH8" location="'Cost Summary'!A1" display="'Cost Summary'!A1"/>
    <hyperlink ref="RFI8" location="'Cost Summary'!A1" display="'Cost Summary'!A1"/>
    <hyperlink ref="RFJ8" location="'Cost Summary'!A1" display="'Cost Summary'!A1"/>
    <hyperlink ref="RFK8" location="'Cost Summary'!A1" display="'Cost Summary'!A1"/>
    <hyperlink ref="RFL8" location="'Cost Summary'!A1" display="'Cost Summary'!A1"/>
    <hyperlink ref="RFM8" location="'Cost Summary'!A1" display="'Cost Summary'!A1"/>
    <hyperlink ref="RFN8" location="'Cost Summary'!A1" display="'Cost Summary'!A1"/>
    <hyperlink ref="RFO8" location="'Cost Summary'!A1" display="'Cost Summary'!A1"/>
    <hyperlink ref="RFP8" location="'Cost Summary'!A1" display="'Cost Summary'!A1"/>
    <hyperlink ref="RFQ8" location="'Cost Summary'!A1" display="'Cost Summary'!A1"/>
    <hyperlink ref="RFR8" location="'Cost Summary'!A1" display="'Cost Summary'!A1"/>
    <hyperlink ref="RFS8" location="'Cost Summary'!A1" display="'Cost Summary'!A1"/>
    <hyperlink ref="RFT8" location="'Cost Summary'!A1" display="'Cost Summary'!A1"/>
    <hyperlink ref="RFU8" location="'Cost Summary'!A1" display="'Cost Summary'!A1"/>
    <hyperlink ref="RFV8" location="'Cost Summary'!A1" display="'Cost Summary'!A1"/>
    <hyperlink ref="RFW8" location="'Cost Summary'!A1" display="'Cost Summary'!A1"/>
    <hyperlink ref="RFX8" location="'Cost Summary'!A1" display="'Cost Summary'!A1"/>
    <hyperlink ref="RFY8" location="'Cost Summary'!A1" display="'Cost Summary'!A1"/>
    <hyperlink ref="RFZ8" location="'Cost Summary'!A1" display="'Cost Summary'!A1"/>
    <hyperlink ref="RGA8" location="'Cost Summary'!A1" display="'Cost Summary'!A1"/>
    <hyperlink ref="RGB8" location="'Cost Summary'!A1" display="'Cost Summary'!A1"/>
    <hyperlink ref="RGC8" location="'Cost Summary'!A1" display="'Cost Summary'!A1"/>
    <hyperlink ref="RGD8" location="'Cost Summary'!A1" display="'Cost Summary'!A1"/>
    <hyperlink ref="RGE8" location="'Cost Summary'!A1" display="'Cost Summary'!A1"/>
    <hyperlink ref="RGF8" location="'Cost Summary'!A1" display="'Cost Summary'!A1"/>
    <hyperlink ref="RGG8" location="'Cost Summary'!A1" display="'Cost Summary'!A1"/>
    <hyperlink ref="RGH8" location="'Cost Summary'!A1" display="'Cost Summary'!A1"/>
    <hyperlink ref="RGI8" location="'Cost Summary'!A1" display="'Cost Summary'!A1"/>
    <hyperlink ref="RGJ8" location="'Cost Summary'!A1" display="'Cost Summary'!A1"/>
    <hyperlink ref="RGK8" location="'Cost Summary'!A1" display="'Cost Summary'!A1"/>
    <hyperlink ref="RGL8" location="'Cost Summary'!A1" display="'Cost Summary'!A1"/>
    <hyperlink ref="RGM8" location="'Cost Summary'!A1" display="'Cost Summary'!A1"/>
    <hyperlink ref="RGN8" location="'Cost Summary'!A1" display="'Cost Summary'!A1"/>
    <hyperlink ref="RGO8" location="'Cost Summary'!A1" display="'Cost Summary'!A1"/>
    <hyperlink ref="RGP8" location="'Cost Summary'!A1" display="'Cost Summary'!A1"/>
    <hyperlink ref="RGQ8" location="'Cost Summary'!A1" display="'Cost Summary'!A1"/>
    <hyperlink ref="RGR8" location="'Cost Summary'!A1" display="'Cost Summary'!A1"/>
    <hyperlink ref="RGS8" location="'Cost Summary'!A1" display="'Cost Summary'!A1"/>
    <hyperlink ref="RGT8" location="'Cost Summary'!A1" display="'Cost Summary'!A1"/>
    <hyperlink ref="RGU8" location="'Cost Summary'!A1" display="'Cost Summary'!A1"/>
    <hyperlink ref="RGV8" location="'Cost Summary'!A1" display="'Cost Summary'!A1"/>
    <hyperlink ref="RGW8" location="'Cost Summary'!A1" display="'Cost Summary'!A1"/>
    <hyperlink ref="RGX8" location="'Cost Summary'!A1" display="'Cost Summary'!A1"/>
    <hyperlink ref="RGY8" location="'Cost Summary'!A1" display="'Cost Summary'!A1"/>
    <hyperlink ref="RGZ8" location="'Cost Summary'!A1" display="'Cost Summary'!A1"/>
    <hyperlink ref="RHA8" location="'Cost Summary'!A1" display="'Cost Summary'!A1"/>
    <hyperlink ref="RHB8" location="'Cost Summary'!A1" display="'Cost Summary'!A1"/>
    <hyperlink ref="RHC8" location="'Cost Summary'!A1" display="'Cost Summary'!A1"/>
    <hyperlink ref="RHD8" location="'Cost Summary'!A1" display="'Cost Summary'!A1"/>
    <hyperlink ref="RHE8" location="'Cost Summary'!A1" display="'Cost Summary'!A1"/>
    <hyperlink ref="RHF8" location="'Cost Summary'!A1" display="'Cost Summary'!A1"/>
    <hyperlink ref="RHG8" location="'Cost Summary'!A1" display="'Cost Summary'!A1"/>
    <hyperlink ref="RHH8" location="'Cost Summary'!A1" display="'Cost Summary'!A1"/>
    <hyperlink ref="RHI8" location="'Cost Summary'!A1" display="'Cost Summary'!A1"/>
    <hyperlink ref="RHJ8" location="'Cost Summary'!A1" display="'Cost Summary'!A1"/>
    <hyperlink ref="RHK8" location="'Cost Summary'!A1" display="'Cost Summary'!A1"/>
    <hyperlink ref="RHL8" location="'Cost Summary'!A1" display="'Cost Summary'!A1"/>
    <hyperlink ref="RHM8" location="'Cost Summary'!A1" display="'Cost Summary'!A1"/>
    <hyperlink ref="RHN8" location="'Cost Summary'!A1" display="'Cost Summary'!A1"/>
    <hyperlink ref="RHO8" location="'Cost Summary'!A1" display="'Cost Summary'!A1"/>
    <hyperlink ref="RHP8" location="'Cost Summary'!A1" display="'Cost Summary'!A1"/>
    <hyperlink ref="RHQ8" location="'Cost Summary'!A1" display="'Cost Summary'!A1"/>
    <hyperlink ref="RHR8" location="'Cost Summary'!A1" display="'Cost Summary'!A1"/>
    <hyperlink ref="RHS8" location="'Cost Summary'!A1" display="'Cost Summary'!A1"/>
    <hyperlink ref="RHT8" location="'Cost Summary'!A1" display="'Cost Summary'!A1"/>
    <hyperlink ref="RHU8" location="'Cost Summary'!A1" display="'Cost Summary'!A1"/>
    <hyperlink ref="RHV8" location="'Cost Summary'!A1" display="'Cost Summary'!A1"/>
    <hyperlink ref="RHW8" location="'Cost Summary'!A1" display="'Cost Summary'!A1"/>
    <hyperlink ref="RHX8" location="'Cost Summary'!A1" display="'Cost Summary'!A1"/>
    <hyperlink ref="RHY8" location="'Cost Summary'!A1" display="'Cost Summary'!A1"/>
    <hyperlink ref="RHZ8" location="'Cost Summary'!A1" display="'Cost Summary'!A1"/>
    <hyperlink ref="RIA8" location="'Cost Summary'!A1" display="'Cost Summary'!A1"/>
    <hyperlink ref="RIB8" location="'Cost Summary'!A1" display="'Cost Summary'!A1"/>
    <hyperlink ref="RIC8" location="'Cost Summary'!A1" display="'Cost Summary'!A1"/>
    <hyperlink ref="RID8" location="'Cost Summary'!A1" display="'Cost Summary'!A1"/>
    <hyperlink ref="RIE8" location="'Cost Summary'!A1" display="'Cost Summary'!A1"/>
    <hyperlink ref="RIF8" location="'Cost Summary'!A1" display="'Cost Summary'!A1"/>
    <hyperlink ref="RIG8" location="'Cost Summary'!A1" display="'Cost Summary'!A1"/>
    <hyperlink ref="RIH8" location="'Cost Summary'!A1" display="'Cost Summary'!A1"/>
    <hyperlink ref="RII8" location="'Cost Summary'!A1" display="'Cost Summary'!A1"/>
    <hyperlink ref="RIJ8" location="'Cost Summary'!A1" display="'Cost Summary'!A1"/>
    <hyperlink ref="RIK8" location="'Cost Summary'!A1" display="'Cost Summary'!A1"/>
    <hyperlink ref="RIL8" location="'Cost Summary'!A1" display="'Cost Summary'!A1"/>
    <hyperlink ref="RIM8" location="'Cost Summary'!A1" display="'Cost Summary'!A1"/>
    <hyperlink ref="RIN8" location="'Cost Summary'!A1" display="'Cost Summary'!A1"/>
    <hyperlink ref="RIO8" location="'Cost Summary'!A1" display="'Cost Summary'!A1"/>
    <hyperlink ref="RIP8" location="'Cost Summary'!A1" display="'Cost Summary'!A1"/>
    <hyperlink ref="RIQ8" location="'Cost Summary'!A1" display="'Cost Summary'!A1"/>
    <hyperlink ref="RIR8" location="'Cost Summary'!A1" display="'Cost Summary'!A1"/>
    <hyperlink ref="RIS8" location="'Cost Summary'!A1" display="'Cost Summary'!A1"/>
    <hyperlink ref="RIT8" location="'Cost Summary'!A1" display="'Cost Summary'!A1"/>
    <hyperlink ref="RIU8" location="'Cost Summary'!A1" display="'Cost Summary'!A1"/>
    <hyperlink ref="RIV8" location="'Cost Summary'!A1" display="'Cost Summary'!A1"/>
    <hyperlink ref="RIW8" location="'Cost Summary'!A1" display="'Cost Summary'!A1"/>
    <hyperlink ref="RIX8" location="'Cost Summary'!A1" display="'Cost Summary'!A1"/>
    <hyperlink ref="RIY8" location="'Cost Summary'!A1" display="'Cost Summary'!A1"/>
    <hyperlink ref="RIZ8" location="'Cost Summary'!A1" display="'Cost Summary'!A1"/>
    <hyperlink ref="RJA8" location="'Cost Summary'!A1" display="'Cost Summary'!A1"/>
    <hyperlink ref="RJB8" location="'Cost Summary'!A1" display="'Cost Summary'!A1"/>
    <hyperlink ref="RJC8" location="'Cost Summary'!A1" display="'Cost Summary'!A1"/>
    <hyperlink ref="RJD8" location="'Cost Summary'!A1" display="'Cost Summary'!A1"/>
    <hyperlink ref="RJE8" location="'Cost Summary'!A1" display="'Cost Summary'!A1"/>
    <hyperlink ref="RJF8" location="'Cost Summary'!A1" display="'Cost Summary'!A1"/>
    <hyperlink ref="RJG8" location="'Cost Summary'!A1" display="'Cost Summary'!A1"/>
    <hyperlink ref="RJH8" location="'Cost Summary'!A1" display="'Cost Summary'!A1"/>
    <hyperlink ref="RJI8" location="'Cost Summary'!A1" display="'Cost Summary'!A1"/>
    <hyperlink ref="RJJ8" location="'Cost Summary'!A1" display="'Cost Summary'!A1"/>
    <hyperlink ref="RJK8" location="'Cost Summary'!A1" display="'Cost Summary'!A1"/>
    <hyperlink ref="RJL8" location="'Cost Summary'!A1" display="'Cost Summary'!A1"/>
    <hyperlink ref="RJM8" location="'Cost Summary'!A1" display="'Cost Summary'!A1"/>
    <hyperlink ref="RJN8" location="'Cost Summary'!A1" display="'Cost Summary'!A1"/>
    <hyperlink ref="RJO8" location="'Cost Summary'!A1" display="'Cost Summary'!A1"/>
    <hyperlink ref="RJP8" location="'Cost Summary'!A1" display="'Cost Summary'!A1"/>
    <hyperlink ref="RJQ8" location="'Cost Summary'!A1" display="'Cost Summary'!A1"/>
    <hyperlink ref="RJR8" location="'Cost Summary'!A1" display="'Cost Summary'!A1"/>
    <hyperlink ref="RJS8" location="'Cost Summary'!A1" display="'Cost Summary'!A1"/>
    <hyperlink ref="RJT8" location="'Cost Summary'!A1" display="'Cost Summary'!A1"/>
    <hyperlink ref="RJU8" location="'Cost Summary'!A1" display="'Cost Summary'!A1"/>
    <hyperlink ref="RJV8" location="'Cost Summary'!A1" display="'Cost Summary'!A1"/>
    <hyperlink ref="RJW8" location="'Cost Summary'!A1" display="'Cost Summary'!A1"/>
    <hyperlink ref="RJX8" location="'Cost Summary'!A1" display="'Cost Summary'!A1"/>
    <hyperlink ref="RJY8" location="'Cost Summary'!A1" display="'Cost Summary'!A1"/>
    <hyperlink ref="RJZ8" location="'Cost Summary'!A1" display="'Cost Summary'!A1"/>
    <hyperlink ref="RKA8" location="'Cost Summary'!A1" display="'Cost Summary'!A1"/>
    <hyperlink ref="RKB8" location="'Cost Summary'!A1" display="'Cost Summary'!A1"/>
    <hyperlink ref="RKC8" location="'Cost Summary'!A1" display="'Cost Summary'!A1"/>
    <hyperlink ref="RKD8" location="'Cost Summary'!A1" display="'Cost Summary'!A1"/>
    <hyperlink ref="RKE8" location="'Cost Summary'!A1" display="'Cost Summary'!A1"/>
    <hyperlink ref="RKF8" location="'Cost Summary'!A1" display="'Cost Summary'!A1"/>
    <hyperlink ref="RKG8" location="'Cost Summary'!A1" display="'Cost Summary'!A1"/>
    <hyperlink ref="RKH8" location="'Cost Summary'!A1" display="'Cost Summary'!A1"/>
    <hyperlink ref="RKI8" location="'Cost Summary'!A1" display="'Cost Summary'!A1"/>
    <hyperlink ref="RKJ8" location="'Cost Summary'!A1" display="'Cost Summary'!A1"/>
    <hyperlink ref="RKK8" location="'Cost Summary'!A1" display="'Cost Summary'!A1"/>
    <hyperlink ref="RKL8" location="'Cost Summary'!A1" display="'Cost Summary'!A1"/>
    <hyperlink ref="RKM8" location="'Cost Summary'!A1" display="'Cost Summary'!A1"/>
    <hyperlink ref="RKN8" location="'Cost Summary'!A1" display="'Cost Summary'!A1"/>
    <hyperlink ref="RKO8" location="'Cost Summary'!A1" display="'Cost Summary'!A1"/>
    <hyperlink ref="RKP8" location="'Cost Summary'!A1" display="'Cost Summary'!A1"/>
    <hyperlink ref="RKQ8" location="'Cost Summary'!A1" display="'Cost Summary'!A1"/>
    <hyperlink ref="RKR8" location="'Cost Summary'!A1" display="'Cost Summary'!A1"/>
    <hyperlink ref="RKS8" location="'Cost Summary'!A1" display="'Cost Summary'!A1"/>
    <hyperlink ref="RKT8" location="'Cost Summary'!A1" display="'Cost Summary'!A1"/>
    <hyperlink ref="RKU8" location="'Cost Summary'!A1" display="'Cost Summary'!A1"/>
    <hyperlink ref="RKV8" location="'Cost Summary'!A1" display="'Cost Summary'!A1"/>
    <hyperlink ref="RKW8" location="'Cost Summary'!A1" display="'Cost Summary'!A1"/>
    <hyperlink ref="RKX8" location="'Cost Summary'!A1" display="'Cost Summary'!A1"/>
    <hyperlink ref="RKY8" location="'Cost Summary'!A1" display="'Cost Summary'!A1"/>
    <hyperlink ref="RKZ8" location="'Cost Summary'!A1" display="'Cost Summary'!A1"/>
    <hyperlink ref="RLA8" location="'Cost Summary'!A1" display="'Cost Summary'!A1"/>
    <hyperlink ref="RLB8" location="'Cost Summary'!A1" display="'Cost Summary'!A1"/>
    <hyperlink ref="RLC8" location="'Cost Summary'!A1" display="'Cost Summary'!A1"/>
    <hyperlink ref="RLD8" location="'Cost Summary'!A1" display="'Cost Summary'!A1"/>
    <hyperlink ref="RLE8" location="'Cost Summary'!A1" display="'Cost Summary'!A1"/>
    <hyperlink ref="RLF8" location="'Cost Summary'!A1" display="'Cost Summary'!A1"/>
    <hyperlink ref="RLG8" location="'Cost Summary'!A1" display="'Cost Summary'!A1"/>
    <hyperlink ref="RLH8" location="'Cost Summary'!A1" display="'Cost Summary'!A1"/>
    <hyperlink ref="RLI8" location="'Cost Summary'!A1" display="'Cost Summary'!A1"/>
    <hyperlink ref="RLJ8" location="'Cost Summary'!A1" display="'Cost Summary'!A1"/>
    <hyperlink ref="RLK8" location="'Cost Summary'!A1" display="'Cost Summary'!A1"/>
    <hyperlink ref="RLL8" location="'Cost Summary'!A1" display="'Cost Summary'!A1"/>
    <hyperlink ref="RLM8" location="'Cost Summary'!A1" display="'Cost Summary'!A1"/>
    <hyperlink ref="RLN8" location="'Cost Summary'!A1" display="'Cost Summary'!A1"/>
    <hyperlink ref="RLO8" location="'Cost Summary'!A1" display="'Cost Summary'!A1"/>
    <hyperlink ref="RLP8" location="'Cost Summary'!A1" display="'Cost Summary'!A1"/>
    <hyperlink ref="RLQ8" location="'Cost Summary'!A1" display="'Cost Summary'!A1"/>
    <hyperlink ref="RLR8" location="'Cost Summary'!A1" display="'Cost Summary'!A1"/>
    <hyperlink ref="RLS8" location="'Cost Summary'!A1" display="'Cost Summary'!A1"/>
    <hyperlink ref="RLT8" location="'Cost Summary'!A1" display="'Cost Summary'!A1"/>
    <hyperlink ref="RLU8" location="'Cost Summary'!A1" display="'Cost Summary'!A1"/>
    <hyperlink ref="RLV8" location="'Cost Summary'!A1" display="'Cost Summary'!A1"/>
    <hyperlink ref="RLW8" location="'Cost Summary'!A1" display="'Cost Summary'!A1"/>
    <hyperlink ref="RLX8" location="'Cost Summary'!A1" display="'Cost Summary'!A1"/>
    <hyperlink ref="RLY8" location="'Cost Summary'!A1" display="'Cost Summary'!A1"/>
    <hyperlink ref="RLZ8" location="'Cost Summary'!A1" display="'Cost Summary'!A1"/>
    <hyperlink ref="RMA8" location="'Cost Summary'!A1" display="'Cost Summary'!A1"/>
    <hyperlink ref="RMB8" location="'Cost Summary'!A1" display="'Cost Summary'!A1"/>
    <hyperlink ref="RMC8" location="'Cost Summary'!A1" display="'Cost Summary'!A1"/>
    <hyperlink ref="RMD8" location="'Cost Summary'!A1" display="'Cost Summary'!A1"/>
    <hyperlink ref="RME8" location="'Cost Summary'!A1" display="'Cost Summary'!A1"/>
    <hyperlink ref="RMF8" location="'Cost Summary'!A1" display="'Cost Summary'!A1"/>
    <hyperlink ref="RMG8" location="'Cost Summary'!A1" display="'Cost Summary'!A1"/>
    <hyperlink ref="RMH8" location="'Cost Summary'!A1" display="'Cost Summary'!A1"/>
    <hyperlink ref="RMI8" location="'Cost Summary'!A1" display="'Cost Summary'!A1"/>
    <hyperlink ref="RMJ8" location="'Cost Summary'!A1" display="'Cost Summary'!A1"/>
    <hyperlink ref="RMK8" location="'Cost Summary'!A1" display="'Cost Summary'!A1"/>
    <hyperlink ref="RML8" location="'Cost Summary'!A1" display="'Cost Summary'!A1"/>
    <hyperlink ref="RMM8" location="'Cost Summary'!A1" display="'Cost Summary'!A1"/>
    <hyperlink ref="RMN8" location="'Cost Summary'!A1" display="'Cost Summary'!A1"/>
    <hyperlink ref="RMO8" location="'Cost Summary'!A1" display="'Cost Summary'!A1"/>
    <hyperlink ref="RMP8" location="'Cost Summary'!A1" display="'Cost Summary'!A1"/>
    <hyperlink ref="RMQ8" location="'Cost Summary'!A1" display="'Cost Summary'!A1"/>
    <hyperlink ref="RMR8" location="'Cost Summary'!A1" display="'Cost Summary'!A1"/>
    <hyperlink ref="RMS8" location="'Cost Summary'!A1" display="'Cost Summary'!A1"/>
    <hyperlink ref="RMT8" location="'Cost Summary'!A1" display="'Cost Summary'!A1"/>
    <hyperlink ref="RMU8" location="'Cost Summary'!A1" display="'Cost Summary'!A1"/>
    <hyperlink ref="RMV8" location="'Cost Summary'!A1" display="'Cost Summary'!A1"/>
    <hyperlink ref="RMW8" location="'Cost Summary'!A1" display="'Cost Summary'!A1"/>
    <hyperlink ref="RMX8" location="'Cost Summary'!A1" display="'Cost Summary'!A1"/>
    <hyperlink ref="RMY8" location="'Cost Summary'!A1" display="'Cost Summary'!A1"/>
    <hyperlink ref="RMZ8" location="'Cost Summary'!A1" display="'Cost Summary'!A1"/>
    <hyperlink ref="RNA8" location="'Cost Summary'!A1" display="'Cost Summary'!A1"/>
    <hyperlink ref="RNB8" location="'Cost Summary'!A1" display="'Cost Summary'!A1"/>
    <hyperlink ref="RNC8" location="'Cost Summary'!A1" display="'Cost Summary'!A1"/>
    <hyperlink ref="RND8" location="'Cost Summary'!A1" display="'Cost Summary'!A1"/>
    <hyperlink ref="RNE8" location="'Cost Summary'!A1" display="'Cost Summary'!A1"/>
    <hyperlink ref="RNF8" location="'Cost Summary'!A1" display="'Cost Summary'!A1"/>
    <hyperlink ref="RNG8" location="'Cost Summary'!A1" display="'Cost Summary'!A1"/>
    <hyperlink ref="RNH8" location="'Cost Summary'!A1" display="'Cost Summary'!A1"/>
    <hyperlink ref="RNI8" location="'Cost Summary'!A1" display="'Cost Summary'!A1"/>
    <hyperlink ref="RNJ8" location="'Cost Summary'!A1" display="'Cost Summary'!A1"/>
    <hyperlink ref="RNK8" location="'Cost Summary'!A1" display="'Cost Summary'!A1"/>
    <hyperlink ref="RNL8" location="'Cost Summary'!A1" display="'Cost Summary'!A1"/>
    <hyperlink ref="RNM8" location="'Cost Summary'!A1" display="'Cost Summary'!A1"/>
    <hyperlink ref="RNN8" location="'Cost Summary'!A1" display="'Cost Summary'!A1"/>
    <hyperlink ref="RNO8" location="'Cost Summary'!A1" display="'Cost Summary'!A1"/>
    <hyperlink ref="RNP8" location="'Cost Summary'!A1" display="'Cost Summary'!A1"/>
    <hyperlink ref="RNQ8" location="'Cost Summary'!A1" display="'Cost Summary'!A1"/>
    <hyperlink ref="RNR8" location="'Cost Summary'!A1" display="'Cost Summary'!A1"/>
    <hyperlink ref="RNS8" location="'Cost Summary'!A1" display="'Cost Summary'!A1"/>
    <hyperlink ref="RNT8" location="'Cost Summary'!A1" display="'Cost Summary'!A1"/>
    <hyperlink ref="RNU8" location="'Cost Summary'!A1" display="'Cost Summary'!A1"/>
    <hyperlink ref="RNV8" location="'Cost Summary'!A1" display="'Cost Summary'!A1"/>
    <hyperlink ref="RNW8" location="'Cost Summary'!A1" display="'Cost Summary'!A1"/>
    <hyperlink ref="RNX8" location="'Cost Summary'!A1" display="'Cost Summary'!A1"/>
    <hyperlink ref="RNY8" location="'Cost Summary'!A1" display="'Cost Summary'!A1"/>
    <hyperlink ref="RNZ8" location="'Cost Summary'!A1" display="'Cost Summary'!A1"/>
    <hyperlink ref="ROA8" location="'Cost Summary'!A1" display="'Cost Summary'!A1"/>
    <hyperlink ref="ROB8" location="'Cost Summary'!A1" display="'Cost Summary'!A1"/>
    <hyperlink ref="ROC8" location="'Cost Summary'!A1" display="'Cost Summary'!A1"/>
    <hyperlink ref="ROD8" location="'Cost Summary'!A1" display="'Cost Summary'!A1"/>
    <hyperlink ref="ROE8" location="'Cost Summary'!A1" display="'Cost Summary'!A1"/>
    <hyperlink ref="ROF8" location="'Cost Summary'!A1" display="'Cost Summary'!A1"/>
    <hyperlink ref="ROG8" location="'Cost Summary'!A1" display="'Cost Summary'!A1"/>
    <hyperlink ref="ROH8" location="'Cost Summary'!A1" display="'Cost Summary'!A1"/>
    <hyperlink ref="ROI8" location="'Cost Summary'!A1" display="'Cost Summary'!A1"/>
    <hyperlink ref="ROJ8" location="'Cost Summary'!A1" display="'Cost Summary'!A1"/>
    <hyperlink ref="ROK8" location="'Cost Summary'!A1" display="'Cost Summary'!A1"/>
    <hyperlink ref="ROL8" location="'Cost Summary'!A1" display="'Cost Summary'!A1"/>
    <hyperlink ref="ROM8" location="'Cost Summary'!A1" display="'Cost Summary'!A1"/>
    <hyperlink ref="RON8" location="'Cost Summary'!A1" display="'Cost Summary'!A1"/>
    <hyperlink ref="ROO8" location="'Cost Summary'!A1" display="'Cost Summary'!A1"/>
    <hyperlink ref="ROP8" location="'Cost Summary'!A1" display="'Cost Summary'!A1"/>
    <hyperlink ref="ROQ8" location="'Cost Summary'!A1" display="'Cost Summary'!A1"/>
    <hyperlink ref="ROR8" location="'Cost Summary'!A1" display="'Cost Summary'!A1"/>
    <hyperlink ref="ROS8" location="'Cost Summary'!A1" display="'Cost Summary'!A1"/>
    <hyperlink ref="ROT8" location="'Cost Summary'!A1" display="'Cost Summary'!A1"/>
    <hyperlink ref="ROU8" location="'Cost Summary'!A1" display="'Cost Summary'!A1"/>
    <hyperlink ref="ROV8" location="'Cost Summary'!A1" display="'Cost Summary'!A1"/>
    <hyperlink ref="ROW8" location="'Cost Summary'!A1" display="'Cost Summary'!A1"/>
    <hyperlink ref="ROX8" location="'Cost Summary'!A1" display="'Cost Summary'!A1"/>
    <hyperlink ref="ROY8" location="'Cost Summary'!A1" display="'Cost Summary'!A1"/>
    <hyperlink ref="ROZ8" location="'Cost Summary'!A1" display="'Cost Summary'!A1"/>
    <hyperlink ref="RPA8" location="'Cost Summary'!A1" display="'Cost Summary'!A1"/>
    <hyperlink ref="RPB8" location="'Cost Summary'!A1" display="'Cost Summary'!A1"/>
    <hyperlink ref="RPC8" location="'Cost Summary'!A1" display="'Cost Summary'!A1"/>
    <hyperlink ref="RPD8" location="'Cost Summary'!A1" display="'Cost Summary'!A1"/>
    <hyperlink ref="RPE8" location="'Cost Summary'!A1" display="'Cost Summary'!A1"/>
    <hyperlink ref="RPF8" location="'Cost Summary'!A1" display="'Cost Summary'!A1"/>
    <hyperlink ref="RPG8" location="'Cost Summary'!A1" display="'Cost Summary'!A1"/>
    <hyperlink ref="RPH8" location="'Cost Summary'!A1" display="'Cost Summary'!A1"/>
    <hyperlink ref="RPI8" location="'Cost Summary'!A1" display="'Cost Summary'!A1"/>
    <hyperlink ref="RPJ8" location="'Cost Summary'!A1" display="'Cost Summary'!A1"/>
    <hyperlink ref="RPK8" location="'Cost Summary'!A1" display="'Cost Summary'!A1"/>
    <hyperlink ref="RPL8" location="'Cost Summary'!A1" display="'Cost Summary'!A1"/>
    <hyperlink ref="RPM8" location="'Cost Summary'!A1" display="'Cost Summary'!A1"/>
    <hyperlink ref="RPN8" location="'Cost Summary'!A1" display="'Cost Summary'!A1"/>
    <hyperlink ref="RPO8" location="'Cost Summary'!A1" display="'Cost Summary'!A1"/>
    <hyperlink ref="RPP8" location="'Cost Summary'!A1" display="'Cost Summary'!A1"/>
    <hyperlink ref="RPQ8" location="'Cost Summary'!A1" display="'Cost Summary'!A1"/>
    <hyperlink ref="RPR8" location="'Cost Summary'!A1" display="'Cost Summary'!A1"/>
    <hyperlink ref="RPS8" location="'Cost Summary'!A1" display="'Cost Summary'!A1"/>
    <hyperlink ref="RPT8" location="'Cost Summary'!A1" display="'Cost Summary'!A1"/>
    <hyperlink ref="RPU8" location="'Cost Summary'!A1" display="'Cost Summary'!A1"/>
    <hyperlink ref="RPV8" location="'Cost Summary'!A1" display="'Cost Summary'!A1"/>
    <hyperlink ref="RPW8" location="'Cost Summary'!A1" display="'Cost Summary'!A1"/>
    <hyperlink ref="RPX8" location="'Cost Summary'!A1" display="'Cost Summary'!A1"/>
    <hyperlink ref="RPY8" location="'Cost Summary'!A1" display="'Cost Summary'!A1"/>
    <hyperlink ref="RPZ8" location="'Cost Summary'!A1" display="'Cost Summary'!A1"/>
    <hyperlink ref="RQA8" location="'Cost Summary'!A1" display="'Cost Summary'!A1"/>
    <hyperlink ref="RQB8" location="'Cost Summary'!A1" display="'Cost Summary'!A1"/>
    <hyperlink ref="RQC8" location="'Cost Summary'!A1" display="'Cost Summary'!A1"/>
    <hyperlink ref="RQD8" location="'Cost Summary'!A1" display="'Cost Summary'!A1"/>
    <hyperlink ref="RQE8" location="'Cost Summary'!A1" display="'Cost Summary'!A1"/>
    <hyperlink ref="RQF8" location="'Cost Summary'!A1" display="'Cost Summary'!A1"/>
    <hyperlink ref="RQG8" location="'Cost Summary'!A1" display="'Cost Summary'!A1"/>
    <hyperlink ref="RQH8" location="'Cost Summary'!A1" display="'Cost Summary'!A1"/>
    <hyperlink ref="RQI8" location="'Cost Summary'!A1" display="'Cost Summary'!A1"/>
    <hyperlink ref="RQJ8" location="'Cost Summary'!A1" display="'Cost Summary'!A1"/>
    <hyperlink ref="RQK8" location="'Cost Summary'!A1" display="'Cost Summary'!A1"/>
    <hyperlink ref="RQL8" location="'Cost Summary'!A1" display="'Cost Summary'!A1"/>
    <hyperlink ref="RQM8" location="'Cost Summary'!A1" display="'Cost Summary'!A1"/>
    <hyperlink ref="RQN8" location="'Cost Summary'!A1" display="'Cost Summary'!A1"/>
    <hyperlink ref="RQO8" location="'Cost Summary'!A1" display="'Cost Summary'!A1"/>
    <hyperlink ref="RQP8" location="'Cost Summary'!A1" display="'Cost Summary'!A1"/>
    <hyperlink ref="RQQ8" location="'Cost Summary'!A1" display="'Cost Summary'!A1"/>
    <hyperlink ref="RQR8" location="'Cost Summary'!A1" display="'Cost Summary'!A1"/>
    <hyperlink ref="RQS8" location="'Cost Summary'!A1" display="'Cost Summary'!A1"/>
    <hyperlink ref="RQT8" location="'Cost Summary'!A1" display="'Cost Summary'!A1"/>
    <hyperlink ref="RQU8" location="'Cost Summary'!A1" display="'Cost Summary'!A1"/>
    <hyperlink ref="RQV8" location="'Cost Summary'!A1" display="'Cost Summary'!A1"/>
    <hyperlink ref="RQW8" location="'Cost Summary'!A1" display="'Cost Summary'!A1"/>
    <hyperlink ref="RQX8" location="'Cost Summary'!A1" display="'Cost Summary'!A1"/>
    <hyperlink ref="RQY8" location="'Cost Summary'!A1" display="'Cost Summary'!A1"/>
    <hyperlink ref="RQZ8" location="'Cost Summary'!A1" display="'Cost Summary'!A1"/>
    <hyperlink ref="RRA8" location="'Cost Summary'!A1" display="'Cost Summary'!A1"/>
    <hyperlink ref="RRB8" location="'Cost Summary'!A1" display="'Cost Summary'!A1"/>
    <hyperlink ref="RRC8" location="'Cost Summary'!A1" display="'Cost Summary'!A1"/>
    <hyperlink ref="RRD8" location="'Cost Summary'!A1" display="'Cost Summary'!A1"/>
    <hyperlink ref="RRE8" location="'Cost Summary'!A1" display="'Cost Summary'!A1"/>
    <hyperlink ref="RRF8" location="'Cost Summary'!A1" display="'Cost Summary'!A1"/>
    <hyperlink ref="RRG8" location="'Cost Summary'!A1" display="'Cost Summary'!A1"/>
    <hyperlink ref="RRH8" location="'Cost Summary'!A1" display="'Cost Summary'!A1"/>
    <hyperlink ref="RRI8" location="'Cost Summary'!A1" display="'Cost Summary'!A1"/>
    <hyperlink ref="RRJ8" location="'Cost Summary'!A1" display="'Cost Summary'!A1"/>
    <hyperlink ref="RRK8" location="'Cost Summary'!A1" display="'Cost Summary'!A1"/>
    <hyperlink ref="RRL8" location="'Cost Summary'!A1" display="'Cost Summary'!A1"/>
    <hyperlink ref="RRM8" location="'Cost Summary'!A1" display="'Cost Summary'!A1"/>
    <hyperlink ref="RRN8" location="'Cost Summary'!A1" display="'Cost Summary'!A1"/>
    <hyperlink ref="RRO8" location="'Cost Summary'!A1" display="'Cost Summary'!A1"/>
    <hyperlink ref="RRP8" location="'Cost Summary'!A1" display="'Cost Summary'!A1"/>
    <hyperlink ref="RRQ8" location="'Cost Summary'!A1" display="'Cost Summary'!A1"/>
    <hyperlink ref="RRR8" location="'Cost Summary'!A1" display="'Cost Summary'!A1"/>
    <hyperlink ref="RRS8" location="'Cost Summary'!A1" display="'Cost Summary'!A1"/>
    <hyperlink ref="RRT8" location="'Cost Summary'!A1" display="'Cost Summary'!A1"/>
    <hyperlink ref="RRU8" location="'Cost Summary'!A1" display="'Cost Summary'!A1"/>
    <hyperlink ref="RRV8" location="'Cost Summary'!A1" display="'Cost Summary'!A1"/>
    <hyperlink ref="RRW8" location="'Cost Summary'!A1" display="'Cost Summary'!A1"/>
    <hyperlink ref="RRX8" location="'Cost Summary'!A1" display="'Cost Summary'!A1"/>
    <hyperlink ref="RRY8" location="'Cost Summary'!A1" display="'Cost Summary'!A1"/>
    <hyperlink ref="RRZ8" location="'Cost Summary'!A1" display="'Cost Summary'!A1"/>
    <hyperlink ref="RSA8" location="'Cost Summary'!A1" display="'Cost Summary'!A1"/>
    <hyperlink ref="RSB8" location="'Cost Summary'!A1" display="'Cost Summary'!A1"/>
    <hyperlink ref="RSC8" location="'Cost Summary'!A1" display="'Cost Summary'!A1"/>
    <hyperlink ref="RSD8" location="'Cost Summary'!A1" display="'Cost Summary'!A1"/>
    <hyperlink ref="RSE8" location="'Cost Summary'!A1" display="'Cost Summary'!A1"/>
    <hyperlink ref="RSF8" location="'Cost Summary'!A1" display="'Cost Summary'!A1"/>
    <hyperlink ref="RSG8" location="'Cost Summary'!A1" display="'Cost Summary'!A1"/>
    <hyperlink ref="RSH8" location="'Cost Summary'!A1" display="'Cost Summary'!A1"/>
    <hyperlink ref="RSI8" location="'Cost Summary'!A1" display="'Cost Summary'!A1"/>
    <hyperlink ref="RSJ8" location="'Cost Summary'!A1" display="'Cost Summary'!A1"/>
    <hyperlink ref="RSK8" location="'Cost Summary'!A1" display="'Cost Summary'!A1"/>
    <hyperlink ref="RSL8" location="'Cost Summary'!A1" display="'Cost Summary'!A1"/>
    <hyperlink ref="RSM8" location="'Cost Summary'!A1" display="'Cost Summary'!A1"/>
    <hyperlink ref="RSN8" location="'Cost Summary'!A1" display="'Cost Summary'!A1"/>
    <hyperlink ref="RSO8" location="'Cost Summary'!A1" display="'Cost Summary'!A1"/>
    <hyperlink ref="RSP8" location="'Cost Summary'!A1" display="'Cost Summary'!A1"/>
    <hyperlink ref="RSQ8" location="'Cost Summary'!A1" display="'Cost Summary'!A1"/>
    <hyperlink ref="RSR8" location="'Cost Summary'!A1" display="'Cost Summary'!A1"/>
    <hyperlink ref="RSS8" location="'Cost Summary'!A1" display="'Cost Summary'!A1"/>
    <hyperlink ref="RST8" location="'Cost Summary'!A1" display="'Cost Summary'!A1"/>
    <hyperlink ref="RSU8" location="'Cost Summary'!A1" display="'Cost Summary'!A1"/>
    <hyperlink ref="RSV8" location="'Cost Summary'!A1" display="'Cost Summary'!A1"/>
    <hyperlink ref="RSW8" location="'Cost Summary'!A1" display="'Cost Summary'!A1"/>
    <hyperlink ref="RSX8" location="'Cost Summary'!A1" display="'Cost Summary'!A1"/>
    <hyperlink ref="RSY8" location="'Cost Summary'!A1" display="'Cost Summary'!A1"/>
    <hyperlink ref="RSZ8" location="'Cost Summary'!A1" display="'Cost Summary'!A1"/>
    <hyperlink ref="RTA8" location="'Cost Summary'!A1" display="'Cost Summary'!A1"/>
    <hyperlink ref="RTB8" location="'Cost Summary'!A1" display="'Cost Summary'!A1"/>
    <hyperlink ref="RTC8" location="'Cost Summary'!A1" display="'Cost Summary'!A1"/>
    <hyperlink ref="RTD8" location="'Cost Summary'!A1" display="'Cost Summary'!A1"/>
    <hyperlink ref="RTE8" location="'Cost Summary'!A1" display="'Cost Summary'!A1"/>
    <hyperlink ref="RTF8" location="'Cost Summary'!A1" display="'Cost Summary'!A1"/>
    <hyperlink ref="RTG8" location="'Cost Summary'!A1" display="'Cost Summary'!A1"/>
    <hyperlink ref="RTH8" location="'Cost Summary'!A1" display="'Cost Summary'!A1"/>
    <hyperlink ref="RTI8" location="'Cost Summary'!A1" display="'Cost Summary'!A1"/>
    <hyperlink ref="RTJ8" location="'Cost Summary'!A1" display="'Cost Summary'!A1"/>
    <hyperlink ref="RTK8" location="'Cost Summary'!A1" display="'Cost Summary'!A1"/>
    <hyperlink ref="RTL8" location="'Cost Summary'!A1" display="'Cost Summary'!A1"/>
    <hyperlink ref="RTM8" location="'Cost Summary'!A1" display="'Cost Summary'!A1"/>
    <hyperlink ref="RTN8" location="'Cost Summary'!A1" display="'Cost Summary'!A1"/>
    <hyperlink ref="RTO8" location="'Cost Summary'!A1" display="'Cost Summary'!A1"/>
    <hyperlink ref="RTP8" location="'Cost Summary'!A1" display="'Cost Summary'!A1"/>
    <hyperlink ref="RTQ8" location="'Cost Summary'!A1" display="'Cost Summary'!A1"/>
    <hyperlink ref="RTR8" location="'Cost Summary'!A1" display="'Cost Summary'!A1"/>
    <hyperlink ref="RTS8" location="'Cost Summary'!A1" display="'Cost Summary'!A1"/>
    <hyperlink ref="RTT8" location="'Cost Summary'!A1" display="'Cost Summary'!A1"/>
    <hyperlink ref="RTU8" location="'Cost Summary'!A1" display="'Cost Summary'!A1"/>
    <hyperlink ref="RTV8" location="'Cost Summary'!A1" display="'Cost Summary'!A1"/>
    <hyperlink ref="RTW8" location="'Cost Summary'!A1" display="'Cost Summary'!A1"/>
    <hyperlink ref="RTX8" location="'Cost Summary'!A1" display="'Cost Summary'!A1"/>
    <hyperlink ref="RTY8" location="'Cost Summary'!A1" display="'Cost Summary'!A1"/>
    <hyperlink ref="RTZ8" location="'Cost Summary'!A1" display="'Cost Summary'!A1"/>
    <hyperlink ref="RUA8" location="'Cost Summary'!A1" display="'Cost Summary'!A1"/>
    <hyperlink ref="RUB8" location="'Cost Summary'!A1" display="'Cost Summary'!A1"/>
    <hyperlink ref="RUC8" location="'Cost Summary'!A1" display="'Cost Summary'!A1"/>
    <hyperlink ref="RUD8" location="'Cost Summary'!A1" display="'Cost Summary'!A1"/>
    <hyperlink ref="RUE8" location="'Cost Summary'!A1" display="'Cost Summary'!A1"/>
    <hyperlink ref="RUF8" location="'Cost Summary'!A1" display="'Cost Summary'!A1"/>
    <hyperlink ref="RUG8" location="'Cost Summary'!A1" display="'Cost Summary'!A1"/>
    <hyperlink ref="RUH8" location="'Cost Summary'!A1" display="'Cost Summary'!A1"/>
    <hyperlink ref="RUI8" location="'Cost Summary'!A1" display="'Cost Summary'!A1"/>
    <hyperlink ref="RUJ8" location="'Cost Summary'!A1" display="'Cost Summary'!A1"/>
    <hyperlink ref="RUK8" location="'Cost Summary'!A1" display="'Cost Summary'!A1"/>
    <hyperlink ref="RUL8" location="'Cost Summary'!A1" display="'Cost Summary'!A1"/>
    <hyperlink ref="RUM8" location="'Cost Summary'!A1" display="'Cost Summary'!A1"/>
    <hyperlink ref="RUN8" location="'Cost Summary'!A1" display="'Cost Summary'!A1"/>
    <hyperlink ref="RUO8" location="'Cost Summary'!A1" display="'Cost Summary'!A1"/>
    <hyperlink ref="RUP8" location="'Cost Summary'!A1" display="'Cost Summary'!A1"/>
    <hyperlink ref="RUQ8" location="'Cost Summary'!A1" display="'Cost Summary'!A1"/>
    <hyperlink ref="RUR8" location="'Cost Summary'!A1" display="'Cost Summary'!A1"/>
    <hyperlink ref="RUS8" location="'Cost Summary'!A1" display="'Cost Summary'!A1"/>
    <hyperlink ref="RUT8" location="'Cost Summary'!A1" display="'Cost Summary'!A1"/>
    <hyperlink ref="RUU8" location="'Cost Summary'!A1" display="'Cost Summary'!A1"/>
    <hyperlink ref="RUV8" location="'Cost Summary'!A1" display="'Cost Summary'!A1"/>
    <hyperlink ref="RUW8" location="'Cost Summary'!A1" display="'Cost Summary'!A1"/>
    <hyperlink ref="RUX8" location="'Cost Summary'!A1" display="'Cost Summary'!A1"/>
    <hyperlink ref="RUY8" location="'Cost Summary'!A1" display="'Cost Summary'!A1"/>
    <hyperlink ref="RUZ8" location="'Cost Summary'!A1" display="'Cost Summary'!A1"/>
    <hyperlink ref="RVA8" location="'Cost Summary'!A1" display="'Cost Summary'!A1"/>
    <hyperlink ref="RVB8" location="'Cost Summary'!A1" display="'Cost Summary'!A1"/>
    <hyperlink ref="RVC8" location="'Cost Summary'!A1" display="'Cost Summary'!A1"/>
    <hyperlink ref="RVD8" location="'Cost Summary'!A1" display="'Cost Summary'!A1"/>
    <hyperlink ref="RVE8" location="'Cost Summary'!A1" display="'Cost Summary'!A1"/>
    <hyperlink ref="RVF8" location="'Cost Summary'!A1" display="'Cost Summary'!A1"/>
    <hyperlink ref="RVG8" location="'Cost Summary'!A1" display="'Cost Summary'!A1"/>
    <hyperlink ref="RVH8" location="'Cost Summary'!A1" display="'Cost Summary'!A1"/>
    <hyperlink ref="RVI8" location="'Cost Summary'!A1" display="'Cost Summary'!A1"/>
    <hyperlink ref="RVJ8" location="'Cost Summary'!A1" display="'Cost Summary'!A1"/>
    <hyperlink ref="RVK8" location="'Cost Summary'!A1" display="'Cost Summary'!A1"/>
    <hyperlink ref="RVL8" location="'Cost Summary'!A1" display="'Cost Summary'!A1"/>
    <hyperlink ref="RVM8" location="'Cost Summary'!A1" display="'Cost Summary'!A1"/>
    <hyperlink ref="RVN8" location="'Cost Summary'!A1" display="'Cost Summary'!A1"/>
    <hyperlink ref="RVO8" location="'Cost Summary'!A1" display="'Cost Summary'!A1"/>
    <hyperlink ref="RVP8" location="'Cost Summary'!A1" display="'Cost Summary'!A1"/>
    <hyperlink ref="RVQ8" location="'Cost Summary'!A1" display="'Cost Summary'!A1"/>
    <hyperlink ref="RVR8" location="'Cost Summary'!A1" display="'Cost Summary'!A1"/>
    <hyperlink ref="RVS8" location="'Cost Summary'!A1" display="'Cost Summary'!A1"/>
    <hyperlink ref="RVT8" location="'Cost Summary'!A1" display="'Cost Summary'!A1"/>
    <hyperlink ref="RVU8" location="'Cost Summary'!A1" display="'Cost Summary'!A1"/>
    <hyperlink ref="RVV8" location="'Cost Summary'!A1" display="'Cost Summary'!A1"/>
    <hyperlink ref="RVW8" location="'Cost Summary'!A1" display="'Cost Summary'!A1"/>
    <hyperlink ref="RVX8" location="'Cost Summary'!A1" display="'Cost Summary'!A1"/>
    <hyperlink ref="RVY8" location="'Cost Summary'!A1" display="'Cost Summary'!A1"/>
    <hyperlink ref="RVZ8" location="'Cost Summary'!A1" display="'Cost Summary'!A1"/>
    <hyperlink ref="RWA8" location="'Cost Summary'!A1" display="'Cost Summary'!A1"/>
    <hyperlink ref="RWB8" location="'Cost Summary'!A1" display="'Cost Summary'!A1"/>
    <hyperlink ref="RWC8" location="'Cost Summary'!A1" display="'Cost Summary'!A1"/>
    <hyperlink ref="RWD8" location="'Cost Summary'!A1" display="'Cost Summary'!A1"/>
    <hyperlink ref="RWE8" location="'Cost Summary'!A1" display="'Cost Summary'!A1"/>
    <hyperlink ref="RWF8" location="'Cost Summary'!A1" display="'Cost Summary'!A1"/>
    <hyperlink ref="RWG8" location="'Cost Summary'!A1" display="'Cost Summary'!A1"/>
    <hyperlink ref="RWH8" location="'Cost Summary'!A1" display="'Cost Summary'!A1"/>
    <hyperlink ref="RWI8" location="'Cost Summary'!A1" display="'Cost Summary'!A1"/>
    <hyperlink ref="RWJ8" location="'Cost Summary'!A1" display="'Cost Summary'!A1"/>
    <hyperlink ref="RWK8" location="'Cost Summary'!A1" display="'Cost Summary'!A1"/>
    <hyperlink ref="RWL8" location="'Cost Summary'!A1" display="'Cost Summary'!A1"/>
    <hyperlink ref="RWM8" location="'Cost Summary'!A1" display="'Cost Summary'!A1"/>
    <hyperlink ref="RWN8" location="'Cost Summary'!A1" display="'Cost Summary'!A1"/>
    <hyperlink ref="RWO8" location="'Cost Summary'!A1" display="'Cost Summary'!A1"/>
    <hyperlink ref="RWP8" location="'Cost Summary'!A1" display="'Cost Summary'!A1"/>
    <hyperlink ref="RWQ8" location="'Cost Summary'!A1" display="'Cost Summary'!A1"/>
    <hyperlink ref="RWR8" location="'Cost Summary'!A1" display="'Cost Summary'!A1"/>
    <hyperlink ref="RWS8" location="'Cost Summary'!A1" display="'Cost Summary'!A1"/>
    <hyperlink ref="RWT8" location="'Cost Summary'!A1" display="'Cost Summary'!A1"/>
    <hyperlink ref="RWU8" location="'Cost Summary'!A1" display="'Cost Summary'!A1"/>
    <hyperlink ref="RWV8" location="'Cost Summary'!A1" display="'Cost Summary'!A1"/>
    <hyperlink ref="RWW8" location="'Cost Summary'!A1" display="'Cost Summary'!A1"/>
    <hyperlink ref="RWX8" location="'Cost Summary'!A1" display="'Cost Summary'!A1"/>
    <hyperlink ref="RWY8" location="'Cost Summary'!A1" display="'Cost Summary'!A1"/>
    <hyperlink ref="RWZ8" location="'Cost Summary'!A1" display="'Cost Summary'!A1"/>
    <hyperlink ref="RXA8" location="'Cost Summary'!A1" display="'Cost Summary'!A1"/>
    <hyperlink ref="RXB8" location="'Cost Summary'!A1" display="'Cost Summary'!A1"/>
    <hyperlink ref="RXC8" location="'Cost Summary'!A1" display="'Cost Summary'!A1"/>
    <hyperlink ref="RXD8" location="'Cost Summary'!A1" display="'Cost Summary'!A1"/>
    <hyperlink ref="RXE8" location="'Cost Summary'!A1" display="'Cost Summary'!A1"/>
    <hyperlink ref="RXF8" location="'Cost Summary'!A1" display="'Cost Summary'!A1"/>
    <hyperlink ref="RXG8" location="'Cost Summary'!A1" display="'Cost Summary'!A1"/>
    <hyperlink ref="RXH8" location="'Cost Summary'!A1" display="'Cost Summary'!A1"/>
    <hyperlink ref="RXI8" location="'Cost Summary'!A1" display="'Cost Summary'!A1"/>
    <hyperlink ref="RXJ8" location="'Cost Summary'!A1" display="'Cost Summary'!A1"/>
    <hyperlink ref="RXK8" location="'Cost Summary'!A1" display="'Cost Summary'!A1"/>
    <hyperlink ref="RXL8" location="'Cost Summary'!A1" display="'Cost Summary'!A1"/>
    <hyperlink ref="RXM8" location="'Cost Summary'!A1" display="'Cost Summary'!A1"/>
    <hyperlink ref="RXN8" location="'Cost Summary'!A1" display="'Cost Summary'!A1"/>
    <hyperlink ref="RXO8" location="'Cost Summary'!A1" display="'Cost Summary'!A1"/>
    <hyperlink ref="RXP8" location="'Cost Summary'!A1" display="'Cost Summary'!A1"/>
    <hyperlink ref="RXQ8" location="'Cost Summary'!A1" display="'Cost Summary'!A1"/>
    <hyperlink ref="RXR8" location="'Cost Summary'!A1" display="'Cost Summary'!A1"/>
    <hyperlink ref="RXS8" location="'Cost Summary'!A1" display="'Cost Summary'!A1"/>
    <hyperlink ref="RXT8" location="'Cost Summary'!A1" display="'Cost Summary'!A1"/>
    <hyperlink ref="RXU8" location="'Cost Summary'!A1" display="'Cost Summary'!A1"/>
    <hyperlink ref="RXV8" location="'Cost Summary'!A1" display="'Cost Summary'!A1"/>
    <hyperlink ref="RXW8" location="'Cost Summary'!A1" display="'Cost Summary'!A1"/>
    <hyperlink ref="RXX8" location="'Cost Summary'!A1" display="'Cost Summary'!A1"/>
    <hyperlink ref="RXY8" location="'Cost Summary'!A1" display="'Cost Summary'!A1"/>
    <hyperlink ref="RXZ8" location="'Cost Summary'!A1" display="'Cost Summary'!A1"/>
    <hyperlink ref="RYA8" location="'Cost Summary'!A1" display="'Cost Summary'!A1"/>
    <hyperlink ref="RYB8" location="'Cost Summary'!A1" display="'Cost Summary'!A1"/>
    <hyperlink ref="RYC8" location="'Cost Summary'!A1" display="'Cost Summary'!A1"/>
    <hyperlink ref="RYD8" location="'Cost Summary'!A1" display="'Cost Summary'!A1"/>
    <hyperlink ref="RYE8" location="'Cost Summary'!A1" display="'Cost Summary'!A1"/>
    <hyperlink ref="RYF8" location="'Cost Summary'!A1" display="'Cost Summary'!A1"/>
    <hyperlink ref="RYG8" location="'Cost Summary'!A1" display="'Cost Summary'!A1"/>
    <hyperlink ref="RYH8" location="'Cost Summary'!A1" display="'Cost Summary'!A1"/>
    <hyperlink ref="RYI8" location="'Cost Summary'!A1" display="'Cost Summary'!A1"/>
    <hyperlink ref="RYJ8" location="'Cost Summary'!A1" display="'Cost Summary'!A1"/>
    <hyperlink ref="RYK8" location="'Cost Summary'!A1" display="'Cost Summary'!A1"/>
    <hyperlink ref="RYL8" location="'Cost Summary'!A1" display="'Cost Summary'!A1"/>
    <hyperlink ref="RYM8" location="'Cost Summary'!A1" display="'Cost Summary'!A1"/>
    <hyperlink ref="RYN8" location="'Cost Summary'!A1" display="'Cost Summary'!A1"/>
    <hyperlink ref="RYO8" location="'Cost Summary'!A1" display="'Cost Summary'!A1"/>
    <hyperlink ref="RYP8" location="'Cost Summary'!A1" display="'Cost Summary'!A1"/>
    <hyperlink ref="RYQ8" location="'Cost Summary'!A1" display="'Cost Summary'!A1"/>
    <hyperlink ref="RYR8" location="'Cost Summary'!A1" display="'Cost Summary'!A1"/>
    <hyperlink ref="RYS8" location="'Cost Summary'!A1" display="'Cost Summary'!A1"/>
    <hyperlink ref="RYT8" location="'Cost Summary'!A1" display="'Cost Summary'!A1"/>
    <hyperlink ref="RYU8" location="'Cost Summary'!A1" display="'Cost Summary'!A1"/>
    <hyperlink ref="RYV8" location="'Cost Summary'!A1" display="'Cost Summary'!A1"/>
    <hyperlink ref="RYW8" location="'Cost Summary'!A1" display="'Cost Summary'!A1"/>
    <hyperlink ref="RYX8" location="'Cost Summary'!A1" display="'Cost Summary'!A1"/>
    <hyperlink ref="RYY8" location="'Cost Summary'!A1" display="'Cost Summary'!A1"/>
    <hyperlink ref="RYZ8" location="'Cost Summary'!A1" display="'Cost Summary'!A1"/>
    <hyperlink ref="RZA8" location="'Cost Summary'!A1" display="'Cost Summary'!A1"/>
    <hyperlink ref="RZB8" location="'Cost Summary'!A1" display="'Cost Summary'!A1"/>
    <hyperlink ref="RZC8" location="'Cost Summary'!A1" display="'Cost Summary'!A1"/>
    <hyperlink ref="RZD8" location="'Cost Summary'!A1" display="'Cost Summary'!A1"/>
    <hyperlink ref="RZE8" location="'Cost Summary'!A1" display="'Cost Summary'!A1"/>
    <hyperlink ref="RZF8" location="'Cost Summary'!A1" display="'Cost Summary'!A1"/>
    <hyperlink ref="RZG8" location="'Cost Summary'!A1" display="'Cost Summary'!A1"/>
    <hyperlink ref="RZH8" location="'Cost Summary'!A1" display="'Cost Summary'!A1"/>
    <hyperlink ref="RZI8" location="'Cost Summary'!A1" display="'Cost Summary'!A1"/>
    <hyperlink ref="RZJ8" location="'Cost Summary'!A1" display="'Cost Summary'!A1"/>
    <hyperlink ref="RZK8" location="'Cost Summary'!A1" display="'Cost Summary'!A1"/>
    <hyperlink ref="RZL8" location="'Cost Summary'!A1" display="'Cost Summary'!A1"/>
    <hyperlink ref="RZM8" location="'Cost Summary'!A1" display="'Cost Summary'!A1"/>
    <hyperlink ref="RZN8" location="'Cost Summary'!A1" display="'Cost Summary'!A1"/>
    <hyperlink ref="RZO8" location="'Cost Summary'!A1" display="'Cost Summary'!A1"/>
    <hyperlink ref="RZP8" location="'Cost Summary'!A1" display="'Cost Summary'!A1"/>
    <hyperlink ref="RZQ8" location="'Cost Summary'!A1" display="'Cost Summary'!A1"/>
    <hyperlink ref="RZR8" location="'Cost Summary'!A1" display="'Cost Summary'!A1"/>
    <hyperlink ref="RZS8" location="'Cost Summary'!A1" display="'Cost Summary'!A1"/>
    <hyperlink ref="RZT8" location="'Cost Summary'!A1" display="'Cost Summary'!A1"/>
    <hyperlink ref="RZU8" location="'Cost Summary'!A1" display="'Cost Summary'!A1"/>
    <hyperlink ref="RZV8" location="'Cost Summary'!A1" display="'Cost Summary'!A1"/>
    <hyperlink ref="RZW8" location="'Cost Summary'!A1" display="'Cost Summary'!A1"/>
    <hyperlink ref="RZX8" location="'Cost Summary'!A1" display="'Cost Summary'!A1"/>
    <hyperlink ref="RZY8" location="'Cost Summary'!A1" display="'Cost Summary'!A1"/>
    <hyperlink ref="RZZ8" location="'Cost Summary'!A1" display="'Cost Summary'!A1"/>
    <hyperlink ref="SAA8" location="'Cost Summary'!A1" display="'Cost Summary'!A1"/>
    <hyperlink ref="SAB8" location="'Cost Summary'!A1" display="'Cost Summary'!A1"/>
    <hyperlink ref="SAC8" location="'Cost Summary'!A1" display="'Cost Summary'!A1"/>
    <hyperlink ref="SAD8" location="'Cost Summary'!A1" display="'Cost Summary'!A1"/>
    <hyperlink ref="SAE8" location="'Cost Summary'!A1" display="'Cost Summary'!A1"/>
    <hyperlink ref="SAF8" location="'Cost Summary'!A1" display="'Cost Summary'!A1"/>
    <hyperlink ref="SAG8" location="'Cost Summary'!A1" display="'Cost Summary'!A1"/>
    <hyperlink ref="SAH8" location="'Cost Summary'!A1" display="'Cost Summary'!A1"/>
    <hyperlink ref="SAI8" location="'Cost Summary'!A1" display="'Cost Summary'!A1"/>
    <hyperlink ref="SAJ8" location="'Cost Summary'!A1" display="'Cost Summary'!A1"/>
    <hyperlink ref="SAK8" location="'Cost Summary'!A1" display="'Cost Summary'!A1"/>
    <hyperlink ref="SAL8" location="'Cost Summary'!A1" display="'Cost Summary'!A1"/>
    <hyperlink ref="SAM8" location="'Cost Summary'!A1" display="'Cost Summary'!A1"/>
    <hyperlink ref="SAN8" location="'Cost Summary'!A1" display="'Cost Summary'!A1"/>
    <hyperlink ref="SAO8" location="'Cost Summary'!A1" display="'Cost Summary'!A1"/>
    <hyperlink ref="SAP8" location="'Cost Summary'!A1" display="'Cost Summary'!A1"/>
    <hyperlink ref="SAQ8" location="'Cost Summary'!A1" display="'Cost Summary'!A1"/>
    <hyperlink ref="SAR8" location="'Cost Summary'!A1" display="'Cost Summary'!A1"/>
    <hyperlink ref="SAS8" location="'Cost Summary'!A1" display="'Cost Summary'!A1"/>
    <hyperlink ref="SAT8" location="'Cost Summary'!A1" display="'Cost Summary'!A1"/>
    <hyperlink ref="SAU8" location="'Cost Summary'!A1" display="'Cost Summary'!A1"/>
    <hyperlink ref="SAV8" location="'Cost Summary'!A1" display="'Cost Summary'!A1"/>
    <hyperlink ref="SAW8" location="'Cost Summary'!A1" display="'Cost Summary'!A1"/>
    <hyperlink ref="SAX8" location="'Cost Summary'!A1" display="'Cost Summary'!A1"/>
    <hyperlink ref="SAY8" location="'Cost Summary'!A1" display="'Cost Summary'!A1"/>
    <hyperlink ref="SAZ8" location="'Cost Summary'!A1" display="'Cost Summary'!A1"/>
    <hyperlink ref="SBA8" location="'Cost Summary'!A1" display="'Cost Summary'!A1"/>
    <hyperlink ref="SBB8" location="'Cost Summary'!A1" display="'Cost Summary'!A1"/>
    <hyperlink ref="SBC8" location="'Cost Summary'!A1" display="'Cost Summary'!A1"/>
    <hyperlink ref="SBD8" location="'Cost Summary'!A1" display="'Cost Summary'!A1"/>
    <hyperlink ref="SBE8" location="'Cost Summary'!A1" display="'Cost Summary'!A1"/>
    <hyperlink ref="SBF8" location="'Cost Summary'!A1" display="'Cost Summary'!A1"/>
    <hyperlink ref="SBG8" location="'Cost Summary'!A1" display="'Cost Summary'!A1"/>
    <hyperlink ref="SBH8" location="'Cost Summary'!A1" display="'Cost Summary'!A1"/>
    <hyperlink ref="SBI8" location="'Cost Summary'!A1" display="'Cost Summary'!A1"/>
    <hyperlink ref="SBJ8" location="'Cost Summary'!A1" display="'Cost Summary'!A1"/>
    <hyperlink ref="SBK8" location="'Cost Summary'!A1" display="'Cost Summary'!A1"/>
    <hyperlink ref="SBL8" location="'Cost Summary'!A1" display="'Cost Summary'!A1"/>
    <hyperlink ref="SBM8" location="'Cost Summary'!A1" display="'Cost Summary'!A1"/>
    <hyperlink ref="SBN8" location="'Cost Summary'!A1" display="'Cost Summary'!A1"/>
    <hyperlink ref="SBO8" location="'Cost Summary'!A1" display="'Cost Summary'!A1"/>
    <hyperlink ref="SBP8" location="'Cost Summary'!A1" display="'Cost Summary'!A1"/>
    <hyperlink ref="SBQ8" location="'Cost Summary'!A1" display="'Cost Summary'!A1"/>
    <hyperlink ref="SBR8" location="'Cost Summary'!A1" display="'Cost Summary'!A1"/>
    <hyperlink ref="SBS8" location="'Cost Summary'!A1" display="'Cost Summary'!A1"/>
    <hyperlink ref="SBT8" location="'Cost Summary'!A1" display="'Cost Summary'!A1"/>
    <hyperlink ref="SBU8" location="'Cost Summary'!A1" display="'Cost Summary'!A1"/>
    <hyperlink ref="SBV8" location="'Cost Summary'!A1" display="'Cost Summary'!A1"/>
    <hyperlink ref="SBW8" location="'Cost Summary'!A1" display="'Cost Summary'!A1"/>
    <hyperlink ref="SBX8" location="'Cost Summary'!A1" display="'Cost Summary'!A1"/>
    <hyperlink ref="SBY8" location="'Cost Summary'!A1" display="'Cost Summary'!A1"/>
    <hyperlink ref="SBZ8" location="'Cost Summary'!A1" display="'Cost Summary'!A1"/>
    <hyperlink ref="SCA8" location="'Cost Summary'!A1" display="'Cost Summary'!A1"/>
    <hyperlink ref="SCB8" location="'Cost Summary'!A1" display="'Cost Summary'!A1"/>
    <hyperlink ref="SCC8" location="'Cost Summary'!A1" display="'Cost Summary'!A1"/>
    <hyperlink ref="SCD8" location="'Cost Summary'!A1" display="'Cost Summary'!A1"/>
    <hyperlink ref="SCE8" location="'Cost Summary'!A1" display="'Cost Summary'!A1"/>
    <hyperlink ref="SCF8" location="'Cost Summary'!A1" display="'Cost Summary'!A1"/>
    <hyperlink ref="SCG8" location="'Cost Summary'!A1" display="'Cost Summary'!A1"/>
    <hyperlink ref="SCH8" location="'Cost Summary'!A1" display="'Cost Summary'!A1"/>
    <hyperlink ref="SCI8" location="'Cost Summary'!A1" display="'Cost Summary'!A1"/>
    <hyperlink ref="SCJ8" location="'Cost Summary'!A1" display="'Cost Summary'!A1"/>
    <hyperlink ref="SCK8" location="'Cost Summary'!A1" display="'Cost Summary'!A1"/>
    <hyperlink ref="SCL8" location="'Cost Summary'!A1" display="'Cost Summary'!A1"/>
    <hyperlink ref="SCM8" location="'Cost Summary'!A1" display="'Cost Summary'!A1"/>
    <hyperlink ref="SCN8" location="'Cost Summary'!A1" display="'Cost Summary'!A1"/>
    <hyperlink ref="SCO8" location="'Cost Summary'!A1" display="'Cost Summary'!A1"/>
    <hyperlink ref="SCP8" location="'Cost Summary'!A1" display="'Cost Summary'!A1"/>
    <hyperlink ref="SCQ8" location="'Cost Summary'!A1" display="'Cost Summary'!A1"/>
    <hyperlink ref="SCR8" location="'Cost Summary'!A1" display="'Cost Summary'!A1"/>
    <hyperlink ref="SCS8" location="'Cost Summary'!A1" display="'Cost Summary'!A1"/>
    <hyperlink ref="SCT8" location="'Cost Summary'!A1" display="'Cost Summary'!A1"/>
    <hyperlink ref="SCU8" location="'Cost Summary'!A1" display="'Cost Summary'!A1"/>
    <hyperlink ref="SCV8" location="'Cost Summary'!A1" display="'Cost Summary'!A1"/>
    <hyperlink ref="SCW8" location="'Cost Summary'!A1" display="'Cost Summary'!A1"/>
    <hyperlink ref="SCX8" location="'Cost Summary'!A1" display="'Cost Summary'!A1"/>
    <hyperlink ref="SCY8" location="'Cost Summary'!A1" display="'Cost Summary'!A1"/>
    <hyperlink ref="SCZ8" location="'Cost Summary'!A1" display="'Cost Summary'!A1"/>
    <hyperlink ref="SDA8" location="'Cost Summary'!A1" display="'Cost Summary'!A1"/>
    <hyperlink ref="SDB8" location="'Cost Summary'!A1" display="'Cost Summary'!A1"/>
    <hyperlink ref="SDC8" location="'Cost Summary'!A1" display="'Cost Summary'!A1"/>
    <hyperlink ref="SDD8" location="'Cost Summary'!A1" display="'Cost Summary'!A1"/>
    <hyperlink ref="SDE8" location="'Cost Summary'!A1" display="'Cost Summary'!A1"/>
    <hyperlink ref="SDF8" location="'Cost Summary'!A1" display="'Cost Summary'!A1"/>
    <hyperlink ref="SDG8" location="'Cost Summary'!A1" display="'Cost Summary'!A1"/>
    <hyperlink ref="SDH8" location="'Cost Summary'!A1" display="'Cost Summary'!A1"/>
    <hyperlink ref="SDI8" location="'Cost Summary'!A1" display="'Cost Summary'!A1"/>
    <hyperlink ref="SDJ8" location="'Cost Summary'!A1" display="'Cost Summary'!A1"/>
    <hyperlink ref="SDK8" location="'Cost Summary'!A1" display="'Cost Summary'!A1"/>
    <hyperlink ref="SDL8" location="'Cost Summary'!A1" display="'Cost Summary'!A1"/>
    <hyperlink ref="SDM8" location="'Cost Summary'!A1" display="'Cost Summary'!A1"/>
    <hyperlink ref="SDN8" location="'Cost Summary'!A1" display="'Cost Summary'!A1"/>
    <hyperlink ref="SDO8" location="'Cost Summary'!A1" display="'Cost Summary'!A1"/>
    <hyperlink ref="SDP8" location="'Cost Summary'!A1" display="'Cost Summary'!A1"/>
    <hyperlink ref="SDQ8" location="'Cost Summary'!A1" display="'Cost Summary'!A1"/>
    <hyperlink ref="SDR8" location="'Cost Summary'!A1" display="'Cost Summary'!A1"/>
    <hyperlink ref="SDS8" location="'Cost Summary'!A1" display="'Cost Summary'!A1"/>
    <hyperlink ref="SDT8" location="'Cost Summary'!A1" display="'Cost Summary'!A1"/>
    <hyperlink ref="SDU8" location="'Cost Summary'!A1" display="'Cost Summary'!A1"/>
    <hyperlink ref="SDV8" location="'Cost Summary'!A1" display="'Cost Summary'!A1"/>
    <hyperlink ref="SDW8" location="'Cost Summary'!A1" display="'Cost Summary'!A1"/>
    <hyperlink ref="SDX8" location="'Cost Summary'!A1" display="'Cost Summary'!A1"/>
    <hyperlink ref="SDY8" location="'Cost Summary'!A1" display="'Cost Summary'!A1"/>
    <hyperlink ref="SDZ8" location="'Cost Summary'!A1" display="'Cost Summary'!A1"/>
    <hyperlink ref="SEA8" location="'Cost Summary'!A1" display="'Cost Summary'!A1"/>
    <hyperlink ref="SEB8" location="'Cost Summary'!A1" display="'Cost Summary'!A1"/>
    <hyperlink ref="SEC8" location="'Cost Summary'!A1" display="'Cost Summary'!A1"/>
    <hyperlink ref="SED8" location="'Cost Summary'!A1" display="'Cost Summary'!A1"/>
    <hyperlink ref="SEE8" location="'Cost Summary'!A1" display="'Cost Summary'!A1"/>
    <hyperlink ref="SEF8" location="'Cost Summary'!A1" display="'Cost Summary'!A1"/>
    <hyperlink ref="SEG8" location="'Cost Summary'!A1" display="'Cost Summary'!A1"/>
    <hyperlink ref="SEH8" location="'Cost Summary'!A1" display="'Cost Summary'!A1"/>
    <hyperlink ref="SEI8" location="'Cost Summary'!A1" display="'Cost Summary'!A1"/>
    <hyperlink ref="SEJ8" location="'Cost Summary'!A1" display="'Cost Summary'!A1"/>
    <hyperlink ref="SEK8" location="'Cost Summary'!A1" display="'Cost Summary'!A1"/>
    <hyperlink ref="SEL8" location="'Cost Summary'!A1" display="'Cost Summary'!A1"/>
    <hyperlink ref="SEM8" location="'Cost Summary'!A1" display="'Cost Summary'!A1"/>
    <hyperlink ref="SEN8" location="'Cost Summary'!A1" display="'Cost Summary'!A1"/>
    <hyperlink ref="SEO8" location="'Cost Summary'!A1" display="'Cost Summary'!A1"/>
    <hyperlink ref="SEP8" location="'Cost Summary'!A1" display="'Cost Summary'!A1"/>
    <hyperlink ref="SEQ8" location="'Cost Summary'!A1" display="'Cost Summary'!A1"/>
    <hyperlink ref="SER8" location="'Cost Summary'!A1" display="'Cost Summary'!A1"/>
    <hyperlink ref="SES8" location="'Cost Summary'!A1" display="'Cost Summary'!A1"/>
    <hyperlink ref="SET8" location="'Cost Summary'!A1" display="'Cost Summary'!A1"/>
    <hyperlink ref="SEU8" location="'Cost Summary'!A1" display="'Cost Summary'!A1"/>
    <hyperlink ref="SEV8" location="'Cost Summary'!A1" display="'Cost Summary'!A1"/>
    <hyperlink ref="SEW8" location="'Cost Summary'!A1" display="'Cost Summary'!A1"/>
    <hyperlink ref="SEX8" location="'Cost Summary'!A1" display="'Cost Summary'!A1"/>
    <hyperlink ref="SEY8" location="'Cost Summary'!A1" display="'Cost Summary'!A1"/>
    <hyperlink ref="SEZ8" location="'Cost Summary'!A1" display="'Cost Summary'!A1"/>
    <hyperlink ref="SFA8" location="'Cost Summary'!A1" display="'Cost Summary'!A1"/>
    <hyperlink ref="SFB8" location="'Cost Summary'!A1" display="'Cost Summary'!A1"/>
    <hyperlink ref="SFC8" location="'Cost Summary'!A1" display="'Cost Summary'!A1"/>
    <hyperlink ref="SFD8" location="'Cost Summary'!A1" display="'Cost Summary'!A1"/>
    <hyperlink ref="SFE8" location="'Cost Summary'!A1" display="'Cost Summary'!A1"/>
    <hyperlink ref="SFF8" location="'Cost Summary'!A1" display="'Cost Summary'!A1"/>
    <hyperlink ref="SFG8" location="'Cost Summary'!A1" display="'Cost Summary'!A1"/>
    <hyperlink ref="SFH8" location="'Cost Summary'!A1" display="'Cost Summary'!A1"/>
    <hyperlink ref="SFI8" location="'Cost Summary'!A1" display="'Cost Summary'!A1"/>
    <hyperlink ref="SFJ8" location="'Cost Summary'!A1" display="'Cost Summary'!A1"/>
    <hyperlink ref="SFK8" location="'Cost Summary'!A1" display="'Cost Summary'!A1"/>
    <hyperlink ref="SFL8" location="'Cost Summary'!A1" display="'Cost Summary'!A1"/>
    <hyperlink ref="SFM8" location="'Cost Summary'!A1" display="'Cost Summary'!A1"/>
    <hyperlink ref="SFN8" location="'Cost Summary'!A1" display="'Cost Summary'!A1"/>
    <hyperlink ref="SFO8" location="'Cost Summary'!A1" display="'Cost Summary'!A1"/>
    <hyperlink ref="SFP8" location="'Cost Summary'!A1" display="'Cost Summary'!A1"/>
    <hyperlink ref="SFQ8" location="'Cost Summary'!A1" display="'Cost Summary'!A1"/>
    <hyperlink ref="SFR8" location="'Cost Summary'!A1" display="'Cost Summary'!A1"/>
    <hyperlink ref="SFS8" location="'Cost Summary'!A1" display="'Cost Summary'!A1"/>
    <hyperlink ref="SFT8" location="'Cost Summary'!A1" display="'Cost Summary'!A1"/>
    <hyperlink ref="SFU8" location="'Cost Summary'!A1" display="'Cost Summary'!A1"/>
    <hyperlink ref="SFV8" location="'Cost Summary'!A1" display="'Cost Summary'!A1"/>
    <hyperlink ref="SFW8" location="'Cost Summary'!A1" display="'Cost Summary'!A1"/>
    <hyperlink ref="SFX8" location="'Cost Summary'!A1" display="'Cost Summary'!A1"/>
    <hyperlink ref="SFY8" location="'Cost Summary'!A1" display="'Cost Summary'!A1"/>
    <hyperlink ref="SFZ8" location="'Cost Summary'!A1" display="'Cost Summary'!A1"/>
    <hyperlink ref="SGA8" location="'Cost Summary'!A1" display="'Cost Summary'!A1"/>
    <hyperlink ref="SGB8" location="'Cost Summary'!A1" display="'Cost Summary'!A1"/>
    <hyperlink ref="SGC8" location="'Cost Summary'!A1" display="'Cost Summary'!A1"/>
    <hyperlink ref="SGD8" location="'Cost Summary'!A1" display="'Cost Summary'!A1"/>
    <hyperlink ref="SGE8" location="'Cost Summary'!A1" display="'Cost Summary'!A1"/>
    <hyperlink ref="SGF8" location="'Cost Summary'!A1" display="'Cost Summary'!A1"/>
    <hyperlink ref="SGG8" location="'Cost Summary'!A1" display="'Cost Summary'!A1"/>
    <hyperlink ref="SGH8" location="'Cost Summary'!A1" display="'Cost Summary'!A1"/>
    <hyperlink ref="SGI8" location="'Cost Summary'!A1" display="'Cost Summary'!A1"/>
    <hyperlink ref="SGJ8" location="'Cost Summary'!A1" display="'Cost Summary'!A1"/>
    <hyperlink ref="SGK8" location="'Cost Summary'!A1" display="'Cost Summary'!A1"/>
    <hyperlink ref="SGL8" location="'Cost Summary'!A1" display="'Cost Summary'!A1"/>
    <hyperlink ref="SGM8" location="'Cost Summary'!A1" display="'Cost Summary'!A1"/>
    <hyperlink ref="SGN8" location="'Cost Summary'!A1" display="'Cost Summary'!A1"/>
    <hyperlink ref="SGO8" location="'Cost Summary'!A1" display="'Cost Summary'!A1"/>
    <hyperlink ref="SGP8" location="'Cost Summary'!A1" display="'Cost Summary'!A1"/>
    <hyperlink ref="SGQ8" location="'Cost Summary'!A1" display="'Cost Summary'!A1"/>
    <hyperlink ref="SGR8" location="'Cost Summary'!A1" display="'Cost Summary'!A1"/>
    <hyperlink ref="SGS8" location="'Cost Summary'!A1" display="'Cost Summary'!A1"/>
    <hyperlink ref="SGT8" location="'Cost Summary'!A1" display="'Cost Summary'!A1"/>
    <hyperlink ref="SGU8" location="'Cost Summary'!A1" display="'Cost Summary'!A1"/>
    <hyperlink ref="SGV8" location="'Cost Summary'!A1" display="'Cost Summary'!A1"/>
    <hyperlink ref="SGW8" location="'Cost Summary'!A1" display="'Cost Summary'!A1"/>
    <hyperlink ref="SGX8" location="'Cost Summary'!A1" display="'Cost Summary'!A1"/>
    <hyperlink ref="SGY8" location="'Cost Summary'!A1" display="'Cost Summary'!A1"/>
    <hyperlink ref="SGZ8" location="'Cost Summary'!A1" display="'Cost Summary'!A1"/>
    <hyperlink ref="SHA8" location="'Cost Summary'!A1" display="'Cost Summary'!A1"/>
    <hyperlink ref="SHB8" location="'Cost Summary'!A1" display="'Cost Summary'!A1"/>
    <hyperlink ref="SHC8" location="'Cost Summary'!A1" display="'Cost Summary'!A1"/>
    <hyperlink ref="SHD8" location="'Cost Summary'!A1" display="'Cost Summary'!A1"/>
    <hyperlink ref="SHE8" location="'Cost Summary'!A1" display="'Cost Summary'!A1"/>
    <hyperlink ref="SHF8" location="'Cost Summary'!A1" display="'Cost Summary'!A1"/>
    <hyperlink ref="SHG8" location="'Cost Summary'!A1" display="'Cost Summary'!A1"/>
    <hyperlink ref="SHH8" location="'Cost Summary'!A1" display="'Cost Summary'!A1"/>
    <hyperlink ref="SHI8" location="'Cost Summary'!A1" display="'Cost Summary'!A1"/>
    <hyperlink ref="SHJ8" location="'Cost Summary'!A1" display="'Cost Summary'!A1"/>
    <hyperlink ref="SHK8" location="'Cost Summary'!A1" display="'Cost Summary'!A1"/>
    <hyperlink ref="SHL8" location="'Cost Summary'!A1" display="'Cost Summary'!A1"/>
    <hyperlink ref="SHM8" location="'Cost Summary'!A1" display="'Cost Summary'!A1"/>
    <hyperlink ref="SHN8" location="'Cost Summary'!A1" display="'Cost Summary'!A1"/>
    <hyperlink ref="SHO8" location="'Cost Summary'!A1" display="'Cost Summary'!A1"/>
    <hyperlink ref="SHP8" location="'Cost Summary'!A1" display="'Cost Summary'!A1"/>
    <hyperlink ref="SHQ8" location="'Cost Summary'!A1" display="'Cost Summary'!A1"/>
    <hyperlink ref="SHR8" location="'Cost Summary'!A1" display="'Cost Summary'!A1"/>
    <hyperlink ref="SHS8" location="'Cost Summary'!A1" display="'Cost Summary'!A1"/>
    <hyperlink ref="SHT8" location="'Cost Summary'!A1" display="'Cost Summary'!A1"/>
    <hyperlink ref="SHU8" location="'Cost Summary'!A1" display="'Cost Summary'!A1"/>
    <hyperlink ref="SHV8" location="'Cost Summary'!A1" display="'Cost Summary'!A1"/>
    <hyperlink ref="SHW8" location="'Cost Summary'!A1" display="'Cost Summary'!A1"/>
    <hyperlink ref="SHX8" location="'Cost Summary'!A1" display="'Cost Summary'!A1"/>
    <hyperlink ref="SHY8" location="'Cost Summary'!A1" display="'Cost Summary'!A1"/>
    <hyperlink ref="SHZ8" location="'Cost Summary'!A1" display="'Cost Summary'!A1"/>
    <hyperlink ref="SIA8" location="'Cost Summary'!A1" display="'Cost Summary'!A1"/>
    <hyperlink ref="SIB8" location="'Cost Summary'!A1" display="'Cost Summary'!A1"/>
    <hyperlink ref="SIC8" location="'Cost Summary'!A1" display="'Cost Summary'!A1"/>
    <hyperlink ref="SID8" location="'Cost Summary'!A1" display="'Cost Summary'!A1"/>
    <hyperlink ref="SIE8" location="'Cost Summary'!A1" display="'Cost Summary'!A1"/>
    <hyperlink ref="SIF8" location="'Cost Summary'!A1" display="'Cost Summary'!A1"/>
    <hyperlink ref="SIG8" location="'Cost Summary'!A1" display="'Cost Summary'!A1"/>
    <hyperlink ref="SIH8" location="'Cost Summary'!A1" display="'Cost Summary'!A1"/>
    <hyperlink ref="SII8" location="'Cost Summary'!A1" display="'Cost Summary'!A1"/>
    <hyperlink ref="SIJ8" location="'Cost Summary'!A1" display="'Cost Summary'!A1"/>
    <hyperlink ref="SIK8" location="'Cost Summary'!A1" display="'Cost Summary'!A1"/>
    <hyperlink ref="SIL8" location="'Cost Summary'!A1" display="'Cost Summary'!A1"/>
    <hyperlink ref="SIM8" location="'Cost Summary'!A1" display="'Cost Summary'!A1"/>
    <hyperlink ref="SIN8" location="'Cost Summary'!A1" display="'Cost Summary'!A1"/>
    <hyperlink ref="SIO8" location="'Cost Summary'!A1" display="'Cost Summary'!A1"/>
    <hyperlink ref="SIP8" location="'Cost Summary'!A1" display="'Cost Summary'!A1"/>
    <hyperlink ref="SIQ8" location="'Cost Summary'!A1" display="'Cost Summary'!A1"/>
    <hyperlink ref="SIR8" location="'Cost Summary'!A1" display="'Cost Summary'!A1"/>
    <hyperlink ref="SIS8" location="'Cost Summary'!A1" display="'Cost Summary'!A1"/>
    <hyperlink ref="SIT8" location="'Cost Summary'!A1" display="'Cost Summary'!A1"/>
    <hyperlink ref="SIU8" location="'Cost Summary'!A1" display="'Cost Summary'!A1"/>
    <hyperlink ref="SIV8" location="'Cost Summary'!A1" display="'Cost Summary'!A1"/>
    <hyperlink ref="SIW8" location="'Cost Summary'!A1" display="'Cost Summary'!A1"/>
    <hyperlink ref="SIX8" location="'Cost Summary'!A1" display="'Cost Summary'!A1"/>
    <hyperlink ref="SIY8" location="'Cost Summary'!A1" display="'Cost Summary'!A1"/>
    <hyperlink ref="SIZ8" location="'Cost Summary'!A1" display="'Cost Summary'!A1"/>
    <hyperlink ref="SJA8" location="'Cost Summary'!A1" display="'Cost Summary'!A1"/>
    <hyperlink ref="SJB8" location="'Cost Summary'!A1" display="'Cost Summary'!A1"/>
    <hyperlink ref="SJC8" location="'Cost Summary'!A1" display="'Cost Summary'!A1"/>
    <hyperlink ref="SJD8" location="'Cost Summary'!A1" display="'Cost Summary'!A1"/>
    <hyperlink ref="SJE8" location="'Cost Summary'!A1" display="'Cost Summary'!A1"/>
    <hyperlink ref="SJF8" location="'Cost Summary'!A1" display="'Cost Summary'!A1"/>
    <hyperlink ref="SJG8" location="'Cost Summary'!A1" display="'Cost Summary'!A1"/>
    <hyperlink ref="SJH8" location="'Cost Summary'!A1" display="'Cost Summary'!A1"/>
    <hyperlink ref="SJI8" location="'Cost Summary'!A1" display="'Cost Summary'!A1"/>
    <hyperlink ref="SJJ8" location="'Cost Summary'!A1" display="'Cost Summary'!A1"/>
    <hyperlink ref="SJK8" location="'Cost Summary'!A1" display="'Cost Summary'!A1"/>
    <hyperlink ref="SJL8" location="'Cost Summary'!A1" display="'Cost Summary'!A1"/>
    <hyperlink ref="SJM8" location="'Cost Summary'!A1" display="'Cost Summary'!A1"/>
    <hyperlink ref="SJN8" location="'Cost Summary'!A1" display="'Cost Summary'!A1"/>
    <hyperlink ref="SJO8" location="'Cost Summary'!A1" display="'Cost Summary'!A1"/>
    <hyperlink ref="SJP8" location="'Cost Summary'!A1" display="'Cost Summary'!A1"/>
    <hyperlink ref="SJQ8" location="'Cost Summary'!A1" display="'Cost Summary'!A1"/>
    <hyperlink ref="SJR8" location="'Cost Summary'!A1" display="'Cost Summary'!A1"/>
    <hyperlink ref="SJS8" location="'Cost Summary'!A1" display="'Cost Summary'!A1"/>
    <hyperlink ref="SJT8" location="'Cost Summary'!A1" display="'Cost Summary'!A1"/>
    <hyperlink ref="SJU8" location="'Cost Summary'!A1" display="'Cost Summary'!A1"/>
    <hyperlink ref="SJV8" location="'Cost Summary'!A1" display="'Cost Summary'!A1"/>
    <hyperlink ref="SJW8" location="'Cost Summary'!A1" display="'Cost Summary'!A1"/>
    <hyperlink ref="SJX8" location="'Cost Summary'!A1" display="'Cost Summary'!A1"/>
    <hyperlink ref="SJY8" location="'Cost Summary'!A1" display="'Cost Summary'!A1"/>
    <hyperlink ref="SJZ8" location="'Cost Summary'!A1" display="'Cost Summary'!A1"/>
    <hyperlink ref="SKA8" location="'Cost Summary'!A1" display="'Cost Summary'!A1"/>
    <hyperlink ref="SKB8" location="'Cost Summary'!A1" display="'Cost Summary'!A1"/>
    <hyperlink ref="SKC8" location="'Cost Summary'!A1" display="'Cost Summary'!A1"/>
    <hyperlink ref="SKD8" location="'Cost Summary'!A1" display="'Cost Summary'!A1"/>
    <hyperlink ref="SKE8" location="'Cost Summary'!A1" display="'Cost Summary'!A1"/>
    <hyperlink ref="SKF8" location="'Cost Summary'!A1" display="'Cost Summary'!A1"/>
    <hyperlink ref="SKG8" location="'Cost Summary'!A1" display="'Cost Summary'!A1"/>
    <hyperlink ref="SKH8" location="'Cost Summary'!A1" display="'Cost Summary'!A1"/>
    <hyperlink ref="SKI8" location="'Cost Summary'!A1" display="'Cost Summary'!A1"/>
    <hyperlink ref="SKJ8" location="'Cost Summary'!A1" display="'Cost Summary'!A1"/>
    <hyperlink ref="SKK8" location="'Cost Summary'!A1" display="'Cost Summary'!A1"/>
    <hyperlink ref="SKL8" location="'Cost Summary'!A1" display="'Cost Summary'!A1"/>
    <hyperlink ref="SKM8" location="'Cost Summary'!A1" display="'Cost Summary'!A1"/>
    <hyperlink ref="SKN8" location="'Cost Summary'!A1" display="'Cost Summary'!A1"/>
    <hyperlink ref="SKO8" location="'Cost Summary'!A1" display="'Cost Summary'!A1"/>
    <hyperlink ref="SKP8" location="'Cost Summary'!A1" display="'Cost Summary'!A1"/>
    <hyperlink ref="SKQ8" location="'Cost Summary'!A1" display="'Cost Summary'!A1"/>
    <hyperlink ref="SKR8" location="'Cost Summary'!A1" display="'Cost Summary'!A1"/>
    <hyperlink ref="SKS8" location="'Cost Summary'!A1" display="'Cost Summary'!A1"/>
    <hyperlink ref="SKT8" location="'Cost Summary'!A1" display="'Cost Summary'!A1"/>
    <hyperlink ref="SKU8" location="'Cost Summary'!A1" display="'Cost Summary'!A1"/>
    <hyperlink ref="SKV8" location="'Cost Summary'!A1" display="'Cost Summary'!A1"/>
    <hyperlink ref="SKW8" location="'Cost Summary'!A1" display="'Cost Summary'!A1"/>
    <hyperlink ref="SKX8" location="'Cost Summary'!A1" display="'Cost Summary'!A1"/>
    <hyperlink ref="SKY8" location="'Cost Summary'!A1" display="'Cost Summary'!A1"/>
    <hyperlink ref="SKZ8" location="'Cost Summary'!A1" display="'Cost Summary'!A1"/>
    <hyperlink ref="SLA8" location="'Cost Summary'!A1" display="'Cost Summary'!A1"/>
    <hyperlink ref="SLB8" location="'Cost Summary'!A1" display="'Cost Summary'!A1"/>
    <hyperlink ref="SLC8" location="'Cost Summary'!A1" display="'Cost Summary'!A1"/>
    <hyperlink ref="SLD8" location="'Cost Summary'!A1" display="'Cost Summary'!A1"/>
    <hyperlink ref="SLE8" location="'Cost Summary'!A1" display="'Cost Summary'!A1"/>
    <hyperlink ref="SLF8" location="'Cost Summary'!A1" display="'Cost Summary'!A1"/>
    <hyperlink ref="SLG8" location="'Cost Summary'!A1" display="'Cost Summary'!A1"/>
    <hyperlink ref="SLH8" location="'Cost Summary'!A1" display="'Cost Summary'!A1"/>
    <hyperlink ref="SLI8" location="'Cost Summary'!A1" display="'Cost Summary'!A1"/>
    <hyperlink ref="SLJ8" location="'Cost Summary'!A1" display="'Cost Summary'!A1"/>
    <hyperlink ref="SLK8" location="'Cost Summary'!A1" display="'Cost Summary'!A1"/>
    <hyperlink ref="SLL8" location="'Cost Summary'!A1" display="'Cost Summary'!A1"/>
    <hyperlink ref="SLM8" location="'Cost Summary'!A1" display="'Cost Summary'!A1"/>
    <hyperlink ref="SLN8" location="'Cost Summary'!A1" display="'Cost Summary'!A1"/>
    <hyperlink ref="SLO8" location="'Cost Summary'!A1" display="'Cost Summary'!A1"/>
    <hyperlink ref="SLP8" location="'Cost Summary'!A1" display="'Cost Summary'!A1"/>
    <hyperlink ref="SLQ8" location="'Cost Summary'!A1" display="'Cost Summary'!A1"/>
    <hyperlink ref="SLR8" location="'Cost Summary'!A1" display="'Cost Summary'!A1"/>
    <hyperlink ref="SLS8" location="'Cost Summary'!A1" display="'Cost Summary'!A1"/>
    <hyperlink ref="SLT8" location="'Cost Summary'!A1" display="'Cost Summary'!A1"/>
    <hyperlink ref="SLU8" location="'Cost Summary'!A1" display="'Cost Summary'!A1"/>
    <hyperlink ref="SLV8" location="'Cost Summary'!A1" display="'Cost Summary'!A1"/>
    <hyperlink ref="SLW8" location="'Cost Summary'!A1" display="'Cost Summary'!A1"/>
    <hyperlink ref="SLX8" location="'Cost Summary'!A1" display="'Cost Summary'!A1"/>
    <hyperlink ref="SLY8" location="'Cost Summary'!A1" display="'Cost Summary'!A1"/>
    <hyperlink ref="SLZ8" location="'Cost Summary'!A1" display="'Cost Summary'!A1"/>
    <hyperlink ref="SMA8" location="'Cost Summary'!A1" display="'Cost Summary'!A1"/>
    <hyperlink ref="SMB8" location="'Cost Summary'!A1" display="'Cost Summary'!A1"/>
    <hyperlink ref="SMC8" location="'Cost Summary'!A1" display="'Cost Summary'!A1"/>
    <hyperlink ref="SMD8" location="'Cost Summary'!A1" display="'Cost Summary'!A1"/>
    <hyperlink ref="SME8" location="'Cost Summary'!A1" display="'Cost Summary'!A1"/>
    <hyperlink ref="SMF8" location="'Cost Summary'!A1" display="'Cost Summary'!A1"/>
    <hyperlink ref="SMG8" location="'Cost Summary'!A1" display="'Cost Summary'!A1"/>
    <hyperlink ref="SMH8" location="'Cost Summary'!A1" display="'Cost Summary'!A1"/>
    <hyperlink ref="SMI8" location="'Cost Summary'!A1" display="'Cost Summary'!A1"/>
    <hyperlink ref="SMJ8" location="'Cost Summary'!A1" display="'Cost Summary'!A1"/>
    <hyperlink ref="SMK8" location="'Cost Summary'!A1" display="'Cost Summary'!A1"/>
    <hyperlink ref="SML8" location="'Cost Summary'!A1" display="'Cost Summary'!A1"/>
    <hyperlink ref="SMM8" location="'Cost Summary'!A1" display="'Cost Summary'!A1"/>
    <hyperlink ref="SMN8" location="'Cost Summary'!A1" display="'Cost Summary'!A1"/>
    <hyperlink ref="SMO8" location="'Cost Summary'!A1" display="'Cost Summary'!A1"/>
    <hyperlink ref="SMP8" location="'Cost Summary'!A1" display="'Cost Summary'!A1"/>
    <hyperlink ref="SMQ8" location="'Cost Summary'!A1" display="'Cost Summary'!A1"/>
    <hyperlink ref="SMR8" location="'Cost Summary'!A1" display="'Cost Summary'!A1"/>
    <hyperlink ref="SMS8" location="'Cost Summary'!A1" display="'Cost Summary'!A1"/>
    <hyperlink ref="SMT8" location="'Cost Summary'!A1" display="'Cost Summary'!A1"/>
    <hyperlink ref="SMU8" location="'Cost Summary'!A1" display="'Cost Summary'!A1"/>
    <hyperlink ref="SMV8" location="'Cost Summary'!A1" display="'Cost Summary'!A1"/>
    <hyperlink ref="SMW8" location="'Cost Summary'!A1" display="'Cost Summary'!A1"/>
    <hyperlink ref="SMX8" location="'Cost Summary'!A1" display="'Cost Summary'!A1"/>
    <hyperlink ref="SMY8" location="'Cost Summary'!A1" display="'Cost Summary'!A1"/>
    <hyperlink ref="SMZ8" location="'Cost Summary'!A1" display="'Cost Summary'!A1"/>
    <hyperlink ref="SNA8" location="'Cost Summary'!A1" display="'Cost Summary'!A1"/>
    <hyperlink ref="SNB8" location="'Cost Summary'!A1" display="'Cost Summary'!A1"/>
    <hyperlink ref="SNC8" location="'Cost Summary'!A1" display="'Cost Summary'!A1"/>
    <hyperlink ref="SND8" location="'Cost Summary'!A1" display="'Cost Summary'!A1"/>
    <hyperlink ref="SNE8" location="'Cost Summary'!A1" display="'Cost Summary'!A1"/>
    <hyperlink ref="SNF8" location="'Cost Summary'!A1" display="'Cost Summary'!A1"/>
    <hyperlink ref="SNG8" location="'Cost Summary'!A1" display="'Cost Summary'!A1"/>
    <hyperlink ref="SNH8" location="'Cost Summary'!A1" display="'Cost Summary'!A1"/>
    <hyperlink ref="SNI8" location="'Cost Summary'!A1" display="'Cost Summary'!A1"/>
    <hyperlink ref="SNJ8" location="'Cost Summary'!A1" display="'Cost Summary'!A1"/>
    <hyperlink ref="SNK8" location="'Cost Summary'!A1" display="'Cost Summary'!A1"/>
    <hyperlink ref="SNL8" location="'Cost Summary'!A1" display="'Cost Summary'!A1"/>
    <hyperlink ref="SNM8" location="'Cost Summary'!A1" display="'Cost Summary'!A1"/>
    <hyperlink ref="SNN8" location="'Cost Summary'!A1" display="'Cost Summary'!A1"/>
    <hyperlink ref="SNO8" location="'Cost Summary'!A1" display="'Cost Summary'!A1"/>
    <hyperlink ref="SNP8" location="'Cost Summary'!A1" display="'Cost Summary'!A1"/>
    <hyperlink ref="SNQ8" location="'Cost Summary'!A1" display="'Cost Summary'!A1"/>
    <hyperlink ref="SNR8" location="'Cost Summary'!A1" display="'Cost Summary'!A1"/>
    <hyperlink ref="SNS8" location="'Cost Summary'!A1" display="'Cost Summary'!A1"/>
    <hyperlink ref="SNT8" location="'Cost Summary'!A1" display="'Cost Summary'!A1"/>
    <hyperlink ref="SNU8" location="'Cost Summary'!A1" display="'Cost Summary'!A1"/>
    <hyperlink ref="SNV8" location="'Cost Summary'!A1" display="'Cost Summary'!A1"/>
    <hyperlink ref="SNW8" location="'Cost Summary'!A1" display="'Cost Summary'!A1"/>
    <hyperlink ref="SNX8" location="'Cost Summary'!A1" display="'Cost Summary'!A1"/>
    <hyperlink ref="SNY8" location="'Cost Summary'!A1" display="'Cost Summary'!A1"/>
    <hyperlink ref="SNZ8" location="'Cost Summary'!A1" display="'Cost Summary'!A1"/>
    <hyperlink ref="SOA8" location="'Cost Summary'!A1" display="'Cost Summary'!A1"/>
    <hyperlink ref="SOB8" location="'Cost Summary'!A1" display="'Cost Summary'!A1"/>
    <hyperlink ref="SOC8" location="'Cost Summary'!A1" display="'Cost Summary'!A1"/>
    <hyperlink ref="SOD8" location="'Cost Summary'!A1" display="'Cost Summary'!A1"/>
    <hyperlink ref="SOE8" location="'Cost Summary'!A1" display="'Cost Summary'!A1"/>
    <hyperlink ref="SOF8" location="'Cost Summary'!A1" display="'Cost Summary'!A1"/>
    <hyperlink ref="SOG8" location="'Cost Summary'!A1" display="'Cost Summary'!A1"/>
    <hyperlink ref="SOH8" location="'Cost Summary'!A1" display="'Cost Summary'!A1"/>
    <hyperlink ref="SOI8" location="'Cost Summary'!A1" display="'Cost Summary'!A1"/>
    <hyperlink ref="SOJ8" location="'Cost Summary'!A1" display="'Cost Summary'!A1"/>
    <hyperlink ref="SOK8" location="'Cost Summary'!A1" display="'Cost Summary'!A1"/>
    <hyperlink ref="SOL8" location="'Cost Summary'!A1" display="'Cost Summary'!A1"/>
    <hyperlink ref="SOM8" location="'Cost Summary'!A1" display="'Cost Summary'!A1"/>
    <hyperlink ref="SON8" location="'Cost Summary'!A1" display="'Cost Summary'!A1"/>
    <hyperlink ref="SOO8" location="'Cost Summary'!A1" display="'Cost Summary'!A1"/>
    <hyperlink ref="SOP8" location="'Cost Summary'!A1" display="'Cost Summary'!A1"/>
    <hyperlink ref="SOQ8" location="'Cost Summary'!A1" display="'Cost Summary'!A1"/>
    <hyperlink ref="SOR8" location="'Cost Summary'!A1" display="'Cost Summary'!A1"/>
    <hyperlink ref="SOS8" location="'Cost Summary'!A1" display="'Cost Summary'!A1"/>
    <hyperlink ref="SOT8" location="'Cost Summary'!A1" display="'Cost Summary'!A1"/>
    <hyperlink ref="SOU8" location="'Cost Summary'!A1" display="'Cost Summary'!A1"/>
    <hyperlink ref="SOV8" location="'Cost Summary'!A1" display="'Cost Summary'!A1"/>
    <hyperlink ref="SOW8" location="'Cost Summary'!A1" display="'Cost Summary'!A1"/>
    <hyperlink ref="SOX8" location="'Cost Summary'!A1" display="'Cost Summary'!A1"/>
    <hyperlink ref="SOY8" location="'Cost Summary'!A1" display="'Cost Summary'!A1"/>
    <hyperlink ref="SOZ8" location="'Cost Summary'!A1" display="'Cost Summary'!A1"/>
    <hyperlink ref="SPA8" location="'Cost Summary'!A1" display="'Cost Summary'!A1"/>
    <hyperlink ref="SPB8" location="'Cost Summary'!A1" display="'Cost Summary'!A1"/>
    <hyperlink ref="SPC8" location="'Cost Summary'!A1" display="'Cost Summary'!A1"/>
    <hyperlink ref="SPD8" location="'Cost Summary'!A1" display="'Cost Summary'!A1"/>
    <hyperlink ref="SPE8" location="'Cost Summary'!A1" display="'Cost Summary'!A1"/>
    <hyperlink ref="SPF8" location="'Cost Summary'!A1" display="'Cost Summary'!A1"/>
    <hyperlink ref="SPG8" location="'Cost Summary'!A1" display="'Cost Summary'!A1"/>
    <hyperlink ref="SPH8" location="'Cost Summary'!A1" display="'Cost Summary'!A1"/>
    <hyperlink ref="SPI8" location="'Cost Summary'!A1" display="'Cost Summary'!A1"/>
    <hyperlink ref="SPJ8" location="'Cost Summary'!A1" display="'Cost Summary'!A1"/>
    <hyperlink ref="SPK8" location="'Cost Summary'!A1" display="'Cost Summary'!A1"/>
    <hyperlink ref="SPL8" location="'Cost Summary'!A1" display="'Cost Summary'!A1"/>
    <hyperlink ref="SPM8" location="'Cost Summary'!A1" display="'Cost Summary'!A1"/>
    <hyperlink ref="SPN8" location="'Cost Summary'!A1" display="'Cost Summary'!A1"/>
    <hyperlink ref="SPO8" location="'Cost Summary'!A1" display="'Cost Summary'!A1"/>
    <hyperlink ref="SPP8" location="'Cost Summary'!A1" display="'Cost Summary'!A1"/>
    <hyperlink ref="SPQ8" location="'Cost Summary'!A1" display="'Cost Summary'!A1"/>
    <hyperlink ref="SPR8" location="'Cost Summary'!A1" display="'Cost Summary'!A1"/>
    <hyperlink ref="SPS8" location="'Cost Summary'!A1" display="'Cost Summary'!A1"/>
    <hyperlink ref="SPT8" location="'Cost Summary'!A1" display="'Cost Summary'!A1"/>
    <hyperlink ref="SPU8" location="'Cost Summary'!A1" display="'Cost Summary'!A1"/>
    <hyperlink ref="SPV8" location="'Cost Summary'!A1" display="'Cost Summary'!A1"/>
    <hyperlink ref="SPW8" location="'Cost Summary'!A1" display="'Cost Summary'!A1"/>
    <hyperlink ref="SPX8" location="'Cost Summary'!A1" display="'Cost Summary'!A1"/>
    <hyperlink ref="SPY8" location="'Cost Summary'!A1" display="'Cost Summary'!A1"/>
    <hyperlink ref="SPZ8" location="'Cost Summary'!A1" display="'Cost Summary'!A1"/>
    <hyperlink ref="SQA8" location="'Cost Summary'!A1" display="'Cost Summary'!A1"/>
    <hyperlink ref="SQB8" location="'Cost Summary'!A1" display="'Cost Summary'!A1"/>
    <hyperlink ref="SQC8" location="'Cost Summary'!A1" display="'Cost Summary'!A1"/>
    <hyperlink ref="SQD8" location="'Cost Summary'!A1" display="'Cost Summary'!A1"/>
    <hyperlink ref="SQE8" location="'Cost Summary'!A1" display="'Cost Summary'!A1"/>
    <hyperlink ref="SQF8" location="'Cost Summary'!A1" display="'Cost Summary'!A1"/>
    <hyperlink ref="SQG8" location="'Cost Summary'!A1" display="'Cost Summary'!A1"/>
    <hyperlink ref="SQH8" location="'Cost Summary'!A1" display="'Cost Summary'!A1"/>
    <hyperlink ref="SQI8" location="'Cost Summary'!A1" display="'Cost Summary'!A1"/>
    <hyperlink ref="SQJ8" location="'Cost Summary'!A1" display="'Cost Summary'!A1"/>
    <hyperlink ref="SQK8" location="'Cost Summary'!A1" display="'Cost Summary'!A1"/>
    <hyperlink ref="SQL8" location="'Cost Summary'!A1" display="'Cost Summary'!A1"/>
    <hyperlink ref="SQM8" location="'Cost Summary'!A1" display="'Cost Summary'!A1"/>
    <hyperlink ref="SQN8" location="'Cost Summary'!A1" display="'Cost Summary'!A1"/>
    <hyperlink ref="SQO8" location="'Cost Summary'!A1" display="'Cost Summary'!A1"/>
    <hyperlink ref="SQP8" location="'Cost Summary'!A1" display="'Cost Summary'!A1"/>
    <hyperlink ref="SQQ8" location="'Cost Summary'!A1" display="'Cost Summary'!A1"/>
    <hyperlink ref="SQR8" location="'Cost Summary'!A1" display="'Cost Summary'!A1"/>
    <hyperlink ref="SQS8" location="'Cost Summary'!A1" display="'Cost Summary'!A1"/>
    <hyperlink ref="SQT8" location="'Cost Summary'!A1" display="'Cost Summary'!A1"/>
    <hyperlink ref="SQU8" location="'Cost Summary'!A1" display="'Cost Summary'!A1"/>
    <hyperlink ref="SQV8" location="'Cost Summary'!A1" display="'Cost Summary'!A1"/>
    <hyperlink ref="SQW8" location="'Cost Summary'!A1" display="'Cost Summary'!A1"/>
    <hyperlink ref="SQX8" location="'Cost Summary'!A1" display="'Cost Summary'!A1"/>
    <hyperlink ref="SQY8" location="'Cost Summary'!A1" display="'Cost Summary'!A1"/>
    <hyperlink ref="SQZ8" location="'Cost Summary'!A1" display="'Cost Summary'!A1"/>
    <hyperlink ref="SRA8" location="'Cost Summary'!A1" display="'Cost Summary'!A1"/>
    <hyperlink ref="SRB8" location="'Cost Summary'!A1" display="'Cost Summary'!A1"/>
    <hyperlink ref="SRC8" location="'Cost Summary'!A1" display="'Cost Summary'!A1"/>
    <hyperlink ref="SRD8" location="'Cost Summary'!A1" display="'Cost Summary'!A1"/>
    <hyperlink ref="SRE8" location="'Cost Summary'!A1" display="'Cost Summary'!A1"/>
    <hyperlink ref="SRF8" location="'Cost Summary'!A1" display="'Cost Summary'!A1"/>
    <hyperlink ref="SRG8" location="'Cost Summary'!A1" display="'Cost Summary'!A1"/>
    <hyperlink ref="SRH8" location="'Cost Summary'!A1" display="'Cost Summary'!A1"/>
    <hyperlink ref="SRI8" location="'Cost Summary'!A1" display="'Cost Summary'!A1"/>
    <hyperlink ref="SRJ8" location="'Cost Summary'!A1" display="'Cost Summary'!A1"/>
    <hyperlink ref="SRK8" location="'Cost Summary'!A1" display="'Cost Summary'!A1"/>
    <hyperlink ref="SRL8" location="'Cost Summary'!A1" display="'Cost Summary'!A1"/>
    <hyperlink ref="SRM8" location="'Cost Summary'!A1" display="'Cost Summary'!A1"/>
    <hyperlink ref="SRN8" location="'Cost Summary'!A1" display="'Cost Summary'!A1"/>
    <hyperlink ref="SRO8" location="'Cost Summary'!A1" display="'Cost Summary'!A1"/>
    <hyperlink ref="SRP8" location="'Cost Summary'!A1" display="'Cost Summary'!A1"/>
    <hyperlink ref="SRQ8" location="'Cost Summary'!A1" display="'Cost Summary'!A1"/>
    <hyperlink ref="SRR8" location="'Cost Summary'!A1" display="'Cost Summary'!A1"/>
    <hyperlink ref="SRS8" location="'Cost Summary'!A1" display="'Cost Summary'!A1"/>
    <hyperlink ref="SRT8" location="'Cost Summary'!A1" display="'Cost Summary'!A1"/>
    <hyperlink ref="SRU8" location="'Cost Summary'!A1" display="'Cost Summary'!A1"/>
    <hyperlink ref="SRV8" location="'Cost Summary'!A1" display="'Cost Summary'!A1"/>
    <hyperlink ref="SRW8" location="'Cost Summary'!A1" display="'Cost Summary'!A1"/>
    <hyperlink ref="SRX8" location="'Cost Summary'!A1" display="'Cost Summary'!A1"/>
    <hyperlink ref="SRY8" location="'Cost Summary'!A1" display="'Cost Summary'!A1"/>
    <hyperlink ref="SRZ8" location="'Cost Summary'!A1" display="'Cost Summary'!A1"/>
    <hyperlink ref="SSA8" location="'Cost Summary'!A1" display="'Cost Summary'!A1"/>
    <hyperlink ref="SSB8" location="'Cost Summary'!A1" display="'Cost Summary'!A1"/>
    <hyperlink ref="SSC8" location="'Cost Summary'!A1" display="'Cost Summary'!A1"/>
    <hyperlink ref="SSD8" location="'Cost Summary'!A1" display="'Cost Summary'!A1"/>
    <hyperlink ref="SSE8" location="'Cost Summary'!A1" display="'Cost Summary'!A1"/>
    <hyperlink ref="SSF8" location="'Cost Summary'!A1" display="'Cost Summary'!A1"/>
    <hyperlink ref="SSG8" location="'Cost Summary'!A1" display="'Cost Summary'!A1"/>
    <hyperlink ref="SSH8" location="'Cost Summary'!A1" display="'Cost Summary'!A1"/>
    <hyperlink ref="SSI8" location="'Cost Summary'!A1" display="'Cost Summary'!A1"/>
    <hyperlink ref="SSJ8" location="'Cost Summary'!A1" display="'Cost Summary'!A1"/>
    <hyperlink ref="SSK8" location="'Cost Summary'!A1" display="'Cost Summary'!A1"/>
    <hyperlink ref="SSL8" location="'Cost Summary'!A1" display="'Cost Summary'!A1"/>
    <hyperlink ref="SSM8" location="'Cost Summary'!A1" display="'Cost Summary'!A1"/>
    <hyperlink ref="SSN8" location="'Cost Summary'!A1" display="'Cost Summary'!A1"/>
    <hyperlink ref="SSO8" location="'Cost Summary'!A1" display="'Cost Summary'!A1"/>
    <hyperlink ref="SSP8" location="'Cost Summary'!A1" display="'Cost Summary'!A1"/>
    <hyperlink ref="SSQ8" location="'Cost Summary'!A1" display="'Cost Summary'!A1"/>
    <hyperlink ref="SSR8" location="'Cost Summary'!A1" display="'Cost Summary'!A1"/>
    <hyperlink ref="SSS8" location="'Cost Summary'!A1" display="'Cost Summary'!A1"/>
    <hyperlink ref="SST8" location="'Cost Summary'!A1" display="'Cost Summary'!A1"/>
    <hyperlink ref="SSU8" location="'Cost Summary'!A1" display="'Cost Summary'!A1"/>
    <hyperlink ref="SSV8" location="'Cost Summary'!A1" display="'Cost Summary'!A1"/>
    <hyperlink ref="SSW8" location="'Cost Summary'!A1" display="'Cost Summary'!A1"/>
    <hyperlink ref="SSX8" location="'Cost Summary'!A1" display="'Cost Summary'!A1"/>
    <hyperlink ref="SSY8" location="'Cost Summary'!A1" display="'Cost Summary'!A1"/>
    <hyperlink ref="SSZ8" location="'Cost Summary'!A1" display="'Cost Summary'!A1"/>
    <hyperlink ref="STA8" location="'Cost Summary'!A1" display="'Cost Summary'!A1"/>
    <hyperlink ref="STB8" location="'Cost Summary'!A1" display="'Cost Summary'!A1"/>
    <hyperlink ref="STC8" location="'Cost Summary'!A1" display="'Cost Summary'!A1"/>
    <hyperlink ref="STD8" location="'Cost Summary'!A1" display="'Cost Summary'!A1"/>
    <hyperlink ref="STE8" location="'Cost Summary'!A1" display="'Cost Summary'!A1"/>
    <hyperlink ref="STF8" location="'Cost Summary'!A1" display="'Cost Summary'!A1"/>
    <hyperlink ref="STG8" location="'Cost Summary'!A1" display="'Cost Summary'!A1"/>
    <hyperlink ref="STH8" location="'Cost Summary'!A1" display="'Cost Summary'!A1"/>
    <hyperlink ref="STI8" location="'Cost Summary'!A1" display="'Cost Summary'!A1"/>
    <hyperlink ref="STJ8" location="'Cost Summary'!A1" display="'Cost Summary'!A1"/>
    <hyperlink ref="STK8" location="'Cost Summary'!A1" display="'Cost Summary'!A1"/>
    <hyperlink ref="STL8" location="'Cost Summary'!A1" display="'Cost Summary'!A1"/>
    <hyperlink ref="STM8" location="'Cost Summary'!A1" display="'Cost Summary'!A1"/>
    <hyperlink ref="STN8" location="'Cost Summary'!A1" display="'Cost Summary'!A1"/>
    <hyperlink ref="STO8" location="'Cost Summary'!A1" display="'Cost Summary'!A1"/>
    <hyperlink ref="STP8" location="'Cost Summary'!A1" display="'Cost Summary'!A1"/>
    <hyperlink ref="STQ8" location="'Cost Summary'!A1" display="'Cost Summary'!A1"/>
    <hyperlink ref="STR8" location="'Cost Summary'!A1" display="'Cost Summary'!A1"/>
    <hyperlink ref="STS8" location="'Cost Summary'!A1" display="'Cost Summary'!A1"/>
    <hyperlink ref="STT8" location="'Cost Summary'!A1" display="'Cost Summary'!A1"/>
    <hyperlink ref="STU8" location="'Cost Summary'!A1" display="'Cost Summary'!A1"/>
    <hyperlink ref="STV8" location="'Cost Summary'!A1" display="'Cost Summary'!A1"/>
    <hyperlink ref="STW8" location="'Cost Summary'!A1" display="'Cost Summary'!A1"/>
    <hyperlink ref="STX8" location="'Cost Summary'!A1" display="'Cost Summary'!A1"/>
    <hyperlink ref="STY8" location="'Cost Summary'!A1" display="'Cost Summary'!A1"/>
    <hyperlink ref="STZ8" location="'Cost Summary'!A1" display="'Cost Summary'!A1"/>
    <hyperlink ref="SUA8" location="'Cost Summary'!A1" display="'Cost Summary'!A1"/>
    <hyperlink ref="SUB8" location="'Cost Summary'!A1" display="'Cost Summary'!A1"/>
    <hyperlink ref="SUC8" location="'Cost Summary'!A1" display="'Cost Summary'!A1"/>
    <hyperlink ref="SUD8" location="'Cost Summary'!A1" display="'Cost Summary'!A1"/>
    <hyperlink ref="SUE8" location="'Cost Summary'!A1" display="'Cost Summary'!A1"/>
    <hyperlink ref="SUF8" location="'Cost Summary'!A1" display="'Cost Summary'!A1"/>
    <hyperlink ref="SUG8" location="'Cost Summary'!A1" display="'Cost Summary'!A1"/>
    <hyperlink ref="SUH8" location="'Cost Summary'!A1" display="'Cost Summary'!A1"/>
    <hyperlink ref="SUI8" location="'Cost Summary'!A1" display="'Cost Summary'!A1"/>
    <hyperlink ref="SUJ8" location="'Cost Summary'!A1" display="'Cost Summary'!A1"/>
    <hyperlink ref="SUK8" location="'Cost Summary'!A1" display="'Cost Summary'!A1"/>
    <hyperlink ref="SUL8" location="'Cost Summary'!A1" display="'Cost Summary'!A1"/>
    <hyperlink ref="SUM8" location="'Cost Summary'!A1" display="'Cost Summary'!A1"/>
    <hyperlink ref="SUN8" location="'Cost Summary'!A1" display="'Cost Summary'!A1"/>
    <hyperlink ref="SUO8" location="'Cost Summary'!A1" display="'Cost Summary'!A1"/>
    <hyperlink ref="SUP8" location="'Cost Summary'!A1" display="'Cost Summary'!A1"/>
    <hyperlink ref="SUQ8" location="'Cost Summary'!A1" display="'Cost Summary'!A1"/>
    <hyperlink ref="SUR8" location="'Cost Summary'!A1" display="'Cost Summary'!A1"/>
    <hyperlink ref="SUS8" location="'Cost Summary'!A1" display="'Cost Summary'!A1"/>
    <hyperlink ref="SUT8" location="'Cost Summary'!A1" display="'Cost Summary'!A1"/>
    <hyperlink ref="SUU8" location="'Cost Summary'!A1" display="'Cost Summary'!A1"/>
    <hyperlink ref="SUV8" location="'Cost Summary'!A1" display="'Cost Summary'!A1"/>
    <hyperlink ref="SUW8" location="'Cost Summary'!A1" display="'Cost Summary'!A1"/>
    <hyperlink ref="SUX8" location="'Cost Summary'!A1" display="'Cost Summary'!A1"/>
    <hyperlink ref="SUY8" location="'Cost Summary'!A1" display="'Cost Summary'!A1"/>
    <hyperlink ref="SUZ8" location="'Cost Summary'!A1" display="'Cost Summary'!A1"/>
    <hyperlink ref="SVA8" location="'Cost Summary'!A1" display="'Cost Summary'!A1"/>
    <hyperlink ref="SVB8" location="'Cost Summary'!A1" display="'Cost Summary'!A1"/>
    <hyperlink ref="SVC8" location="'Cost Summary'!A1" display="'Cost Summary'!A1"/>
    <hyperlink ref="SVD8" location="'Cost Summary'!A1" display="'Cost Summary'!A1"/>
    <hyperlink ref="SVE8" location="'Cost Summary'!A1" display="'Cost Summary'!A1"/>
    <hyperlink ref="SVF8" location="'Cost Summary'!A1" display="'Cost Summary'!A1"/>
    <hyperlink ref="SVG8" location="'Cost Summary'!A1" display="'Cost Summary'!A1"/>
    <hyperlink ref="SVH8" location="'Cost Summary'!A1" display="'Cost Summary'!A1"/>
    <hyperlink ref="SVI8" location="'Cost Summary'!A1" display="'Cost Summary'!A1"/>
    <hyperlink ref="SVJ8" location="'Cost Summary'!A1" display="'Cost Summary'!A1"/>
    <hyperlink ref="SVK8" location="'Cost Summary'!A1" display="'Cost Summary'!A1"/>
    <hyperlink ref="SVL8" location="'Cost Summary'!A1" display="'Cost Summary'!A1"/>
    <hyperlink ref="SVM8" location="'Cost Summary'!A1" display="'Cost Summary'!A1"/>
    <hyperlink ref="SVN8" location="'Cost Summary'!A1" display="'Cost Summary'!A1"/>
    <hyperlink ref="SVO8" location="'Cost Summary'!A1" display="'Cost Summary'!A1"/>
    <hyperlink ref="SVP8" location="'Cost Summary'!A1" display="'Cost Summary'!A1"/>
    <hyperlink ref="SVQ8" location="'Cost Summary'!A1" display="'Cost Summary'!A1"/>
    <hyperlink ref="SVR8" location="'Cost Summary'!A1" display="'Cost Summary'!A1"/>
    <hyperlink ref="SVS8" location="'Cost Summary'!A1" display="'Cost Summary'!A1"/>
    <hyperlink ref="SVT8" location="'Cost Summary'!A1" display="'Cost Summary'!A1"/>
    <hyperlink ref="SVU8" location="'Cost Summary'!A1" display="'Cost Summary'!A1"/>
    <hyperlink ref="SVV8" location="'Cost Summary'!A1" display="'Cost Summary'!A1"/>
    <hyperlink ref="SVW8" location="'Cost Summary'!A1" display="'Cost Summary'!A1"/>
    <hyperlink ref="SVX8" location="'Cost Summary'!A1" display="'Cost Summary'!A1"/>
    <hyperlink ref="SVY8" location="'Cost Summary'!A1" display="'Cost Summary'!A1"/>
    <hyperlink ref="SVZ8" location="'Cost Summary'!A1" display="'Cost Summary'!A1"/>
    <hyperlink ref="SWA8" location="'Cost Summary'!A1" display="'Cost Summary'!A1"/>
    <hyperlink ref="SWB8" location="'Cost Summary'!A1" display="'Cost Summary'!A1"/>
    <hyperlink ref="SWC8" location="'Cost Summary'!A1" display="'Cost Summary'!A1"/>
    <hyperlink ref="SWD8" location="'Cost Summary'!A1" display="'Cost Summary'!A1"/>
    <hyperlink ref="SWE8" location="'Cost Summary'!A1" display="'Cost Summary'!A1"/>
    <hyperlink ref="SWF8" location="'Cost Summary'!A1" display="'Cost Summary'!A1"/>
    <hyperlink ref="SWG8" location="'Cost Summary'!A1" display="'Cost Summary'!A1"/>
    <hyperlink ref="SWH8" location="'Cost Summary'!A1" display="'Cost Summary'!A1"/>
    <hyperlink ref="SWI8" location="'Cost Summary'!A1" display="'Cost Summary'!A1"/>
    <hyperlink ref="SWJ8" location="'Cost Summary'!A1" display="'Cost Summary'!A1"/>
    <hyperlink ref="SWK8" location="'Cost Summary'!A1" display="'Cost Summary'!A1"/>
    <hyperlink ref="SWL8" location="'Cost Summary'!A1" display="'Cost Summary'!A1"/>
    <hyperlink ref="SWM8" location="'Cost Summary'!A1" display="'Cost Summary'!A1"/>
    <hyperlink ref="SWN8" location="'Cost Summary'!A1" display="'Cost Summary'!A1"/>
    <hyperlink ref="SWO8" location="'Cost Summary'!A1" display="'Cost Summary'!A1"/>
    <hyperlink ref="SWP8" location="'Cost Summary'!A1" display="'Cost Summary'!A1"/>
    <hyperlink ref="SWQ8" location="'Cost Summary'!A1" display="'Cost Summary'!A1"/>
    <hyperlink ref="SWR8" location="'Cost Summary'!A1" display="'Cost Summary'!A1"/>
    <hyperlink ref="SWS8" location="'Cost Summary'!A1" display="'Cost Summary'!A1"/>
    <hyperlink ref="SWT8" location="'Cost Summary'!A1" display="'Cost Summary'!A1"/>
    <hyperlink ref="SWU8" location="'Cost Summary'!A1" display="'Cost Summary'!A1"/>
    <hyperlink ref="SWV8" location="'Cost Summary'!A1" display="'Cost Summary'!A1"/>
    <hyperlink ref="SWW8" location="'Cost Summary'!A1" display="'Cost Summary'!A1"/>
    <hyperlink ref="SWX8" location="'Cost Summary'!A1" display="'Cost Summary'!A1"/>
    <hyperlink ref="SWY8" location="'Cost Summary'!A1" display="'Cost Summary'!A1"/>
    <hyperlink ref="SWZ8" location="'Cost Summary'!A1" display="'Cost Summary'!A1"/>
    <hyperlink ref="SXA8" location="'Cost Summary'!A1" display="'Cost Summary'!A1"/>
    <hyperlink ref="SXB8" location="'Cost Summary'!A1" display="'Cost Summary'!A1"/>
    <hyperlink ref="SXC8" location="'Cost Summary'!A1" display="'Cost Summary'!A1"/>
    <hyperlink ref="SXD8" location="'Cost Summary'!A1" display="'Cost Summary'!A1"/>
    <hyperlink ref="SXE8" location="'Cost Summary'!A1" display="'Cost Summary'!A1"/>
    <hyperlink ref="SXF8" location="'Cost Summary'!A1" display="'Cost Summary'!A1"/>
    <hyperlink ref="SXG8" location="'Cost Summary'!A1" display="'Cost Summary'!A1"/>
    <hyperlink ref="SXH8" location="'Cost Summary'!A1" display="'Cost Summary'!A1"/>
    <hyperlink ref="SXI8" location="'Cost Summary'!A1" display="'Cost Summary'!A1"/>
    <hyperlink ref="SXJ8" location="'Cost Summary'!A1" display="'Cost Summary'!A1"/>
    <hyperlink ref="SXK8" location="'Cost Summary'!A1" display="'Cost Summary'!A1"/>
    <hyperlink ref="SXL8" location="'Cost Summary'!A1" display="'Cost Summary'!A1"/>
    <hyperlink ref="SXM8" location="'Cost Summary'!A1" display="'Cost Summary'!A1"/>
    <hyperlink ref="SXN8" location="'Cost Summary'!A1" display="'Cost Summary'!A1"/>
    <hyperlink ref="SXO8" location="'Cost Summary'!A1" display="'Cost Summary'!A1"/>
    <hyperlink ref="SXP8" location="'Cost Summary'!A1" display="'Cost Summary'!A1"/>
    <hyperlink ref="SXQ8" location="'Cost Summary'!A1" display="'Cost Summary'!A1"/>
    <hyperlink ref="SXR8" location="'Cost Summary'!A1" display="'Cost Summary'!A1"/>
    <hyperlink ref="SXS8" location="'Cost Summary'!A1" display="'Cost Summary'!A1"/>
    <hyperlink ref="SXT8" location="'Cost Summary'!A1" display="'Cost Summary'!A1"/>
    <hyperlink ref="SXU8" location="'Cost Summary'!A1" display="'Cost Summary'!A1"/>
    <hyperlink ref="SXV8" location="'Cost Summary'!A1" display="'Cost Summary'!A1"/>
    <hyperlink ref="SXW8" location="'Cost Summary'!A1" display="'Cost Summary'!A1"/>
    <hyperlink ref="SXX8" location="'Cost Summary'!A1" display="'Cost Summary'!A1"/>
    <hyperlink ref="SXY8" location="'Cost Summary'!A1" display="'Cost Summary'!A1"/>
    <hyperlink ref="SXZ8" location="'Cost Summary'!A1" display="'Cost Summary'!A1"/>
    <hyperlink ref="SYA8" location="'Cost Summary'!A1" display="'Cost Summary'!A1"/>
    <hyperlink ref="SYB8" location="'Cost Summary'!A1" display="'Cost Summary'!A1"/>
    <hyperlink ref="SYC8" location="'Cost Summary'!A1" display="'Cost Summary'!A1"/>
    <hyperlink ref="SYD8" location="'Cost Summary'!A1" display="'Cost Summary'!A1"/>
    <hyperlink ref="SYE8" location="'Cost Summary'!A1" display="'Cost Summary'!A1"/>
    <hyperlink ref="SYF8" location="'Cost Summary'!A1" display="'Cost Summary'!A1"/>
    <hyperlink ref="SYG8" location="'Cost Summary'!A1" display="'Cost Summary'!A1"/>
    <hyperlink ref="SYH8" location="'Cost Summary'!A1" display="'Cost Summary'!A1"/>
    <hyperlink ref="SYI8" location="'Cost Summary'!A1" display="'Cost Summary'!A1"/>
    <hyperlink ref="SYJ8" location="'Cost Summary'!A1" display="'Cost Summary'!A1"/>
    <hyperlink ref="SYK8" location="'Cost Summary'!A1" display="'Cost Summary'!A1"/>
    <hyperlink ref="SYL8" location="'Cost Summary'!A1" display="'Cost Summary'!A1"/>
    <hyperlink ref="SYM8" location="'Cost Summary'!A1" display="'Cost Summary'!A1"/>
    <hyperlink ref="SYN8" location="'Cost Summary'!A1" display="'Cost Summary'!A1"/>
    <hyperlink ref="SYO8" location="'Cost Summary'!A1" display="'Cost Summary'!A1"/>
    <hyperlink ref="SYP8" location="'Cost Summary'!A1" display="'Cost Summary'!A1"/>
    <hyperlink ref="SYQ8" location="'Cost Summary'!A1" display="'Cost Summary'!A1"/>
    <hyperlink ref="SYR8" location="'Cost Summary'!A1" display="'Cost Summary'!A1"/>
    <hyperlink ref="SYS8" location="'Cost Summary'!A1" display="'Cost Summary'!A1"/>
    <hyperlink ref="SYT8" location="'Cost Summary'!A1" display="'Cost Summary'!A1"/>
    <hyperlink ref="SYU8" location="'Cost Summary'!A1" display="'Cost Summary'!A1"/>
    <hyperlink ref="SYV8" location="'Cost Summary'!A1" display="'Cost Summary'!A1"/>
    <hyperlink ref="SYW8" location="'Cost Summary'!A1" display="'Cost Summary'!A1"/>
    <hyperlink ref="SYX8" location="'Cost Summary'!A1" display="'Cost Summary'!A1"/>
    <hyperlink ref="SYY8" location="'Cost Summary'!A1" display="'Cost Summary'!A1"/>
    <hyperlink ref="SYZ8" location="'Cost Summary'!A1" display="'Cost Summary'!A1"/>
    <hyperlink ref="SZA8" location="'Cost Summary'!A1" display="'Cost Summary'!A1"/>
    <hyperlink ref="SZB8" location="'Cost Summary'!A1" display="'Cost Summary'!A1"/>
    <hyperlink ref="SZC8" location="'Cost Summary'!A1" display="'Cost Summary'!A1"/>
    <hyperlink ref="SZD8" location="'Cost Summary'!A1" display="'Cost Summary'!A1"/>
    <hyperlink ref="SZE8" location="'Cost Summary'!A1" display="'Cost Summary'!A1"/>
    <hyperlink ref="SZF8" location="'Cost Summary'!A1" display="'Cost Summary'!A1"/>
    <hyperlink ref="SZG8" location="'Cost Summary'!A1" display="'Cost Summary'!A1"/>
    <hyperlink ref="SZH8" location="'Cost Summary'!A1" display="'Cost Summary'!A1"/>
    <hyperlink ref="SZI8" location="'Cost Summary'!A1" display="'Cost Summary'!A1"/>
    <hyperlink ref="SZJ8" location="'Cost Summary'!A1" display="'Cost Summary'!A1"/>
    <hyperlink ref="SZK8" location="'Cost Summary'!A1" display="'Cost Summary'!A1"/>
    <hyperlink ref="SZL8" location="'Cost Summary'!A1" display="'Cost Summary'!A1"/>
    <hyperlink ref="SZM8" location="'Cost Summary'!A1" display="'Cost Summary'!A1"/>
    <hyperlink ref="SZN8" location="'Cost Summary'!A1" display="'Cost Summary'!A1"/>
    <hyperlink ref="SZO8" location="'Cost Summary'!A1" display="'Cost Summary'!A1"/>
    <hyperlink ref="SZP8" location="'Cost Summary'!A1" display="'Cost Summary'!A1"/>
    <hyperlink ref="SZQ8" location="'Cost Summary'!A1" display="'Cost Summary'!A1"/>
    <hyperlink ref="SZR8" location="'Cost Summary'!A1" display="'Cost Summary'!A1"/>
    <hyperlink ref="SZS8" location="'Cost Summary'!A1" display="'Cost Summary'!A1"/>
    <hyperlink ref="SZT8" location="'Cost Summary'!A1" display="'Cost Summary'!A1"/>
    <hyperlink ref="SZU8" location="'Cost Summary'!A1" display="'Cost Summary'!A1"/>
    <hyperlink ref="SZV8" location="'Cost Summary'!A1" display="'Cost Summary'!A1"/>
    <hyperlink ref="SZW8" location="'Cost Summary'!A1" display="'Cost Summary'!A1"/>
    <hyperlink ref="SZX8" location="'Cost Summary'!A1" display="'Cost Summary'!A1"/>
    <hyperlink ref="SZY8" location="'Cost Summary'!A1" display="'Cost Summary'!A1"/>
    <hyperlink ref="SZZ8" location="'Cost Summary'!A1" display="'Cost Summary'!A1"/>
    <hyperlink ref="TAA8" location="'Cost Summary'!A1" display="'Cost Summary'!A1"/>
    <hyperlink ref="TAB8" location="'Cost Summary'!A1" display="'Cost Summary'!A1"/>
    <hyperlink ref="TAC8" location="'Cost Summary'!A1" display="'Cost Summary'!A1"/>
    <hyperlink ref="TAD8" location="'Cost Summary'!A1" display="'Cost Summary'!A1"/>
    <hyperlink ref="TAE8" location="'Cost Summary'!A1" display="'Cost Summary'!A1"/>
    <hyperlink ref="TAF8" location="'Cost Summary'!A1" display="'Cost Summary'!A1"/>
    <hyperlink ref="TAG8" location="'Cost Summary'!A1" display="'Cost Summary'!A1"/>
    <hyperlink ref="TAH8" location="'Cost Summary'!A1" display="'Cost Summary'!A1"/>
    <hyperlink ref="TAI8" location="'Cost Summary'!A1" display="'Cost Summary'!A1"/>
    <hyperlink ref="TAJ8" location="'Cost Summary'!A1" display="'Cost Summary'!A1"/>
    <hyperlink ref="TAK8" location="'Cost Summary'!A1" display="'Cost Summary'!A1"/>
    <hyperlink ref="TAL8" location="'Cost Summary'!A1" display="'Cost Summary'!A1"/>
    <hyperlink ref="TAM8" location="'Cost Summary'!A1" display="'Cost Summary'!A1"/>
    <hyperlink ref="TAN8" location="'Cost Summary'!A1" display="'Cost Summary'!A1"/>
    <hyperlink ref="TAO8" location="'Cost Summary'!A1" display="'Cost Summary'!A1"/>
    <hyperlink ref="TAP8" location="'Cost Summary'!A1" display="'Cost Summary'!A1"/>
    <hyperlink ref="TAQ8" location="'Cost Summary'!A1" display="'Cost Summary'!A1"/>
    <hyperlink ref="TAR8" location="'Cost Summary'!A1" display="'Cost Summary'!A1"/>
    <hyperlink ref="TAS8" location="'Cost Summary'!A1" display="'Cost Summary'!A1"/>
    <hyperlink ref="TAT8" location="'Cost Summary'!A1" display="'Cost Summary'!A1"/>
    <hyperlink ref="TAU8" location="'Cost Summary'!A1" display="'Cost Summary'!A1"/>
    <hyperlink ref="TAV8" location="'Cost Summary'!A1" display="'Cost Summary'!A1"/>
    <hyperlink ref="TAW8" location="'Cost Summary'!A1" display="'Cost Summary'!A1"/>
    <hyperlink ref="TAX8" location="'Cost Summary'!A1" display="'Cost Summary'!A1"/>
    <hyperlink ref="TAY8" location="'Cost Summary'!A1" display="'Cost Summary'!A1"/>
    <hyperlink ref="TAZ8" location="'Cost Summary'!A1" display="'Cost Summary'!A1"/>
    <hyperlink ref="TBA8" location="'Cost Summary'!A1" display="'Cost Summary'!A1"/>
    <hyperlink ref="TBB8" location="'Cost Summary'!A1" display="'Cost Summary'!A1"/>
    <hyperlink ref="TBC8" location="'Cost Summary'!A1" display="'Cost Summary'!A1"/>
    <hyperlink ref="TBD8" location="'Cost Summary'!A1" display="'Cost Summary'!A1"/>
    <hyperlink ref="TBE8" location="'Cost Summary'!A1" display="'Cost Summary'!A1"/>
    <hyperlink ref="TBF8" location="'Cost Summary'!A1" display="'Cost Summary'!A1"/>
    <hyperlink ref="TBG8" location="'Cost Summary'!A1" display="'Cost Summary'!A1"/>
    <hyperlink ref="TBH8" location="'Cost Summary'!A1" display="'Cost Summary'!A1"/>
    <hyperlink ref="TBI8" location="'Cost Summary'!A1" display="'Cost Summary'!A1"/>
    <hyperlink ref="TBJ8" location="'Cost Summary'!A1" display="'Cost Summary'!A1"/>
    <hyperlink ref="TBK8" location="'Cost Summary'!A1" display="'Cost Summary'!A1"/>
    <hyperlink ref="TBL8" location="'Cost Summary'!A1" display="'Cost Summary'!A1"/>
    <hyperlink ref="TBM8" location="'Cost Summary'!A1" display="'Cost Summary'!A1"/>
    <hyperlink ref="TBN8" location="'Cost Summary'!A1" display="'Cost Summary'!A1"/>
    <hyperlink ref="TBO8" location="'Cost Summary'!A1" display="'Cost Summary'!A1"/>
    <hyperlink ref="TBP8" location="'Cost Summary'!A1" display="'Cost Summary'!A1"/>
    <hyperlink ref="TBQ8" location="'Cost Summary'!A1" display="'Cost Summary'!A1"/>
    <hyperlink ref="TBR8" location="'Cost Summary'!A1" display="'Cost Summary'!A1"/>
    <hyperlink ref="TBS8" location="'Cost Summary'!A1" display="'Cost Summary'!A1"/>
    <hyperlink ref="TBT8" location="'Cost Summary'!A1" display="'Cost Summary'!A1"/>
    <hyperlink ref="TBU8" location="'Cost Summary'!A1" display="'Cost Summary'!A1"/>
    <hyperlink ref="TBV8" location="'Cost Summary'!A1" display="'Cost Summary'!A1"/>
    <hyperlink ref="TBW8" location="'Cost Summary'!A1" display="'Cost Summary'!A1"/>
    <hyperlink ref="TBX8" location="'Cost Summary'!A1" display="'Cost Summary'!A1"/>
    <hyperlink ref="TBY8" location="'Cost Summary'!A1" display="'Cost Summary'!A1"/>
    <hyperlink ref="TBZ8" location="'Cost Summary'!A1" display="'Cost Summary'!A1"/>
    <hyperlink ref="TCA8" location="'Cost Summary'!A1" display="'Cost Summary'!A1"/>
    <hyperlink ref="TCB8" location="'Cost Summary'!A1" display="'Cost Summary'!A1"/>
    <hyperlink ref="TCC8" location="'Cost Summary'!A1" display="'Cost Summary'!A1"/>
    <hyperlink ref="TCD8" location="'Cost Summary'!A1" display="'Cost Summary'!A1"/>
    <hyperlink ref="TCE8" location="'Cost Summary'!A1" display="'Cost Summary'!A1"/>
    <hyperlink ref="TCF8" location="'Cost Summary'!A1" display="'Cost Summary'!A1"/>
    <hyperlink ref="TCG8" location="'Cost Summary'!A1" display="'Cost Summary'!A1"/>
    <hyperlink ref="TCH8" location="'Cost Summary'!A1" display="'Cost Summary'!A1"/>
    <hyperlink ref="TCI8" location="'Cost Summary'!A1" display="'Cost Summary'!A1"/>
    <hyperlink ref="TCJ8" location="'Cost Summary'!A1" display="'Cost Summary'!A1"/>
    <hyperlink ref="TCK8" location="'Cost Summary'!A1" display="'Cost Summary'!A1"/>
    <hyperlink ref="TCL8" location="'Cost Summary'!A1" display="'Cost Summary'!A1"/>
    <hyperlink ref="TCM8" location="'Cost Summary'!A1" display="'Cost Summary'!A1"/>
    <hyperlink ref="TCN8" location="'Cost Summary'!A1" display="'Cost Summary'!A1"/>
    <hyperlink ref="TCO8" location="'Cost Summary'!A1" display="'Cost Summary'!A1"/>
    <hyperlink ref="TCP8" location="'Cost Summary'!A1" display="'Cost Summary'!A1"/>
    <hyperlink ref="TCQ8" location="'Cost Summary'!A1" display="'Cost Summary'!A1"/>
    <hyperlink ref="TCR8" location="'Cost Summary'!A1" display="'Cost Summary'!A1"/>
    <hyperlink ref="TCS8" location="'Cost Summary'!A1" display="'Cost Summary'!A1"/>
    <hyperlink ref="TCT8" location="'Cost Summary'!A1" display="'Cost Summary'!A1"/>
    <hyperlink ref="TCU8" location="'Cost Summary'!A1" display="'Cost Summary'!A1"/>
    <hyperlink ref="TCV8" location="'Cost Summary'!A1" display="'Cost Summary'!A1"/>
    <hyperlink ref="TCW8" location="'Cost Summary'!A1" display="'Cost Summary'!A1"/>
    <hyperlink ref="TCX8" location="'Cost Summary'!A1" display="'Cost Summary'!A1"/>
    <hyperlink ref="TCY8" location="'Cost Summary'!A1" display="'Cost Summary'!A1"/>
    <hyperlink ref="TCZ8" location="'Cost Summary'!A1" display="'Cost Summary'!A1"/>
    <hyperlink ref="TDA8" location="'Cost Summary'!A1" display="'Cost Summary'!A1"/>
    <hyperlink ref="TDB8" location="'Cost Summary'!A1" display="'Cost Summary'!A1"/>
    <hyperlink ref="TDC8" location="'Cost Summary'!A1" display="'Cost Summary'!A1"/>
    <hyperlink ref="TDD8" location="'Cost Summary'!A1" display="'Cost Summary'!A1"/>
    <hyperlink ref="TDE8" location="'Cost Summary'!A1" display="'Cost Summary'!A1"/>
    <hyperlink ref="TDF8" location="'Cost Summary'!A1" display="'Cost Summary'!A1"/>
    <hyperlink ref="TDG8" location="'Cost Summary'!A1" display="'Cost Summary'!A1"/>
    <hyperlink ref="TDH8" location="'Cost Summary'!A1" display="'Cost Summary'!A1"/>
    <hyperlink ref="TDI8" location="'Cost Summary'!A1" display="'Cost Summary'!A1"/>
    <hyperlink ref="TDJ8" location="'Cost Summary'!A1" display="'Cost Summary'!A1"/>
    <hyperlink ref="TDK8" location="'Cost Summary'!A1" display="'Cost Summary'!A1"/>
    <hyperlink ref="TDL8" location="'Cost Summary'!A1" display="'Cost Summary'!A1"/>
    <hyperlink ref="TDM8" location="'Cost Summary'!A1" display="'Cost Summary'!A1"/>
    <hyperlink ref="TDN8" location="'Cost Summary'!A1" display="'Cost Summary'!A1"/>
    <hyperlink ref="TDO8" location="'Cost Summary'!A1" display="'Cost Summary'!A1"/>
    <hyperlink ref="TDP8" location="'Cost Summary'!A1" display="'Cost Summary'!A1"/>
    <hyperlink ref="TDQ8" location="'Cost Summary'!A1" display="'Cost Summary'!A1"/>
    <hyperlink ref="TDR8" location="'Cost Summary'!A1" display="'Cost Summary'!A1"/>
    <hyperlink ref="TDS8" location="'Cost Summary'!A1" display="'Cost Summary'!A1"/>
    <hyperlink ref="TDT8" location="'Cost Summary'!A1" display="'Cost Summary'!A1"/>
    <hyperlink ref="TDU8" location="'Cost Summary'!A1" display="'Cost Summary'!A1"/>
    <hyperlink ref="TDV8" location="'Cost Summary'!A1" display="'Cost Summary'!A1"/>
    <hyperlink ref="TDW8" location="'Cost Summary'!A1" display="'Cost Summary'!A1"/>
    <hyperlink ref="TDX8" location="'Cost Summary'!A1" display="'Cost Summary'!A1"/>
    <hyperlink ref="TDY8" location="'Cost Summary'!A1" display="'Cost Summary'!A1"/>
    <hyperlink ref="TDZ8" location="'Cost Summary'!A1" display="'Cost Summary'!A1"/>
    <hyperlink ref="TEA8" location="'Cost Summary'!A1" display="'Cost Summary'!A1"/>
    <hyperlink ref="TEB8" location="'Cost Summary'!A1" display="'Cost Summary'!A1"/>
    <hyperlink ref="TEC8" location="'Cost Summary'!A1" display="'Cost Summary'!A1"/>
    <hyperlink ref="TED8" location="'Cost Summary'!A1" display="'Cost Summary'!A1"/>
    <hyperlink ref="TEE8" location="'Cost Summary'!A1" display="'Cost Summary'!A1"/>
    <hyperlink ref="TEF8" location="'Cost Summary'!A1" display="'Cost Summary'!A1"/>
    <hyperlink ref="TEG8" location="'Cost Summary'!A1" display="'Cost Summary'!A1"/>
    <hyperlink ref="TEH8" location="'Cost Summary'!A1" display="'Cost Summary'!A1"/>
    <hyperlink ref="TEI8" location="'Cost Summary'!A1" display="'Cost Summary'!A1"/>
    <hyperlink ref="TEJ8" location="'Cost Summary'!A1" display="'Cost Summary'!A1"/>
    <hyperlink ref="TEK8" location="'Cost Summary'!A1" display="'Cost Summary'!A1"/>
    <hyperlink ref="TEL8" location="'Cost Summary'!A1" display="'Cost Summary'!A1"/>
    <hyperlink ref="TEM8" location="'Cost Summary'!A1" display="'Cost Summary'!A1"/>
    <hyperlink ref="TEN8" location="'Cost Summary'!A1" display="'Cost Summary'!A1"/>
    <hyperlink ref="TEO8" location="'Cost Summary'!A1" display="'Cost Summary'!A1"/>
    <hyperlink ref="TEP8" location="'Cost Summary'!A1" display="'Cost Summary'!A1"/>
    <hyperlink ref="TEQ8" location="'Cost Summary'!A1" display="'Cost Summary'!A1"/>
    <hyperlink ref="TER8" location="'Cost Summary'!A1" display="'Cost Summary'!A1"/>
    <hyperlink ref="TES8" location="'Cost Summary'!A1" display="'Cost Summary'!A1"/>
    <hyperlink ref="TET8" location="'Cost Summary'!A1" display="'Cost Summary'!A1"/>
    <hyperlink ref="TEU8" location="'Cost Summary'!A1" display="'Cost Summary'!A1"/>
    <hyperlink ref="TEV8" location="'Cost Summary'!A1" display="'Cost Summary'!A1"/>
    <hyperlink ref="TEW8" location="'Cost Summary'!A1" display="'Cost Summary'!A1"/>
    <hyperlink ref="TEX8" location="'Cost Summary'!A1" display="'Cost Summary'!A1"/>
    <hyperlink ref="TEY8" location="'Cost Summary'!A1" display="'Cost Summary'!A1"/>
    <hyperlink ref="TEZ8" location="'Cost Summary'!A1" display="'Cost Summary'!A1"/>
    <hyperlink ref="TFA8" location="'Cost Summary'!A1" display="'Cost Summary'!A1"/>
    <hyperlink ref="TFB8" location="'Cost Summary'!A1" display="'Cost Summary'!A1"/>
    <hyperlink ref="TFC8" location="'Cost Summary'!A1" display="'Cost Summary'!A1"/>
    <hyperlink ref="TFD8" location="'Cost Summary'!A1" display="'Cost Summary'!A1"/>
    <hyperlink ref="TFE8" location="'Cost Summary'!A1" display="'Cost Summary'!A1"/>
    <hyperlink ref="TFF8" location="'Cost Summary'!A1" display="'Cost Summary'!A1"/>
    <hyperlink ref="TFG8" location="'Cost Summary'!A1" display="'Cost Summary'!A1"/>
    <hyperlink ref="TFH8" location="'Cost Summary'!A1" display="'Cost Summary'!A1"/>
    <hyperlink ref="TFI8" location="'Cost Summary'!A1" display="'Cost Summary'!A1"/>
    <hyperlink ref="TFJ8" location="'Cost Summary'!A1" display="'Cost Summary'!A1"/>
    <hyperlink ref="TFK8" location="'Cost Summary'!A1" display="'Cost Summary'!A1"/>
    <hyperlink ref="TFL8" location="'Cost Summary'!A1" display="'Cost Summary'!A1"/>
    <hyperlink ref="TFM8" location="'Cost Summary'!A1" display="'Cost Summary'!A1"/>
    <hyperlink ref="TFN8" location="'Cost Summary'!A1" display="'Cost Summary'!A1"/>
    <hyperlink ref="TFO8" location="'Cost Summary'!A1" display="'Cost Summary'!A1"/>
    <hyperlink ref="TFP8" location="'Cost Summary'!A1" display="'Cost Summary'!A1"/>
    <hyperlink ref="TFQ8" location="'Cost Summary'!A1" display="'Cost Summary'!A1"/>
    <hyperlink ref="TFR8" location="'Cost Summary'!A1" display="'Cost Summary'!A1"/>
    <hyperlink ref="TFS8" location="'Cost Summary'!A1" display="'Cost Summary'!A1"/>
    <hyperlink ref="TFT8" location="'Cost Summary'!A1" display="'Cost Summary'!A1"/>
    <hyperlink ref="TFU8" location="'Cost Summary'!A1" display="'Cost Summary'!A1"/>
    <hyperlink ref="TFV8" location="'Cost Summary'!A1" display="'Cost Summary'!A1"/>
    <hyperlink ref="TFW8" location="'Cost Summary'!A1" display="'Cost Summary'!A1"/>
    <hyperlink ref="TFX8" location="'Cost Summary'!A1" display="'Cost Summary'!A1"/>
    <hyperlink ref="TFY8" location="'Cost Summary'!A1" display="'Cost Summary'!A1"/>
    <hyperlink ref="TFZ8" location="'Cost Summary'!A1" display="'Cost Summary'!A1"/>
    <hyperlink ref="TGA8" location="'Cost Summary'!A1" display="'Cost Summary'!A1"/>
    <hyperlink ref="TGB8" location="'Cost Summary'!A1" display="'Cost Summary'!A1"/>
    <hyperlink ref="TGC8" location="'Cost Summary'!A1" display="'Cost Summary'!A1"/>
    <hyperlink ref="TGD8" location="'Cost Summary'!A1" display="'Cost Summary'!A1"/>
    <hyperlink ref="TGE8" location="'Cost Summary'!A1" display="'Cost Summary'!A1"/>
    <hyperlink ref="TGF8" location="'Cost Summary'!A1" display="'Cost Summary'!A1"/>
    <hyperlink ref="TGG8" location="'Cost Summary'!A1" display="'Cost Summary'!A1"/>
    <hyperlink ref="TGH8" location="'Cost Summary'!A1" display="'Cost Summary'!A1"/>
    <hyperlink ref="TGI8" location="'Cost Summary'!A1" display="'Cost Summary'!A1"/>
    <hyperlink ref="TGJ8" location="'Cost Summary'!A1" display="'Cost Summary'!A1"/>
    <hyperlink ref="TGK8" location="'Cost Summary'!A1" display="'Cost Summary'!A1"/>
    <hyperlink ref="TGL8" location="'Cost Summary'!A1" display="'Cost Summary'!A1"/>
    <hyperlink ref="TGM8" location="'Cost Summary'!A1" display="'Cost Summary'!A1"/>
    <hyperlink ref="TGN8" location="'Cost Summary'!A1" display="'Cost Summary'!A1"/>
    <hyperlink ref="TGO8" location="'Cost Summary'!A1" display="'Cost Summary'!A1"/>
    <hyperlink ref="TGP8" location="'Cost Summary'!A1" display="'Cost Summary'!A1"/>
    <hyperlink ref="TGQ8" location="'Cost Summary'!A1" display="'Cost Summary'!A1"/>
    <hyperlink ref="TGR8" location="'Cost Summary'!A1" display="'Cost Summary'!A1"/>
    <hyperlink ref="TGS8" location="'Cost Summary'!A1" display="'Cost Summary'!A1"/>
    <hyperlink ref="TGT8" location="'Cost Summary'!A1" display="'Cost Summary'!A1"/>
    <hyperlink ref="TGU8" location="'Cost Summary'!A1" display="'Cost Summary'!A1"/>
    <hyperlink ref="TGV8" location="'Cost Summary'!A1" display="'Cost Summary'!A1"/>
    <hyperlink ref="TGW8" location="'Cost Summary'!A1" display="'Cost Summary'!A1"/>
    <hyperlink ref="TGX8" location="'Cost Summary'!A1" display="'Cost Summary'!A1"/>
    <hyperlink ref="TGY8" location="'Cost Summary'!A1" display="'Cost Summary'!A1"/>
    <hyperlink ref="TGZ8" location="'Cost Summary'!A1" display="'Cost Summary'!A1"/>
    <hyperlink ref="THA8" location="'Cost Summary'!A1" display="'Cost Summary'!A1"/>
    <hyperlink ref="THB8" location="'Cost Summary'!A1" display="'Cost Summary'!A1"/>
    <hyperlink ref="THC8" location="'Cost Summary'!A1" display="'Cost Summary'!A1"/>
    <hyperlink ref="THD8" location="'Cost Summary'!A1" display="'Cost Summary'!A1"/>
    <hyperlink ref="THE8" location="'Cost Summary'!A1" display="'Cost Summary'!A1"/>
    <hyperlink ref="THF8" location="'Cost Summary'!A1" display="'Cost Summary'!A1"/>
    <hyperlink ref="THG8" location="'Cost Summary'!A1" display="'Cost Summary'!A1"/>
    <hyperlink ref="THH8" location="'Cost Summary'!A1" display="'Cost Summary'!A1"/>
    <hyperlink ref="THI8" location="'Cost Summary'!A1" display="'Cost Summary'!A1"/>
    <hyperlink ref="THJ8" location="'Cost Summary'!A1" display="'Cost Summary'!A1"/>
    <hyperlink ref="THK8" location="'Cost Summary'!A1" display="'Cost Summary'!A1"/>
    <hyperlink ref="THL8" location="'Cost Summary'!A1" display="'Cost Summary'!A1"/>
    <hyperlink ref="THM8" location="'Cost Summary'!A1" display="'Cost Summary'!A1"/>
    <hyperlink ref="THN8" location="'Cost Summary'!A1" display="'Cost Summary'!A1"/>
    <hyperlink ref="THO8" location="'Cost Summary'!A1" display="'Cost Summary'!A1"/>
    <hyperlink ref="THP8" location="'Cost Summary'!A1" display="'Cost Summary'!A1"/>
    <hyperlink ref="THQ8" location="'Cost Summary'!A1" display="'Cost Summary'!A1"/>
    <hyperlink ref="THR8" location="'Cost Summary'!A1" display="'Cost Summary'!A1"/>
    <hyperlink ref="THS8" location="'Cost Summary'!A1" display="'Cost Summary'!A1"/>
    <hyperlink ref="THT8" location="'Cost Summary'!A1" display="'Cost Summary'!A1"/>
    <hyperlink ref="THU8" location="'Cost Summary'!A1" display="'Cost Summary'!A1"/>
    <hyperlink ref="THV8" location="'Cost Summary'!A1" display="'Cost Summary'!A1"/>
    <hyperlink ref="THW8" location="'Cost Summary'!A1" display="'Cost Summary'!A1"/>
    <hyperlink ref="THX8" location="'Cost Summary'!A1" display="'Cost Summary'!A1"/>
    <hyperlink ref="THY8" location="'Cost Summary'!A1" display="'Cost Summary'!A1"/>
    <hyperlink ref="THZ8" location="'Cost Summary'!A1" display="'Cost Summary'!A1"/>
    <hyperlink ref="TIA8" location="'Cost Summary'!A1" display="'Cost Summary'!A1"/>
    <hyperlink ref="TIB8" location="'Cost Summary'!A1" display="'Cost Summary'!A1"/>
    <hyperlink ref="TIC8" location="'Cost Summary'!A1" display="'Cost Summary'!A1"/>
    <hyperlink ref="TID8" location="'Cost Summary'!A1" display="'Cost Summary'!A1"/>
    <hyperlink ref="TIE8" location="'Cost Summary'!A1" display="'Cost Summary'!A1"/>
    <hyperlink ref="TIF8" location="'Cost Summary'!A1" display="'Cost Summary'!A1"/>
    <hyperlink ref="TIG8" location="'Cost Summary'!A1" display="'Cost Summary'!A1"/>
    <hyperlink ref="TIH8" location="'Cost Summary'!A1" display="'Cost Summary'!A1"/>
    <hyperlink ref="TII8" location="'Cost Summary'!A1" display="'Cost Summary'!A1"/>
    <hyperlink ref="TIJ8" location="'Cost Summary'!A1" display="'Cost Summary'!A1"/>
    <hyperlink ref="TIK8" location="'Cost Summary'!A1" display="'Cost Summary'!A1"/>
    <hyperlink ref="TIL8" location="'Cost Summary'!A1" display="'Cost Summary'!A1"/>
    <hyperlink ref="TIM8" location="'Cost Summary'!A1" display="'Cost Summary'!A1"/>
    <hyperlink ref="TIN8" location="'Cost Summary'!A1" display="'Cost Summary'!A1"/>
    <hyperlink ref="TIO8" location="'Cost Summary'!A1" display="'Cost Summary'!A1"/>
    <hyperlink ref="TIP8" location="'Cost Summary'!A1" display="'Cost Summary'!A1"/>
    <hyperlink ref="TIQ8" location="'Cost Summary'!A1" display="'Cost Summary'!A1"/>
    <hyperlink ref="TIR8" location="'Cost Summary'!A1" display="'Cost Summary'!A1"/>
    <hyperlink ref="TIS8" location="'Cost Summary'!A1" display="'Cost Summary'!A1"/>
    <hyperlink ref="TIT8" location="'Cost Summary'!A1" display="'Cost Summary'!A1"/>
    <hyperlink ref="TIU8" location="'Cost Summary'!A1" display="'Cost Summary'!A1"/>
    <hyperlink ref="TIV8" location="'Cost Summary'!A1" display="'Cost Summary'!A1"/>
    <hyperlink ref="TIW8" location="'Cost Summary'!A1" display="'Cost Summary'!A1"/>
    <hyperlink ref="TIX8" location="'Cost Summary'!A1" display="'Cost Summary'!A1"/>
    <hyperlink ref="TIY8" location="'Cost Summary'!A1" display="'Cost Summary'!A1"/>
    <hyperlink ref="TIZ8" location="'Cost Summary'!A1" display="'Cost Summary'!A1"/>
    <hyperlink ref="TJA8" location="'Cost Summary'!A1" display="'Cost Summary'!A1"/>
    <hyperlink ref="TJB8" location="'Cost Summary'!A1" display="'Cost Summary'!A1"/>
    <hyperlink ref="TJC8" location="'Cost Summary'!A1" display="'Cost Summary'!A1"/>
    <hyperlink ref="TJD8" location="'Cost Summary'!A1" display="'Cost Summary'!A1"/>
    <hyperlink ref="TJE8" location="'Cost Summary'!A1" display="'Cost Summary'!A1"/>
    <hyperlink ref="TJF8" location="'Cost Summary'!A1" display="'Cost Summary'!A1"/>
    <hyperlink ref="TJG8" location="'Cost Summary'!A1" display="'Cost Summary'!A1"/>
    <hyperlink ref="TJH8" location="'Cost Summary'!A1" display="'Cost Summary'!A1"/>
    <hyperlink ref="TJI8" location="'Cost Summary'!A1" display="'Cost Summary'!A1"/>
    <hyperlink ref="TJJ8" location="'Cost Summary'!A1" display="'Cost Summary'!A1"/>
    <hyperlink ref="TJK8" location="'Cost Summary'!A1" display="'Cost Summary'!A1"/>
    <hyperlink ref="TJL8" location="'Cost Summary'!A1" display="'Cost Summary'!A1"/>
    <hyperlink ref="TJM8" location="'Cost Summary'!A1" display="'Cost Summary'!A1"/>
    <hyperlink ref="TJN8" location="'Cost Summary'!A1" display="'Cost Summary'!A1"/>
    <hyperlink ref="TJO8" location="'Cost Summary'!A1" display="'Cost Summary'!A1"/>
    <hyperlink ref="TJP8" location="'Cost Summary'!A1" display="'Cost Summary'!A1"/>
    <hyperlink ref="TJQ8" location="'Cost Summary'!A1" display="'Cost Summary'!A1"/>
    <hyperlink ref="TJR8" location="'Cost Summary'!A1" display="'Cost Summary'!A1"/>
    <hyperlink ref="TJS8" location="'Cost Summary'!A1" display="'Cost Summary'!A1"/>
    <hyperlink ref="TJT8" location="'Cost Summary'!A1" display="'Cost Summary'!A1"/>
    <hyperlink ref="TJU8" location="'Cost Summary'!A1" display="'Cost Summary'!A1"/>
    <hyperlink ref="TJV8" location="'Cost Summary'!A1" display="'Cost Summary'!A1"/>
    <hyperlink ref="TJW8" location="'Cost Summary'!A1" display="'Cost Summary'!A1"/>
    <hyperlink ref="TJX8" location="'Cost Summary'!A1" display="'Cost Summary'!A1"/>
    <hyperlink ref="TJY8" location="'Cost Summary'!A1" display="'Cost Summary'!A1"/>
    <hyperlink ref="TJZ8" location="'Cost Summary'!A1" display="'Cost Summary'!A1"/>
    <hyperlink ref="TKA8" location="'Cost Summary'!A1" display="'Cost Summary'!A1"/>
    <hyperlink ref="TKB8" location="'Cost Summary'!A1" display="'Cost Summary'!A1"/>
    <hyperlink ref="TKC8" location="'Cost Summary'!A1" display="'Cost Summary'!A1"/>
    <hyperlink ref="TKD8" location="'Cost Summary'!A1" display="'Cost Summary'!A1"/>
    <hyperlink ref="TKE8" location="'Cost Summary'!A1" display="'Cost Summary'!A1"/>
    <hyperlink ref="TKF8" location="'Cost Summary'!A1" display="'Cost Summary'!A1"/>
    <hyperlink ref="TKG8" location="'Cost Summary'!A1" display="'Cost Summary'!A1"/>
    <hyperlink ref="TKH8" location="'Cost Summary'!A1" display="'Cost Summary'!A1"/>
    <hyperlink ref="TKI8" location="'Cost Summary'!A1" display="'Cost Summary'!A1"/>
    <hyperlink ref="TKJ8" location="'Cost Summary'!A1" display="'Cost Summary'!A1"/>
    <hyperlink ref="TKK8" location="'Cost Summary'!A1" display="'Cost Summary'!A1"/>
    <hyperlink ref="TKL8" location="'Cost Summary'!A1" display="'Cost Summary'!A1"/>
    <hyperlink ref="TKM8" location="'Cost Summary'!A1" display="'Cost Summary'!A1"/>
    <hyperlink ref="TKN8" location="'Cost Summary'!A1" display="'Cost Summary'!A1"/>
    <hyperlink ref="TKO8" location="'Cost Summary'!A1" display="'Cost Summary'!A1"/>
    <hyperlink ref="TKP8" location="'Cost Summary'!A1" display="'Cost Summary'!A1"/>
    <hyperlink ref="TKQ8" location="'Cost Summary'!A1" display="'Cost Summary'!A1"/>
    <hyperlink ref="TKR8" location="'Cost Summary'!A1" display="'Cost Summary'!A1"/>
    <hyperlink ref="TKS8" location="'Cost Summary'!A1" display="'Cost Summary'!A1"/>
    <hyperlink ref="TKT8" location="'Cost Summary'!A1" display="'Cost Summary'!A1"/>
    <hyperlink ref="TKU8" location="'Cost Summary'!A1" display="'Cost Summary'!A1"/>
    <hyperlink ref="TKV8" location="'Cost Summary'!A1" display="'Cost Summary'!A1"/>
    <hyperlink ref="TKW8" location="'Cost Summary'!A1" display="'Cost Summary'!A1"/>
    <hyperlink ref="TKX8" location="'Cost Summary'!A1" display="'Cost Summary'!A1"/>
    <hyperlink ref="TKY8" location="'Cost Summary'!A1" display="'Cost Summary'!A1"/>
    <hyperlink ref="TKZ8" location="'Cost Summary'!A1" display="'Cost Summary'!A1"/>
    <hyperlink ref="TLA8" location="'Cost Summary'!A1" display="'Cost Summary'!A1"/>
    <hyperlink ref="TLB8" location="'Cost Summary'!A1" display="'Cost Summary'!A1"/>
    <hyperlink ref="TLC8" location="'Cost Summary'!A1" display="'Cost Summary'!A1"/>
    <hyperlink ref="TLD8" location="'Cost Summary'!A1" display="'Cost Summary'!A1"/>
    <hyperlink ref="TLE8" location="'Cost Summary'!A1" display="'Cost Summary'!A1"/>
    <hyperlink ref="TLF8" location="'Cost Summary'!A1" display="'Cost Summary'!A1"/>
    <hyperlink ref="TLG8" location="'Cost Summary'!A1" display="'Cost Summary'!A1"/>
    <hyperlink ref="TLH8" location="'Cost Summary'!A1" display="'Cost Summary'!A1"/>
    <hyperlink ref="TLI8" location="'Cost Summary'!A1" display="'Cost Summary'!A1"/>
    <hyperlink ref="TLJ8" location="'Cost Summary'!A1" display="'Cost Summary'!A1"/>
    <hyperlink ref="TLK8" location="'Cost Summary'!A1" display="'Cost Summary'!A1"/>
    <hyperlink ref="TLL8" location="'Cost Summary'!A1" display="'Cost Summary'!A1"/>
    <hyperlink ref="TLM8" location="'Cost Summary'!A1" display="'Cost Summary'!A1"/>
    <hyperlink ref="TLN8" location="'Cost Summary'!A1" display="'Cost Summary'!A1"/>
    <hyperlink ref="TLO8" location="'Cost Summary'!A1" display="'Cost Summary'!A1"/>
    <hyperlink ref="TLP8" location="'Cost Summary'!A1" display="'Cost Summary'!A1"/>
    <hyperlink ref="TLQ8" location="'Cost Summary'!A1" display="'Cost Summary'!A1"/>
    <hyperlink ref="TLR8" location="'Cost Summary'!A1" display="'Cost Summary'!A1"/>
    <hyperlink ref="TLS8" location="'Cost Summary'!A1" display="'Cost Summary'!A1"/>
    <hyperlink ref="TLT8" location="'Cost Summary'!A1" display="'Cost Summary'!A1"/>
    <hyperlink ref="TLU8" location="'Cost Summary'!A1" display="'Cost Summary'!A1"/>
    <hyperlink ref="TLV8" location="'Cost Summary'!A1" display="'Cost Summary'!A1"/>
    <hyperlink ref="TLW8" location="'Cost Summary'!A1" display="'Cost Summary'!A1"/>
    <hyperlink ref="TLX8" location="'Cost Summary'!A1" display="'Cost Summary'!A1"/>
    <hyperlink ref="TLY8" location="'Cost Summary'!A1" display="'Cost Summary'!A1"/>
    <hyperlink ref="TLZ8" location="'Cost Summary'!A1" display="'Cost Summary'!A1"/>
    <hyperlink ref="TMA8" location="'Cost Summary'!A1" display="'Cost Summary'!A1"/>
    <hyperlink ref="TMB8" location="'Cost Summary'!A1" display="'Cost Summary'!A1"/>
    <hyperlink ref="TMC8" location="'Cost Summary'!A1" display="'Cost Summary'!A1"/>
    <hyperlink ref="TMD8" location="'Cost Summary'!A1" display="'Cost Summary'!A1"/>
    <hyperlink ref="TME8" location="'Cost Summary'!A1" display="'Cost Summary'!A1"/>
    <hyperlink ref="TMF8" location="'Cost Summary'!A1" display="'Cost Summary'!A1"/>
    <hyperlink ref="TMG8" location="'Cost Summary'!A1" display="'Cost Summary'!A1"/>
    <hyperlink ref="TMH8" location="'Cost Summary'!A1" display="'Cost Summary'!A1"/>
    <hyperlink ref="TMI8" location="'Cost Summary'!A1" display="'Cost Summary'!A1"/>
    <hyperlink ref="TMJ8" location="'Cost Summary'!A1" display="'Cost Summary'!A1"/>
    <hyperlink ref="TMK8" location="'Cost Summary'!A1" display="'Cost Summary'!A1"/>
    <hyperlink ref="TML8" location="'Cost Summary'!A1" display="'Cost Summary'!A1"/>
    <hyperlink ref="TMM8" location="'Cost Summary'!A1" display="'Cost Summary'!A1"/>
    <hyperlink ref="TMN8" location="'Cost Summary'!A1" display="'Cost Summary'!A1"/>
    <hyperlink ref="TMO8" location="'Cost Summary'!A1" display="'Cost Summary'!A1"/>
    <hyperlink ref="TMP8" location="'Cost Summary'!A1" display="'Cost Summary'!A1"/>
    <hyperlink ref="TMQ8" location="'Cost Summary'!A1" display="'Cost Summary'!A1"/>
    <hyperlink ref="TMR8" location="'Cost Summary'!A1" display="'Cost Summary'!A1"/>
    <hyperlink ref="TMS8" location="'Cost Summary'!A1" display="'Cost Summary'!A1"/>
    <hyperlink ref="TMT8" location="'Cost Summary'!A1" display="'Cost Summary'!A1"/>
    <hyperlink ref="TMU8" location="'Cost Summary'!A1" display="'Cost Summary'!A1"/>
    <hyperlink ref="TMV8" location="'Cost Summary'!A1" display="'Cost Summary'!A1"/>
    <hyperlink ref="TMW8" location="'Cost Summary'!A1" display="'Cost Summary'!A1"/>
    <hyperlink ref="TMX8" location="'Cost Summary'!A1" display="'Cost Summary'!A1"/>
    <hyperlink ref="TMY8" location="'Cost Summary'!A1" display="'Cost Summary'!A1"/>
    <hyperlink ref="TMZ8" location="'Cost Summary'!A1" display="'Cost Summary'!A1"/>
    <hyperlink ref="TNA8" location="'Cost Summary'!A1" display="'Cost Summary'!A1"/>
    <hyperlink ref="TNB8" location="'Cost Summary'!A1" display="'Cost Summary'!A1"/>
    <hyperlink ref="TNC8" location="'Cost Summary'!A1" display="'Cost Summary'!A1"/>
    <hyperlink ref="TND8" location="'Cost Summary'!A1" display="'Cost Summary'!A1"/>
    <hyperlink ref="TNE8" location="'Cost Summary'!A1" display="'Cost Summary'!A1"/>
    <hyperlink ref="TNF8" location="'Cost Summary'!A1" display="'Cost Summary'!A1"/>
    <hyperlink ref="TNG8" location="'Cost Summary'!A1" display="'Cost Summary'!A1"/>
    <hyperlink ref="TNH8" location="'Cost Summary'!A1" display="'Cost Summary'!A1"/>
    <hyperlink ref="TNI8" location="'Cost Summary'!A1" display="'Cost Summary'!A1"/>
    <hyperlink ref="TNJ8" location="'Cost Summary'!A1" display="'Cost Summary'!A1"/>
    <hyperlink ref="TNK8" location="'Cost Summary'!A1" display="'Cost Summary'!A1"/>
    <hyperlink ref="TNL8" location="'Cost Summary'!A1" display="'Cost Summary'!A1"/>
    <hyperlink ref="TNM8" location="'Cost Summary'!A1" display="'Cost Summary'!A1"/>
    <hyperlink ref="TNN8" location="'Cost Summary'!A1" display="'Cost Summary'!A1"/>
    <hyperlink ref="TNO8" location="'Cost Summary'!A1" display="'Cost Summary'!A1"/>
    <hyperlink ref="TNP8" location="'Cost Summary'!A1" display="'Cost Summary'!A1"/>
    <hyperlink ref="TNQ8" location="'Cost Summary'!A1" display="'Cost Summary'!A1"/>
    <hyperlink ref="TNR8" location="'Cost Summary'!A1" display="'Cost Summary'!A1"/>
    <hyperlink ref="TNS8" location="'Cost Summary'!A1" display="'Cost Summary'!A1"/>
    <hyperlink ref="TNT8" location="'Cost Summary'!A1" display="'Cost Summary'!A1"/>
    <hyperlink ref="TNU8" location="'Cost Summary'!A1" display="'Cost Summary'!A1"/>
    <hyperlink ref="TNV8" location="'Cost Summary'!A1" display="'Cost Summary'!A1"/>
    <hyperlink ref="TNW8" location="'Cost Summary'!A1" display="'Cost Summary'!A1"/>
    <hyperlink ref="TNX8" location="'Cost Summary'!A1" display="'Cost Summary'!A1"/>
    <hyperlink ref="TNY8" location="'Cost Summary'!A1" display="'Cost Summary'!A1"/>
    <hyperlink ref="TNZ8" location="'Cost Summary'!A1" display="'Cost Summary'!A1"/>
    <hyperlink ref="TOA8" location="'Cost Summary'!A1" display="'Cost Summary'!A1"/>
    <hyperlink ref="TOB8" location="'Cost Summary'!A1" display="'Cost Summary'!A1"/>
    <hyperlink ref="TOC8" location="'Cost Summary'!A1" display="'Cost Summary'!A1"/>
    <hyperlink ref="TOD8" location="'Cost Summary'!A1" display="'Cost Summary'!A1"/>
    <hyperlink ref="TOE8" location="'Cost Summary'!A1" display="'Cost Summary'!A1"/>
    <hyperlink ref="TOF8" location="'Cost Summary'!A1" display="'Cost Summary'!A1"/>
    <hyperlink ref="TOG8" location="'Cost Summary'!A1" display="'Cost Summary'!A1"/>
    <hyperlink ref="TOH8" location="'Cost Summary'!A1" display="'Cost Summary'!A1"/>
    <hyperlink ref="TOI8" location="'Cost Summary'!A1" display="'Cost Summary'!A1"/>
    <hyperlink ref="TOJ8" location="'Cost Summary'!A1" display="'Cost Summary'!A1"/>
    <hyperlink ref="TOK8" location="'Cost Summary'!A1" display="'Cost Summary'!A1"/>
    <hyperlink ref="TOL8" location="'Cost Summary'!A1" display="'Cost Summary'!A1"/>
    <hyperlink ref="TOM8" location="'Cost Summary'!A1" display="'Cost Summary'!A1"/>
    <hyperlink ref="TON8" location="'Cost Summary'!A1" display="'Cost Summary'!A1"/>
    <hyperlink ref="TOO8" location="'Cost Summary'!A1" display="'Cost Summary'!A1"/>
    <hyperlink ref="TOP8" location="'Cost Summary'!A1" display="'Cost Summary'!A1"/>
    <hyperlink ref="TOQ8" location="'Cost Summary'!A1" display="'Cost Summary'!A1"/>
    <hyperlink ref="TOR8" location="'Cost Summary'!A1" display="'Cost Summary'!A1"/>
    <hyperlink ref="TOS8" location="'Cost Summary'!A1" display="'Cost Summary'!A1"/>
    <hyperlink ref="TOT8" location="'Cost Summary'!A1" display="'Cost Summary'!A1"/>
    <hyperlink ref="TOU8" location="'Cost Summary'!A1" display="'Cost Summary'!A1"/>
    <hyperlink ref="TOV8" location="'Cost Summary'!A1" display="'Cost Summary'!A1"/>
    <hyperlink ref="TOW8" location="'Cost Summary'!A1" display="'Cost Summary'!A1"/>
    <hyperlink ref="TOX8" location="'Cost Summary'!A1" display="'Cost Summary'!A1"/>
    <hyperlink ref="TOY8" location="'Cost Summary'!A1" display="'Cost Summary'!A1"/>
    <hyperlink ref="TOZ8" location="'Cost Summary'!A1" display="'Cost Summary'!A1"/>
    <hyperlink ref="TPA8" location="'Cost Summary'!A1" display="'Cost Summary'!A1"/>
    <hyperlink ref="TPB8" location="'Cost Summary'!A1" display="'Cost Summary'!A1"/>
    <hyperlink ref="TPC8" location="'Cost Summary'!A1" display="'Cost Summary'!A1"/>
    <hyperlink ref="TPD8" location="'Cost Summary'!A1" display="'Cost Summary'!A1"/>
    <hyperlink ref="TPE8" location="'Cost Summary'!A1" display="'Cost Summary'!A1"/>
    <hyperlink ref="TPF8" location="'Cost Summary'!A1" display="'Cost Summary'!A1"/>
    <hyperlink ref="TPG8" location="'Cost Summary'!A1" display="'Cost Summary'!A1"/>
    <hyperlink ref="TPH8" location="'Cost Summary'!A1" display="'Cost Summary'!A1"/>
    <hyperlink ref="TPI8" location="'Cost Summary'!A1" display="'Cost Summary'!A1"/>
    <hyperlink ref="TPJ8" location="'Cost Summary'!A1" display="'Cost Summary'!A1"/>
    <hyperlink ref="TPK8" location="'Cost Summary'!A1" display="'Cost Summary'!A1"/>
    <hyperlink ref="TPL8" location="'Cost Summary'!A1" display="'Cost Summary'!A1"/>
    <hyperlink ref="TPM8" location="'Cost Summary'!A1" display="'Cost Summary'!A1"/>
    <hyperlink ref="TPN8" location="'Cost Summary'!A1" display="'Cost Summary'!A1"/>
    <hyperlink ref="TPO8" location="'Cost Summary'!A1" display="'Cost Summary'!A1"/>
    <hyperlink ref="TPP8" location="'Cost Summary'!A1" display="'Cost Summary'!A1"/>
    <hyperlink ref="TPQ8" location="'Cost Summary'!A1" display="'Cost Summary'!A1"/>
    <hyperlink ref="TPR8" location="'Cost Summary'!A1" display="'Cost Summary'!A1"/>
    <hyperlink ref="TPS8" location="'Cost Summary'!A1" display="'Cost Summary'!A1"/>
    <hyperlink ref="TPT8" location="'Cost Summary'!A1" display="'Cost Summary'!A1"/>
    <hyperlink ref="TPU8" location="'Cost Summary'!A1" display="'Cost Summary'!A1"/>
    <hyperlink ref="TPV8" location="'Cost Summary'!A1" display="'Cost Summary'!A1"/>
    <hyperlink ref="TPW8" location="'Cost Summary'!A1" display="'Cost Summary'!A1"/>
    <hyperlink ref="TPX8" location="'Cost Summary'!A1" display="'Cost Summary'!A1"/>
    <hyperlink ref="TPY8" location="'Cost Summary'!A1" display="'Cost Summary'!A1"/>
    <hyperlink ref="TPZ8" location="'Cost Summary'!A1" display="'Cost Summary'!A1"/>
    <hyperlink ref="TQA8" location="'Cost Summary'!A1" display="'Cost Summary'!A1"/>
    <hyperlink ref="TQB8" location="'Cost Summary'!A1" display="'Cost Summary'!A1"/>
    <hyperlink ref="TQC8" location="'Cost Summary'!A1" display="'Cost Summary'!A1"/>
    <hyperlink ref="TQD8" location="'Cost Summary'!A1" display="'Cost Summary'!A1"/>
    <hyperlink ref="TQE8" location="'Cost Summary'!A1" display="'Cost Summary'!A1"/>
    <hyperlink ref="TQF8" location="'Cost Summary'!A1" display="'Cost Summary'!A1"/>
    <hyperlink ref="TQG8" location="'Cost Summary'!A1" display="'Cost Summary'!A1"/>
    <hyperlink ref="TQH8" location="'Cost Summary'!A1" display="'Cost Summary'!A1"/>
    <hyperlink ref="TQI8" location="'Cost Summary'!A1" display="'Cost Summary'!A1"/>
    <hyperlink ref="TQJ8" location="'Cost Summary'!A1" display="'Cost Summary'!A1"/>
    <hyperlink ref="TQK8" location="'Cost Summary'!A1" display="'Cost Summary'!A1"/>
    <hyperlink ref="TQL8" location="'Cost Summary'!A1" display="'Cost Summary'!A1"/>
    <hyperlink ref="TQM8" location="'Cost Summary'!A1" display="'Cost Summary'!A1"/>
    <hyperlink ref="TQN8" location="'Cost Summary'!A1" display="'Cost Summary'!A1"/>
    <hyperlink ref="TQO8" location="'Cost Summary'!A1" display="'Cost Summary'!A1"/>
    <hyperlink ref="TQP8" location="'Cost Summary'!A1" display="'Cost Summary'!A1"/>
    <hyperlink ref="TQQ8" location="'Cost Summary'!A1" display="'Cost Summary'!A1"/>
    <hyperlink ref="TQR8" location="'Cost Summary'!A1" display="'Cost Summary'!A1"/>
    <hyperlink ref="TQS8" location="'Cost Summary'!A1" display="'Cost Summary'!A1"/>
    <hyperlink ref="TQT8" location="'Cost Summary'!A1" display="'Cost Summary'!A1"/>
    <hyperlink ref="TQU8" location="'Cost Summary'!A1" display="'Cost Summary'!A1"/>
    <hyperlink ref="TQV8" location="'Cost Summary'!A1" display="'Cost Summary'!A1"/>
    <hyperlink ref="TQW8" location="'Cost Summary'!A1" display="'Cost Summary'!A1"/>
    <hyperlink ref="TQX8" location="'Cost Summary'!A1" display="'Cost Summary'!A1"/>
    <hyperlink ref="TQY8" location="'Cost Summary'!A1" display="'Cost Summary'!A1"/>
    <hyperlink ref="TQZ8" location="'Cost Summary'!A1" display="'Cost Summary'!A1"/>
    <hyperlink ref="TRA8" location="'Cost Summary'!A1" display="'Cost Summary'!A1"/>
    <hyperlink ref="TRB8" location="'Cost Summary'!A1" display="'Cost Summary'!A1"/>
    <hyperlink ref="TRC8" location="'Cost Summary'!A1" display="'Cost Summary'!A1"/>
    <hyperlink ref="TRD8" location="'Cost Summary'!A1" display="'Cost Summary'!A1"/>
    <hyperlink ref="TRE8" location="'Cost Summary'!A1" display="'Cost Summary'!A1"/>
    <hyperlink ref="TRF8" location="'Cost Summary'!A1" display="'Cost Summary'!A1"/>
    <hyperlink ref="TRG8" location="'Cost Summary'!A1" display="'Cost Summary'!A1"/>
    <hyperlink ref="TRH8" location="'Cost Summary'!A1" display="'Cost Summary'!A1"/>
    <hyperlink ref="TRI8" location="'Cost Summary'!A1" display="'Cost Summary'!A1"/>
    <hyperlink ref="TRJ8" location="'Cost Summary'!A1" display="'Cost Summary'!A1"/>
    <hyperlink ref="TRK8" location="'Cost Summary'!A1" display="'Cost Summary'!A1"/>
    <hyperlink ref="TRL8" location="'Cost Summary'!A1" display="'Cost Summary'!A1"/>
    <hyperlink ref="TRM8" location="'Cost Summary'!A1" display="'Cost Summary'!A1"/>
    <hyperlink ref="TRN8" location="'Cost Summary'!A1" display="'Cost Summary'!A1"/>
    <hyperlink ref="TRO8" location="'Cost Summary'!A1" display="'Cost Summary'!A1"/>
    <hyperlink ref="TRP8" location="'Cost Summary'!A1" display="'Cost Summary'!A1"/>
    <hyperlink ref="TRQ8" location="'Cost Summary'!A1" display="'Cost Summary'!A1"/>
    <hyperlink ref="TRR8" location="'Cost Summary'!A1" display="'Cost Summary'!A1"/>
    <hyperlink ref="TRS8" location="'Cost Summary'!A1" display="'Cost Summary'!A1"/>
    <hyperlink ref="TRT8" location="'Cost Summary'!A1" display="'Cost Summary'!A1"/>
    <hyperlink ref="TRU8" location="'Cost Summary'!A1" display="'Cost Summary'!A1"/>
    <hyperlink ref="TRV8" location="'Cost Summary'!A1" display="'Cost Summary'!A1"/>
    <hyperlink ref="TRW8" location="'Cost Summary'!A1" display="'Cost Summary'!A1"/>
    <hyperlink ref="TRX8" location="'Cost Summary'!A1" display="'Cost Summary'!A1"/>
    <hyperlink ref="TRY8" location="'Cost Summary'!A1" display="'Cost Summary'!A1"/>
    <hyperlink ref="TRZ8" location="'Cost Summary'!A1" display="'Cost Summary'!A1"/>
    <hyperlink ref="TSA8" location="'Cost Summary'!A1" display="'Cost Summary'!A1"/>
    <hyperlink ref="TSB8" location="'Cost Summary'!A1" display="'Cost Summary'!A1"/>
    <hyperlink ref="TSC8" location="'Cost Summary'!A1" display="'Cost Summary'!A1"/>
    <hyperlink ref="TSD8" location="'Cost Summary'!A1" display="'Cost Summary'!A1"/>
    <hyperlink ref="TSE8" location="'Cost Summary'!A1" display="'Cost Summary'!A1"/>
    <hyperlink ref="TSF8" location="'Cost Summary'!A1" display="'Cost Summary'!A1"/>
    <hyperlink ref="TSG8" location="'Cost Summary'!A1" display="'Cost Summary'!A1"/>
    <hyperlink ref="TSH8" location="'Cost Summary'!A1" display="'Cost Summary'!A1"/>
    <hyperlink ref="TSI8" location="'Cost Summary'!A1" display="'Cost Summary'!A1"/>
    <hyperlink ref="TSJ8" location="'Cost Summary'!A1" display="'Cost Summary'!A1"/>
    <hyperlink ref="TSK8" location="'Cost Summary'!A1" display="'Cost Summary'!A1"/>
    <hyperlink ref="TSL8" location="'Cost Summary'!A1" display="'Cost Summary'!A1"/>
    <hyperlink ref="TSM8" location="'Cost Summary'!A1" display="'Cost Summary'!A1"/>
    <hyperlink ref="TSN8" location="'Cost Summary'!A1" display="'Cost Summary'!A1"/>
    <hyperlink ref="TSO8" location="'Cost Summary'!A1" display="'Cost Summary'!A1"/>
    <hyperlink ref="TSP8" location="'Cost Summary'!A1" display="'Cost Summary'!A1"/>
    <hyperlink ref="TSQ8" location="'Cost Summary'!A1" display="'Cost Summary'!A1"/>
    <hyperlink ref="TSR8" location="'Cost Summary'!A1" display="'Cost Summary'!A1"/>
    <hyperlink ref="TSS8" location="'Cost Summary'!A1" display="'Cost Summary'!A1"/>
    <hyperlink ref="TST8" location="'Cost Summary'!A1" display="'Cost Summary'!A1"/>
    <hyperlink ref="TSU8" location="'Cost Summary'!A1" display="'Cost Summary'!A1"/>
    <hyperlink ref="TSV8" location="'Cost Summary'!A1" display="'Cost Summary'!A1"/>
    <hyperlink ref="TSW8" location="'Cost Summary'!A1" display="'Cost Summary'!A1"/>
    <hyperlink ref="TSX8" location="'Cost Summary'!A1" display="'Cost Summary'!A1"/>
    <hyperlink ref="TSY8" location="'Cost Summary'!A1" display="'Cost Summary'!A1"/>
    <hyperlink ref="TSZ8" location="'Cost Summary'!A1" display="'Cost Summary'!A1"/>
    <hyperlink ref="TTA8" location="'Cost Summary'!A1" display="'Cost Summary'!A1"/>
    <hyperlink ref="TTB8" location="'Cost Summary'!A1" display="'Cost Summary'!A1"/>
    <hyperlink ref="TTC8" location="'Cost Summary'!A1" display="'Cost Summary'!A1"/>
    <hyperlink ref="TTD8" location="'Cost Summary'!A1" display="'Cost Summary'!A1"/>
    <hyperlink ref="TTE8" location="'Cost Summary'!A1" display="'Cost Summary'!A1"/>
    <hyperlink ref="TTF8" location="'Cost Summary'!A1" display="'Cost Summary'!A1"/>
    <hyperlink ref="TTG8" location="'Cost Summary'!A1" display="'Cost Summary'!A1"/>
    <hyperlink ref="TTH8" location="'Cost Summary'!A1" display="'Cost Summary'!A1"/>
    <hyperlink ref="TTI8" location="'Cost Summary'!A1" display="'Cost Summary'!A1"/>
    <hyperlink ref="TTJ8" location="'Cost Summary'!A1" display="'Cost Summary'!A1"/>
    <hyperlink ref="TTK8" location="'Cost Summary'!A1" display="'Cost Summary'!A1"/>
    <hyperlink ref="TTL8" location="'Cost Summary'!A1" display="'Cost Summary'!A1"/>
    <hyperlink ref="TTM8" location="'Cost Summary'!A1" display="'Cost Summary'!A1"/>
    <hyperlink ref="TTN8" location="'Cost Summary'!A1" display="'Cost Summary'!A1"/>
    <hyperlink ref="TTO8" location="'Cost Summary'!A1" display="'Cost Summary'!A1"/>
    <hyperlink ref="TTP8" location="'Cost Summary'!A1" display="'Cost Summary'!A1"/>
    <hyperlink ref="TTQ8" location="'Cost Summary'!A1" display="'Cost Summary'!A1"/>
    <hyperlink ref="TTR8" location="'Cost Summary'!A1" display="'Cost Summary'!A1"/>
    <hyperlink ref="TTS8" location="'Cost Summary'!A1" display="'Cost Summary'!A1"/>
    <hyperlink ref="TTT8" location="'Cost Summary'!A1" display="'Cost Summary'!A1"/>
    <hyperlink ref="TTU8" location="'Cost Summary'!A1" display="'Cost Summary'!A1"/>
    <hyperlink ref="TTV8" location="'Cost Summary'!A1" display="'Cost Summary'!A1"/>
    <hyperlink ref="TTW8" location="'Cost Summary'!A1" display="'Cost Summary'!A1"/>
    <hyperlink ref="TTX8" location="'Cost Summary'!A1" display="'Cost Summary'!A1"/>
    <hyperlink ref="TTY8" location="'Cost Summary'!A1" display="'Cost Summary'!A1"/>
    <hyperlink ref="TTZ8" location="'Cost Summary'!A1" display="'Cost Summary'!A1"/>
    <hyperlink ref="TUA8" location="'Cost Summary'!A1" display="'Cost Summary'!A1"/>
    <hyperlink ref="TUB8" location="'Cost Summary'!A1" display="'Cost Summary'!A1"/>
    <hyperlink ref="TUC8" location="'Cost Summary'!A1" display="'Cost Summary'!A1"/>
    <hyperlink ref="TUD8" location="'Cost Summary'!A1" display="'Cost Summary'!A1"/>
    <hyperlink ref="TUE8" location="'Cost Summary'!A1" display="'Cost Summary'!A1"/>
    <hyperlink ref="TUF8" location="'Cost Summary'!A1" display="'Cost Summary'!A1"/>
    <hyperlink ref="TUG8" location="'Cost Summary'!A1" display="'Cost Summary'!A1"/>
    <hyperlink ref="TUH8" location="'Cost Summary'!A1" display="'Cost Summary'!A1"/>
    <hyperlink ref="TUI8" location="'Cost Summary'!A1" display="'Cost Summary'!A1"/>
    <hyperlink ref="TUJ8" location="'Cost Summary'!A1" display="'Cost Summary'!A1"/>
    <hyperlink ref="TUK8" location="'Cost Summary'!A1" display="'Cost Summary'!A1"/>
    <hyperlink ref="TUL8" location="'Cost Summary'!A1" display="'Cost Summary'!A1"/>
    <hyperlink ref="TUM8" location="'Cost Summary'!A1" display="'Cost Summary'!A1"/>
    <hyperlink ref="TUN8" location="'Cost Summary'!A1" display="'Cost Summary'!A1"/>
    <hyperlink ref="TUO8" location="'Cost Summary'!A1" display="'Cost Summary'!A1"/>
    <hyperlink ref="TUP8" location="'Cost Summary'!A1" display="'Cost Summary'!A1"/>
    <hyperlink ref="TUQ8" location="'Cost Summary'!A1" display="'Cost Summary'!A1"/>
    <hyperlink ref="TUR8" location="'Cost Summary'!A1" display="'Cost Summary'!A1"/>
    <hyperlink ref="TUS8" location="'Cost Summary'!A1" display="'Cost Summary'!A1"/>
    <hyperlink ref="TUT8" location="'Cost Summary'!A1" display="'Cost Summary'!A1"/>
    <hyperlink ref="TUU8" location="'Cost Summary'!A1" display="'Cost Summary'!A1"/>
    <hyperlink ref="TUV8" location="'Cost Summary'!A1" display="'Cost Summary'!A1"/>
    <hyperlink ref="TUW8" location="'Cost Summary'!A1" display="'Cost Summary'!A1"/>
    <hyperlink ref="TUX8" location="'Cost Summary'!A1" display="'Cost Summary'!A1"/>
    <hyperlink ref="TUY8" location="'Cost Summary'!A1" display="'Cost Summary'!A1"/>
    <hyperlink ref="TUZ8" location="'Cost Summary'!A1" display="'Cost Summary'!A1"/>
    <hyperlink ref="TVA8" location="'Cost Summary'!A1" display="'Cost Summary'!A1"/>
    <hyperlink ref="TVB8" location="'Cost Summary'!A1" display="'Cost Summary'!A1"/>
    <hyperlink ref="TVC8" location="'Cost Summary'!A1" display="'Cost Summary'!A1"/>
    <hyperlink ref="TVD8" location="'Cost Summary'!A1" display="'Cost Summary'!A1"/>
    <hyperlink ref="TVE8" location="'Cost Summary'!A1" display="'Cost Summary'!A1"/>
    <hyperlink ref="TVF8" location="'Cost Summary'!A1" display="'Cost Summary'!A1"/>
    <hyperlink ref="TVG8" location="'Cost Summary'!A1" display="'Cost Summary'!A1"/>
    <hyperlink ref="TVH8" location="'Cost Summary'!A1" display="'Cost Summary'!A1"/>
    <hyperlink ref="TVI8" location="'Cost Summary'!A1" display="'Cost Summary'!A1"/>
    <hyperlink ref="TVJ8" location="'Cost Summary'!A1" display="'Cost Summary'!A1"/>
    <hyperlink ref="TVK8" location="'Cost Summary'!A1" display="'Cost Summary'!A1"/>
    <hyperlink ref="TVL8" location="'Cost Summary'!A1" display="'Cost Summary'!A1"/>
    <hyperlink ref="TVM8" location="'Cost Summary'!A1" display="'Cost Summary'!A1"/>
    <hyperlink ref="TVN8" location="'Cost Summary'!A1" display="'Cost Summary'!A1"/>
    <hyperlink ref="TVO8" location="'Cost Summary'!A1" display="'Cost Summary'!A1"/>
    <hyperlink ref="TVP8" location="'Cost Summary'!A1" display="'Cost Summary'!A1"/>
    <hyperlink ref="TVQ8" location="'Cost Summary'!A1" display="'Cost Summary'!A1"/>
    <hyperlink ref="TVR8" location="'Cost Summary'!A1" display="'Cost Summary'!A1"/>
    <hyperlink ref="TVS8" location="'Cost Summary'!A1" display="'Cost Summary'!A1"/>
    <hyperlink ref="TVT8" location="'Cost Summary'!A1" display="'Cost Summary'!A1"/>
    <hyperlink ref="TVU8" location="'Cost Summary'!A1" display="'Cost Summary'!A1"/>
    <hyperlink ref="TVV8" location="'Cost Summary'!A1" display="'Cost Summary'!A1"/>
    <hyperlink ref="TVW8" location="'Cost Summary'!A1" display="'Cost Summary'!A1"/>
    <hyperlink ref="TVX8" location="'Cost Summary'!A1" display="'Cost Summary'!A1"/>
    <hyperlink ref="TVY8" location="'Cost Summary'!A1" display="'Cost Summary'!A1"/>
    <hyperlink ref="TVZ8" location="'Cost Summary'!A1" display="'Cost Summary'!A1"/>
    <hyperlink ref="TWA8" location="'Cost Summary'!A1" display="'Cost Summary'!A1"/>
    <hyperlink ref="TWB8" location="'Cost Summary'!A1" display="'Cost Summary'!A1"/>
    <hyperlink ref="TWC8" location="'Cost Summary'!A1" display="'Cost Summary'!A1"/>
    <hyperlink ref="TWD8" location="'Cost Summary'!A1" display="'Cost Summary'!A1"/>
    <hyperlink ref="TWE8" location="'Cost Summary'!A1" display="'Cost Summary'!A1"/>
    <hyperlink ref="TWF8" location="'Cost Summary'!A1" display="'Cost Summary'!A1"/>
    <hyperlink ref="TWG8" location="'Cost Summary'!A1" display="'Cost Summary'!A1"/>
    <hyperlink ref="TWH8" location="'Cost Summary'!A1" display="'Cost Summary'!A1"/>
    <hyperlink ref="TWI8" location="'Cost Summary'!A1" display="'Cost Summary'!A1"/>
    <hyperlink ref="TWJ8" location="'Cost Summary'!A1" display="'Cost Summary'!A1"/>
    <hyperlink ref="TWK8" location="'Cost Summary'!A1" display="'Cost Summary'!A1"/>
    <hyperlink ref="TWL8" location="'Cost Summary'!A1" display="'Cost Summary'!A1"/>
    <hyperlink ref="TWM8" location="'Cost Summary'!A1" display="'Cost Summary'!A1"/>
    <hyperlink ref="TWN8" location="'Cost Summary'!A1" display="'Cost Summary'!A1"/>
    <hyperlink ref="TWO8" location="'Cost Summary'!A1" display="'Cost Summary'!A1"/>
    <hyperlink ref="TWP8" location="'Cost Summary'!A1" display="'Cost Summary'!A1"/>
    <hyperlink ref="TWQ8" location="'Cost Summary'!A1" display="'Cost Summary'!A1"/>
    <hyperlink ref="TWR8" location="'Cost Summary'!A1" display="'Cost Summary'!A1"/>
    <hyperlink ref="TWS8" location="'Cost Summary'!A1" display="'Cost Summary'!A1"/>
    <hyperlink ref="TWT8" location="'Cost Summary'!A1" display="'Cost Summary'!A1"/>
    <hyperlink ref="TWU8" location="'Cost Summary'!A1" display="'Cost Summary'!A1"/>
    <hyperlink ref="TWV8" location="'Cost Summary'!A1" display="'Cost Summary'!A1"/>
    <hyperlink ref="TWW8" location="'Cost Summary'!A1" display="'Cost Summary'!A1"/>
    <hyperlink ref="TWX8" location="'Cost Summary'!A1" display="'Cost Summary'!A1"/>
    <hyperlink ref="TWY8" location="'Cost Summary'!A1" display="'Cost Summary'!A1"/>
    <hyperlink ref="TWZ8" location="'Cost Summary'!A1" display="'Cost Summary'!A1"/>
    <hyperlink ref="TXA8" location="'Cost Summary'!A1" display="'Cost Summary'!A1"/>
    <hyperlink ref="TXB8" location="'Cost Summary'!A1" display="'Cost Summary'!A1"/>
    <hyperlink ref="TXC8" location="'Cost Summary'!A1" display="'Cost Summary'!A1"/>
    <hyperlink ref="TXD8" location="'Cost Summary'!A1" display="'Cost Summary'!A1"/>
    <hyperlink ref="TXE8" location="'Cost Summary'!A1" display="'Cost Summary'!A1"/>
    <hyperlink ref="TXF8" location="'Cost Summary'!A1" display="'Cost Summary'!A1"/>
    <hyperlink ref="TXG8" location="'Cost Summary'!A1" display="'Cost Summary'!A1"/>
    <hyperlink ref="TXH8" location="'Cost Summary'!A1" display="'Cost Summary'!A1"/>
    <hyperlink ref="TXI8" location="'Cost Summary'!A1" display="'Cost Summary'!A1"/>
    <hyperlink ref="TXJ8" location="'Cost Summary'!A1" display="'Cost Summary'!A1"/>
    <hyperlink ref="TXK8" location="'Cost Summary'!A1" display="'Cost Summary'!A1"/>
    <hyperlink ref="TXL8" location="'Cost Summary'!A1" display="'Cost Summary'!A1"/>
    <hyperlink ref="TXM8" location="'Cost Summary'!A1" display="'Cost Summary'!A1"/>
    <hyperlink ref="TXN8" location="'Cost Summary'!A1" display="'Cost Summary'!A1"/>
    <hyperlink ref="TXO8" location="'Cost Summary'!A1" display="'Cost Summary'!A1"/>
    <hyperlink ref="TXP8" location="'Cost Summary'!A1" display="'Cost Summary'!A1"/>
    <hyperlink ref="TXQ8" location="'Cost Summary'!A1" display="'Cost Summary'!A1"/>
    <hyperlink ref="TXR8" location="'Cost Summary'!A1" display="'Cost Summary'!A1"/>
    <hyperlink ref="TXS8" location="'Cost Summary'!A1" display="'Cost Summary'!A1"/>
    <hyperlink ref="TXT8" location="'Cost Summary'!A1" display="'Cost Summary'!A1"/>
    <hyperlink ref="TXU8" location="'Cost Summary'!A1" display="'Cost Summary'!A1"/>
    <hyperlink ref="TXV8" location="'Cost Summary'!A1" display="'Cost Summary'!A1"/>
    <hyperlink ref="TXW8" location="'Cost Summary'!A1" display="'Cost Summary'!A1"/>
    <hyperlink ref="TXX8" location="'Cost Summary'!A1" display="'Cost Summary'!A1"/>
    <hyperlink ref="TXY8" location="'Cost Summary'!A1" display="'Cost Summary'!A1"/>
    <hyperlink ref="TXZ8" location="'Cost Summary'!A1" display="'Cost Summary'!A1"/>
    <hyperlink ref="TYA8" location="'Cost Summary'!A1" display="'Cost Summary'!A1"/>
    <hyperlink ref="TYB8" location="'Cost Summary'!A1" display="'Cost Summary'!A1"/>
    <hyperlink ref="TYC8" location="'Cost Summary'!A1" display="'Cost Summary'!A1"/>
    <hyperlink ref="TYD8" location="'Cost Summary'!A1" display="'Cost Summary'!A1"/>
    <hyperlink ref="TYE8" location="'Cost Summary'!A1" display="'Cost Summary'!A1"/>
    <hyperlink ref="TYF8" location="'Cost Summary'!A1" display="'Cost Summary'!A1"/>
    <hyperlink ref="TYG8" location="'Cost Summary'!A1" display="'Cost Summary'!A1"/>
    <hyperlink ref="TYH8" location="'Cost Summary'!A1" display="'Cost Summary'!A1"/>
    <hyperlink ref="TYI8" location="'Cost Summary'!A1" display="'Cost Summary'!A1"/>
    <hyperlink ref="TYJ8" location="'Cost Summary'!A1" display="'Cost Summary'!A1"/>
    <hyperlink ref="TYK8" location="'Cost Summary'!A1" display="'Cost Summary'!A1"/>
    <hyperlink ref="TYL8" location="'Cost Summary'!A1" display="'Cost Summary'!A1"/>
    <hyperlink ref="TYM8" location="'Cost Summary'!A1" display="'Cost Summary'!A1"/>
    <hyperlink ref="TYN8" location="'Cost Summary'!A1" display="'Cost Summary'!A1"/>
    <hyperlink ref="TYO8" location="'Cost Summary'!A1" display="'Cost Summary'!A1"/>
    <hyperlink ref="TYP8" location="'Cost Summary'!A1" display="'Cost Summary'!A1"/>
    <hyperlink ref="TYQ8" location="'Cost Summary'!A1" display="'Cost Summary'!A1"/>
    <hyperlink ref="TYR8" location="'Cost Summary'!A1" display="'Cost Summary'!A1"/>
    <hyperlink ref="TYS8" location="'Cost Summary'!A1" display="'Cost Summary'!A1"/>
    <hyperlink ref="TYT8" location="'Cost Summary'!A1" display="'Cost Summary'!A1"/>
    <hyperlink ref="TYU8" location="'Cost Summary'!A1" display="'Cost Summary'!A1"/>
    <hyperlink ref="TYV8" location="'Cost Summary'!A1" display="'Cost Summary'!A1"/>
    <hyperlink ref="TYW8" location="'Cost Summary'!A1" display="'Cost Summary'!A1"/>
    <hyperlink ref="TYX8" location="'Cost Summary'!A1" display="'Cost Summary'!A1"/>
    <hyperlink ref="TYY8" location="'Cost Summary'!A1" display="'Cost Summary'!A1"/>
    <hyperlink ref="TYZ8" location="'Cost Summary'!A1" display="'Cost Summary'!A1"/>
    <hyperlink ref="TZA8" location="'Cost Summary'!A1" display="'Cost Summary'!A1"/>
    <hyperlink ref="TZB8" location="'Cost Summary'!A1" display="'Cost Summary'!A1"/>
    <hyperlink ref="TZC8" location="'Cost Summary'!A1" display="'Cost Summary'!A1"/>
    <hyperlink ref="TZD8" location="'Cost Summary'!A1" display="'Cost Summary'!A1"/>
    <hyperlink ref="TZE8" location="'Cost Summary'!A1" display="'Cost Summary'!A1"/>
    <hyperlink ref="TZF8" location="'Cost Summary'!A1" display="'Cost Summary'!A1"/>
    <hyperlink ref="TZG8" location="'Cost Summary'!A1" display="'Cost Summary'!A1"/>
    <hyperlink ref="TZH8" location="'Cost Summary'!A1" display="'Cost Summary'!A1"/>
    <hyperlink ref="TZI8" location="'Cost Summary'!A1" display="'Cost Summary'!A1"/>
    <hyperlink ref="TZJ8" location="'Cost Summary'!A1" display="'Cost Summary'!A1"/>
    <hyperlink ref="TZK8" location="'Cost Summary'!A1" display="'Cost Summary'!A1"/>
    <hyperlink ref="TZL8" location="'Cost Summary'!A1" display="'Cost Summary'!A1"/>
    <hyperlink ref="TZM8" location="'Cost Summary'!A1" display="'Cost Summary'!A1"/>
    <hyperlink ref="TZN8" location="'Cost Summary'!A1" display="'Cost Summary'!A1"/>
    <hyperlink ref="TZO8" location="'Cost Summary'!A1" display="'Cost Summary'!A1"/>
    <hyperlink ref="TZP8" location="'Cost Summary'!A1" display="'Cost Summary'!A1"/>
    <hyperlink ref="TZQ8" location="'Cost Summary'!A1" display="'Cost Summary'!A1"/>
    <hyperlink ref="TZR8" location="'Cost Summary'!A1" display="'Cost Summary'!A1"/>
    <hyperlink ref="TZS8" location="'Cost Summary'!A1" display="'Cost Summary'!A1"/>
    <hyperlink ref="TZT8" location="'Cost Summary'!A1" display="'Cost Summary'!A1"/>
    <hyperlink ref="TZU8" location="'Cost Summary'!A1" display="'Cost Summary'!A1"/>
    <hyperlink ref="TZV8" location="'Cost Summary'!A1" display="'Cost Summary'!A1"/>
    <hyperlink ref="TZW8" location="'Cost Summary'!A1" display="'Cost Summary'!A1"/>
    <hyperlink ref="TZX8" location="'Cost Summary'!A1" display="'Cost Summary'!A1"/>
    <hyperlink ref="TZY8" location="'Cost Summary'!A1" display="'Cost Summary'!A1"/>
    <hyperlink ref="TZZ8" location="'Cost Summary'!A1" display="'Cost Summary'!A1"/>
    <hyperlink ref="UAA8" location="'Cost Summary'!A1" display="'Cost Summary'!A1"/>
    <hyperlink ref="UAB8" location="'Cost Summary'!A1" display="'Cost Summary'!A1"/>
    <hyperlink ref="UAC8" location="'Cost Summary'!A1" display="'Cost Summary'!A1"/>
    <hyperlink ref="UAD8" location="'Cost Summary'!A1" display="'Cost Summary'!A1"/>
    <hyperlink ref="UAE8" location="'Cost Summary'!A1" display="'Cost Summary'!A1"/>
    <hyperlink ref="UAF8" location="'Cost Summary'!A1" display="'Cost Summary'!A1"/>
    <hyperlink ref="UAG8" location="'Cost Summary'!A1" display="'Cost Summary'!A1"/>
    <hyperlink ref="UAH8" location="'Cost Summary'!A1" display="'Cost Summary'!A1"/>
    <hyperlink ref="UAI8" location="'Cost Summary'!A1" display="'Cost Summary'!A1"/>
    <hyperlink ref="UAJ8" location="'Cost Summary'!A1" display="'Cost Summary'!A1"/>
    <hyperlink ref="UAK8" location="'Cost Summary'!A1" display="'Cost Summary'!A1"/>
    <hyperlink ref="UAL8" location="'Cost Summary'!A1" display="'Cost Summary'!A1"/>
    <hyperlink ref="UAM8" location="'Cost Summary'!A1" display="'Cost Summary'!A1"/>
    <hyperlink ref="UAN8" location="'Cost Summary'!A1" display="'Cost Summary'!A1"/>
    <hyperlink ref="UAO8" location="'Cost Summary'!A1" display="'Cost Summary'!A1"/>
    <hyperlink ref="UAP8" location="'Cost Summary'!A1" display="'Cost Summary'!A1"/>
    <hyperlink ref="UAQ8" location="'Cost Summary'!A1" display="'Cost Summary'!A1"/>
    <hyperlink ref="UAR8" location="'Cost Summary'!A1" display="'Cost Summary'!A1"/>
    <hyperlink ref="UAS8" location="'Cost Summary'!A1" display="'Cost Summary'!A1"/>
    <hyperlink ref="UAT8" location="'Cost Summary'!A1" display="'Cost Summary'!A1"/>
    <hyperlink ref="UAU8" location="'Cost Summary'!A1" display="'Cost Summary'!A1"/>
    <hyperlink ref="UAV8" location="'Cost Summary'!A1" display="'Cost Summary'!A1"/>
    <hyperlink ref="UAW8" location="'Cost Summary'!A1" display="'Cost Summary'!A1"/>
    <hyperlink ref="UAX8" location="'Cost Summary'!A1" display="'Cost Summary'!A1"/>
    <hyperlink ref="UAY8" location="'Cost Summary'!A1" display="'Cost Summary'!A1"/>
    <hyperlink ref="UAZ8" location="'Cost Summary'!A1" display="'Cost Summary'!A1"/>
    <hyperlink ref="UBA8" location="'Cost Summary'!A1" display="'Cost Summary'!A1"/>
    <hyperlink ref="UBB8" location="'Cost Summary'!A1" display="'Cost Summary'!A1"/>
    <hyperlink ref="UBC8" location="'Cost Summary'!A1" display="'Cost Summary'!A1"/>
    <hyperlink ref="UBD8" location="'Cost Summary'!A1" display="'Cost Summary'!A1"/>
    <hyperlink ref="UBE8" location="'Cost Summary'!A1" display="'Cost Summary'!A1"/>
    <hyperlink ref="UBF8" location="'Cost Summary'!A1" display="'Cost Summary'!A1"/>
    <hyperlink ref="UBG8" location="'Cost Summary'!A1" display="'Cost Summary'!A1"/>
    <hyperlink ref="UBH8" location="'Cost Summary'!A1" display="'Cost Summary'!A1"/>
    <hyperlink ref="UBI8" location="'Cost Summary'!A1" display="'Cost Summary'!A1"/>
    <hyperlink ref="UBJ8" location="'Cost Summary'!A1" display="'Cost Summary'!A1"/>
    <hyperlink ref="UBK8" location="'Cost Summary'!A1" display="'Cost Summary'!A1"/>
    <hyperlink ref="UBL8" location="'Cost Summary'!A1" display="'Cost Summary'!A1"/>
    <hyperlink ref="UBM8" location="'Cost Summary'!A1" display="'Cost Summary'!A1"/>
    <hyperlink ref="UBN8" location="'Cost Summary'!A1" display="'Cost Summary'!A1"/>
    <hyperlink ref="UBO8" location="'Cost Summary'!A1" display="'Cost Summary'!A1"/>
    <hyperlink ref="UBP8" location="'Cost Summary'!A1" display="'Cost Summary'!A1"/>
    <hyperlink ref="UBQ8" location="'Cost Summary'!A1" display="'Cost Summary'!A1"/>
    <hyperlink ref="UBR8" location="'Cost Summary'!A1" display="'Cost Summary'!A1"/>
    <hyperlink ref="UBS8" location="'Cost Summary'!A1" display="'Cost Summary'!A1"/>
    <hyperlink ref="UBT8" location="'Cost Summary'!A1" display="'Cost Summary'!A1"/>
    <hyperlink ref="UBU8" location="'Cost Summary'!A1" display="'Cost Summary'!A1"/>
    <hyperlink ref="UBV8" location="'Cost Summary'!A1" display="'Cost Summary'!A1"/>
    <hyperlink ref="UBW8" location="'Cost Summary'!A1" display="'Cost Summary'!A1"/>
    <hyperlink ref="UBX8" location="'Cost Summary'!A1" display="'Cost Summary'!A1"/>
    <hyperlink ref="UBY8" location="'Cost Summary'!A1" display="'Cost Summary'!A1"/>
    <hyperlink ref="UBZ8" location="'Cost Summary'!A1" display="'Cost Summary'!A1"/>
    <hyperlink ref="UCA8" location="'Cost Summary'!A1" display="'Cost Summary'!A1"/>
    <hyperlink ref="UCB8" location="'Cost Summary'!A1" display="'Cost Summary'!A1"/>
    <hyperlink ref="UCC8" location="'Cost Summary'!A1" display="'Cost Summary'!A1"/>
    <hyperlink ref="UCD8" location="'Cost Summary'!A1" display="'Cost Summary'!A1"/>
    <hyperlink ref="UCE8" location="'Cost Summary'!A1" display="'Cost Summary'!A1"/>
    <hyperlink ref="UCF8" location="'Cost Summary'!A1" display="'Cost Summary'!A1"/>
    <hyperlink ref="UCG8" location="'Cost Summary'!A1" display="'Cost Summary'!A1"/>
    <hyperlink ref="UCH8" location="'Cost Summary'!A1" display="'Cost Summary'!A1"/>
    <hyperlink ref="UCI8" location="'Cost Summary'!A1" display="'Cost Summary'!A1"/>
    <hyperlink ref="UCJ8" location="'Cost Summary'!A1" display="'Cost Summary'!A1"/>
    <hyperlink ref="UCK8" location="'Cost Summary'!A1" display="'Cost Summary'!A1"/>
    <hyperlink ref="UCL8" location="'Cost Summary'!A1" display="'Cost Summary'!A1"/>
    <hyperlink ref="UCM8" location="'Cost Summary'!A1" display="'Cost Summary'!A1"/>
    <hyperlink ref="UCN8" location="'Cost Summary'!A1" display="'Cost Summary'!A1"/>
    <hyperlink ref="UCO8" location="'Cost Summary'!A1" display="'Cost Summary'!A1"/>
    <hyperlink ref="UCP8" location="'Cost Summary'!A1" display="'Cost Summary'!A1"/>
    <hyperlink ref="UCQ8" location="'Cost Summary'!A1" display="'Cost Summary'!A1"/>
    <hyperlink ref="UCR8" location="'Cost Summary'!A1" display="'Cost Summary'!A1"/>
    <hyperlink ref="UCS8" location="'Cost Summary'!A1" display="'Cost Summary'!A1"/>
    <hyperlink ref="UCT8" location="'Cost Summary'!A1" display="'Cost Summary'!A1"/>
    <hyperlink ref="UCU8" location="'Cost Summary'!A1" display="'Cost Summary'!A1"/>
    <hyperlink ref="UCV8" location="'Cost Summary'!A1" display="'Cost Summary'!A1"/>
    <hyperlink ref="UCW8" location="'Cost Summary'!A1" display="'Cost Summary'!A1"/>
    <hyperlink ref="UCX8" location="'Cost Summary'!A1" display="'Cost Summary'!A1"/>
    <hyperlink ref="UCY8" location="'Cost Summary'!A1" display="'Cost Summary'!A1"/>
    <hyperlink ref="UCZ8" location="'Cost Summary'!A1" display="'Cost Summary'!A1"/>
    <hyperlink ref="UDA8" location="'Cost Summary'!A1" display="'Cost Summary'!A1"/>
    <hyperlink ref="UDB8" location="'Cost Summary'!A1" display="'Cost Summary'!A1"/>
    <hyperlink ref="UDC8" location="'Cost Summary'!A1" display="'Cost Summary'!A1"/>
    <hyperlink ref="UDD8" location="'Cost Summary'!A1" display="'Cost Summary'!A1"/>
    <hyperlink ref="UDE8" location="'Cost Summary'!A1" display="'Cost Summary'!A1"/>
    <hyperlink ref="UDF8" location="'Cost Summary'!A1" display="'Cost Summary'!A1"/>
    <hyperlink ref="UDG8" location="'Cost Summary'!A1" display="'Cost Summary'!A1"/>
    <hyperlink ref="UDH8" location="'Cost Summary'!A1" display="'Cost Summary'!A1"/>
    <hyperlink ref="UDI8" location="'Cost Summary'!A1" display="'Cost Summary'!A1"/>
    <hyperlink ref="UDJ8" location="'Cost Summary'!A1" display="'Cost Summary'!A1"/>
    <hyperlink ref="UDK8" location="'Cost Summary'!A1" display="'Cost Summary'!A1"/>
    <hyperlink ref="UDL8" location="'Cost Summary'!A1" display="'Cost Summary'!A1"/>
    <hyperlink ref="UDM8" location="'Cost Summary'!A1" display="'Cost Summary'!A1"/>
    <hyperlink ref="UDN8" location="'Cost Summary'!A1" display="'Cost Summary'!A1"/>
    <hyperlink ref="UDO8" location="'Cost Summary'!A1" display="'Cost Summary'!A1"/>
    <hyperlink ref="UDP8" location="'Cost Summary'!A1" display="'Cost Summary'!A1"/>
    <hyperlink ref="UDQ8" location="'Cost Summary'!A1" display="'Cost Summary'!A1"/>
    <hyperlink ref="UDR8" location="'Cost Summary'!A1" display="'Cost Summary'!A1"/>
    <hyperlink ref="UDS8" location="'Cost Summary'!A1" display="'Cost Summary'!A1"/>
    <hyperlink ref="UDT8" location="'Cost Summary'!A1" display="'Cost Summary'!A1"/>
    <hyperlink ref="UDU8" location="'Cost Summary'!A1" display="'Cost Summary'!A1"/>
    <hyperlink ref="UDV8" location="'Cost Summary'!A1" display="'Cost Summary'!A1"/>
    <hyperlink ref="UDW8" location="'Cost Summary'!A1" display="'Cost Summary'!A1"/>
    <hyperlink ref="UDX8" location="'Cost Summary'!A1" display="'Cost Summary'!A1"/>
    <hyperlink ref="UDY8" location="'Cost Summary'!A1" display="'Cost Summary'!A1"/>
    <hyperlink ref="UDZ8" location="'Cost Summary'!A1" display="'Cost Summary'!A1"/>
    <hyperlink ref="UEA8" location="'Cost Summary'!A1" display="'Cost Summary'!A1"/>
    <hyperlink ref="UEB8" location="'Cost Summary'!A1" display="'Cost Summary'!A1"/>
    <hyperlink ref="UEC8" location="'Cost Summary'!A1" display="'Cost Summary'!A1"/>
    <hyperlink ref="UED8" location="'Cost Summary'!A1" display="'Cost Summary'!A1"/>
    <hyperlink ref="UEE8" location="'Cost Summary'!A1" display="'Cost Summary'!A1"/>
    <hyperlink ref="UEF8" location="'Cost Summary'!A1" display="'Cost Summary'!A1"/>
    <hyperlink ref="UEG8" location="'Cost Summary'!A1" display="'Cost Summary'!A1"/>
    <hyperlink ref="UEH8" location="'Cost Summary'!A1" display="'Cost Summary'!A1"/>
    <hyperlink ref="UEI8" location="'Cost Summary'!A1" display="'Cost Summary'!A1"/>
    <hyperlink ref="UEJ8" location="'Cost Summary'!A1" display="'Cost Summary'!A1"/>
    <hyperlink ref="UEK8" location="'Cost Summary'!A1" display="'Cost Summary'!A1"/>
    <hyperlink ref="UEL8" location="'Cost Summary'!A1" display="'Cost Summary'!A1"/>
    <hyperlink ref="UEM8" location="'Cost Summary'!A1" display="'Cost Summary'!A1"/>
    <hyperlink ref="UEN8" location="'Cost Summary'!A1" display="'Cost Summary'!A1"/>
    <hyperlink ref="UEO8" location="'Cost Summary'!A1" display="'Cost Summary'!A1"/>
    <hyperlink ref="UEP8" location="'Cost Summary'!A1" display="'Cost Summary'!A1"/>
    <hyperlink ref="UEQ8" location="'Cost Summary'!A1" display="'Cost Summary'!A1"/>
    <hyperlink ref="UER8" location="'Cost Summary'!A1" display="'Cost Summary'!A1"/>
    <hyperlink ref="UES8" location="'Cost Summary'!A1" display="'Cost Summary'!A1"/>
    <hyperlink ref="UET8" location="'Cost Summary'!A1" display="'Cost Summary'!A1"/>
    <hyperlink ref="UEU8" location="'Cost Summary'!A1" display="'Cost Summary'!A1"/>
    <hyperlink ref="UEV8" location="'Cost Summary'!A1" display="'Cost Summary'!A1"/>
    <hyperlink ref="UEW8" location="'Cost Summary'!A1" display="'Cost Summary'!A1"/>
    <hyperlink ref="UEX8" location="'Cost Summary'!A1" display="'Cost Summary'!A1"/>
    <hyperlink ref="UEY8" location="'Cost Summary'!A1" display="'Cost Summary'!A1"/>
    <hyperlink ref="UEZ8" location="'Cost Summary'!A1" display="'Cost Summary'!A1"/>
    <hyperlink ref="UFA8" location="'Cost Summary'!A1" display="'Cost Summary'!A1"/>
    <hyperlink ref="UFB8" location="'Cost Summary'!A1" display="'Cost Summary'!A1"/>
    <hyperlink ref="UFC8" location="'Cost Summary'!A1" display="'Cost Summary'!A1"/>
    <hyperlink ref="UFD8" location="'Cost Summary'!A1" display="'Cost Summary'!A1"/>
    <hyperlink ref="UFE8" location="'Cost Summary'!A1" display="'Cost Summary'!A1"/>
    <hyperlink ref="UFF8" location="'Cost Summary'!A1" display="'Cost Summary'!A1"/>
    <hyperlink ref="UFG8" location="'Cost Summary'!A1" display="'Cost Summary'!A1"/>
    <hyperlink ref="UFH8" location="'Cost Summary'!A1" display="'Cost Summary'!A1"/>
    <hyperlink ref="UFI8" location="'Cost Summary'!A1" display="'Cost Summary'!A1"/>
    <hyperlink ref="UFJ8" location="'Cost Summary'!A1" display="'Cost Summary'!A1"/>
    <hyperlink ref="UFK8" location="'Cost Summary'!A1" display="'Cost Summary'!A1"/>
    <hyperlink ref="UFL8" location="'Cost Summary'!A1" display="'Cost Summary'!A1"/>
    <hyperlink ref="UFM8" location="'Cost Summary'!A1" display="'Cost Summary'!A1"/>
    <hyperlink ref="UFN8" location="'Cost Summary'!A1" display="'Cost Summary'!A1"/>
    <hyperlink ref="UFO8" location="'Cost Summary'!A1" display="'Cost Summary'!A1"/>
    <hyperlink ref="UFP8" location="'Cost Summary'!A1" display="'Cost Summary'!A1"/>
    <hyperlink ref="UFQ8" location="'Cost Summary'!A1" display="'Cost Summary'!A1"/>
    <hyperlink ref="UFR8" location="'Cost Summary'!A1" display="'Cost Summary'!A1"/>
    <hyperlink ref="UFS8" location="'Cost Summary'!A1" display="'Cost Summary'!A1"/>
    <hyperlink ref="UFT8" location="'Cost Summary'!A1" display="'Cost Summary'!A1"/>
    <hyperlink ref="UFU8" location="'Cost Summary'!A1" display="'Cost Summary'!A1"/>
    <hyperlink ref="UFV8" location="'Cost Summary'!A1" display="'Cost Summary'!A1"/>
    <hyperlink ref="UFW8" location="'Cost Summary'!A1" display="'Cost Summary'!A1"/>
    <hyperlink ref="UFX8" location="'Cost Summary'!A1" display="'Cost Summary'!A1"/>
    <hyperlink ref="UFY8" location="'Cost Summary'!A1" display="'Cost Summary'!A1"/>
    <hyperlink ref="UFZ8" location="'Cost Summary'!A1" display="'Cost Summary'!A1"/>
    <hyperlink ref="UGA8" location="'Cost Summary'!A1" display="'Cost Summary'!A1"/>
    <hyperlink ref="UGB8" location="'Cost Summary'!A1" display="'Cost Summary'!A1"/>
    <hyperlink ref="UGC8" location="'Cost Summary'!A1" display="'Cost Summary'!A1"/>
    <hyperlink ref="UGD8" location="'Cost Summary'!A1" display="'Cost Summary'!A1"/>
    <hyperlink ref="UGE8" location="'Cost Summary'!A1" display="'Cost Summary'!A1"/>
    <hyperlink ref="UGF8" location="'Cost Summary'!A1" display="'Cost Summary'!A1"/>
    <hyperlink ref="UGG8" location="'Cost Summary'!A1" display="'Cost Summary'!A1"/>
    <hyperlink ref="UGH8" location="'Cost Summary'!A1" display="'Cost Summary'!A1"/>
    <hyperlink ref="UGI8" location="'Cost Summary'!A1" display="'Cost Summary'!A1"/>
    <hyperlink ref="UGJ8" location="'Cost Summary'!A1" display="'Cost Summary'!A1"/>
    <hyperlink ref="UGK8" location="'Cost Summary'!A1" display="'Cost Summary'!A1"/>
    <hyperlink ref="UGL8" location="'Cost Summary'!A1" display="'Cost Summary'!A1"/>
    <hyperlink ref="UGM8" location="'Cost Summary'!A1" display="'Cost Summary'!A1"/>
    <hyperlink ref="UGN8" location="'Cost Summary'!A1" display="'Cost Summary'!A1"/>
    <hyperlink ref="UGO8" location="'Cost Summary'!A1" display="'Cost Summary'!A1"/>
    <hyperlink ref="UGP8" location="'Cost Summary'!A1" display="'Cost Summary'!A1"/>
    <hyperlink ref="UGQ8" location="'Cost Summary'!A1" display="'Cost Summary'!A1"/>
    <hyperlink ref="UGR8" location="'Cost Summary'!A1" display="'Cost Summary'!A1"/>
    <hyperlink ref="UGS8" location="'Cost Summary'!A1" display="'Cost Summary'!A1"/>
    <hyperlink ref="UGT8" location="'Cost Summary'!A1" display="'Cost Summary'!A1"/>
    <hyperlink ref="UGU8" location="'Cost Summary'!A1" display="'Cost Summary'!A1"/>
    <hyperlink ref="UGV8" location="'Cost Summary'!A1" display="'Cost Summary'!A1"/>
    <hyperlink ref="UGW8" location="'Cost Summary'!A1" display="'Cost Summary'!A1"/>
    <hyperlink ref="UGX8" location="'Cost Summary'!A1" display="'Cost Summary'!A1"/>
    <hyperlink ref="UGY8" location="'Cost Summary'!A1" display="'Cost Summary'!A1"/>
    <hyperlink ref="UGZ8" location="'Cost Summary'!A1" display="'Cost Summary'!A1"/>
    <hyperlink ref="UHA8" location="'Cost Summary'!A1" display="'Cost Summary'!A1"/>
    <hyperlink ref="UHB8" location="'Cost Summary'!A1" display="'Cost Summary'!A1"/>
    <hyperlink ref="UHC8" location="'Cost Summary'!A1" display="'Cost Summary'!A1"/>
    <hyperlink ref="UHD8" location="'Cost Summary'!A1" display="'Cost Summary'!A1"/>
    <hyperlink ref="UHE8" location="'Cost Summary'!A1" display="'Cost Summary'!A1"/>
    <hyperlink ref="UHF8" location="'Cost Summary'!A1" display="'Cost Summary'!A1"/>
    <hyperlink ref="UHG8" location="'Cost Summary'!A1" display="'Cost Summary'!A1"/>
    <hyperlink ref="UHH8" location="'Cost Summary'!A1" display="'Cost Summary'!A1"/>
    <hyperlink ref="UHI8" location="'Cost Summary'!A1" display="'Cost Summary'!A1"/>
    <hyperlink ref="UHJ8" location="'Cost Summary'!A1" display="'Cost Summary'!A1"/>
    <hyperlink ref="UHK8" location="'Cost Summary'!A1" display="'Cost Summary'!A1"/>
    <hyperlink ref="UHL8" location="'Cost Summary'!A1" display="'Cost Summary'!A1"/>
    <hyperlink ref="UHM8" location="'Cost Summary'!A1" display="'Cost Summary'!A1"/>
    <hyperlink ref="UHN8" location="'Cost Summary'!A1" display="'Cost Summary'!A1"/>
    <hyperlink ref="UHO8" location="'Cost Summary'!A1" display="'Cost Summary'!A1"/>
    <hyperlink ref="UHP8" location="'Cost Summary'!A1" display="'Cost Summary'!A1"/>
    <hyperlink ref="UHQ8" location="'Cost Summary'!A1" display="'Cost Summary'!A1"/>
    <hyperlink ref="UHR8" location="'Cost Summary'!A1" display="'Cost Summary'!A1"/>
    <hyperlink ref="UHS8" location="'Cost Summary'!A1" display="'Cost Summary'!A1"/>
    <hyperlink ref="UHT8" location="'Cost Summary'!A1" display="'Cost Summary'!A1"/>
    <hyperlink ref="UHU8" location="'Cost Summary'!A1" display="'Cost Summary'!A1"/>
    <hyperlink ref="UHV8" location="'Cost Summary'!A1" display="'Cost Summary'!A1"/>
    <hyperlink ref="UHW8" location="'Cost Summary'!A1" display="'Cost Summary'!A1"/>
    <hyperlink ref="UHX8" location="'Cost Summary'!A1" display="'Cost Summary'!A1"/>
    <hyperlink ref="UHY8" location="'Cost Summary'!A1" display="'Cost Summary'!A1"/>
    <hyperlink ref="UHZ8" location="'Cost Summary'!A1" display="'Cost Summary'!A1"/>
    <hyperlink ref="UIA8" location="'Cost Summary'!A1" display="'Cost Summary'!A1"/>
    <hyperlink ref="UIB8" location="'Cost Summary'!A1" display="'Cost Summary'!A1"/>
    <hyperlink ref="UIC8" location="'Cost Summary'!A1" display="'Cost Summary'!A1"/>
    <hyperlink ref="UID8" location="'Cost Summary'!A1" display="'Cost Summary'!A1"/>
    <hyperlink ref="UIE8" location="'Cost Summary'!A1" display="'Cost Summary'!A1"/>
    <hyperlink ref="UIF8" location="'Cost Summary'!A1" display="'Cost Summary'!A1"/>
    <hyperlink ref="UIG8" location="'Cost Summary'!A1" display="'Cost Summary'!A1"/>
    <hyperlink ref="UIH8" location="'Cost Summary'!A1" display="'Cost Summary'!A1"/>
    <hyperlink ref="UII8" location="'Cost Summary'!A1" display="'Cost Summary'!A1"/>
    <hyperlink ref="UIJ8" location="'Cost Summary'!A1" display="'Cost Summary'!A1"/>
    <hyperlink ref="UIK8" location="'Cost Summary'!A1" display="'Cost Summary'!A1"/>
    <hyperlink ref="UIL8" location="'Cost Summary'!A1" display="'Cost Summary'!A1"/>
    <hyperlink ref="UIM8" location="'Cost Summary'!A1" display="'Cost Summary'!A1"/>
    <hyperlink ref="UIN8" location="'Cost Summary'!A1" display="'Cost Summary'!A1"/>
    <hyperlink ref="UIO8" location="'Cost Summary'!A1" display="'Cost Summary'!A1"/>
    <hyperlink ref="UIP8" location="'Cost Summary'!A1" display="'Cost Summary'!A1"/>
    <hyperlink ref="UIQ8" location="'Cost Summary'!A1" display="'Cost Summary'!A1"/>
    <hyperlink ref="UIR8" location="'Cost Summary'!A1" display="'Cost Summary'!A1"/>
    <hyperlink ref="UIS8" location="'Cost Summary'!A1" display="'Cost Summary'!A1"/>
    <hyperlink ref="UIT8" location="'Cost Summary'!A1" display="'Cost Summary'!A1"/>
    <hyperlink ref="UIU8" location="'Cost Summary'!A1" display="'Cost Summary'!A1"/>
    <hyperlink ref="UIV8" location="'Cost Summary'!A1" display="'Cost Summary'!A1"/>
    <hyperlink ref="UIW8" location="'Cost Summary'!A1" display="'Cost Summary'!A1"/>
    <hyperlink ref="UIX8" location="'Cost Summary'!A1" display="'Cost Summary'!A1"/>
    <hyperlink ref="UIY8" location="'Cost Summary'!A1" display="'Cost Summary'!A1"/>
    <hyperlink ref="UIZ8" location="'Cost Summary'!A1" display="'Cost Summary'!A1"/>
    <hyperlink ref="UJA8" location="'Cost Summary'!A1" display="'Cost Summary'!A1"/>
    <hyperlink ref="UJB8" location="'Cost Summary'!A1" display="'Cost Summary'!A1"/>
    <hyperlink ref="UJC8" location="'Cost Summary'!A1" display="'Cost Summary'!A1"/>
    <hyperlink ref="UJD8" location="'Cost Summary'!A1" display="'Cost Summary'!A1"/>
    <hyperlink ref="UJE8" location="'Cost Summary'!A1" display="'Cost Summary'!A1"/>
    <hyperlink ref="UJF8" location="'Cost Summary'!A1" display="'Cost Summary'!A1"/>
    <hyperlink ref="UJG8" location="'Cost Summary'!A1" display="'Cost Summary'!A1"/>
    <hyperlink ref="UJH8" location="'Cost Summary'!A1" display="'Cost Summary'!A1"/>
    <hyperlink ref="UJI8" location="'Cost Summary'!A1" display="'Cost Summary'!A1"/>
    <hyperlink ref="UJJ8" location="'Cost Summary'!A1" display="'Cost Summary'!A1"/>
    <hyperlink ref="UJK8" location="'Cost Summary'!A1" display="'Cost Summary'!A1"/>
    <hyperlink ref="UJL8" location="'Cost Summary'!A1" display="'Cost Summary'!A1"/>
    <hyperlink ref="UJM8" location="'Cost Summary'!A1" display="'Cost Summary'!A1"/>
    <hyperlink ref="UJN8" location="'Cost Summary'!A1" display="'Cost Summary'!A1"/>
    <hyperlink ref="UJO8" location="'Cost Summary'!A1" display="'Cost Summary'!A1"/>
    <hyperlink ref="UJP8" location="'Cost Summary'!A1" display="'Cost Summary'!A1"/>
    <hyperlink ref="UJQ8" location="'Cost Summary'!A1" display="'Cost Summary'!A1"/>
    <hyperlink ref="UJR8" location="'Cost Summary'!A1" display="'Cost Summary'!A1"/>
    <hyperlink ref="UJS8" location="'Cost Summary'!A1" display="'Cost Summary'!A1"/>
    <hyperlink ref="UJT8" location="'Cost Summary'!A1" display="'Cost Summary'!A1"/>
    <hyperlink ref="UJU8" location="'Cost Summary'!A1" display="'Cost Summary'!A1"/>
    <hyperlink ref="UJV8" location="'Cost Summary'!A1" display="'Cost Summary'!A1"/>
    <hyperlink ref="UJW8" location="'Cost Summary'!A1" display="'Cost Summary'!A1"/>
    <hyperlink ref="UJX8" location="'Cost Summary'!A1" display="'Cost Summary'!A1"/>
    <hyperlink ref="UJY8" location="'Cost Summary'!A1" display="'Cost Summary'!A1"/>
    <hyperlink ref="UJZ8" location="'Cost Summary'!A1" display="'Cost Summary'!A1"/>
    <hyperlink ref="UKA8" location="'Cost Summary'!A1" display="'Cost Summary'!A1"/>
    <hyperlink ref="UKB8" location="'Cost Summary'!A1" display="'Cost Summary'!A1"/>
    <hyperlink ref="UKC8" location="'Cost Summary'!A1" display="'Cost Summary'!A1"/>
    <hyperlink ref="UKD8" location="'Cost Summary'!A1" display="'Cost Summary'!A1"/>
    <hyperlink ref="UKE8" location="'Cost Summary'!A1" display="'Cost Summary'!A1"/>
    <hyperlink ref="UKF8" location="'Cost Summary'!A1" display="'Cost Summary'!A1"/>
    <hyperlink ref="UKG8" location="'Cost Summary'!A1" display="'Cost Summary'!A1"/>
    <hyperlink ref="UKH8" location="'Cost Summary'!A1" display="'Cost Summary'!A1"/>
    <hyperlink ref="UKI8" location="'Cost Summary'!A1" display="'Cost Summary'!A1"/>
    <hyperlink ref="UKJ8" location="'Cost Summary'!A1" display="'Cost Summary'!A1"/>
    <hyperlink ref="UKK8" location="'Cost Summary'!A1" display="'Cost Summary'!A1"/>
    <hyperlink ref="UKL8" location="'Cost Summary'!A1" display="'Cost Summary'!A1"/>
    <hyperlink ref="UKM8" location="'Cost Summary'!A1" display="'Cost Summary'!A1"/>
    <hyperlink ref="UKN8" location="'Cost Summary'!A1" display="'Cost Summary'!A1"/>
    <hyperlink ref="UKO8" location="'Cost Summary'!A1" display="'Cost Summary'!A1"/>
    <hyperlink ref="UKP8" location="'Cost Summary'!A1" display="'Cost Summary'!A1"/>
    <hyperlink ref="UKQ8" location="'Cost Summary'!A1" display="'Cost Summary'!A1"/>
    <hyperlink ref="UKR8" location="'Cost Summary'!A1" display="'Cost Summary'!A1"/>
    <hyperlink ref="UKS8" location="'Cost Summary'!A1" display="'Cost Summary'!A1"/>
    <hyperlink ref="UKT8" location="'Cost Summary'!A1" display="'Cost Summary'!A1"/>
    <hyperlink ref="UKU8" location="'Cost Summary'!A1" display="'Cost Summary'!A1"/>
    <hyperlink ref="UKV8" location="'Cost Summary'!A1" display="'Cost Summary'!A1"/>
    <hyperlink ref="UKW8" location="'Cost Summary'!A1" display="'Cost Summary'!A1"/>
    <hyperlink ref="UKX8" location="'Cost Summary'!A1" display="'Cost Summary'!A1"/>
    <hyperlink ref="UKY8" location="'Cost Summary'!A1" display="'Cost Summary'!A1"/>
    <hyperlink ref="UKZ8" location="'Cost Summary'!A1" display="'Cost Summary'!A1"/>
    <hyperlink ref="ULA8" location="'Cost Summary'!A1" display="'Cost Summary'!A1"/>
    <hyperlink ref="ULB8" location="'Cost Summary'!A1" display="'Cost Summary'!A1"/>
    <hyperlink ref="ULC8" location="'Cost Summary'!A1" display="'Cost Summary'!A1"/>
    <hyperlink ref="ULD8" location="'Cost Summary'!A1" display="'Cost Summary'!A1"/>
    <hyperlink ref="ULE8" location="'Cost Summary'!A1" display="'Cost Summary'!A1"/>
    <hyperlink ref="ULF8" location="'Cost Summary'!A1" display="'Cost Summary'!A1"/>
    <hyperlink ref="ULG8" location="'Cost Summary'!A1" display="'Cost Summary'!A1"/>
    <hyperlink ref="ULH8" location="'Cost Summary'!A1" display="'Cost Summary'!A1"/>
    <hyperlink ref="ULI8" location="'Cost Summary'!A1" display="'Cost Summary'!A1"/>
    <hyperlink ref="ULJ8" location="'Cost Summary'!A1" display="'Cost Summary'!A1"/>
    <hyperlink ref="ULK8" location="'Cost Summary'!A1" display="'Cost Summary'!A1"/>
    <hyperlink ref="ULL8" location="'Cost Summary'!A1" display="'Cost Summary'!A1"/>
    <hyperlink ref="ULM8" location="'Cost Summary'!A1" display="'Cost Summary'!A1"/>
    <hyperlink ref="ULN8" location="'Cost Summary'!A1" display="'Cost Summary'!A1"/>
    <hyperlink ref="ULO8" location="'Cost Summary'!A1" display="'Cost Summary'!A1"/>
    <hyperlink ref="ULP8" location="'Cost Summary'!A1" display="'Cost Summary'!A1"/>
    <hyperlink ref="ULQ8" location="'Cost Summary'!A1" display="'Cost Summary'!A1"/>
    <hyperlink ref="ULR8" location="'Cost Summary'!A1" display="'Cost Summary'!A1"/>
    <hyperlink ref="ULS8" location="'Cost Summary'!A1" display="'Cost Summary'!A1"/>
    <hyperlink ref="ULT8" location="'Cost Summary'!A1" display="'Cost Summary'!A1"/>
    <hyperlink ref="ULU8" location="'Cost Summary'!A1" display="'Cost Summary'!A1"/>
    <hyperlink ref="ULV8" location="'Cost Summary'!A1" display="'Cost Summary'!A1"/>
    <hyperlink ref="ULW8" location="'Cost Summary'!A1" display="'Cost Summary'!A1"/>
    <hyperlink ref="ULX8" location="'Cost Summary'!A1" display="'Cost Summary'!A1"/>
    <hyperlink ref="ULY8" location="'Cost Summary'!A1" display="'Cost Summary'!A1"/>
    <hyperlink ref="ULZ8" location="'Cost Summary'!A1" display="'Cost Summary'!A1"/>
    <hyperlink ref="UMA8" location="'Cost Summary'!A1" display="'Cost Summary'!A1"/>
    <hyperlink ref="UMB8" location="'Cost Summary'!A1" display="'Cost Summary'!A1"/>
    <hyperlink ref="UMC8" location="'Cost Summary'!A1" display="'Cost Summary'!A1"/>
    <hyperlink ref="UMD8" location="'Cost Summary'!A1" display="'Cost Summary'!A1"/>
    <hyperlink ref="UME8" location="'Cost Summary'!A1" display="'Cost Summary'!A1"/>
    <hyperlink ref="UMF8" location="'Cost Summary'!A1" display="'Cost Summary'!A1"/>
    <hyperlink ref="UMG8" location="'Cost Summary'!A1" display="'Cost Summary'!A1"/>
    <hyperlink ref="UMH8" location="'Cost Summary'!A1" display="'Cost Summary'!A1"/>
    <hyperlink ref="UMI8" location="'Cost Summary'!A1" display="'Cost Summary'!A1"/>
    <hyperlink ref="UMJ8" location="'Cost Summary'!A1" display="'Cost Summary'!A1"/>
    <hyperlink ref="UMK8" location="'Cost Summary'!A1" display="'Cost Summary'!A1"/>
    <hyperlink ref="UML8" location="'Cost Summary'!A1" display="'Cost Summary'!A1"/>
    <hyperlink ref="UMM8" location="'Cost Summary'!A1" display="'Cost Summary'!A1"/>
    <hyperlink ref="UMN8" location="'Cost Summary'!A1" display="'Cost Summary'!A1"/>
    <hyperlink ref="UMO8" location="'Cost Summary'!A1" display="'Cost Summary'!A1"/>
    <hyperlink ref="UMP8" location="'Cost Summary'!A1" display="'Cost Summary'!A1"/>
    <hyperlink ref="UMQ8" location="'Cost Summary'!A1" display="'Cost Summary'!A1"/>
    <hyperlink ref="UMR8" location="'Cost Summary'!A1" display="'Cost Summary'!A1"/>
    <hyperlink ref="UMS8" location="'Cost Summary'!A1" display="'Cost Summary'!A1"/>
    <hyperlink ref="UMT8" location="'Cost Summary'!A1" display="'Cost Summary'!A1"/>
    <hyperlink ref="UMU8" location="'Cost Summary'!A1" display="'Cost Summary'!A1"/>
    <hyperlink ref="UMV8" location="'Cost Summary'!A1" display="'Cost Summary'!A1"/>
    <hyperlink ref="UMW8" location="'Cost Summary'!A1" display="'Cost Summary'!A1"/>
    <hyperlink ref="UMX8" location="'Cost Summary'!A1" display="'Cost Summary'!A1"/>
    <hyperlink ref="UMY8" location="'Cost Summary'!A1" display="'Cost Summary'!A1"/>
    <hyperlink ref="UMZ8" location="'Cost Summary'!A1" display="'Cost Summary'!A1"/>
    <hyperlink ref="UNA8" location="'Cost Summary'!A1" display="'Cost Summary'!A1"/>
    <hyperlink ref="UNB8" location="'Cost Summary'!A1" display="'Cost Summary'!A1"/>
    <hyperlink ref="UNC8" location="'Cost Summary'!A1" display="'Cost Summary'!A1"/>
    <hyperlink ref="UND8" location="'Cost Summary'!A1" display="'Cost Summary'!A1"/>
    <hyperlink ref="UNE8" location="'Cost Summary'!A1" display="'Cost Summary'!A1"/>
    <hyperlink ref="UNF8" location="'Cost Summary'!A1" display="'Cost Summary'!A1"/>
    <hyperlink ref="UNG8" location="'Cost Summary'!A1" display="'Cost Summary'!A1"/>
    <hyperlink ref="UNH8" location="'Cost Summary'!A1" display="'Cost Summary'!A1"/>
    <hyperlink ref="UNI8" location="'Cost Summary'!A1" display="'Cost Summary'!A1"/>
    <hyperlink ref="UNJ8" location="'Cost Summary'!A1" display="'Cost Summary'!A1"/>
    <hyperlink ref="UNK8" location="'Cost Summary'!A1" display="'Cost Summary'!A1"/>
    <hyperlink ref="UNL8" location="'Cost Summary'!A1" display="'Cost Summary'!A1"/>
    <hyperlink ref="UNM8" location="'Cost Summary'!A1" display="'Cost Summary'!A1"/>
    <hyperlink ref="UNN8" location="'Cost Summary'!A1" display="'Cost Summary'!A1"/>
    <hyperlink ref="UNO8" location="'Cost Summary'!A1" display="'Cost Summary'!A1"/>
    <hyperlink ref="UNP8" location="'Cost Summary'!A1" display="'Cost Summary'!A1"/>
    <hyperlink ref="UNQ8" location="'Cost Summary'!A1" display="'Cost Summary'!A1"/>
    <hyperlink ref="UNR8" location="'Cost Summary'!A1" display="'Cost Summary'!A1"/>
    <hyperlink ref="UNS8" location="'Cost Summary'!A1" display="'Cost Summary'!A1"/>
    <hyperlink ref="UNT8" location="'Cost Summary'!A1" display="'Cost Summary'!A1"/>
    <hyperlink ref="UNU8" location="'Cost Summary'!A1" display="'Cost Summary'!A1"/>
    <hyperlink ref="UNV8" location="'Cost Summary'!A1" display="'Cost Summary'!A1"/>
    <hyperlink ref="UNW8" location="'Cost Summary'!A1" display="'Cost Summary'!A1"/>
    <hyperlink ref="UNX8" location="'Cost Summary'!A1" display="'Cost Summary'!A1"/>
    <hyperlink ref="UNY8" location="'Cost Summary'!A1" display="'Cost Summary'!A1"/>
    <hyperlink ref="UNZ8" location="'Cost Summary'!A1" display="'Cost Summary'!A1"/>
    <hyperlink ref="UOA8" location="'Cost Summary'!A1" display="'Cost Summary'!A1"/>
    <hyperlink ref="UOB8" location="'Cost Summary'!A1" display="'Cost Summary'!A1"/>
    <hyperlink ref="UOC8" location="'Cost Summary'!A1" display="'Cost Summary'!A1"/>
    <hyperlink ref="UOD8" location="'Cost Summary'!A1" display="'Cost Summary'!A1"/>
    <hyperlink ref="UOE8" location="'Cost Summary'!A1" display="'Cost Summary'!A1"/>
    <hyperlink ref="UOF8" location="'Cost Summary'!A1" display="'Cost Summary'!A1"/>
    <hyperlink ref="UOG8" location="'Cost Summary'!A1" display="'Cost Summary'!A1"/>
    <hyperlink ref="UOH8" location="'Cost Summary'!A1" display="'Cost Summary'!A1"/>
    <hyperlink ref="UOI8" location="'Cost Summary'!A1" display="'Cost Summary'!A1"/>
    <hyperlink ref="UOJ8" location="'Cost Summary'!A1" display="'Cost Summary'!A1"/>
    <hyperlink ref="UOK8" location="'Cost Summary'!A1" display="'Cost Summary'!A1"/>
    <hyperlink ref="UOL8" location="'Cost Summary'!A1" display="'Cost Summary'!A1"/>
    <hyperlink ref="UOM8" location="'Cost Summary'!A1" display="'Cost Summary'!A1"/>
    <hyperlink ref="UON8" location="'Cost Summary'!A1" display="'Cost Summary'!A1"/>
    <hyperlink ref="UOO8" location="'Cost Summary'!A1" display="'Cost Summary'!A1"/>
    <hyperlink ref="UOP8" location="'Cost Summary'!A1" display="'Cost Summary'!A1"/>
    <hyperlink ref="UOQ8" location="'Cost Summary'!A1" display="'Cost Summary'!A1"/>
    <hyperlink ref="UOR8" location="'Cost Summary'!A1" display="'Cost Summary'!A1"/>
    <hyperlink ref="UOS8" location="'Cost Summary'!A1" display="'Cost Summary'!A1"/>
    <hyperlink ref="UOT8" location="'Cost Summary'!A1" display="'Cost Summary'!A1"/>
    <hyperlink ref="UOU8" location="'Cost Summary'!A1" display="'Cost Summary'!A1"/>
    <hyperlink ref="UOV8" location="'Cost Summary'!A1" display="'Cost Summary'!A1"/>
    <hyperlink ref="UOW8" location="'Cost Summary'!A1" display="'Cost Summary'!A1"/>
    <hyperlink ref="UOX8" location="'Cost Summary'!A1" display="'Cost Summary'!A1"/>
    <hyperlink ref="UOY8" location="'Cost Summary'!A1" display="'Cost Summary'!A1"/>
    <hyperlink ref="UOZ8" location="'Cost Summary'!A1" display="'Cost Summary'!A1"/>
    <hyperlink ref="UPA8" location="'Cost Summary'!A1" display="'Cost Summary'!A1"/>
    <hyperlink ref="UPB8" location="'Cost Summary'!A1" display="'Cost Summary'!A1"/>
    <hyperlink ref="UPC8" location="'Cost Summary'!A1" display="'Cost Summary'!A1"/>
    <hyperlink ref="UPD8" location="'Cost Summary'!A1" display="'Cost Summary'!A1"/>
    <hyperlink ref="UPE8" location="'Cost Summary'!A1" display="'Cost Summary'!A1"/>
    <hyperlink ref="UPF8" location="'Cost Summary'!A1" display="'Cost Summary'!A1"/>
    <hyperlink ref="UPG8" location="'Cost Summary'!A1" display="'Cost Summary'!A1"/>
    <hyperlink ref="UPH8" location="'Cost Summary'!A1" display="'Cost Summary'!A1"/>
    <hyperlink ref="UPI8" location="'Cost Summary'!A1" display="'Cost Summary'!A1"/>
    <hyperlink ref="UPJ8" location="'Cost Summary'!A1" display="'Cost Summary'!A1"/>
    <hyperlink ref="UPK8" location="'Cost Summary'!A1" display="'Cost Summary'!A1"/>
    <hyperlink ref="UPL8" location="'Cost Summary'!A1" display="'Cost Summary'!A1"/>
    <hyperlink ref="UPM8" location="'Cost Summary'!A1" display="'Cost Summary'!A1"/>
    <hyperlink ref="UPN8" location="'Cost Summary'!A1" display="'Cost Summary'!A1"/>
    <hyperlink ref="UPO8" location="'Cost Summary'!A1" display="'Cost Summary'!A1"/>
    <hyperlink ref="UPP8" location="'Cost Summary'!A1" display="'Cost Summary'!A1"/>
    <hyperlink ref="UPQ8" location="'Cost Summary'!A1" display="'Cost Summary'!A1"/>
    <hyperlink ref="UPR8" location="'Cost Summary'!A1" display="'Cost Summary'!A1"/>
    <hyperlink ref="UPS8" location="'Cost Summary'!A1" display="'Cost Summary'!A1"/>
    <hyperlink ref="UPT8" location="'Cost Summary'!A1" display="'Cost Summary'!A1"/>
    <hyperlink ref="UPU8" location="'Cost Summary'!A1" display="'Cost Summary'!A1"/>
    <hyperlink ref="UPV8" location="'Cost Summary'!A1" display="'Cost Summary'!A1"/>
    <hyperlink ref="UPW8" location="'Cost Summary'!A1" display="'Cost Summary'!A1"/>
    <hyperlink ref="UPX8" location="'Cost Summary'!A1" display="'Cost Summary'!A1"/>
    <hyperlink ref="UPY8" location="'Cost Summary'!A1" display="'Cost Summary'!A1"/>
    <hyperlink ref="UPZ8" location="'Cost Summary'!A1" display="'Cost Summary'!A1"/>
    <hyperlink ref="UQA8" location="'Cost Summary'!A1" display="'Cost Summary'!A1"/>
    <hyperlink ref="UQB8" location="'Cost Summary'!A1" display="'Cost Summary'!A1"/>
    <hyperlink ref="UQC8" location="'Cost Summary'!A1" display="'Cost Summary'!A1"/>
    <hyperlink ref="UQD8" location="'Cost Summary'!A1" display="'Cost Summary'!A1"/>
    <hyperlink ref="UQE8" location="'Cost Summary'!A1" display="'Cost Summary'!A1"/>
    <hyperlink ref="UQF8" location="'Cost Summary'!A1" display="'Cost Summary'!A1"/>
    <hyperlink ref="UQG8" location="'Cost Summary'!A1" display="'Cost Summary'!A1"/>
    <hyperlink ref="UQH8" location="'Cost Summary'!A1" display="'Cost Summary'!A1"/>
    <hyperlink ref="UQI8" location="'Cost Summary'!A1" display="'Cost Summary'!A1"/>
    <hyperlink ref="UQJ8" location="'Cost Summary'!A1" display="'Cost Summary'!A1"/>
    <hyperlink ref="UQK8" location="'Cost Summary'!A1" display="'Cost Summary'!A1"/>
    <hyperlink ref="UQL8" location="'Cost Summary'!A1" display="'Cost Summary'!A1"/>
    <hyperlink ref="UQM8" location="'Cost Summary'!A1" display="'Cost Summary'!A1"/>
    <hyperlink ref="UQN8" location="'Cost Summary'!A1" display="'Cost Summary'!A1"/>
    <hyperlink ref="UQO8" location="'Cost Summary'!A1" display="'Cost Summary'!A1"/>
    <hyperlink ref="UQP8" location="'Cost Summary'!A1" display="'Cost Summary'!A1"/>
    <hyperlink ref="UQQ8" location="'Cost Summary'!A1" display="'Cost Summary'!A1"/>
    <hyperlink ref="UQR8" location="'Cost Summary'!A1" display="'Cost Summary'!A1"/>
    <hyperlink ref="UQS8" location="'Cost Summary'!A1" display="'Cost Summary'!A1"/>
    <hyperlink ref="UQT8" location="'Cost Summary'!A1" display="'Cost Summary'!A1"/>
    <hyperlink ref="UQU8" location="'Cost Summary'!A1" display="'Cost Summary'!A1"/>
    <hyperlink ref="UQV8" location="'Cost Summary'!A1" display="'Cost Summary'!A1"/>
    <hyperlink ref="UQW8" location="'Cost Summary'!A1" display="'Cost Summary'!A1"/>
    <hyperlink ref="UQX8" location="'Cost Summary'!A1" display="'Cost Summary'!A1"/>
    <hyperlink ref="UQY8" location="'Cost Summary'!A1" display="'Cost Summary'!A1"/>
    <hyperlink ref="UQZ8" location="'Cost Summary'!A1" display="'Cost Summary'!A1"/>
    <hyperlink ref="URA8" location="'Cost Summary'!A1" display="'Cost Summary'!A1"/>
    <hyperlink ref="URB8" location="'Cost Summary'!A1" display="'Cost Summary'!A1"/>
    <hyperlink ref="URC8" location="'Cost Summary'!A1" display="'Cost Summary'!A1"/>
    <hyperlink ref="URD8" location="'Cost Summary'!A1" display="'Cost Summary'!A1"/>
    <hyperlink ref="URE8" location="'Cost Summary'!A1" display="'Cost Summary'!A1"/>
    <hyperlink ref="URF8" location="'Cost Summary'!A1" display="'Cost Summary'!A1"/>
    <hyperlink ref="URG8" location="'Cost Summary'!A1" display="'Cost Summary'!A1"/>
    <hyperlink ref="URH8" location="'Cost Summary'!A1" display="'Cost Summary'!A1"/>
    <hyperlink ref="URI8" location="'Cost Summary'!A1" display="'Cost Summary'!A1"/>
    <hyperlink ref="URJ8" location="'Cost Summary'!A1" display="'Cost Summary'!A1"/>
    <hyperlink ref="URK8" location="'Cost Summary'!A1" display="'Cost Summary'!A1"/>
    <hyperlink ref="URL8" location="'Cost Summary'!A1" display="'Cost Summary'!A1"/>
    <hyperlink ref="URM8" location="'Cost Summary'!A1" display="'Cost Summary'!A1"/>
    <hyperlink ref="URN8" location="'Cost Summary'!A1" display="'Cost Summary'!A1"/>
    <hyperlink ref="URO8" location="'Cost Summary'!A1" display="'Cost Summary'!A1"/>
    <hyperlink ref="URP8" location="'Cost Summary'!A1" display="'Cost Summary'!A1"/>
    <hyperlink ref="URQ8" location="'Cost Summary'!A1" display="'Cost Summary'!A1"/>
    <hyperlink ref="URR8" location="'Cost Summary'!A1" display="'Cost Summary'!A1"/>
    <hyperlink ref="URS8" location="'Cost Summary'!A1" display="'Cost Summary'!A1"/>
    <hyperlink ref="URT8" location="'Cost Summary'!A1" display="'Cost Summary'!A1"/>
    <hyperlink ref="URU8" location="'Cost Summary'!A1" display="'Cost Summary'!A1"/>
    <hyperlink ref="URV8" location="'Cost Summary'!A1" display="'Cost Summary'!A1"/>
    <hyperlink ref="URW8" location="'Cost Summary'!A1" display="'Cost Summary'!A1"/>
    <hyperlink ref="URX8" location="'Cost Summary'!A1" display="'Cost Summary'!A1"/>
    <hyperlink ref="URY8" location="'Cost Summary'!A1" display="'Cost Summary'!A1"/>
    <hyperlink ref="URZ8" location="'Cost Summary'!A1" display="'Cost Summary'!A1"/>
    <hyperlink ref="USA8" location="'Cost Summary'!A1" display="'Cost Summary'!A1"/>
    <hyperlink ref="USB8" location="'Cost Summary'!A1" display="'Cost Summary'!A1"/>
    <hyperlink ref="USC8" location="'Cost Summary'!A1" display="'Cost Summary'!A1"/>
    <hyperlink ref="USD8" location="'Cost Summary'!A1" display="'Cost Summary'!A1"/>
    <hyperlink ref="USE8" location="'Cost Summary'!A1" display="'Cost Summary'!A1"/>
    <hyperlink ref="USF8" location="'Cost Summary'!A1" display="'Cost Summary'!A1"/>
    <hyperlink ref="USG8" location="'Cost Summary'!A1" display="'Cost Summary'!A1"/>
    <hyperlink ref="USH8" location="'Cost Summary'!A1" display="'Cost Summary'!A1"/>
    <hyperlink ref="USI8" location="'Cost Summary'!A1" display="'Cost Summary'!A1"/>
    <hyperlink ref="USJ8" location="'Cost Summary'!A1" display="'Cost Summary'!A1"/>
    <hyperlink ref="USK8" location="'Cost Summary'!A1" display="'Cost Summary'!A1"/>
    <hyperlink ref="USL8" location="'Cost Summary'!A1" display="'Cost Summary'!A1"/>
    <hyperlink ref="USM8" location="'Cost Summary'!A1" display="'Cost Summary'!A1"/>
    <hyperlink ref="USN8" location="'Cost Summary'!A1" display="'Cost Summary'!A1"/>
    <hyperlink ref="USO8" location="'Cost Summary'!A1" display="'Cost Summary'!A1"/>
    <hyperlink ref="USP8" location="'Cost Summary'!A1" display="'Cost Summary'!A1"/>
    <hyperlink ref="USQ8" location="'Cost Summary'!A1" display="'Cost Summary'!A1"/>
    <hyperlink ref="USR8" location="'Cost Summary'!A1" display="'Cost Summary'!A1"/>
    <hyperlink ref="USS8" location="'Cost Summary'!A1" display="'Cost Summary'!A1"/>
    <hyperlink ref="UST8" location="'Cost Summary'!A1" display="'Cost Summary'!A1"/>
    <hyperlink ref="USU8" location="'Cost Summary'!A1" display="'Cost Summary'!A1"/>
    <hyperlink ref="USV8" location="'Cost Summary'!A1" display="'Cost Summary'!A1"/>
    <hyperlink ref="USW8" location="'Cost Summary'!A1" display="'Cost Summary'!A1"/>
    <hyperlink ref="USX8" location="'Cost Summary'!A1" display="'Cost Summary'!A1"/>
    <hyperlink ref="USY8" location="'Cost Summary'!A1" display="'Cost Summary'!A1"/>
    <hyperlink ref="USZ8" location="'Cost Summary'!A1" display="'Cost Summary'!A1"/>
    <hyperlink ref="UTA8" location="'Cost Summary'!A1" display="'Cost Summary'!A1"/>
    <hyperlink ref="UTB8" location="'Cost Summary'!A1" display="'Cost Summary'!A1"/>
    <hyperlink ref="UTC8" location="'Cost Summary'!A1" display="'Cost Summary'!A1"/>
    <hyperlink ref="UTD8" location="'Cost Summary'!A1" display="'Cost Summary'!A1"/>
    <hyperlink ref="UTE8" location="'Cost Summary'!A1" display="'Cost Summary'!A1"/>
    <hyperlink ref="UTF8" location="'Cost Summary'!A1" display="'Cost Summary'!A1"/>
    <hyperlink ref="UTG8" location="'Cost Summary'!A1" display="'Cost Summary'!A1"/>
    <hyperlink ref="UTH8" location="'Cost Summary'!A1" display="'Cost Summary'!A1"/>
    <hyperlink ref="UTI8" location="'Cost Summary'!A1" display="'Cost Summary'!A1"/>
    <hyperlink ref="UTJ8" location="'Cost Summary'!A1" display="'Cost Summary'!A1"/>
    <hyperlink ref="UTK8" location="'Cost Summary'!A1" display="'Cost Summary'!A1"/>
    <hyperlink ref="UTL8" location="'Cost Summary'!A1" display="'Cost Summary'!A1"/>
    <hyperlink ref="UTM8" location="'Cost Summary'!A1" display="'Cost Summary'!A1"/>
    <hyperlink ref="UTN8" location="'Cost Summary'!A1" display="'Cost Summary'!A1"/>
    <hyperlink ref="UTO8" location="'Cost Summary'!A1" display="'Cost Summary'!A1"/>
    <hyperlink ref="UTP8" location="'Cost Summary'!A1" display="'Cost Summary'!A1"/>
    <hyperlink ref="UTQ8" location="'Cost Summary'!A1" display="'Cost Summary'!A1"/>
    <hyperlink ref="UTR8" location="'Cost Summary'!A1" display="'Cost Summary'!A1"/>
    <hyperlink ref="UTS8" location="'Cost Summary'!A1" display="'Cost Summary'!A1"/>
    <hyperlink ref="UTT8" location="'Cost Summary'!A1" display="'Cost Summary'!A1"/>
    <hyperlink ref="UTU8" location="'Cost Summary'!A1" display="'Cost Summary'!A1"/>
    <hyperlink ref="UTV8" location="'Cost Summary'!A1" display="'Cost Summary'!A1"/>
    <hyperlink ref="UTW8" location="'Cost Summary'!A1" display="'Cost Summary'!A1"/>
    <hyperlink ref="UTX8" location="'Cost Summary'!A1" display="'Cost Summary'!A1"/>
    <hyperlink ref="UTY8" location="'Cost Summary'!A1" display="'Cost Summary'!A1"/>
    <hyperlink ref="UTZ8" location="'Cost Summary'!A1" display="'Cost Summary'!A1"/>
    <hyperlink ref="UUA8" location="'Cost Summary'!A1" display="'Cost Summary'!A1"/>
    <hyperlink ref="UUB8" location="'Cost Summary'!A1" display="'Cost Summary'!A1"/>
    <hyperlink ref="UUC8" location="'Cost Summary'!A1" display="'Cost Summary'!A1"/>
    <hyperlink ref="UUD8" location="'Cost Summary'!A1" display="'Cost Summary'!A1"/>
    <hyperlink ref="UUE8" location="'Cost Summary'!A1" display="'Cost Summary'!A1"/>
    <hyperlink ref="UUF8" location="'Cost Summary'!A1" display="'Cost Summary'!A1"/>
    <hyperlink ref="UUG8" location="'Cost Summary'!A1" display="'Cost Summary'!A1"/>
    <hyperlink ref="UUH8" location="'Cost Summary'!A1" display="'Cost Summary'!A1"/>
    <hyperlink ref="UUI8" location="'Cost Summary'!A1" display="'Cost Summary'!A1"/>
    <hyperlink ref="UUJ8" location="'Cost Summary'!A1" display="'Cost Summary'!A1"/>
    <hyperlink ref="UUK8" location="'Cost Summary'!A1" display="'Cost Summary'!A1"/>
    <hyperlink ref="UUL8" location="'Cost Summary'!A1" display="'Cost Summary'!A1"/>
    <hyperlink ref="UUM8" location="'Cost Summary'!A1" display="'Cost Summary'!A1"/>
    <hyperlink ref="UUN8" location="'Cost Summary'!A1" display="'Cost Summary'!A1"/>
    <hyperlink ref="UUO8" location="'Cost Summary'!A1" display="'Cost Summary'!A1"/>
    <hyperlink ref="UUP8" location="'Cost Summary'!A1" display="'Cost Summary'!A1"/>
    <hyperlink ref="UUQ8" location="'Cost Summary'!A1" display="'Cost Summary'!A1"/>
    <hyperlink ref="UUR8" location="'Cost Summary'!A1" display="'Cost Summary'!A1"/>
    <hyperlink ref="UUS8" location="'Cost Summary'!A1" display="'Cost Summary'!A1"/>
    <hyperlink ref="UUT8" location="'Cost Summary'!A1" display="'Cost Summary'!A1"/>
    <hyperlink ref="UUU8" location="'Cost Summary'!A1" display="'Cost Summary'!A1"/>
    <hyperlink ref="UUV8" location="'Cost Summary'!A1" display="'Cost Summary'!A1"/>
    <hyperlink ref="UUW8" location="'Cost Summary'!A1" display="'Cost Summary'!A1"/>
    <hyperlink ref="UUX8" location="'Cost Summary'!A1" display="'Cost Summary'!A1"/>
    <hyperlink ref="UUY8" location="'Cost Summary'!A1" display="'Cost Summary'!A1"/>
    <hyperlink ref="UUZ8" location="'Cost Summary'!A1" display="'Cost Summary'!A1"/>
    <hyperlink ref="UVA8" location="'Cost Summary'!A1" display="'Cost Summary'!A1"/>
    <hyperlink ref="UVB8" location="'Cost Summary'!A1" display="'Cost Summary'!A1"/>
    <hyperlink ref="UVC8" location="'Cost Summary'!A1" display="'Cost Summary'!A1"/>
    <hyperlink ref="UVD8" location="'Cost Summary'!A1" display="'Cost Summary'!A1"/>
    <hyperlink ref="UVE8" location="'Cost Summary'!A1" display="'Cost Summary'!A1"/>
    <hyperlink ref="UVF8" location="'Cost Summary'!A1" display="'Cost Summary'!A1"/>
    <hyperlink ref="UVG8" location="'Cost Summary'!A1" display="'Cost Summary'!A1"/>
    <hyperlink ref="UVH8" location="'Cost Summary'!A1" display="'Cost Summary'!A1"/>
    <hyperlink ref="UVI8" location="'Cost Summary'!A1" display="'Cost Summary'!A1"/>
    <hyperlink ref="UVJ8" location="'Cost Summary'!A1" display="'Cost Summary'!A1"/>
    <hyperlink ref="UVK8" location="'Cost Summary'!A1" display="'Cost Summary'!A1"/>
    <hyperlink ref="UVL8" location="'Cost Summary'!A1" display="'Cost Summary'!A1"/>
    <hyperlink ref="UVM8" location="'Cost Summary'!A1" display="'Cost Summary'!A1"/>
    <hyperlink ref="UVN8" location="'Cost Summary'!A1" display="'Cost Summary'!A1"/>
    <hyperlink ref="UVO8" location="'Cost Summary'!A1" display="'Cost Summary'!A1"/>
    <hyperlink ref="UVP8" location="'Cost Summary'!A1" display="'Cost Summary'!A1"/>
    <hyperlink ref="UVQ8" location="'Cost Summary'!A1" display="'Cost Summary'!A1"/>
    <hyperlink ref="UVR8" location="'Cost Summary'!A1" display="'Cost Summary'!A1"/>
    <hyperlink ref="UVS8" location="'Cost Summary'!A1" display="'Cost Summary'!A1"/>
    <hyperlink ref="UVT8" location="'Cost Summary'!A1" display="'Cost Summary'!A1"/>
    <hyperlink ref="UVU8" location="'Cost Summary'!A1" display="'Cost Summary'!A1"/>
    <hyperlink ref="UVV8" location="'Cost Summary'!A1" display="'Cost Summary'!A1"/>
    <hyperlink ref="UVW8" location="'Cost Summary'!A1" display="'Cost Summary'!A1"/>
    <hyperlink ref="UVX8" location="'Cost Summary'!A1" display="'Cost Summary'!A1"/>
    <hyperlink ref="UVY8" location="'Cost Summary'!A1" display="'Cost Summary'!A1"/>
    <hyperlink ref="UVZ8" location="'Cost Summary'!A1" display="'Cost Summary'!A1"/>
    <hyperlink ref="UWA8" location="'Cost Summary'!A1" display="'Cost Summary'!A1"/>
    <hyperlink ref="UWB8" location="'Cost Summary'!A1" display="'Cost Summary'!A1"/>
    <hyperlink ref="UWC8" location="'Cost Summary'!A1" display="'Cost Summary'!A1"/>
    <hyperlink ref="UWD8" location="'Cost Summary'!A1" display="'Cost Summary'!A1"/>
    <hyperlink ref="UWE8" location="'Cost Summary'!A1" display="'Cost Summary'!A1"/>
    <hyperlink ref="UWF8" location="'Cost Summary'!A1" display="'Cost Summary'!A1"/>
    <hyperlink ref="UWG8" location="'Cost Summary'!A1" display="'Cost Summary'!A1"/>
    <hyperlink ref="UWH8" location="'Cost Summary'!A1" display="'Cost Summary'!A1"/>
    <hyperlink ref="UWI8" location="'Cost Summary'!A1" display="'Cost Summary'!A1"/>
    <hyperlink ref="UWJ8" location="'Cost Summary'!A1" display="'Cost Summary'!A1"/>
    <hyperlink ref="UWK8" location="'Cost Summary'!A1" display="'Cost Summary'!A1"/>
    <hyperlink ref="UWL8" location="'Cost Summary'!A1" display="'Cost Summary'!A1"/>
    <hyperlink ref="UWM8" location="'Cost Summary'!A1" display="'Cost Summary'!A1"/>
    <hyperlink ref="UWN8" location="'Cost Summary'!A1" display="'Cost Summary'!A1"/>
    <hyperlink ref="UWO8" location="'Cost Summary'!A1" display="'Cost Summary'!A1"/>
    <hyperlink ref="UWP8" location="'Cost Summary'!A1" display="'Cost Summary'!A1"/>
    <hyperlink ref="UWQ8" location="'Cost Summary'!A1" display="'Cost Summary'!A1"/>
    <hyperlink ref="UWR8" location="'Cost Summary'!A1" display="'Cost Summary'!A1"/>
    <hyperlink ref="UWS8" location="'Cost Summary'!A1" display="'Cost Summary'!A1"/>
    <hyperlink ref="UWT8" location="'Cost Summary'!A1" display="'Cost Summary'!A1"/>
    <hyperlink ref="UWU8" location="'Cost Summary'!A1" display="'Cost Summary'!A1"/>
    <hyperlink ref="UWV8" location="'Cost Summary'!A1" display="'Cost Summary'!A1"/>
    <hyperlink ref="UWW8" location="'Cost Summary'!A1" display="'Cost Summary'!A1"/>
    <hyperlink ref="UWX8" location="'Cost Summary'!A1" display="'Cost Summary'!A1"/>
    <hyperlink ref="UWY8" location="'Cost Summary'!A1" display="'Cost Summary'!A1"/>
    <hyperlink ref="UWZ8" location="'Cost Summary'!A1" display="'Cost Summary'!A1"/>
    <hyperlink ref="UXA8" location="'Cost Summary'!A1" display="'Cost Summary'!A1"/>
    <hyperlink ref="UXB8" location="'Cost Summary'!A1" display="'Cost Summary'!A1"/>
    <hyperlink ref="UXC8" location="'Cost Summary'!A1" display="'Cost Summary'!A1"/>
    <hyperlink ref="UXD8" location="'Cost Summary'!A1" display="'Cost Summary'!A1"/>
    <hyperlink ref="UXE8" location="'Cost Summary'!A1" display="'Cost Summary'!A1"/>
    <hyperlink ref="UXF8" location="'Cost Summary'!A1" display="'Cost Summary'!A1"/>
    <hyperlink ref="UXG8" location="'Cost Summary'!A1" display="'Cost Summary'!A1"/>
    <hyperlink ref="UXH8" location="'Cost Summary'!A1" display="'Cost Summary'!A1"/>
    <hyperlink ref="UXI8" location="'Cost Summary'!A1" display="'Cost Summary'!A1"/>
    <hyperlink ref="UXJ8" location="'Cost Summary'!A1" display="'Cost Summary'!A1"/>
    <hyperlink ref="UXK8" location="'Cost Summary'!A1" display="'Cost Summary'!A1"/>
    <hyperlink ref="UXL8" location="'Cost Summary'!A1" display="'Cost Summary'!A1"/>
    <hyperlink ref="UXM8" location="'Cost Summary'!A1" display="'Cost Summary'!A1"/>
    <hyperlink ref="UXN8" location="'Cost Summary'!A1" display="'Cost Summary'!A1"/>
    <hyperlink ref="UXO8" location="'Cost Summary'!A1" display="'Cost Summary'!A1"/>
    <hyperlink ref="UXP8" location="'Cost Summary'!A1" display="'Cost Summary'!A1"/>
    <hyperlink ref="UXQ8" location="'Cost Summary'!A1" display="'Cost Summary'!A1"/>
    <hyperlink ref="UXR8" location="'Cost Summary'!A1" display="'Cost Summary'!A1"/>
    <hyperlink ref="UXS8" location="'Cost Summary'!A1" display="'Cost Summary'!A1"/>
    <hyperlink ref="UXT8" location="'Cost Summary'!A1" display="'Cost Summary'!A1"/>
    <hyperlink ref="UXU8" location="'Cost Summary'!A1" display="'Cost Summary'!A1"/>
    <hyperlink ref="UXV8" location="'Cost Summary'!A1" display="'Cost Summary'!A1"/>
    <hyperlink ref="UXW8" location="'Cost Summary'!A1" display="'Cost Summary'!A1"/>
    <hyperlink ref="UXX8" location="'Cost Summary'!A1" display="'Cost Summary'!A1"/>
    <hyperlink ref="UXY8" location="'Cost Summary'!A1" display="'Cost Summary'!A1"/>
    <hyperlink ref="UXZ8" location="'Cost Summary'!A1" display="'Cost Summary'!A1"/>
    <hyperlink ref="UYA8" location="'Cost Summary'!A1" display="'Cost Summary'!A1"/>
    <hyperlink ref="UYB8" location="'Cost Summary'!A1" display="'Cost Summary'!A1"/>
    <hyperlink ref="UYC8" location="'Cost Summary'!A1" display="'Cost Summary'!A1"/>
    <hyperlink ref="UYD8" location="'Cost Summary'!A1" display="'Cost Summary'!A1"/>
    <hyperlink ref="UYE8" location="'Cost Summary'!A1" display="'Cost Summary'!A1"/>
    <hyperlink ref="UYF8" location="'Cost Summary'!A1" display="'Cost Summary'!A1"/>
    <hyperlink ref="UYG8" location="'Cost Summary'!A1" display="'Cost Summary'!A1"/>
    <hyperlink ref="UYH8" location="'Cost Summary'!A1" display="'Cost Summary'!A1"/>
    <hyperlink ref="UYI8" location="'Cost Summary'!A1" display="'Cost Summary'!A1"/>
    <hyperlink ref="UYJ8" location="'Cost Summary'!A1" display="'Cost Summary'!A1"/>
    <hyperlink ref="UYK8" location="'Cost Summary'!A1" display="'Cost Summary'!A1"/>
    <hyperlink ref="UYL8" location="'Cost Summary'!A1" display="'Cost Summary'!A1"/>
    <hyperlink ref="UYM8" location="'Cost Summary'!A1" display="'Cost Summary'!A1"/>
    <hyperlink ref="UYN8" location="'Cost Summary'!A1" display="'Cost Summary'!A1"/>
    <hyperlink ref="UYO8" location="'Cost Summary'!A1" display="'Cost Summary'!A1"/>
    <hyperlink ref="UYP8" location="'Cost Summary'!A1" display="'Cost Summary'!A1"/>
    <hyperlink ref="UYQ8" location="'Cost Summary'!A1" display="'Cost Summary'!A1"/>
    <hyperlink ref="UYR8" location="'Cost Summary'!A1" display="'Cost Summary'!A1"/>
    <hyperlink ref="UYS8" location="'Cost Summary'!A1" display="'Cost Summary'!A1"/>
    <hyperlink ref="UYT8" location="'Cost Summary'!A1" display="'Cost Summary'!A1"/>
    <hyperlink ref="UYU8" location="'Cost Summary'!A1" display="'Cost Summary'!A1"/>
    <hyperlink ref="UYV8" location="'Cost Summary'!A1" display="'Cost Summary'!A1"/>
    <hyperlink ref="UYW8" location="'Cost Summary'!A1" display="'Cost Summary'!A1"/>
    <hyperlink ref="UYX8" location="'Cost Summary'!A1" display="'Cost Summary'!A1"/>
    <hyperlink ref="UYY8" location="'Cost Summary'!A1" display="'Cost Summary'!A1"/>
    <hyperlink ref="UYZ8" location="'Cost Summary'!A1" display="'Cost Summary'!A1"/>
    <hyperlink ref="UZA8" location="'Cost Summary'!A1" display="'Cost Summary'!A1"/>
    <hyperlink ref="UZB8" location="'Cost Summary'!A1" display="'Cost Summary'!A1"/>
    <hyperlink ref="UZC8" location="'Cost Summary'!A1" display="'Cost Summary'!A1"/>
    <hyperlink ref="UZD8" location="'Cost Summary'!A1" display="'Cost Summary'!A1"/>
    <hyperlink ref="UZE8" location="'Cost Summary'!A1" display="'Cost Summary'!A1"/>
    <hyperlink ref="UZF8" location="'Cost Summary'!A1" display="'Cost Summary'!A1"/>
    <hyperlink ref="UZG8" location="'Cost Summary'!A1" display="'Cost Summary'!A1"/>
    <hyperlink ref="UZH8" location="'Cost Summary'!A1" display="'Cost Summary'!A1"/>
    <hyperlink ref="UZI8" location="'Cost Summary'!A1" display="'Cost Summary'!A1"/>
    <hyperlink ref="UZJ8" location="'Cost Summary'!A1" display="'Cost Summary'!A1"/>
    <hyperlink ref="UZK8" location="'Cost Summary'!A1" display="'Cost Summary'!A1"/>
    <hyperlink ref="UZL8" location="'Cost Summary'!A1" display="'Cost Summary'!A1"/>
    <hyperlink ref="UZM8" location="'Cost Summary'!A1" display="'Cost Summary'!A1"/>
    <hyperlink ref="UZN8" location="'Cost Summary'!A1" display="'Cost Summary'!A1"/>
    <hyperlink ref="UZO8" location="'Cost Summary'!A1" display="'Cost Summary'!A1"/>
    <hyperlink ref="UZP8" location="'Cost Summary'!A1" display="'Cost Summary'!A1"/>
    <hyperlink ref="UZQ8" location="'Cost Summary'!A1" display="'Cost Summary'!A1"/>
    <hyperlink ref="UZR8" location="'Cost Summary'!A1" display="'Cost Summary'!A1"/>
    <hyperlink ref="UZS8" location="'Cost Summary'!A1" display="'Cost Summary'!A1"/>
    <hyperlink ref="UZT8" location="'Cost Summary'!A1" display="'Cost Summary'!A1"/>
    <hyperlink ref="UZU8" location="'Cost Summary'!A1" display="'Cost Summary'!A1"/>
    <hyperlink ref="UZV8" location="'Cost Summary'!A1" display="'Cost Summary'!A1"/>
    <hyperlink ref="UZW8" location="'Cost Summary'!A1" display="'Cost Summary'!A1"/>
    <hyperlink ref="UZX8" location="'Cost Summary'!A1" display="'Cost Summary'!A1"/>
    <hyperlink ref="UZY8" location="'Cost Summary'!A1" display="'Cost Summary'!A1"/>
    <hyperlink ref="UZZ8" location="'Cost Summary'!A1" display="'Cost Summary'!A1"/>
    <hyperlink ref="VAA8" location="'Cost Summary'!A1" display="'Cost Summary'!A1"/>
    <hyperlink ref="VAB8" location="'Cost Summary'!A1" display="'Cost Summary'!A1"/>
    <hyperlink ref="VAC8" location="'Cost Summary'!A1" display="'Cost Summary'!A1"/>
    <hyperlink ref="VAD8" location="'Cost Summary'!A1" display="'Cost Summary'!A1"/>
    <hyperlink ref="VAE8" location="'Cost Summary'!A1" display="'Cost Summary'!A1"/>
    <hyperlink ref="VAF8" location="'Cost Summary'!A1" display="'Cost Summary'!A1"/>
    <hyperlink ref="VAG8" location="'Cost Summary'!A1" display="'Cost Summary'!A1"/>
    <hyperlink ref="VAH8" location="'Cost Summary'!A1" display="'Cost Summary'!A1"/>
    <hyperlink ref="VAI8" location="'Cost Summary'!A1" display="'Cost Summary'!A1"/>
    <hyperlink ref="VAJ8" location="'Cost Summary'!A1" display="'Cost Summary'!A1"/>
    <hyperlink ref="VAK8" location="'Cost Summary'!A1" display="'Cost Summary'!A1"/>
    <hyperlink ref="VAL8" location="'Cost Summary'!A1" display="'Cost Summary'!A1"/>
    <hyperlink ref="VAM8" location="'Cost Summary'!A1" display="'Cost Summary'!A1"/>
    <hyperlink ref="VAN8" location="'Cost Summary'!A1" display="'Cost Summary'!A1"/>
    <hyperlink ref="VAO8" location="'Cost Summary'!A1" display="'Cost Summary'!A1"/>
    <hyperlink ref="VAP8" location="'Cost Summary'!A1" display="'Cost Summary'!A1"/>
    <hyperlink ref="VAQ8" location="'Cost Summary'!A1" display="'Cost Summary'!A1"/>
    <hyperlink ref="VAR8" location="'Cost Summary'!A1" display="'Cost Summary'!A1"/>
    <hyperlink ref="VAS8" location="'Cost Summary'!A1" display="'Cost Summary'!A1"/>
    <hyperlink ref="VAT8" location="'Cost Summary'!A1" display="'Cost Summary'!A1"/>
    <hyperlink ref="VAU8" location="'Cost Summary'!A1" display="'Cost Summary'!A1"/>
    <hyperlink ref="VAV8" location="'Cost Summary'!A1" display="'Cost Summary'!A1"/>
    <hyperlink ref="VAW8" location="'Cost Summary'!A1" display="'Cost Summary'!A1"/>
    <hyperlink ref="VAX8" location="'Cost Summary'!A1" display="'Cost Summary'!A1"/>
    <hyperlink ref="VAY8" location="'Cost Summary'!A1" display="'Cost Summary'!A1"/>
    <hyperlink ref="VAZ8" location="'Cost Summary'!A1" display="'Cost Summary'!A1"/>
    <hyperlink ref="VBA8" location="'Cost Summary'!A1" display="'Cost Summary'!A1"/>
    <hyperlink ref="VBB8" location="'Cost Summary'!A1" display="'Cost Summary'!A1"/>
    <hyperlink ref="VBC8" location="'Cost Summary'!A1" display="'Cost Summary'!A1"/>
    <hyperlink ref="VBD8" location="'Cost Summary'!A1" display="'Cost Summary'!A1"/>
    <hyperlink ref="VBE8" location="'Cost Summary'!A1" display="'Cost Summary'!A1"/>
    <hyperlink ref="VBF8" location="'Cost Summary'!A1" display="'Cost Summary'!A1"/>
    <hyperlink ref="VBG8" location="'Cost Summary'!A1" display="'Cost Summary'!A1"/>
    <hyperlink ref="VBH8" location="'Cost Summary'!A1" display="'Cost Summary'!A1"/>
    <hyperlink ref="VBI8" location="'Cost Summary'!A1" display="'Cost Summary'!A1"/>
    <hyperlink ref="VBJ8" location="'Cost Summary'!A1" display="'Cost Summary'!A1"/>
    <hyperlink ref="VBK8" location="'Cost Summary'!A1" display="'Cost Summary'!A1"/>
    <hyperlink ref="VBL8" location="'Cost Summary'!A1" display="'Cost Summary'!A1"/>
    <hyperlink ref="VBM8" location="'Cost Summary'!A1" display="'Cost Summary'!A1"/>
    <hyperlink ref="VBN8" location="'Cost Summary'!A1" display="'Cost Summary'!A1"/>
    <hyperlink ref="VBO8" location="'Cost Summary'!A1" display="'Cost Summary'!A1"/>
    <hyperlink ref="VBP8" location="'Cost Summary'!A1" display="'Cost Summary'!A1"/>
    <hyperlink ref="VBQ8" location="'Cost Summary'!A1" display="'Cost Summary'!A1"/>
    <hyperlink ref="VBR8" location="'Cost Summary'!A1" display="'Cost Summary'!A1"/>
    <hyperlink ref="VBS8" location="'Cost Summary'!A1" display="'Cost Summary'!A1"/>
    <hyperlink ref="VBT8" location="'Cost Summary'!A1" display="'Cost Summary'!A1"/>
    <hyperlink ref="VBU8" location="'Cost Summary'!A1" display="'Cost Summary'!A1"/>
    <hyperlink ref="VBV8" location="'Cost Summary'!A1" display="'Cost Summary'!A1"/>
    <hyperlink ref="VBW8" location="'Cost Summary'!A1" display="'Cost Summary'!A1"/>
    <hyperlink ref="VBX8" location="'Cost Summary'!A1" display="'Cost Summary'!A1"/>
    <hyperlink ref="VBY8" location="'Cost Summary'!A1" display="'Cost Summary'!A1"/>
    <hyperlink ref="VBZ8" location="'Cost Summary'!A1" display="'Cost Summary'!A1"/>
    <hyperlink ref="VCA8" location="'Cost Summary'!A1" display="'Cost Summary'!A1"/>
    <hyperlink ref="VCB8" location="'Cost Summary'!A1" display="'Cost Summary'!A1"/>
    <hyperlink ref="VCC8" location="'Cost Summary'!A1" display="'Cost Summary'!A1"/>
    <hyperlink ref="VCD8" location="'Cost Summary'!A1" display="'Cost Summary'!A1"/>
    <hyperlink ref="VCE8" location="'Cost Summary'!A1" display="'Cost Summary'!A1"/>
    <hyperlink ref="VCF8" location="'Cost Summary'!A1" display="'Cost Summary'!A1"/>
    <hyperlink ref="VCG8" location="'Cost Summary'!A1" display="'Cost Summary'!A1"/>
    <hyperlink ref="VCH8" location="'Cost Summary'!A1" display="'Cost Summary'!A1"/>
    <hyperlink ref="VCI8" location="'Cost Summary'!A1" display="'Cost Summary'!A1"/>
    <hyperlink ref="VCJ8" location="'Cost Summary'!A1" display="'Cost Summary'!A1"/>
    <hyperlink ref="VCK8" location="'Cost Summary'!A1" display="'Cost Summary'!A1"/>
    <hyperlink ref="VCL8" location="'Cost Summary'!A1" display="'Cost Summary'!A1"/>
    <hyperlink ref="VCM8" location="'Cost Summary'!A1" display="'Cost Summary'!A1"/>
    <hyperlink ref="VCN8" location="'Cost Summary'!A1" display="'Cost Summary'!A1"/>
    <hyperlink ref="VCO8" location="'Cost Summary'!A1" display="'Cost Summary'!A1"/>
    <hyperlink ref="VCP8" location="'Cost Summary'!A1" display="'Cost Summary'!A1"/>
    <hyperlink ref="VCQ8" location="'Cost Summary'!A1" display="'Cost Summary'!A1"/>
    <hyperlink ref="VCR8" location="'Cost Summary'!A1" display="'Cost Summary'!A1"/>
    <hyperlink ref="VCS8" location="'Cost Summary'!A1" display="'Cost Summary'!A1"/>
    <hyperlink ref="VCT8" location="'Cost Summary'!A1" display="'Cost Summary'!A1"/>
    <hyperlink ref="VCU8" location="'Cost Summary'!A1" display="'Cost Summary'!A1"/>
    <hyperlink ref="VCV8" location="'Cost Summary'!A1" display="'Cost Summary'!A1"/>
    <hyperlink ref="VCW8" location="'Cost Summary'!A1" display="'Cost Summary'!A1"/>
    <hyperlink ref="VCX8" location="'Cost Summary'!A1" display="'Cost Summary'!A1"/>
    <hyperlink ref="VCY8" location="'Cost Summary'!A1" display="'Cost Summary'!A1"/>
    <hyperlink ref="VCZ8" location="'Cost Summary'!A1" display="'Cost Summary'!A1"/>
    <hyperlink ref="VDA8" location="'Cost Summary'!A1" display="'Cost Summary'!A1"/>
    <hyperlink ref="VDB8" location="'Cost Summary'!A1" display="'Cost Summary'!A1"/>
    <hyperlink ref="VDC8" location="'Cost Summary'!A1" display="'Cost Summary'!A1"/>
    <hyperlink ref="VDD8" location="'Cost Summary'!A1" display="'Cost Summary'!A1"/>
    <hyperlink ref="VDE8" location="'Cost Summary'!A1" display="'Cost Summary'!A1"/>
    <hyperlink ref="VDF8" location="'Cost Summary'!A1" display="'Cost Summary'!A1"/>
    <hyperlink ref="VDG8" location="'Cost Summary'!A1" display="'Cost Summary'!A1"/>
    <hyperlink ref="VDH8" location="'Cost Summary'!A1" display="'Cost Summary'!A1"/>
    <hyperlink ref="VDI8" location="'Cost Summary'!A1" display="'Cost Summary'!A1"/>
    <hyperlink ref="VDJ8" location="'Cost Summary'!A1" display="'Cost Summary'!A1"/>
    <hyperlink ref="VDK8" location="'Cost Summary'!A1" display="'Cost Summary'!A1"/>
    <hyperlink ref="VDL8" location="'Cost Summary'!A1" display="'Cost Summary'!A1"/>
    <hyperlink ref="VDM8" location="'Cost Summary'!A1" display="'Cost Summary'!A1"/>
    <hyperlink ref="VDN8" location="'Cost Summary'!A1" display="'Cost Summary'!A1"/>
    <hyperlink ref="VDO8" location="'Cost Summary'!A1" display="'Cost Summary'!A1"/>
    <hyperlink ref="VDP8" location="'Cost Summary'!A1" display="'Cost Summary'!A1"/>
    <hyperlink ref="VDQ8" location="'Cost Summary'!A1" display="'Cost Summary'!A1"/>
    <hyperlink ref="VDR8" location="'Cost Summary'!A1" display="'Cost Summary'!A1"/>
    <hyperlink ref="VDS8" location="'Cost Summary'!A1" display="'Cost Summary'!A1"/>
    <hyperlink ref="VDT8" location="'Cost Summary'!A1" display="'Cost Summary'!A1"/>
    <hyperlink ref="VDU8" location="'Cost Summary'!A1" display="'Cost Summary'!A1"/>
    <hyperlink ref="VDV8" location="'Cost Summary'!A1" display="'Cost Summary'!A1"/>
    <hyperlink ref="VDW8" location="'Cost Summary'!A1" display="'Cost Summary'!A1"/>
    <hyperlink ref="VDX8" location="'Cost Summary'!A1" display="'Cost Summary'!A1"/>
    <hyperlink ref="VDY8" location="'Cost Summary'!A1" display="'Cost Summary'!A1"/>
    <hyperlink ref="VDZ8" location="'Cost Summary'!A1" display="'Cost Summary'!A1"/>
    <hyperlink ref="VEA8" location="'Cost Summary'!A1" display="'Cost Summary'!A1"/>
    <hyperlink ref="VEB8" location="'Cost Summary'!A1" display="'Cost Summary'!A1"/>
    <hyperlink ref="VEC8" location="'Cost Summary'!A1" display="'Cost Summary'!A1"/>
    <hyperlink ref="VED8" location="'Cost Summary'!A1" display="'Cost Summary'!A1"/>
    <hyperlink ref="VEE8" location="'Cost Summary'!A1" display="'Cost Summary'!A1"/>
    <hyperlink ref="VEF8" location="'Cost Summary'!A1" display="'Cost Summary'!A1"/>
    <hyperlink ref="VEG8" location="'Cost Summary'!A1" display="'Cost Summary'!A1"/>
    <hyperlink ref="VEH8" location="'Cost Summary'!A1" display="'Cost Summary'!A1"/>
    <hyperlink ref="VEI8" location="'Cost Summary'!A1" display="'Cost Summary'!A1"/>
    <hyperlink ref="VEJ8" location="'Cost Summary'!A1" display="'Cost Summary'!A1"/>
    <hyperlink ref="VEK8" location="'Cost Summary'!A1" display="'Cost Summary'!A1"/>
    <hyperlink ref="VEL8" location="'Cost Summary'!A1" display="'Cost Summary'!A1"/>
    <hyperlink ref="VEM8" location="'Cost Summary'!A1" display="'Cost Summary'!A1"/>
    <hyperlink ref="VEN8" location="'Cost Summary'!A1" display="'Cost Summary'!A1"/>
    <hyperlink ref="VEO8" location="'Cost Summary'!A1" display="'Cost Summary'!A1"/>
    <hyperlink ref="VEP8" location="'Cost Summary'!A1" display="'Cost Summary'!A1"/>
    <hyperlink ref="VEQ8" location="'Cost Summary'!A1" display="'Cost Summary'!A1"/>
    <hyperlink ref="VER8" location="'Cost Summary'!A1" display="'Cost Summary'!A1"/>
    <hyperlink ref="VES8" location="'Cost Summary'!A1" display="'Cost Summary'!A1"/>
    <hyperlink ref="VET8" location="'Cost Summary'!A1" display="'Cost Summary'!A1"/>
    <hyperlink ref="VEU8" location="'Cost Summary'!A1" display="'Cost Summary'!A1"/>
    <hyperlink ref="VEV8" location="'Cost Summary'!A1" display="'Cost Summary'!A1"/>
    <hyperlink ref="VEW8" location="'Cost Summary'!A1" display="'Cost Summary'!A1"/>
    <hyperlink ref="VEX8" location="'Cost Summary'!A1" display="'Cost Summary'!A1"/>
    <hyperlink ref="VEY8" location="'Cost Summary'!A1" display="'Cost Summary'!A1"/>
    <hyperlink ref="VEZ8" location="'Cost Summary'!A1" display="'Cost Summary'!A1"/>
    <hyperlink ref="VFA8" location="'Cost Summary'!A1" display="'Cost Summary'!A1"/>
    <hyperlink ref="VFB8" location="'Cost Summary'!A1" display="'Cost Summary'!A1"/>
    <hyperlink ref="VFC8" location="'Cost Summary'!A1" display="'Cost Summary'!A1"/>
    <hyperlink ref="VFD8" location="'Cost Summary'!A1" display="'Cost Summary'!A1"/>
    <hyperlink ref="VFE8" location="'Cost Summary'!A1" display="'Cost Summary'!A1"/>
    <hyperlink ref="VFF8" location="'Cost Summary'!A1" display="'Cost Summary'!A1"/>
    <hyperlink ref="VFG8" location="'Cost Summary'!A1" display="'Cost Summary'!A1"/>
    <hyperlink ref="VFH8" location="'Cost Summary'!A1" display="'Cost Summary'!A1"/>
    <hyperlink ref="VFI8" location="'Cost Summary'!A1" display="'Cost Summary'!A1"/>
    <hyperlink ref="VFJ8" location="'Cost Summary'!A1" display="'Cost Summary'!A1"/>
    <hyperlink ref="VFK8" location="'Cost Summary'!A1" display="'Cost Summary'!A1"/>
    <hyperlink ref="VFL8" location="'Cost Summary'!A1" display="'Cost Summary'!A1"/>
    <hyperlink ref="VFM8" location="'Cost Summary'!A1" display="'Cost Summary'!A1"/>
    <hyperlink ref="VFN8" location="'Cost Summary'!A1" display="'Cost Summary'!A1"/>
    <hyperlink ref="VFO8" location="'Cost Summary'!A1" display="'Cost Summary'!A1"/>
    <hyperlink ref="VFP8" location="'Cost Summary'!A1" display="'Cost Summary'!A1"/>
    <hyperlink ref="VFQ8" location="'Cost Summary'!A1" display="'Cost Summary'!A1"/>
    <hyperlink ref="VFR8" location="'Cost Summary'!A1" display="'Cost Summary'!A1"/>
    <hyperlink ref="VFS8" location="'Cost Summary'!A1" display="'Cost Summary'!A1"/>
    <hyperlink ref="VFT8" location="'Cost Summary'!A1" display="'Cost Summary'!A1"/>
    <hyperlink ref="VFU8" location="'Cost Summary'!A1" display="'Cost Summary'!A1"/>
    <hyperlink ref="VFV8" location="'Cost Summary'!A1" display="'Cost Summary'!A1"/>
    <hyperlink ref="VFW8" location="'Cost Summary'!A1" display="'Cost Summary'!A1"/>
    <hyperlink ref="VFX8" location="'Cost Summary'!A1" display="'Cost Summary'!A1"/>
    <hyperlink ref="VFY8" location="'Cost Summary'!A1" display="'Cost Summary'!A1"/>
    <hyperlink ref="VFZ8" location="'Cost Summary'!A1" display="'Cost Summary'!A1"/>
    <hyperlink ref="VGA8" location="'Cost Summary'!A1" display="'Cost Summary'!A1"/>
    <hyperlink ref="VGB8" location="'Cost Summary'!A1" display="'Cost Summary'!A1"/>
    <hyperlink ref="VGC8" location="'Cost Summary'!A1" display="'Cost Summary'!A1"/>
    <hyperlink ref="VGD8" location="'Cost Summary'!A1" display="'Cost Summary'!A1"/>
    <hyperlink ref="VGE8" location="'Cost Summary'!A1" display="'Cost Summary'!A1"/>
    <hyperlink ref="VGF8" location="'Cost Summary'!A1" display="'Cost Summary'!A1"/>
    <hyperlink ref="VGG8" location="'Cost Summary'!A1" display="'Cost Summary'!A1"/>
    <hyperlink ref="VGH8" location="'Cost Summary'!A1" display="'Cost Summary'!A1"/>
    <hyperlink ref="VGI8" location="'Cost Summary'!A1" display="'Cost Summary'!A1"/>
    <hyperlink ref="VGJ8" location="'Cost Summary'!A1" display="'Cost Summary'!A1"/>
    <hyperlink ref="VGK8" location="'Cost Summary'!A1" display="'Cost Summary'!A1"/>
    <hyperlink ref="VGL8" location="'Cost Summary'!A1" display="'Cost Summary'!A1"/>
    <hyperlink ref="VGM8" location="'Cost Summary'!A1" display="'Cost Summary'!A1"/>
    <hyperlink ref="VGN8" location="'Cost Summary'!A1" display="'Cost Summary'!A1"/>
    <hyperlink ref="VGO8" location="'Cost Summary'!A1" display="'Cost Summary'!A1"/>
    <hyperlink ref="VGP8" location="'Cost Summary'!A1" display="'Cost Summary'!A1"/>
    <hyperlink ref="VGQ8" location="'Cost Summary'!A1" display="'Cost Summary'!A1"/>
    <hyperlink ref="VGR8" location="'Cost Summary'!A1" display="'Cost Summary'!A1"/>
    <hyperlink ref="VGS8" location="'Cost Summary'!A1" display="'Cost Summary'!A1"/>
    <hyperlink ref="VGT8" location="'Cost Summary'!A1" display="'Cost Summary'!A1"/>
    <hyperlink ref="VGU8" location="'Cost Summary'!A1" display="'Cost Summary'!A1"/>
    <hyperlink ref="VGV8" location="'Cost Summary'!A1" display="'Cost Summary'!A1"/>
    <hyperlink ref="VGW8" location="'Cost Summary'!A1" display="'Cost Summary'!A1"/>
    <hyperlink ref="VGX8" location="'Cost Summary'!A1" display="'Cost Summary'!A1"/>
    <hyperlink ref="VGY8" location="'Cost Summary'!A1" display="'Cost Summary'!A1"/>
    <hyperlink ref="VGZ8" location="'Cost Summary'!A1" display="'Cost Summary'!A1"/>
    <hyperlink ref="VHA8" location="'Cost Summary'!A1" display="'Cost Summary'!A1"/>
    <hyperlink ref="VHB8" location="'Cost Summary'!A1" display="'Cost Summary'!A1"/>
    <hyperlink ref="VHC8" location="'Cost Summary'!A1" display="'Cost Summary'!A1"/>
    <hyperlink ref="VHD8" location="'Cost Summary'!A1" display="'Cost Summary'!A1"/>
    <hyperlink ref="VHE8" location="'Cost Summary'!A1" display="'Cost Summary'!A1"/>
    <hyperlink ref="VHF8" location="'Cost Summary'!A1" display="'Cost Summary'!A1"/>
    <hyperlink ref="VHG8" location="'Cost Summary'!A1" display="'Cost Summary'!A1"/>
    <hyperlink ref="VHH8" location="'Cost Summary'!A1" display="'Cost Summary'!A1"/>
    <hyperlink ref="VHI8" location="'Cost Summary'!A1" display="'Cost Summary'!A1"/>
    <hyperlink ref="VHJ8" location="'Cost Summary'!A1" display="'Cost Summary'!A1"/>
    <hyperlink ref="VHK8" location="'Cost Summary'!A1" display="'Cost Summary'!A1"/>
    <hyperlink ref="VHL8" location="'Cost Summary'!A1" display="'Cost Summary'!A1"/>
    <hyperlink ref="VHM8" location="'Cost Summary'!A1" display="'Cost Summary'!A1"/>
    <hyperlink ref="VHN8" location="'Cost Summary'!A1" display="'Cost Summary'!A1"/>
    <hyperlink ref="VHO8" location="'Cost Summary'!A1" display="'Cost Summary'!A1"/>
    <hyperlink ref="VHP8" location="'Cost Summary'!A1" display="'Cost Summary'!A1"/>
    <hyperlink ref="VHQ8" location="'Cost Summary'!A1" display="'Cost Summary'!A1"/>
    <hyperlink ref="VHR8" location="'Cost Summary'!A1" display="'Cost Summary'!A1"/>
    <hyperlink ref="VHS8" location="'Cost Summary'!A1" display="'Cost Summary'!A1"/>
    <hyperlink ref="VHT8" location="'Cost Summary'!A1" display="'Cost Summary'!A1"/>
    <hyperlink ref="VHU8" location="'Cost Summary'!A1" display="'Cost Summary'!A1"/>
    <hyperlink ref="VHV8" location="'Cost Summary'!A1" display="'Cost Summary'!A1"/>
    <hyperlink ref="VHW8" location="'Cost Summary'!A1" display="'Cost Summary'!A1"/>
    <hyperlink ref="VHX8" location="'Cost Summary'!A1" display="'Cost Summary'!A1"/>
    <hyperlink ref="VHY8" location="'Cost Summary'!A1" display="'Cost Summary'!A1"/>
    <hyperlink ref="VHZ8" location="'Cost Summary'!A1" display="'Cost Summary'!A1"/>
    <hyperlink ref="VIA8" location="'Cost Summary'!A1" display="'Cost Summary'!A1"/>
    <hyperlink ref="VIB8" location="'Cost Summary'!A1" display="'Cost Summary'!A1"/>
    <hyperlink ref="VIC8" location="'Cost Summary'!A1" display="'Cost Summary'!A1"/>
    <hyperlink ref="VID8" location="'Cost Summary'!A1" display="'Cost Summary'!A1"/>
    <hyperlink ref="VIE8" location="'Cost Summary'!A1" display="'Cost Summary'!A1"/>
    <hyperlink ref="VIF8" location="'Cost Summary'!A1" display="'Cost Summary'!A1"/>
    <hyperlink ref="VIG8" location="'Cost Summary'!A1" display="'Cost Summary'!A1"/>
    <hyperlink ref="VIH8" location="'Cost Summary'!A1" display="'Cost Summary'!A1"/>
    <hyperlink ref="VII8" location="'Cost Summary'!A1" display="'Cost Summary'!A1"/>
    <hyperlink ref="VIJ8" location="'Cost Summary'!A1" display="'Cost Summary'!A1"/>
    <hyperlink ref="VIK8" location="'Cost Summary'!A1" display="'Cost Summary'!A1"/>
    <hyperlink ref="VIL8" location="'Cost Summary'!A1" display="'Cost Summary'!A1"/>
    <hyperlink ref="VIM8" location="'Cost Summary'!A1" display="'Cost Summary'!A1"/>
    <hyperlink ref="VIN8" location="'Cost Summary'!A1" display="'Cost Summary'!A1"/>
    <hyperlink ref="VIO8" location="'Cost Summary'!A1" display="'Cost Summary'!A1"/>
    <hyperlink ref="VIP8" location="'Cost Summary'!A1" display="'Cost Summary'!A1"/>
    <hyperlink ref="VIQ8" location="'Cost Summary'!A1" display="'Cost Summary'!A1"/>
    <hyperlink ref="VIR8" location="'Cost Summary'!A1" display="'Cost Summary'!A1"/>
    <hyperlink ref="VIS8" location="'Cost Summary'!A1" display="'Cost Summary'!A1"/>
    <hyperlink ref="VIT8" location="'Cost Summary'!A1" display="'Cost Summary'!A1"/>
    <hyperlink ref="VIU8" location="'Cost Summary'!A1" display="'Cost Summary'!A1"/>
    <hyperlink ref="VIV8" location="'Cost Summary'!A1" display="'Cost Summary'!A1"/>
    <hyperlink ref="VIW8" location="'Cost Summary'!A1" display="'Cost Summary'!A1"/>
    <hyperlink ref="VIX8" location="'Cost Summary'!A1" display="'Cost Summary'!A1"/>
    <hyperlink ref="VIY8" location="'Cost Summary'!A1" display="'Cost Summary'!A1"/>
    <hyperlink ref="VIZ8" location="'Cost Summary'!A1" display="'Cost Summary'!A1"/>
    <hyperlink ref="VJA8" location="'Cost Summary'!A1" display="'Cost Summary'!A1"/>
    <hyperlink ref="VJB8" location="'Cost Summary'!A1" display="'Cost Summary'!A1"/>
    <hyperlink ref="VJC8" location="'Cost Summary'!A1" display="'Cost Summary'!A1"/>
    <hyperlink ref="VJD8" location="'Cost Summary'!A1" display="'Cost Summary'!A1"/>
    <hyperlink ref="VJE8" location="'Cost Summary'!A1" display="'Cost Summary'!A1"/>
    <hyperlink ref="VJF8" location="'Cost Summary'!A1" display="'Cost Summary'!A1"/>
    <hyperlink ref="VJG8" location="'Cost Summary'!A1" display="'Cost Summary'!A1"/>
    <hyperlink ref="VJH8" location="'Cost Summary'!A1" display="'Cost Summary'!A1"/>
    <hyperlink ref="VJI8" location="'Cost Summary'!A1" display="'Cost Summary'!A1"/>
    <hyperlink ref="VJJ8" location="'Cost Summary'!A1" display="'Cost Summary'!A1"/>
    <hyperlink ref="VJK8" location="'Cost Summary'!A1" display="'Cost Summary'!A1"/>
    <hyperlink ref="VJL8" location="'Cost Summary'!A1" display="'Cost Summary'!A1"/>
    <hyperlink ref="VJM8" location="'Cost Summary'!A1" display="'Cost Summary'!A1"/>
    <hyperlink ref="VJN8" location="'Cost Summary'!A1" display="'Cost Summary'!A1"/>
    <hyperlink ref="VJO8" location="'Cost Summary'!A1" display="'Cost Summary'!A1"/>
    <hyperlink ref="VJP8" location="'Cost Summary'!A1" display="'Cost Summary'!A1"/>
    <hyperlink ref="VJQ8" location="'Cost Summary'!A1" display="'Cost Summary'!A1"/>
    <hyperlink ref="VJR8" location="'Cost Summary'!A1" display="'Cost Summary'!A1"/>
    <hyperlink ref="VJS8" location="'Cost Summary'!A1" display="'Cost Summary'!A1"/>
    <hyperlink ref="VJT8" location="'Cost Summary'!A1" display="'Cost Summary'!A1"/>
    <hyperlink ref="VJU8" location="'Cost Summary'!A1" display="'Cost Summary'!A1"/>
    <hyperlink ref="VJV8" location="'Cost Summary'!A1" display="'Cost Summary'!A1"/>
    <hyperlink ref="VJW8" location="'Cost Summary'!A1" display="'Cost Summary'!A1"/>
    <hyperlink ref="VJX8" location="'Cost Summary'!A1" display="'Cost Summary'!A1"/>
    <hyperlink ref="VJY8" location="'Cost Summary'!A1" display="'Cost Summary'!A1"/>
    <hyperlink ref="VJZ8" location="'Cost Summary'!A1" display="'Cost Summary'!A1"/>
    <hyperlink ref="VKA8" location="'Cost Summary'!A1" display="'Cost Summary'!A1"/>
    <hyperlink ref="VKB8" location="'Cost Summary'!A1" display="'Cost Summary'!A1"/>
    <hyperlink ref="VKC8" location="'Cost Summary'!A1" display="'Cost Summary'!A1"/>
    <hyperlink ref="VKD8" location="'Cost Summary'!A1" display="'Cost Summary'!A1"/>
    <hyperlink ref="VKE8" location="'Cost Summary'!A1" display="'Cost Summary'!A1"/>
    <hyperlink ref="VKF8" location="'Cost Summary'!A1" display="'Cost Summary'!A1"/>
    <hyperlink ref="VKG8" location="'Cost Summary'!A1" display="'Cost Summary'!A1"/>
    <hyperlink ref="VKH8" location="'Cost Summary'!A1" display="'Cost Summary'!A1"/>
    <hyperlink ref="VKI8" location="'Cost Summary'!A1" display="'Cost Summary'!A1"/>
    <hyperlink ref="VKJ8" location="'Cost Summary'!A1" display="'Cost Summary'!A1"/>
    <hyperlink ref="VKK8" location="'Cost Summary'!A1" display="'Cost Summary'!A1"/>
    <hyperlink ref="VKL8" location="'Cost Summary'!A1" display="'Cost Summary'!A1"/>
    <hyperlink ref="VKM8" location="'Cost Summary'!A1" display="'Cost Summary'!A1"/>
    <hyperlink ref="VKN8" location="'Cost Summary'!A1" display="'Cost Summary'!A1"/>
    <hyperlink ref="VKO8" location="'Cost Summary'!A1" display="'Cost Summary'!A1"/>
    <hyperlink ref="VKP8" location="'Cost Summary'!A1" display="'Cost Summary'!A1"/>
    <hyperlink ref="VKQ8" location="'Cost Summary'!A1" display="'Cost Summary'!A1"/>
    <hyperlink ref="VKR8" location="'Cost Summary'!A1" display="'Cost Summary'!A1"/>
    <hyperlink ref="VKS8" location="'Cost Summary'!A1" display="'Cost Summary'!A1"/>
    <hyperlink ref="VKT8" location="'Cost Summary'!A1" display="'Cost Summary'!A1"/>
    <hyperlink ref="VKU8" location="'Cost Summary'!A1" display="'Cost Summary'!A1"/>
    <hyperlink ref="VKV8" location="'Cost Summary'!A1" display="'Cost Summary'!A1"/>
    <hyperlink ref="VKW8" location="'Cost Summary'!A1" display="'Cost Summary'!A1"/>
    <hyperlink ref="VKX8" location="'Cost Summary'!A1" display="'Cost Summary'!A1"/>
    <hyperlink ref="VKY8" location="'Cost Summary'!A1" display="'Cost Summary'!A1"/>
    <hyperlink ref="VKZ8" location="'Cost Summary'!A1" display="'Cost Summary'!A1"/>
    <hyperlink ref="VLA8" location="'Cost Summary'!A1" display="'Cost Summary'!A1"/>
    <hyperlink ref="VLB8" location="'Cost Summary'!A1" display="'Cost Summary'!A1"/>
    <hyperlink ref="VLC8" location="'Cost Summary'!A1" display="'Cost Summary'!A1"/>
    <hyperlink ref="VLD8" location="'Cost Summary'!A1" display="'Cost Summary'!A1"/>
    <hyperlink ref="VLE8" location="'Cost Summary'!A1" display="'Cost Summary'!A1"/>
    <hyperlink ref="VLF8" location="'Cost Summary'!A1" display="'Cost Summary'!A1"/>
    <hyperlink ref="VLG8" location="'Cost Summary'!A1" display="'Cost Summary'!A1"/>
    <hyperlink ref="VLH8" location="'Cost Summary'!A1" display="'Cost Summary'!A1"/>
    <hyperlink ref="VLI8" location="'Cost Summary'!A1" display="'Cost Summary'!A1"/>
    <hyperlink ref="VLJ8" location="'Cost Summary'!A1" display="'Cost Summary'!A1"/>
    <hyperlink ref="VLK8" location="'Cost Summary'!A1" display="'Cost Summary'!A1"/>
    <hyperlink ref="VLL8" location="'Cost Summary'!A1" display="'Cost Summary'!A1"/>
    <hyperlink ref="VLM8" location="'Cost Summary'!A1" display="'Cost Summary'!A1"/>
    <hyperlink ref="VLN8" location="'Cost Summary'!A1" display="'Cost Summary'!A1"/>
    <hyperlink ref="VLO8" location="'Cost Summary'!A1" display="'Cost Summary'!A1"/>
    <hyperlink ref="VLP8" location="'Cost Summary'!A1" display="'Cost Summary'!A1"/>
    <hyperlink ref="VLQ8" location="'Cost Summary'!A1" display="'Cost Summary'!A1"/>
    <hyperlink ref="VLR8" location="'Cost Summary'!A1" display="'Cost Summary'!A1"/>
    <hyperlink ref="VLS8" location="'Cost Summary'!A1" display="'Cost Summary'!A1"/>
    <hyperlink ref="VLT8" location="'Cost Summary'!A1" display="'Cost Summary'!A1"/>
    <hyperlink ref="VLU8" location="'Cost Summary'!A1" display="'Cost Summary'!A1"/>
    <hyperlink ref="VLV8" location="'Cost Summary'!A1" display="'Cost Summary'!A1"/>
    <hyperlink ref="VLW8" location="'Cost Summary'!A1" display="'Cost Summary'!A1"/>
    <hyperlink ref="VLX8" location="'Cost Summary'!A1" display="'Cost Summary'!A1"/>
    <hyperlink ref="VLY8" location="'Cost Summary'!A1" display="'Cost Summary'!A1"/>
    <hyperlink ref="VLZ8" location="'Cost Summary'!A1" display="'Cost Summary'!A1"/>
    <hyperlink ref="VMA8" location="'Cost Summary'!A1" display="'Cost Summary'!A1"/>
    <hyperlink ref="VMB8" location="'Cost Summary'!A1" display="'Cost Summary'!A1"/>
    <hyperlink ref="VMC8" location="'Cost Summary'!A1" display="'Cost Summary'!A1"/>
    <hyperlink ref="VMD8" location="'Cost Summary'!A1" display="'Cost Summary'!A1"/>
    <hyperlink ref="VME8" location="'Cost Summary'!A1" display="'Cost Summary'!A1"/>
    <hyperlink ref="VMF8" location="'Cost Summary'!A1" display="'Cost Summary'!A1"/>
    <hyperlink ref="VMG8" location="'Cost Summary'!A1" display="'Cost Summary'!A1"/>
    <hyperlink ref="VMH8" location="'Cost Summary'!A1" display="'Cost Summary'!A1"/>
    <hyperlink ref="VMI8" location="'Cost Summary'!A1" display="'Cost Summary'!A1"/>
    <hyperlink ref="VMJ8" location="'Cost Summary'!A1" display="'Cost Summary'!A1"/>
    <hyperlink ref="VMK8" location="'Cost Summary'!A1" display="'Cost Summary'!A1"/>
    <hyperlink ref="VML8" location="'Cost Summary'!A1" display="'Cost Summary'!A1"/>
    <hyperlink ref="VMM8" location="'Cost Summary'!A1" display="'Cost Summary'!A1"/>
    <hyperlink ref="VMN8" location="'Cost Summary'!A1" display="'Cost Summary'!A1"/>
    <hyperlink ref="VMO8" location="'Cost Summary'!A1" display="'Cost Summary'!A1"/>
    <hyperlink ref="VMP8" location="'Cost Summary'!A1" display="'Cost Summary'!A1"/>
    <hyperlink ref="VMQ8" location="'Cost Summary'!A1" display="'Cost Summary'!A1"/>
    <hyperlink ref="VMR8" location="'Cost Summary'!A1" display="'Cost Summary'!A1"/>
    <hyperlink ref="VMS8" location="'Cost Summary'!A1" display="'Cost Summary'!A1"/>
    <hyperlink ref="VMT8" location="'Cost Summary'!A1" display="'Cost Summary'!A1"/>
    <hyperlink ref="VMU8" location="'Cost Summary'!A1" display="'Cost Summary'!A1"/>
    <hyperlink ref="VMV8" location="'Cost Summary'!A1" display="'Cost Summary'!A1"/>
    <hyperlink ref="VMW8" location="'Cost Summary'!A1" display="'Cost Summary'!A1"/>
    <hyperlink ref="VMX8" location="'Cost Summary'!A1" display="'Cost Summary'!A1"/>
    <hyperlink ref="VMY8" location="'Cost Summary'!A1" display="'Cost Summary'!A1"/>
    <hyperlink ref="VMZ8" location="'Cost Summary'!A1" display="'Cost Summary'!A1"/>
    <hyperlink ref="VNA8" location="'Cost Summary'!A1" display="'Cost Summary'!A1"/>
    <hyperlink ref="VNB8" location="'Cost Summary'!A1" display="'Cost Summary'!A1"/>
    <hyperlink ref="VNC8" location="'Cost Summary'!A1" display="'Cost Summary'!A1"/>
    <hyperlink ref="VND8" location="'Cost Summary'!A1" display="'Cost Summary'!A1"/>
    <hyperlink ref="VNE8" location="'Cost Summary'!A1" display="'Cost Summary'!A1"/>
    <hyperlink ref="VNF8" location="'Cost Summary'!A1" display="'Cost Summary'!A1"/>
    <hyperlink ref="VNG8" location="'Cost Summary'!A1" display="'Cost Summary'!A1"/>
    <hyperlink ref="VNH8" location="'Cost Summary'!A1" display="'Cost Summary'!A1"/>
    <hyperlink ref="VNI8" location="'Cost Summary'!A1" display="'Cost Summary'!A1"/>
    <hyperlink ref="VNJ8" location="'Cost Summary'!A1" display="'Cost Summary'!A1"/>
    <hyperlink ref="VNK8" location="'Cost Summary'!A1" display="'Cost Summary'!A1"/>
    <hyperlink ref="VNL8" location="'Cost Summary'!A1" display="'Cost Summary'!A1"/>
    <hyperlink ref="VNM8" location="'Cost Summary'!A1" display="'Cost Summary'!A1"/>
    <hyperlink ref="VNN8" location="'Cost Summary'!A1" display="'Cost Summary'!A1"/>
    <hyperlink ref="VNO8" location="'Cost Summary'!A1" display="'Cost Summary'!A1"/>
    <hyperlink ref="VNP8" location="'Cost Summary'!A1" display="'Cost Summary'!A1"/>
    <hyperlink ref="VNQ8" location="'Cost Summary'!A1" display="'Cost Summary'!A1"/>
    <hyperlink ref="VNR8" location="'Cost Summary'!A1" display="'Cost Summary'!A1"/>
    <hyperlink ref="VNS8" location="'Cost Summary'!A1" display="'Cost Summary'!A1"/>
    <hyperlink ref="VNT8" location="'Cost Summary'!A1" display="'Cost Summary'!A1"/>
    <hyperlink ref="VNU8" location="'Cost Summary'!A1" display="'Cost Summary'!A1"/>
    <hyperlink ref="VNV8" location="'Cost Summary'!A1" display="'Cost Summary'!A1"/>
    <hyperlink ref="VNW8" location="'Cost Summary'!A1" display="'Cost Summary'!A1"/>
    <hyperlink ref="VNX8" location="'Cost Summary'!A1" display="'Cost Summary'!A1"/>
    <hyperlink ref="VNY8" location="'Cost Summary'!A1" display="'Cost Summary'!A1"/>
    <hyperlink ref="VNZ8" location="'Cost Summary'!A1" display="'Cost Summary'!A1"/>
    <hyperlink ref="VOA8" location="'Cost Summary'!A1" display="'Cost Summary'!A1"/>
    <hyperlink ref="VOB8" location="'Cost Summary'!A1" display="'Cost Summary'!A1"/>
    <hyperlink ref="VOC8" location="'Cost Summary'!A1" display="'Cost Summary'!A1"/>
    <hyperlink ref="VOD8" location="'Cost Summary'!A1" display="'Cost Summary'!A1"/>
    <hyperlink ref="VOE8" location="'Cost Summary'!A1" display="'Cost Summary'!A1"/>
    <hyperlink ref="VOF8" location="'Cost Summary'!A1" display="'Cost Summary'!A1"/>
    <hyperlink ref="VOG8" location="'Cost Summary'!A1" display="'Cost Summary'!A1"/>
    <hyperlink ref="VOH8" location="'Cost Summary'!A1" display="'Cost Summary'!A1"/>
    <hyperlink ref="VOI8" location="'Cost Summary'!A1" display="'Cost Summary'!A1"/>
    <hyperlink ref="VOJ8" location="'Cost Summary'!A1" display="'Cost Summary'!A1"/>
    <hyperlink ref="VOK8" location="'Cost Summary'!A1" display="'Cost Summary'!A1"/>
    <hyperlink ref="VOL8" location="'Cost Summary'!A1" display="'Cost Summary'!A1"/>
    <hyperlink ref="VOM8" location="'Cost Summary'!A1" display="'Cost Summary'!A1"/>
    <hyperlink ref="VON8" location="'Cost Summary'!A1" display="'Cost Summary'!A1"/>
    <hyperlink ref="VOO8" location="'Cost Summary'!A1" display="'Cost Summary'!A1"/>
    <hyperlink ref="VOP8" location="'Cost Summary'!A1" display="'Cost Summary'!A1"/>
    <hyperlink ref="VOQ8" location="'Cost Summary'!A1" display="'Cost Summary'!A1"/>
    <hyperlink ref="VOR8" location="'Cost Summary'!A1" display="'Cost Summary'!A1"/>
    <hyperlink ref="VOS8" location="'Cost Summary'!A1" display="'Cost Summary'!A1"/>
    <hyperlink ref="VOT8" location="'Cost Summary'!A1" display="'Cost Summary'!A1"/>
    <hyperlink ref="VOU8" location="'Cost Summary'!A1" display="'Cost Summary'!A1"/>
    <hyperlink ref="VOV8" location="'Cost Summary'!A1" display="'Cost Summary'!A1"/>
    <hyperlink ref="VOW8" location="'Cost Summary'!A1" display="'Cost Summary'!A1"/>
    <hyperlink ref="VOX8" location="'Cost Summary'!A1" display="'Cost Summary'!A1"/>
    <hyperlink ref="VOY8" location="'Cost Summary'!A1" display="'Cost Summary'!A1"/>
    <hyperlink ref="VOZ8" location="'Cost Summary'!A1" display="'Cost Summary'!A1"/>
    <hyperlink ref="VPA8" location="'Cost Summary'!A1" display="'Cost Summary'!A1"/>
    <hyperlink ref="VPB8" location="'Cost Summary'!A1" display="'Cost Summary'!A1"/>
    <hyperlink ref="VPC8" location="'Cost Summary'!A1" display="'Cost Summary'!A1"/>
    <hyperlink ref="VPD8" location="'Cost Summary'!A1" display="'Cost Summary'!A1"/>
    <hyperlink ref="VPE8" location="'Cost Summary'!A1" display="'Cost Summary'!A1"/>
    <hyperlink ref="VPF8" location="'Cost Summary'!A1" display="'Cost Summary'!A1"/>
    <hyperlink ref="VPG8" location="'Cost Summary'!A1" display="'Cost Summary'!A1"/>
    <hyperlink ref="VPH8" location="'Cost Summary'!A1" display="'Cost Summary'!A1"/>
    <hyperlink ref="VPI8" location="'Cost Summary'!A1" display="'Cost Summary'!A1"/>
    <hyperlink ref="VPJ8" location="'Cost Summary'!A1" display="'Cost Summary'!A1"/>
    <hyperlink ref="VPK8" location="'Cost Summary'!A1" display="'Cost Summary'!A1"/>
    <hyperlink ref="VPL8" location="'Cost Summary'!A1" display="'Cost Summary'!A1"/>
    <hyperlink ref="VPM8" location="'Cost Summary'!A1" display="'Cost Summary'!A1"/>
    <hyperlink ref="VPN8" location="'Cost Summary'!A1" display="'Cost Summary'!A1"/>
    <hyperlink ref="VPO8" location="'Cost Summary'!A1" display="'Cost Summary'!A1"/>
    <hyperlink ref="VPP8" location="'Cost Summary'!A1" display="'Cost Summary'!A1"/>
    <hyperlink ref="VPQ8" location="'Cost Summary'!A1" display="'Cost Summary'!A1"/>
    <hyperlink ref="VPR8" location="'Cost Summary'!A1" display="'Cost Summary'!A1"/>
    <hyperlink ref="VPS8" location="'Cost Summary'!A1" display="'Cost Summary'!A1"/>
    <hyperlink ref="VPT8" location="'Cost Summary'!A1" display="'Cost Summary'!A1"/>
    <hyperlink ref="VPU8" location="'Cost Summary'!A1" display="'Cost Summary'!A1"/>
    <hyperlink ref="VPV8" location="'Cost Summary'!A1" display="'Cost Summary'!A1"/>
    <hyperlink ref="VPW8" location="'Cost Summary'!A1" display="'Cost Summary'!A1"/>
    <hyperlink ref="VPX8" location="'Cost Summary'!A1" display="'Cost Summary'!A1"/>
    <hyperlink ref="VPY8" location="'Cost Summary'!A1" display="'Cost Summary'!A1"/>
    <hyperlink ref="VPZ8" location="'Cost Summary'!A1" display="'Cost Summary'!A1"/>
    <hyperlink ref="VQA8" location="'Cost Summary'!A1" display="'Cost Summary'!A1"/>
    <hyperlink ref="VQB8" location="'Cost Summary'!A1" display="'Cost Summary'!A1"/>
    <hyperlink ref="VQC8" location="'Cost Summary'!A1" display="'Cost Summary'!A1"/>
    <hyperlink ref="VQD8" location="'Cost Summary'!A1" display="'Cost Summary'!A1"/>
    <hyperlink ref="VQE8" location="'Cost Summary'!A1" display="'Cost Summary'!A1"/>
    <hyperlink ref="VQF8" location="'Cost Summary'!A1" display="'Cost Summary'!A1"/>
    <hyperlink ref="VQG8" location="'Cost Summary'!A1" display="'Cost Summary'!A1"/>
    <hyperlink ref="VQH8" location="'Cost Summary'!A1" display="'Cost Summary'!A1"/>
    <hyperlink ref="VQI8" location="'Cost Summary'!A1" display="'Cost Summary'!A1"/>
    <hyperlink ref="VQJ8" location="'Cost Summary'!A1" display="'Cost Summary'!A1"/>
    <hyperlink ref="VQK8" location="'Cost Summary'!A1" display="'Cost Summary'!A1"/>
    <hyperlink ref="VQL8" location="'Cost Summary'!A1" display="'Cost Summary'!A1"/>
    <hyperlink ref="VQM8" location="'Cost Summary'!A1" display="'Cost Summary'!A1"/>
    <hyperlink ref="VQN8" location="'Cost Summary'!A1" display="'Cost Summary'!A1"/>
    <hyperlink ref="VQO8" location="'Cost Summary'!A1" display="'Cost Summary'!A1"/>
    <hyperlink ref="VQP8" location="'Cost Summary'!A1" display="'Cost Summary'!A1"/>
    <hyperlink ref="VQQ8" location="'Cost Summary'!A1" display="'Cost Summary'!A1"/>
    <hyperlink ref="VQR8" location="'Cost Summary'!A1" display="'Cost Summary'!A1"/>
    <hyperlink ref="VQS8" location="'Cost Summary'!A1" display="'Cost Summary'!A1"/>
    <hyperlink ref="VQT8" location="'Cost Summary'!A1" display="'Cost Summary'!A1"/>
    <hyperlink ref="VQU8" location="'Cost Summary'!A1" display="'Cost Summary'!A1"/>
    <hyperlink ref="VQV8" location="'Cost Summary'!A1" display="'Cost Summary'!A1"/>
    <hyperlink ref="VQW8" location="'Cost Summary'!A1" display="'Cost Summary'!A1"/>
    <hyperlink ref="VQX8" location="'Cost Summary'!A1" display="'Cost Summary'!A1"/>
    <hyperlink ref="VQY8" location="'Cost Summary'!A1" display="'Cost Summary'!A1"/>
    <hyperlink ref="VQZ8" location="'Cost Summary'!A1" display="'Cost Summary'!A1"/>
    <hyperlink ref="VRA8" location="'Cost Summary'!A1" display="'Cost Summary'!A1"/>
    <hyperlink ref="VRB8" location="'Cost Summary'!A1" display="'Cost Summary'!A1"/>
    <hyperlink ref="VRC8" location="'Cost Summary'!A1" display="'Cost Summary'!A1"/>
    <hyperlink ref="VRD8" location="'Cost Summary'!A1" display="'Cost Summary'!A1"/>
    <hyperlink ref="VRE8" location="'Cost Summary'!A1" display="'Cost Summary'!A1"/>
    <hyperlink ref="VRF8" location="'Cost Summary'!A1" display="'Cost Summary'!A1"/>
    <hyperlink ref="VRG8" location="'Cost Summary'!A1" display="'Cost Summary'!A1"/>
    <hyperlink ref="VRH8" location="'Cost Summary'!A1" display="'Cost Summary'!A1"/>
    <hyperlink ref="VRI8" location="'Cost Summary'!A1" display="'Cost Summary'!A1"/>
    <hyperlink ref="VRJ8" location="'Cost Summary'!A1" display="'Cost Summary'!A1"/>
    <hyperlink ref="VRK8" location="'Cost Summary'!A1" display="'Cost Summary'!A1"/>
    <hyperlink ref="VRL8" location="'Cost Summary'!A1" display="'Cost Summary'!A1"/>
    <hyperlink ref="VRM8" location="'Cost Summary'!A1" display="'Cost Summary'!A1"/>
    <hyperlink ref="VRN8" location="'Cost Summary'!A1" display="'Cost Summary'!A1"/>
    <hyperlink ref="VRO8" location="'Cost Summary'!A1" display="'Cost Summary'!A1"/>
    <hyperlink ref="VRP8" location="'Cost Summary'!A1" display="'Cost Summary'!A1"/>
    <hyperlink ref="VRQ8" location="'Cost Summary'!A1" display="'Cost Summary'!A1"/>
    <hyperlink ref="VRR8" location="'Cost Summary'!A1" display="'Cost Summary'!A1"/>
    <hyperlink ref="VRS8" location="'Cost Summary'!A1" display="'Cost Summary'!A1"/>
    <hyperlink ref="VRT8" location="'Cost Summary'!A1" display="'Cost Summary'!A1"/>
    <hyperlink ref="VRU8" location="'Cost Summary'!A1" display="'Cost Summary'!A1"/>
    <hyperlink ref="VRV8" location="'Cost Summary'!A1" display="'Cost Summary'!A1"/>
    <hyperlink ref="VRW8" location="'Cost Summary'!A1" display="'Cost Summary'!A1"/>
    <hyperlink ref="VRX8" location="'Cost Summary'!A1" display="'Cost Summary'!A1"/>
    <hyperlink ref="VRY8" location="'Cost Summary'!A1" display="'Cost Summary'!A1"/>
    <hyperlink ref="VRZ8" location="'Cost Summary'!A1" display="'Cost Summary'!A1"/>
    <hyperlink ref="VSA8" location="'Cost Summary'!A1" display="'Cost Summary'!A1"/>
    <hyperlink ref="VSB8" location="'Cost Summary'!A1" display="'Cost Summary'!A1"/>
    <hyperlink ref="VSC8" location="'Cost Summary'!A1" display="'Cost Summary'!A1"/>
    <hyperlink ref="VSD8" location="'Cost Summary'!A1" display="'Cost Summary'!A1"/>
    <hyperlink ref="VSE8" location="'Cost Summary'!A1" display="'Cost Summary'!A1"/>
    <hyperlink ref="VSF8" location="'Cost Summary'!A1" display="'Cost Summary'!A1"/>
    <hyperlink ref="VSG8" location="'Cost Summary'!A1" display="'Cost Summary'!A1"/>
    <hyperlink ref="VSH8" location="'Cost Summary'!A1" display="'Cost Summary'!A1"/>
    <hyperlink ref="VSI8" location="'Cost Summary'!A1" display="'Cost Summary'!A1"/>
    <hyperlink ref="VSJ8" location="'Cost Summary'!A1" display="'Cost Summary'!A1"/>
    <hyperlink ref="VSK8" location="'Cost Summary'!A1" display="'Cost Summary'!A1"/>
    <hyperlink ref="VSL8" location="'Cost Summary'!A1" display="'Cost Summary'!A1"/>
    <hyperlink ref="VSM8" location="'Cost Summary'!A1" display="'Cost Summary'!A1"/>
    <hyperlink ref="VSN8" location="'Cost Summary'!A1" display="'Cost Summary'!A1"/>
    <hyperlink ref="VSO8" location="'Cost Summary'!A1" display="'Cost Summary'!A1"/>
    <hyperlink ref="VSP8" location="'Cost Summary'!A1" display="'Cost Summary'!A1"/>
    <hyperlink ref="VSQ8" location="'Cost Summary'!A1" display="'Cost Summary'!A1"/>
    <hyperlink ref="VSR8" location="'Cost Summary'!A1" display="'Cost Summary'!A1"/>
    <hyperlink ref="VSS8" location="'Cost Summary'!A1" display="'Cost Summary'!A1"/>
    <hyperlink ref="VST8" location="'Cost Summary'!A1" display="'Cost Summary'!A1"/>
    <hyperlink ref="VSU8" location="'Cost Summary'!A1" display="'Cost Summary'!A1"/>
    <hyperlink ref="VSV8" location="'Cost Summary'!A1" display="'Cost Summary'!A1"/>
    <hyperlink ref="VSW8" location="'Cost Summary'!A1" display="'Cost Summary'!A1"/>
    <hyperlink ref="VSX8" location="'Cost Summary'!A1" display="'Cost Summary'!A1"/>
    <hyperlink ref="VSY8" location="'Cost Summary'!A1" display="'Cost Summary'!A1"/>
    <hyperlink ref="VSZ8" location="'Cost Summary'!A1" display="'Cost Summary'!A1"/>
    <hyperlink ref="VTA8" location="'Cost Summary'!A1" display="'Cost Summary'!A1"/>
    <hyperlink ref="VTB8" location="'Cost Summary'!A1" display="'Cost Summary'!A1"/>
    <hyperlink ref="VTC8" location="'Cost Summary'!A1" display="'Cost Summary'!A1"/>
    <hyperlink ref="VTD8" location="'Cost Summary'!A1" display="'Cost Summary'!A1"/>
    <hyperlink ref="VTE8" location="'Cost Summary'!A1" display="'Cost Summary'!A1"/>
    <hyperlink ref="VTF8" location="'Cost Summary'!A1" display="'Cost Summary'!A1"/>
    <hyperlink ref="VTG8" location="'Cost Summary'!A1" display="'Cost Summary'!A1"/>
    <hyperlink ref="VTH8" location="'Cost Summary'!A1" display="'Cost Summary'!A1"/>
    <hyperlink ref="VTI8" location="'Cost Summary'!A1" display="'Cost Summary'!A1"/>
    <hyperlink ref="VTJ8" location="'Cost Summary'!A1" display="'Cost Summary'!A1"/>
    <hyperlink ref="VTK8" location="'Cost Summary'!A1" display="'Cost Summary'!A1"/>
    <hyperlink ref="VTL8" location="'Cost Summary'!A1" display="'Cost Summary'!A1"/>
    <hyperlink ref="VTM8" location="'Cost Summary'!A1" display="'Cost Summary'!A1"/>
    <hyperlink ref="VTN8" location="'Cost Summary'!A1" display="'Cost Summary'!A1"/>
    <hyperlink ref="VTO8" location="'Cost Summary'!A1" display="'Cost Summary'!A1"/>
    <hyperlink ref="VTP8" location="'Cost Summary'!A1" display="'Cost Summary'!A1"/>
    <hyperlink ref="VTQ8" location="'Cost Summary'!A1" display="'Cost Summary'!A1"/>
    <hyperlink ref="VTR8" location="'Cost Summary'!A1" display="'Cost Summary'!A1"/>
    <hyperlink ref="VTS8" location="'Cost Summary'!A1" display="'Cost Summary'!A1"/>
    <hyperlink ref="VTT8" location="'Cost Summary'!A1" display="'Cost Summary'!A1"/>
    <hyperlink ref="VTU8" location="'Cost Summary'!A1" display="'Cost Summary'!A1"/>
    <hyperlink ref="VTV8" location="'Cost Summary'!A1" display="'Cost Summary'!A1"/>
    <hyperlink ref="VTW8" location="'Cost Summary'!A1" display="'Cost Summary'!A1"/>
    <hyperlink ref="VTX8" location="'Cost Summary'!A1" display="'Cost Summary'!A1"/>
    <hyperlink ref="VTY8" location="'Cost Summary'!A1" display="'Cost Summary'!A1"/>
    <hyperlink ref="VTZ8" location="'Cost Summary'!A1" display="'Cost Summary'!A1"/>
    <hyperlink ref="VUA8" location="'Cost Summary'!A1" display="'Cost Summary'!A1"/>
    <hyperlink ref="VUB8" location="'Cost Summary'!A1" display="'Cost Summary'!A1"/>
    <hyperlink ref="VUC8" location="'Cost Summary'!A1" display="'Cost Summary'!A1"/>
    <hyperlink ref="VUD8" location="'Cost Summary'!A1" display="'Cost Summary'!A1"/>
    <hyperlink ref="VUE8" location="'Cost Summary'!A1" display="'Cost Summary'!A1"/>
    <hyperlink ref="VUF8" location="'Cost Summary'!A1" display="'Cost Summary'!A1"/>
    <hyperlink ref="VUG8" location="'Cost Summary'!A1" display="'Cost Summary'!A1"/>
    <hyperlink ref="VUH8" location="'Cost Summary'!A1" display="'Cost Summary'!A1"/>
    <hyperlink ref="VUI8" location="'Cost Summary'!A1" display="'Cost Summary'!A1"/>
    <hyperlink ref="VUJ8" location="'Cost Summary'!A1" display="'Cost Summary'!A1"/>
    <hyperlink ref="VUK8" location="'Cost Summary'!A1" display="'Cost Summary'!A1"/>
    <hyperlink ref="VUL8" location="'Cost Summary'!A1" display="'Cost Summary'!A1"/>
    <hyperlink ref="VUM8" location="'Cost Summary'!A1" display="'Cost Summary'!A1"/>
    <hyperlink ref="VUN8" location="'Cost Summary'!A1" display="'Cost Summary'!A1"/>
    <hyperlink ref="VUO8" location="'Cost Summary'!A1" display="'Cost Summary'!A1"/>
    <hyperlink ref="VUP8" location="'Cost Summary'!A1" display="'Cost Summary'!A1"/>
    <hyperlink ref="VUQ8" location="'Cost Summary'!A1" display="'Cost Summary'!A1"/>
    <hyperlink ref="VUR8" location="'Cost Summary'!A1" display="'Cost Summary'!A1"/>
    <hyperlink ref="VUS8" location="'Cost Summary'!A1" display="'Cost Summary'!A1"/>
    <hyperlink ref="VUT8" location="'Cost Summary'!A1" display="'Cost Summary'!A1"/>
    <hyperlink ref="VUU8" location="'Cost Summary'!A1" display="'Cost Summary'!A1"/>
    <hyperlink ref="VUV8" location="'Cost Summary'!A1" display="'Cost Summary'!A1"/>
    <hyperlink ref="VUW8" location="'Cost Summary'!A1" display="'Cost Summary'!A1"/>
    <hyperlink ref="VUX8" location="'Cost Summary'!A1" display="'Cost Summary'!A1"/>
    <hyperlink ref="VUY8" location="'Cost Summary'!A1" display="'Cost Summary'!A1"/>
    <hyperlink ref="VUZ8" location="'Cost Summary'!A1" display="'Cost Summary'!A1"/>
    <hyperlink ref="VVA8" location="'Cost Summary'!A1" display="'Cost Summary'!A1"/>
    <hyperlink ref="VVB8" location="'Cost Summary'!A1" display="'Cost Summary'!A1"/>
    <hyperlink ref="VVC8" location="'Cost Summary'!A1" display="'Cost Summary'!A1"/>
    <hyperlink ref="VVD8" location="'Cost Summary'!A1" display="'Cost Summary'!A1"/>
    <hyperlink ref="VVE8" location="'Cost Summary'!A1" display="'Cost Summary'!A1"/>
    <hyperlink ref="VVF8" location="'Cost Summary'!A1" display="'Cost Summary'!A1"/>
    <hyperlink ref="VVG8" location="'Cost Summary'!A1" display="'Cost Summary'!A1"/>
    <hyperlink ref="VVH8" location="'Cost Summary'!A1" display="'Cost Summary'!A1"/>
    <hyperlink ref="VVI8" location="'Cost Summary'!A1" display="'Cost Summary'!A1"/>
    <hyperlink ref="VVJ8" location="'Cost Summary'!A1" display="'Cost Summary'!A1"/>
    <hyperlink ref="VVK8" location="'Cost Summary'!A1" display="'Cost Summary'!A1"/>
    <hyperlink ref="VVL8" location="'Cost Summary'!A1" display="'Cost Summary'!A1"/>
    <hyperlink ref="VVM8" location="'Cost Summary'!A1" display="'Cost Summary'!A1"/>
    <hyperlink ref="VVN8" location="'Cost Summary'!A1" display="'Cost Summary'!A1"/>
    <hyperlink ref="VVO8" location="'Cost Summary'!A1" display="'Cost Summary'!A1"/>
    <hyperlink ref="VVP8" location="'Cost Summary'!A1" display="'Cost Summary'!A1"/>
    <hyperlink ref="VVQ8" location="'Cost Summary'!A1" display="'Cost Summary'!A1"/>
    <hyperlink ref="VVR8" location="'Cost Summary'!A1" display="'Cost Summary'!A1"/>
    <hyperlink ref="VVS8" location="'Cost Summary'!A1" display="'Cost Summary'!A1"/>
    <hyperlink ref="VVT8" location="'Cost Summary'!A1" display="'Cost Summary'!A1"/>
    <hyperlink ref="VVU8" location="'Cost Summary'!A1" display="'Cost Summary'!A1"/>
    <hyperlink ref="VVV8" location="'Cost Summary'!A1" display="'Cost Summary'!A1"/>
    <hyperlink ref="VVW8" location="'Cost Summary'!A1" display="'Cost Summary'!A1"/>
    <hyperlink ref="VVX8" location="'Cost Summary'!A1" display="'Cost Summary'!A1"/>
    <hyperlink ref="VVY8" location="'Cost Summary'!A1" display="'Cost Summary'!A1"/>
    <hyperlink ref="VVZ8" location="'Cost Summary'!A1" display="'Cost Summary'!A1"/>
    <hyperlink ref="VWA8" location="'Cost Summary'!A1" display="'Cost Summary'!A1"/>
    <hyperlink ref="VWB8" location="'Cost Summary'!A1" display="'Cost Summary'!A1"/>
    <hyperlink ref="VWC8" location="'Cost Summary'!A1" display="'Cost Summary'!A1"/>
    <hyperlink ref="VWD8" location="'Cost Summary'!A1" display="'Cost Summary'!A1"/>
    <hyperlink ref="VWE8" location="'Cost Summary'!A1" display="'Cost Summary'!A1"/>
    <hyperlink ref="VWF8" location="'Cost Summary'!A1" display="'Cost Summary'!A1"/>
    <hyperlink ref="VWG8" location="'Cost Summary'!A1" display="'Cost Summary'!A1"/>
    <hyperlink ref="VWH8" location="'Cost Summary'!A1" display="'Cost Summary'!A1"/>
    <hyperlink ref="VWI8" location="'Cost Summary'!A1" display="'Cost Summary'!A1"/>
    <hyperlink ref="VWJ8" location="'Cost Summary'!A1" display="'Cost Summary'!A1"/>
    <hyperlink ref="VWK8" location="'Cost Summary'!A1" display="'Cost Summary'!A1"/>
    <hyperlink ref="VWL8" location="'Cost Summary'!A1" display="'Cost Summary'!A1"/>
    <hyperlink ref="VWM8" location="'Cost Summary'!A1" display="'Cost Summary'!A1"/>
    <hyperlink ref="VWN8" location="'Cost Summary'!A1" display="'Cost Summary'!A1"/>
    <hyperlink ref="VWO8" location="'Cost Summary'!A1" display="'Cost Summary'!A1"/>
    <hyperlink ref="VWP8" location="'Cost Summary'!A1" display="'Cost Summary'!A1"/>
    <hyperlink ref="VWQ8" location="'Cost Summary'!A1" display="'Cost Summary'!A1"/>
    <hyperlink ref="VWR8" location="'Cost Summary'!A1" display="'Cost Summary'!A1"/>
    <hyperlink ref="VWS8" location="'Cost Summary'!A1" display="'Cost Summary'!A1"/>
    <hyperlink ref="VWT8" location="'Cost Summary'!A1" display="'Cost Summary'!A1"/>
    <hyperlink ref="VWU8" location="'Cost Summary'!A1" display="'Cost Summary'!A1"/>
    <hyperlink ref="VWV8" location="'Cost Summary'!A1" display="'Cost Summary'!A1"/>
    <hyperlink ref="VWW8" location="'Cost Summary'!A1" display="'Cost Summary'!A1"/>
    <hyperlink ref="VWX8" location="'Cost Summary'!A1" display="'Cost Summary'!A1"/>
    <hyperlink ref="VWY8" location="'Cost Summary'!A1" display="'Cost Summary'!A1"/>
    <hyperlink ref="VWZ8" location="'Cost Summary'!A1" display="'Cost Summary'!A1"/>
    <hyperlink ref="VXA8" location="'Cost Summary'!A1" display="'Cost Summary'!A1"/>
    <hyperlink ref="VXB8" location="'Cost Summary'!A1" display="'Cost Summary'!A1"/>
    <hyperlink ref="VXC8" location="'Cost Summary'!A1" display="'Cost Summary'!A1"/>
    <hyperlink ref="VXD8" location="'Cost Summary'!A1" display="'Cost Summary'!A1"/>
    <hyperlink ref="VXE8" location="'Cost Summary'!A1" display="'Cost Summary'!A1"/>
    <hyperlink ref="VXF8" location="'Cost Summary'!A1" display="'Cost Summary'!A1"/>
    <hyperlink ref="VXG8" location="'Cost Summary'!A1" display="'Cost Summary'!A1"/>
    <hyperlink ref="VXH8" location="'Cost Summary'!A1" display="'Cost Summary'!A1"/>
    <hyperlink ref="VXI8" location="'Cost Summary'!A1" display="'Cost Summary'!A1"/>
    <hyperlink ref="VXJ8" location="'Cost Summary'!A1" display="'Cost Summary'!A1"/>
    <hyperlink ref="VXK8" location="'Cost Summary'!A1" display="'Cost Summary'!A1"/>
    <hyperlink ref="VXL8" location="'Cost Summary'!A1" display="'Cost Summary'!A1"/>
    <hyperlink ref="VXM8" location="'Cost Summary'!A1" display="'Cost Summary'!A1"/>
    <hyperlink ref="VXN8" location="'Cost Summary'!A1" display="'Cost Summary'!A1"/>
    <hyperlink ref="VXO8" location="'Cost Summary'!A1" display="'Cost Summary'!A1"/>
    <hyperlink ref="VXP8" location="'Cost Summary'!A1" display="'Cost Summary'!A1"/>
    <hyperlink ref="VXQ8" location="'Cost Summary'!A1" display="'Cost Summary'!A1"/>
    <hyperlink ref="VXR8" location="'Cost Summary'!A1" display="'Cost Summary'!A1"/>
    <hyperlink ref="VXS8" location="'Cost Summary'!A1" display="'Cost Summary'!A1"/>
    <hyperlink ref="VXT8" location="'Cost Summary'!A1" display="'Cost Summary'!A1"/>
    <hyperlink ref="VXU8" location="'Cost Summary'!A1" display="'Cost Summary'!A1"/>
    <hyperlink ref="VXV8" location="'Cost Summary'!A1" display="'Cost Summary'!A1"/>
    <hyperlink ref="VXW8" location="'Cost Summary'!A1" display="'Cost Summary'!A1"/>
    <hyperlink ref="VXX8" location="'Cost Summary'!A1" display="'Cost Summary'!A1"/>
    <hyperlink ref="VXY8" location="'Cost Summary'!A1" display="'Cost Summary'!A1"/>
    <hyperlink ref="VXZ8" location="'Cost Summary'!A1" display="'Cost Summary'!A1"/>
    <hyperlink ref="VYA8" location="'Cost Summary'!A1" display="'Cost Summary'!A1"/>
    <hyperlink ref="VYB8" location="'Cost Summary'!A1" display="'Cost Summary'!A1"/>
    <hyperlink ref="VYC8" location="'Cost Summary'!A1" display="'Cost Summary'!A1"/>
    <hyperlink ref="VYD8" location="'Cost Summary'!A1" display="'Cost Summary'!A1"/>
    <hyperlink ref="VYE8" location="'Cost Summary'!A1" display="'Cost Summary'!A1"/>
    <hyperlink ref="VYF8" location="'Cost Summary'!A1" display="'Cost Summary'!A1"/>
    <hyperlink ref="VYG8" location="'Cost Summary'!A1" display="'Cost Summary'!A1"/>
    <hyperlink ref="VYH8" location="'Cost Summary'!A1" display="'Cost Summary'!A1"/>
    <hyperlink ref="VYI8" location="'Cost Summary'!A1" display="'Cost Summary'!A1"/>
    <hyperlink ref="VYJ8" location="'Cost Summary'!A1" display="'Cost Summary'!A1"/>
    <hyperlink ref="VYK8" location="'Cost Summary'!A1" display="'Cost Summary'!A1"/>
    <hyperlink ref="VYL8" location="'Cost Summary'!A1" display="'Cost Summary'!A1"/>
    <hyperlink ref="VYM8" location="'Cost Summary'!A1" display="'Cost Summary'!A1"/>
    <hyperlink ref="VYN8" location="'Cost Summary'!A1" display="'Cost Summary'!A1"/>
    <hyperlink ref="VYO8" location="'Cost Summary'!A1" display="'Cost Summary'!A1"/>
    <hyperlink ref="VYP8" location="'Cost Summary'!A1" display="'Cost Summary'!A1"/>
    <hyperlink ref="VYQ8" location="'Cost Summary'!A1" display="'Cost Summary'!A1"/>
    <hyperlink ref="VYR8" location="'Cost Summary'!A1" display="'Cost Summary'!A1"/>
    <hyperlink ref="VYS8" location="'Cost Summary'!A1" display="'Cost Summary'!A1"/>
    <hyperlink ref="VYT8" location="'Cost Summary'!A1" display="'Cost Summary'!A1"/>
    <hyperlink ref="VYU8" location="'Cost Summary'!A1" display="'Cost Summary'!A1"/>
    <hyperlink ref="VYV8" location="'Cost Summary'!A1" display="'Cost Summary'!A1"/>
    <hyperlink ref="VYW8" location="'Cost Summary'!A1" display="'Cost Summary'!A1"/>
    <hyperlink ref="VYX8" location="'Cost Summary'!A1" display="'Cost Summary'!A1"/>
    <hyperlink ref="VYY8" location="'Cost Summary'!A1" display="'Cost Summary'!A1"/>
    <hyperlink ref="VYZ8" location="'Cost Summary'!A1" display="'Cost Summary'!A1"/>
    <hyperlink ref="VZA8" location="'Cost Summary'!A1" display="'Cost Summary'!A1"/>
    <hyperlink ref="VZB8" location="'Cost Summary'!A1" display="'Cost Summary'!A1"/>
    <hyperlink ref="VZC8" location="'Cost Summary'!A1" display="'Cost Summary'!A1"/>
    <hyperlink ref="VZD8" location="'Cost Summary'!A1" display="'Cost Summary'!A1"/>
    <hyperlink ref="VZE8" location="'Cost Summary'!A1" display="'Cost Summary'!A1"/>
    <hyperlink ref="VZF8" location="'Cost Summary'!A1" display="'Cost Summary'!A1"/>
    <hyperlink ref="VZG8" location="'Cost Summary'!A1" display="'Cost Summary'!A1"/>
    <hyperlink ref="VZH8" location="'Cost Summary'!A1" display="'Cost Summary'!A1"/>
    <hyperlink ref="VZI8" location="'Cost Summary'!A1" display="'Cost Summary'!A1"/>
    <hyperlink ref="VZJ8" location="'Cost Summary'!A1" display="'Cost Summary'!A1"/>
    <hyperlink ref="VZK8" location="'Cost Summary'!A1" display="'Cost Summary'!A1"/>
    <hyperlink ref="VZL8" location="'Cost Summary'!A1" display="'Cost Summary'!A1"/>
    <hyperlink ref="VZM8" location="'Cost Summary'!A1" display="'Cost Summary'!A1"/>
    <hyperlink ref="VZN8" location="'Cost Summary'!A1" display="'Cost Summary'!A1"/>
    <hyperlink ref="VZO8" location="'Cost Summary'!A1" display="'Cost Summary'!A1"/>
    <hyperlink ref="VZP8" location="'Cost Summary'!A1" display="'Cost Summary'!A1"/>
    <hyperlink ref="VZQ8" location="'Cost Summary'!A1" display="'Cost Summary'!A1"/>
    <hyperlink ref="VZR8" location="'Cost Summary'!A1" display="'Cost Summary'!A1"/>
    <hyperlink ref="VZS8" location="'Cost Summary'!A1" display="'Cost Summary'!A1"/>
    <hyperlink ref="VZT8" location="'Cost Summary'!A1" display="'Cost Summary'!A1"/>
    <hyperlink ref="VZU8" location="'Cost Summary'!A1" display="'Cost Summary'!A1"/>
    <hyperlink ref="VZV8" location="'Cost Summary'!A1" display="'Cost Summary'!A1"/>
    <hyperlink ref="VZW8" location="'Cost Summary'!A1" display="'Cost Summary'!A1"/>
    <hyperlink ref="VZX8" location="'Cost Summary'!A1" display="'Cost Summary'!A1"/>
    <hyperlink ref="VZY8" location="'Cost Summary'!A1" display="'Cost Summary'!A1"/>
    <hyperlink ref="VZZ8" location="'Cost Summary'!A1" display="'Cost Summary'!A1"/>
    <hyperlink ref="WAA8" location="'Cost Summary'!A1" display="'Cost Summary'!A1"/>
    <hyperlink ref="WAB8" location="'Cost Summary'!A1" display="'Cost Summary'!A1"/>
    <hyperlink ref="WAC8" location="'Cost Summary'!A1" display="'Cost Summary'!A1"/>
    <hyperlink ref="WAD8" location="'Cost Summary'!A1" display="'Cost Summary'!A1"/>
    <hyperlink ref="WAE8" location="'Cost Summary'!A1" display="'Cost Summary'!A1"/>
    <hyperlink ref="WAF8" location="'Cost Summary'!A1" display="'Cost Summary'!A1"/>
    <hyperlink ref="WAG8" location="'Cost Summary'!A1" display="'Cost Summary'!A1"/>
    <hyperlink ref="WAH8" location="'Cost Summary'!A1" display="'Cost Summary'!A1"/>
    <hyperlink ref="WAI8" location="'Cost Summary'!A1" display="'Cost Summary'!A1"/>
    <hyperlink ref="WAJ8" location="'Cost Summary'!A1" display="'Cost Summary'!A1"/>
    <hyperlink ref="WAK8" location="'Cost Summary'!A1" display="'Cost Summary'!A1"/>
    <hyperlink ref="WAL8" location="'Cost Summary'!A1" display="'Cost Summary'!A1"/>
    <hyperlink ref="WAM8" location="'Cost Summary'!A1" display="'Cost Summary'!A1"/>
    <hyperlink ref="WAN8" location="'Cost Summary'!A1" display="'Cost Summary'!A1"/>
    <hyperlink ref="WAO8" location="'Cost Summary'!A1" display="'Cost Summary'!A1"/>
    <hyperlink ref="WAP8" location="'Cost Summary'!A1" display="'Cost Summary'!A1"/>
    <hyperlink ref="WAQ8" location="'Cost Summary'!A1" display="'Cost Summary'!A1"/>
    <hyperlink ref="WAR8" location="'Cost Summary'!A1" display="'Cost Summary'!A1"/>
    <hyperlink ref="WAS8" location="'Cost Summary'!A1" display="'Cost Summary'!A1"/>
    <hyperlink ref="WAT8" location="'Cost Summary'!A1" display="'Cost Summary'!A1"/>
    <hyperlink ref="WAU8" location="'Cost Summary'!A1" display="'Cost Summary'!A1"/>
    <hyperlink ref="WAV8" location="'Cost Summary'!A1" display="'Cost Summary'!A1"/>
    <hyperlink ref="WAW8" location="'Cost Summary'!A1" display="'Cost Summary'!A1"/>
    <hyperlink ref="WAX8" location="'Cost Summary'!A1" display="'Cost Summary'!A1"/>
    <hyperlink ref="WAY8" location="'Cost Summary'!A1" display="'Cost Summary'!A1"/>
    <hyperlink ref="WAZ8" location="'Cost Summary'!A1" display="'Cost Summary'!A1"/>
    <hyperlink ref="WBA8" location="'Cost Summary'!A1" display="'Cost Summary'!A1"/>
    <hyperlink ref="WBB8" location="'Cost Summary'!A1" display="'Cost Summary'!A1"/>
    <hyperlink ref="WBC8" location="'Cost Summary'!A1" display="'Cost Summary'!A1"/>
    <hyperlink ref="WBD8" location="'Cost Summary'!A1" display="'Cost Summary'!A1"/>
    <hyperlink ref="WBE8" location="'Cost Summary'!A1" display="'Cost Summary'!A1"/>
    <hyperlink ref="WBF8" location="'Cost Summary'!A1" display="'Cost Summary'!A1"/>
    <hyperlink ref="WBG8" location="'Cost Summary'!A1" display="'Cost Summary'!A1"/>
    <hyperlink ref="WBH8" location="'Cost Summary'!A1" display="'Cost Summary'!A1"/>
    <hyperlink ref="WBI8" location="'Cost Summary'!A1" display="'Cost Summary'!A1"/>
    <hyperlink ref="WBJ8" location="'Cost Summary'!A1" display="'Cost Summary'!A1"/>
    <hyperlink ref="WBK8" location="'Cost Summary'!A1" display="'Cost Summary'!A1"/>
    <hyperlink ref="WBL8" location="'Cost Summary'!A1" display="'Cost Summary'!A1"/>
    <hyperlink ref="WBM8" location="'Cost Summary'!A1" display="'Cost Summary'!A1"/>
    <hyperlink ref="WBN8" location="'Cost Summary'!A1" display="'Cost Summary'!A1"/>
    <hyperlink ref="WBO8" location="'Cost Summary'!A1" display="'Cost Summary'!A1"/>
    <hyperlink ref="WBP8" location="'Cost Summary'!A1" display="'Cost Summary'!A1"/>
    <hyperlink ref="WBQ8" location="'Cost Summary'!A1" display="'Cost Summary'!A1"/>
    <hyperlink ref="WBR8" location="'Cost Summary'!A1" display="'Cost Summary'!A1"/>
    <hyperlink ref="WBS8" location="'Cost Summary'!A1" display="'Cost Summary'!A1"/>
    <hyperlink ref="WBT8" location="'Cost Summary'!A1" display="'Cost Summary'!A1"/>
    <hyperlink ref="WBU8" location="'Cost Summary'!A1" display="'Cost Summary'!A1"/>
    <hyperlink ref="WBV8" location="'Cost Summary'!A1" display="'Cost Summary'!A1"/>
    <hyperlink ref="WBW8" location="'Cost Summary'!A1" display="'Cost Summary'!A1"/>
    <hyperlink ref="WBX8" location="'Cost Summary'!A1" display="'Cost Summary'!A1"/>
    <hyperlink ref="WBY8" location="'Cost Summary'!A1" display="'Cost Summary'!A1"/>
    <hyperlink ref="WBZ8" location="'Cost Summary'!A1" display="'Cost Summary'!A1"/>
    <hyperlink ref="WCA8" location="'Cost Summary'!A1" display="'Cost Summary'!A1"/>
    <hyperlink ref="WCB8" location="'Cost Summary'!A1" display="'Cost Summary'!A1"/>
    <hyperlink ref="WCC8" location="'Cost Summary'!A1" display="'Cost Summary'!A1"/>
    <hyperlink ref="WCD8" location="'Cost Summary'!A1" display="'Cost Summary'!A1"/>
    <hyperlink ref="WCE8" location="'Cost Summary'!A1" display="'Cost Summary'!A1"/>
    <hyperlink ref="WCF8" location="'Cost Summary'!A1" display="'Cost Summary'!A1"/>
    <hyperlink ref="WCG8" location="'Cost Summary'!A1" display="'Cost Summary'!A1"/>
    <hyperlink ref="WCH8" location="'Cost Summary'!A1" display="'Cost Summary'!A1"/>
    <hyperlink ref="WCI8" location="'Cost Summary'!A1" display="'Cost Summary'!A1"/>
    <hyperlink ref="WCJ8" location="'Cost Summary'!A1" display="'Cost Summary'!A1"/>
    <hyperlink ref="WCK8" location="'Cost Summary'!A1" display="'Cost Summary'!A1"/>
    <hyperlink ref="WCL8" location="'Cost Summary'!A1" display="'Cost Summary'!A1"/>
    <hyperlink ref="WCM8" location="'Cost Summary'!A1" display="'Cost Summary'!A1"/>
    <hyperlink ref="WCN8" location="'Cost Summary'!A1" display="'Cost Summary'!A1"/>
    <hyperlink ref="WCO8" location="'Cost Summary'!A1" display="'Cost Summary'!A1"/>
    <hyperlink ref="WCP8" location="'Cost Summary'!A1" display="'Cost Summary'!A1"/>
    <hyperlink ref="WCQ8" location="'Cost Summary'!A1" display="'Cost Summary'!A1"/>
    <hyperlink ref="WCR8" location="'Cost Summary'!A1" display="'Cost Summary'!A1"/>
    <hyperlink ref="WCS8" location="'Cost Summary'!A1" display="'Cost Summary'!A1"/>
    <hyperlink ref="WCT8" location="'Cost Summary'!A1" display="'Cost Summary'!A1"/>
    <hyperlink ref="WCU8" location="'Cost Summary'!A1" display="'Cost Summary'!A1"/>
    <hyperlink ref="WCV8" location="'Cost Summary'!A1" display="'Cost Summary'!A1"/>
    <hyperlink ref="WCW8" location="'Cost Summary'!A1" display="'Cost Summary'!A1"/>
    <hyperlink ref="WCX8" location="'Cost Summary'!A1" display="'Cost Summary'!A1"/>
    <hyperlink ref="WCY8" location="'Cost Summary'!A1" display="'Cost Summary'!A1"/>
    <hyperlink ref="WCZ8" location="'Cost Summary'!A1" display="'Cost Summary'!A1"/>
    <hyperlink ref="WDA8" location="'Cost Summary'!A1" display="'Cost Summary'!A1"/>
    <hyperlink ref="WDB8" location="'Cost Summary'!A1" display="'Cost Summary'!A1"/>
    <hyperlink ref="WDC8" location="'Cost Summary'!A1" display="'Cost Summary'!A1"/>
    <hyperlink ref="WDD8" location="'Cost Summary'!A1" display="'Cost Summary'!A1"/>
    <hyperlink ref="WDE8" location="'Cost Summary'!A1" display="'Cost Summary'!A1"/>
    <hyperlink ref="WDF8" location="'Cost Summary'!A1" display="'Cost Summary'!A1"/>
    <hyperlink ref="WDG8" location="'Cost Summary'!A1" display="'Cost Summary'!A1"/>
    <hyperlink ref="WDH8" location="'Cost Summary'!A1" display="'Cost Summary'!A1"/>
    <hyperlink ref="WDI8" location="'Cost Summary'!A1" display="'Cost Summary'!A1"/>
    <hyperlink ref="WDJ8" location="'Cost Summary'!A1" display="'Cost Summary'!A1"/>
    <hyperlink ref="WDK8" location="'Cost Summary'!A1" display="'Cost Summary'!A1"/>
    <hyperlink ref="WDL8" location="'Cost Summary'!A1" display="'Cost Summary'!A1"/>
    <hyperlink ref="WDM8" location="'Cost Summary'!A1" display="'Cost Summary'!A1"/>
    <hyperlink ref="WDN8" location="'Cost Summary'!A1" display="'Cost Summary'!A1"/>
    <hyperlink ref="WDO8" location="'Cost Summary'!A1" display="'Cost Summary'!A1"/>
    <hyperlink ref="WDP8" location="'Cost Summary'!A1" display="'Cost Summary'!A1"/>
    <hyperlink ref="WDQ8" location="'Cost Summary'!A1" display="'Cost Summary'!A1"/>
    <hyperlink ref="WDR8" location="'Cost Summary'!A1" display="'Cost Summary'!A1"/>
    <hyperlink ref="WDS8" location="'Cost Summary'!A1" display="'Cost Summary'!A1"/>
    <hyperlink ref="WDT8" location="'Cost Summary'!A1" display="'Cost Summary'!A1"/>
    <hyperlink ref="WDU8" location="'Cost Summary'!A1" display="'Cost Summary'!A1"/>
    <hyperlink ref="WDV8" location="'Cost Summary'!A1" display="'Cost Summary'!A1"/>
    <hyperlink ref="WDW8" location="'Cost Summary'!A1" display="'Cost Summary'!A1"/>
    <hyperlink ref="WDX8" location="'Cost Summary'!A1" display="'Cost Summary'!A1"/>
    <hyperlink ref="WDY8" location="'Cost Summary'!A1" display="'Cost Summary'!A1"/>
    <hyperlink ref="WDZ8" location="'Cost Summary'!A1" display="'Cost Summary'!A1"/>
    <hyperlink ref="WEA8" location="'Cost Summary'!A1" display="'Cost Summary'!A1"/>
    <hyperlink ref="WEB8" location="'Cost Summary'!A1" display="'Cost Summary'!A1"/>
    <hyperlink ref="WEC8" location="'Cost Summary'!A1" display="'Cost Summary'!A1"/>
    <hyperlink ref="WED8" location="'Cost Summary'!A1" display="'Cost Summary'!A1"/>
    <hyperlink ref="WEE8" location="'Cost Summary'!A1" display="'Cost Summary'!A1"/>
    <hyperlink ref="WEF8" location="'Cost Summary'!A1" display="'Cost Summary'!A1"/>
    <hyperlink ref="WEG8" location="'Cost Summary'!A1" display="'Cost Summary'!A1"/>
    <hyperlink ref="WEH8" location="'Cost Summary'!A1" display="'Cost Summary'!A1"/>
    <hyperlink ref="WEI8" location="'Cost Summary'!A1" display="'Cost Summary'!A1"/>
    <hyperlink ref="WEJ8" location="'Cost Summary'!A1" display="'Cost Summary'!A1"/>
    <hyperlink ref="WEK8" location="'Cost Summary'!A1" display="'Cost Summary'!A1"/>
    <hyperlink ref="WEL8" location="'Cost Summary'!A1" display="'Cost Summary'!A1"/>
    <hyperlink ref="WEM8" location="'Cost Summary'!A1" display="'Cost Summary'!A1"/>
    <hyperlink ref="WEN8" location="'Cost Summary'!A1" display="'Cost Summary'!A1"/>
    <hyperlink ref="WEO8" location="'Cost Summary'!A1" display="'Cost Summary'!A1"/>
    <hyperlink ref="WEP8" location="'Cost Summary'!A1" display="'Cost Summary'!A1"/>
    <hyperlink ref="WEQ8" location="'Cost Summary'!A1" display="'Cost Summary'!A1"/>
    <hyperlink ref="WER8" location="'Cost Summary'!A1" display="'Cost Summary'!A1"/>
    <hyperlink ref="WES8" location="'Cost Summary'!A1" display="'Cost Summary'!A1"/>
    <hyperlink ref="WET8" location="'Cost Summary'!A1" display="'Cost Summary'!A1"/>
    <hyperlink ref="WEU8" location="'Cost Summary'!A1" display="'Cost Summary'!A1"/>
    <hyperlink ref="WEV8" location="'Cost Summary'!A1" display="'Cost Summary'!A1"/>
    <hyperlink ref="WEW8" location="'Cost Summary'!A1" display="'Cost Summary'!A1"/>
    <hyperlink ref="WEX8" location="'Cost Summary'!A1" display="'Cost Summary'!A1"/>
    <hyperlink ref="WEY8" location="'Cost Summary'!A1" display="'Cost Summary'!A1"/>
    <hyperlink ref="WEZ8" location="'Cost Summary'!A1" display="'Cost Summary'!A1"/>
    <hyperlink ref="WFA8" location="'Cost Summary'!A1" display="'Cost Summary'!A1"/>
    <hyperlink ref="WFB8" location="'Cost Summary'!A1" display="'Cost Summary'!A1"/>
    <hyperlink ref="WFC8" location="'Cost Summary'!A1" display="'Cost Summary'!A1"/>
    <hyperlink ref="WFD8" location="'Cost Summary'!A1" display="'Cost Summary'!A1"/>
    <hyperlink ref="WFE8" location="'Cost Summary'!A1" display="'Cost Summary'!A1"/>
    <hyperlink ref="WFF8" location="'Cost Summary'!A1" display="'Cost Summary'!A1"/>
    <hyperlink ref="WFG8" location="'Cost Summary'!A1" display="'Cost Summary'!A1"/>
    <hyperlink ref="WFH8" location="'Cost Summary'!A1" display="'Cost Summary'!A1"/>
    <hyperlink ref="WFI8" location="'Cost Summary'!A1" display="'Cost Summary'!A1"/>
    <hyperlink ref="WFJ8" location="'Cost Summary'!A1" display="'Cost Summary'!A1"/>
    <hyperlink ref="WFK8" location="'Cost Summary'!A1" display="'Cost Summary'!A1"/>
    <hyperlink ref="WFL8" location="'Cost Summary'!A1" display="'Cost Summary'!A1"/>
    <hyperlink ref="WFM8" location="'Cost Summary'!A1" display="'Cost Summary'!A1"/>
    <hyperlink ref="WFN8" location="'Cost Summary'!A1" display="'Cost Summary'!A1"/>
    <hyperlink ref="WFO8" location="'Cost Summary'!A1" display="'Cost Summary'!A1"/>
    <hyperlink ref="WFP8" location="'Cost Summary'!A1" display="'Cost Summary'!A1"/>
    <hyperlink ref="WFQ8" location="'Cost Summary'!A1" display="'Cost Summary'!A1"/>
    <hyperlink ref="WFR8" location="'Cost Summary'!A1" display="'Cost Summary'!A1"/>
    <hyperlink ref="WFS8" location="'Cost Summary'!A1" display="'Cost Summary'!A1"/>
    <hyperlink ref="WFT8" location="'Cost Summary'!A1" display="'Cost Summary'!A1"/>
    <hyperlink ref="WFU8" location="'Cost Summary'!A1" display="'Cost Summary'!A1"/>
    <hyperlink ref="WFV8" location="'Cost Summary'!A1" display="'Cost Summary'!A1"/>
    <hyperlink ref="WFW8" location="'Cost Summary'!A1" display="'Cost Summary'!A1"/>
    <hyperlink ref="WFX8" location="'Cost Summary'!A1" display="'Cost Summary'!A1"/>
    <hyperlink ref="WFY8" location="'Cost Summary'!A1" display="'Cost Summary'!A1"/>
    <hyperlink ref="WFZ8" location="'Cost Summary'!A1" display="'Cost Summary'!A1"/>
    <hyperlink ref="WGA8" location="'Cost Summary'!A1" display="'Cost Summary'!A1"/>
    <hyperlink ref="WGB8" location="'Cost Summary'!A1" display="'Cost Summary'!A1"/>
    <hyperlink ref="WGC8" location="'Cost Summary'!A1" display="'Cost Summary'!A1"/>
    <hyperlink ref="WGD8" location="'Cost Summary'!A1" display="'Cost Summary'!A1"/>
    <hyperlink ref="WGE8" location="'Cost Summary'!A1" display="'Cost Summary'!A1"/>
    <hyperlink ref="WGF8" location="'Cost Summary'!A1" display="'Cost Summary'!A1"/>
    <hyperlink ref="WGG8" location="'Cost Summary'!A1" display="'Cost Summary'!A1"/>
    <hyperlink ref="WGH8" location="'Cost Summary'!A1" display="'Cost Summary'!A1"/>
    <hyperlink ref="WGI8" location="'Cost Summary'!A1" display="'Cost Summary'!A1"/>
    <hyperlink ref="WGJ8" location="'Cost Summary'!A1" display="'Cost Summary'!A1"/>
    <hyperlink ref="WGK8" location="'Cost Summary'!A1" display="'Cost Summary'!A1"/>
    <hyperlink ref="WGL8" location="'Cost Summary'!A1" display="'Cost Summary'!A1"/>
    <hyperlink ref="WGM8" location="'Cost Summary'!A1" display="'Cost Summary'!A1"/>
    <hyperlink ref="WGN8" location="'Cost Summary'!A1" display="'Cost Summary'!A1"/>
    <hyperlink ref="WGO8" location="'Cost Summary'!A1" display="'Cost Summary'!A1"/>
    <hyperlink ref="WGP8" location="'Cost Summary'!A1" display="'Cost Summary'!A1"/>
    <hyperlink ref="WGQ8" location="'Cost Summary'!A1" display="'Cost Summary'!A1"/>
    <hyperlink ref="WGR8" location="'Cost Summary'!A1" display="'Cost Summary'!A1"/>
    <hyperlink ref="WGS8" location="'Cost Summary'!A1" display="'Cost Summary'!A1"/>
    <hyperlink ref="WGT8" location="'Cost Summary'!A1" display="'Cost Summary'!A1"/>
    <hyperlink ref="WGU8" location="'Cost Summary'!A1" display="'Cost Summary'!A1"/>
    <hyperlink ref="WGV8" location="'Cost Summary'!A1" display="'Cost Summary'!A1"/>
    <hyperlink ref="WGW8" location="'Cost Summary'!A1" display="'Cost Summary'!A1"/>
    <hyperlink ref="WGX8" location="'Cost Summary'!A1" display="'Cost Summary'!A1"/>
    <hyperlink ref="WGY8" location="'Cost Summary'!A1" display="'Cost Summary'!A1"/>
    <hyperlink ref="WGZ8" location="'Cost Summary'!A1" display="'Cost Summary'!A1"/>
    <hyperlink ref="WHA8" location="'Cost Summary'!A1" display="'Cost Summary'!A1"/>
    <hyperlink ref="WHB8" location="'Cost Summary'!A1" display="'Cost Summary'!A1"/>
    <hyperlink ref="WHC8" location="'Cost Summary'!A1" display="'Cost Summary'!A1"/>
    <hyperlink ref="WHD8" location="'Cost Summary'!A1" display="'Cost Summary'!A1"/>
    <hyperlink ref="WHE8" location="'Cost Summary'!A1" display="'Cost Summary'!A1"/>
    <hyperlink ref="WHF8" location="'Cost Summary'!A1" display="'Cost Summary'!A1"/>
    <hyperlink ref="WHG8" location="'Cost Summary'!A1" display="'Cost Summary'!A1"/>
    <hyperlink ref="WHH8" location="'Cost Summary'!A1" display="'Cost Summary'!A1"/>
    <hyperlink ref="WHI8" location="'Cost Summary'!A1" display="'Cost Summary'!A1"/>
    <hyperlink ref="WHJ8" location="'Cost Summary'!A1" display="'Cost Summary'!A1"/>
    <hyperlink ref="WHK8" location="'Cost Summary'!A1" display="'Cost Summary'!A1"/>
    <hyperlink ref="WHL8" location="'Cost Summary'!A1" display="'Cost Summary'!A1"/>
    <hyperlink ref="WHM8" location="'Cost Summary'!A1" display="'Cost Summary'!A1"/>
    <hyperlink ref="WHN8" location="'Cost Summary'!A1" display="'Cost Summary'!A1"/>
    <hyperlink ref="WHO8" location="'Cost Summary'!A1" display="'Cost Summary'!A1"/>
    <hyperlink ref="WHP8" location="'Cost Summary'!A1" display="'Cost Summary'!A1"/>
    <hyperlink ref="WHQ8" location="'Cost Summary'!A1" display="'Cost Summary'!A1"/>
    <hyperlink ref="WHR8" location="'Cost Summary'!A1" display="'Cost Summary'!A1"/>
    <hyperlink ref="WHS8" location="'Cost Summary'!A1" display="'Cost Summary'!A1"/>
    <hyperlink ref="WHT8" location="'Cost Summary'!A1" display="'Cost Summary'!A1"/>
    <hyperlink ref="WHU8" location="'Cost Summary'!A1" display="'Cost Summary'!A1"/>
    <hyperlink ref="WHV8" location="'Cost Summary'!A1" display="'Cost Summary'!A1"/>
    <hyperlink ref="WHW8" location="'Cost Summary'!A1" display="'Cost Summary'!A1"/>
    <hyperlink ref="WHX8" location="'Cost Summary'!A1" display="'Cost Summary'!A1"/>
    <hyperlink ref="WHY8" location="'Cost Summary'!A1" display="'Cost Summary'!A1"/>
    <hyperlink ref="WHZ8" location="'Cost Summary'!A1" display="'Cost Summary'!A1"/>
    <hyperlink ref="WIA8" location="'Cost Summary'!A1" display="'Cost Summary'!A1"/>
    <hyperlink ref="WIB8" location="'Cost Summary'!A1" display="'Cost Summary'!A1"/>
    <hyperlink ref="WIC8" location="'Cost Summary'!A1" display="'Cost Summary'!A1"/>
    <hyperlink ref="WID8" location="'Cost Summary'!A1" display="'Cost Summary'!A1"/>
    <hyperlink ref="WIE8" location="'Cost Summary'!A1" display="'Cost Summary'!A1"/>
    <hyperlink ref="WIF8" location="'Cost Summary'!A1" display="'Cost Summary'!A1"/>
    <hyperlink ref="WIG8" location="'Cost Summary'!A1" display="'Cost Summary'!A1"/>
    <hyperlink ref="WIH8" location="'Cost Summary'!A1" display="'Cost Summary'!A1"/>
    <hyperlink ref="WII8" location="'Cost Summary'!A1" display="'Cost Summary'!A1"/>
    <hyperlink ref="WIJ8" location="'Cost Summary'!A1" display="'Cost Summary'!A1"/>
    <hyperlink ref="WIK8" location="'Cost Summary'!A1" display="'Cost Summary'!A1"/>
    <hyperlink ref="WIL8" location="'Cost Summary'!A1" display="'Cost Summary'!A1"/>
    <hyperlink ref="WIM8" location="'Cost Summary'!A1" display="'Cost Summary'!A1"/>
    <hyperlink ref="WIN8" location="'Cost Summary'!A1" display="'Cost Summary'!A1"/>
    <hyperlink ref="WIO8" location="'Cost Summary'!A1" display="'Cost Summary'!A1"/>
    <hyperlink ref="WIP8" location="'Cost Summary'!A1" display="'Cost Summary'!A1"/>
    <hyperlink ref="WIQ8" location="'Cost Summary'!A1" display="'Cost Summary'!A1"/>
    <hyperlink ref="WIR8" location="'Cost Summary'!A1" display="'Cost Summary'!A1"/>
    <hyperlink ref="WIS8" location="'Cost Summary'!A1" display="'Cost Summary'!A1"/>
    <hyperlink ref="WIT8" location="'Cost Summary'!A1" display="'Cost Summary'!A1"/>
    <hyperlink ref="WIU8" location="'Cost Summary'!A1" display="'Cost Summary'!A1"/>
    <hyperlink ref="WIV8" location="'Cost Summary'!A1" display="'Cost Summary'!A1"/>
    <hyperlink ref="WIW8" location="'Cost Summary'!A1" display="'Cost Summary'!A1"/>
    <hyperlink ref="WIX8" location="'Cost Summary'!A1" display="'Cost Summary'!A1"/>
    <hyperlink ref="WIY8" location="'Cost Summary'!A1" display="'Cost Summary'!A1"/>
    <hyperlink ref="WIZ8" location="'Cost Summary'!A1" display="'Cost Summary'!A1"/>
    <hyperlink ref="WJA8" location="'Cost Summary'!A1" display="'Cost Summary'!A1"/>
    <hyperlink ref="WJB8" location="'Cost Summary'!A1" display="'Cost Summary'!A1"/>
    <hyperlink ref="WJC8" location="'Cost Summary'!A1" display="'Cost Summary'!A1"/>
    <hyperlink ref="WJD8" location="'Cost Summary'!A1" display="'Cost Summary'!A1"/>
    <hyperlink ref="WJE8" location="'Cost Summary'!A1" display="'Cost Summary'!A1"/>
    <hyperlink ref="WJF8" location="'Cost Summary'!A1" display="'Cost Summary'!A1"/>
    <hyperlink ref="WJG8" location="'Cost Summary'!A1" display="'Cost Summary'!A1"/>
    <hyperlink ref="WJH8" location="'Cost Summary'!A1" display="'Cost Summary'!A1"/>
    <hyperlink ref="WJI8" location="'Cost Summary'!A1" display="'Cost Summary'!A1"/>
    <hyperlink ref="WJJ8" location="'Cost Summary'!A1" display="'Cost Summary'!A1"/>
    <hyperlink ref="WJK8" location="'Cost Summary'!A1" display="'Cost Summary'!A1"/>
    <hyperlink ref="WJL8" location="'Cost Summary'!A1" display="'Cost Summary'!A1"/>
    <hyperlink ref="WJM8" location="'Cost Summary'!A1" display="'Cost Summary'!A1"/>
    <hyperlink ref="WJN8" location="'Cost Summary'!A1" display="'Cost Summary'!A1"/>
    <hyperlink ref="WJO8" location="'Cost Summary'!A1" display="'Cost Summary'!A1"/>
    <hyperlink ref="WJP8" location="'Cost Summary'!A1" display="'Cost Summary'!A1"/>
    <hyperlink ref="WJQ8" location="'Cost Summary'!A1" display="'Cost Summary'!A1"/>
    <hyperlink ref="WJR8" location="'Cost Summary'!A1" display="'Cost Summary'!A1"/>
    <hyperlink ref="WJS8" location="'Cost Summary'!A1" display="'Cost Summary'!A1"/>
    <hyperlink ref="WJT8" location="'Cost Summary'!A1" display="'Cost Summary'!A1"/>
    <hyperlink ref="WJU8" location="'Cost Summary'!A1" display="'Cost Summary'!A1"/>
    <hyperlink ref="WJV8" location="'Cost Summary'!A1" display="'Cost Summary'!A1"/>
    <hyperlink ref="WJW8" location="'Cost Summary'!A1" display="'Cost Summary'!A1"/>
    <hyperlink ref="WJX8" location="'Cost Summary'!A1" display="'Cost Summary'!A1"/>
    <hyperlink ref="WJY8" location="'Cost Summary'!A1" display="'Cost Summary'!A1"/>
    <hyperlink ref="WJZ8" location="'Cost Summary'!A1" display="'Cost Summary'!A1"/>
    <hyperlink ref="WKA8" location="'Cost Summary'!A1" display="'Cost Summary'!A1"/>
    <hyperlink ref="WKB8" location="'Cost Summary'!A1" display="'Cost Summary'!A1"/>
    <hyperlink ref="WKC8" location="'Cost Summary'!A1" display="'Cost Summary'!A1"/>
    <hyperlink ref="WKD8" location="'Cost Summary'!A1" display="'Cost Summary'!A1"/>
    <hyperlink ref="WKE8" location="'Cost Summary'!A1" display="'Cost Summary'!A1"/>
    <hyperlink ref="WKF8" location="'Cost Summary'!A1" display="'Cost Summary'!A1"/>
    <hyperlink ref="WKG8" location="'Cost Summary'!A1" display="'Cost Summary'!A1"/>
    <hyperlink ref="WKH8" location="'Cost Summary'!A1" display="'Cost Summary'!A1"/>
    <hyperlink ref="WKI8" location="'Cost Summary'!A1" display="'Cost Summary'!A1"/>
    <hyperlink ref="WKJ8" location="'Cost Summary'!A1" display="'Cost Summary'!A1"/>
    <hyperlink ref="WKK8" location="'Cost Summary'!A1" display="'Cost Summary'!A1"/>
    <hyperlink ref="WKL8" location="'Cost Summary'!A1" display="'Cost Summary'!A1"/>
    <hyperlink ref="WKM8" location="'Cost Summary'!A1" display="'Cost Summary'!A1"/>
    <hyperlink ref="WKN8" location="'Cost Summary'!A1" display="'Cost Summary'!A1"/>
    <hyperlink ref="WKO8" location="'Cost Summary'!A1" display="'Cost Summary'!A1"/>
    <hyperlink ref="WKP8" location="'Cost Summary'!A1" display="'Cost Summary'!A1"/>
    <hyperlink ref="WKQ8" location="'Cost Summary'!A1" display="'Cost Summary'!A1"/>
    <hyperlink ref="WKR8" location="'Cost Summary'!A1" display="'Cost Summary'!A1"/>
    <hyperlink ref="WKS8" location="'Cost Summary'!A1" display="'Cost Summary'!A1"/>
    <hyperlink ref="WKT8" location="'Cost Summary'!A1" display="'Cost Summary'!A1"/>
    <hyperlink ref="WKU8" location="'Cost Summary'!A1" display="'Cost Summary'!A1"/>
    <hyperlink ref="WKV8" location="'Cost Summary'!A1" display="'Cost Summary'!A1"/>
    <hyperlink ref="WKW8" location="'Cost Summary'!A1" display="'Cost Summary'!A1"/>
    <hyperlink ref="WKX8" location="'Cost Summary'!A1" display="'Cost Summary'!A1"/>
    <hyperlink ref="WKY8" location="'Cost Summary'!A1" display="'Cost Summary'!A1"/>
    <hyperlink ref="WKZ8" location="'Cost Summary'!A1" display="'Cost Summary'!A1"/>
    <hyperlink ref="WLA8" location="'Cost Summary'!A1" display="'Cost Summary'!A1"/>
    <hyperlink ref="WLB8" location="'Cost Summary'!A1" display="'Cost Summary'!A1"/>
    <hyperlink ref="WLC8" location="'Cost Summary'!A1" display="'Cost Summary'!A1"/>
    <hyperlink ref="WLD8" location="'Cost Summary'!A1" display="'Cost Summary'!A1"/>
    <hyperlink ref="WLE8" location="'Cost Summary'!A1" display="'Cost Summary'!A1"/>
    <hyperlink ref="WLF8" location="'Cost Summary'!A1" display="'Cost Summary'!A1"/>
    <hyperlink ref="WLG8" location="'Cost Summary'!A1" display="'Cost Summary'!A1"/>
    <hyperlink ref="WLH8" location="'Cost Summary'!A1" display="'Cost Summary'!A1"/>
    <hyperlink ref="WLI8" location="'Cost Summary'!A1" display="'Cost Summary'!A1"/>
    <hyperlink ref="WLJ8" location="'Cost Summary'!A1" display="'Cost Summary'!A1"/>
    <hyperlink ref="WLK8" location="'Cost Summary'!A1" display="'Cost Summary'!A1"/>
    <hyperlink ref="WLL8" location="'Cost Summary'!A1" display="'Cost Summary'!A1"/>
    <hyperlink ref="WLM8" location="'Cost Summary'!A1" display="'Cost Summary'!A1"/>
    <hyperlink ref="WLN8" location="'Cost Summary'!A1" display="'Cost Summary'!A1"/>
    <hyperlink ref="WLO8" location="'Cost Summary'!A1" display="'Cost Summary'!A1"/>
    <hyperlink ref="WLP8" location="'Cost Summary'!A1" display="'Cost Summary'!A1"/>
    <hyperlink ref="WLQ8" location="'Cost Summary'!A1" display="'Cost Summary'!A1"/>
    <hyperlink ref="WLR8" location="'Cost Summary'!A1" display="'Cost Summary'!A1"/>
    <hyperlink ref="WLS8" location="'Cost Summary'!A1" display="'Cost Summary'!A1"/>
    <hyperlink ref="WLT8" location="'Cost Summary'!A1" display="'Cost Summary'!A1"/>
    <hyperlink ref="WLU8" location="'Cost Summary'!A1" display="'Cost Summary'!A1"/>
    <hyperlink ref="WLV8" location="'Cost Summary'!A1" display="'Cost Summary'!A1"/>
    <hyperlink ref="WLW8" location="'Cost Summary'!A1" display="'Cost Summary'!A1"/>
    <hyperlink ref="WLX8" location="'Cost Summary'!A1" display="'Cost Summary'!A1"/>
    <hyperlink ref="WLY8" location="'Cost Summary'!A1" display="'Cost Summary'!A1"/>
    <hyperlink ref="WLZ8" location="'Cost Summary'!A1" display="'Cost Summary'!A1"/>
    <hyperlink ref="WMA8" location="'Cost Summary'!A1" display="'Cost Summary'!A1"/>
    <hyperlink ref="WMB8" location="'Cost Summary'!A1" display="'Cost Summary'!A1"/>
    <hyperlink ref="WMC8" location="'Cost Summary'!A1" display="'Cost Summary'!A1"/>
    <hyperlink ref="WMD8" location="'Cost Summary'!A1" display="'Cost Summary'!A1"/>
    <hyperlink ref="WME8" location="'Cost Summary'!A1" display="'Cost Summary'!A1"/>
    <hyperlink ref="WMF8" location="'Cost Summary'!A1" display="'Cost Summary'!A1"/>
    <hyperlink ref="WMG8" location="'Cost Summary'!A1" display="'Cost Summary'!A1"/>
    <hyperlink ref="WMH8" location="'Cost Summary'!A1" display="'Cost Summary'!A1"/>
    <hyperlink ref="WMI8" location="'Cost Summary'!A1" display="'Cost Summary'!A1"/>
    <hyperlink ref="WMJ8" location="'Cost Summary'!A1" display="'Cost Summary'!A1"/>
    <hyperlink ref="WMK8" location="'Cost Summary'!A1" display="'Cost Summary'!A1"/>
    <hyperlink ref="WML8" location="'Cost Summary'!A1" display="'Cost Summary'!A1"/>
    <hyperlink ref="WMM8" location="'Cost Summary'!A1" display="'Cost Summary'!A1"/>
    <hyperlink ref="WMN8" location="'Cost Summary'!A1" display="'Cost Summary'!A1"/>
    <hyperlink ref="WMO8" location="'Cost Summary'!A1" display="'Cost Summary'!A1"/>
    <hyperlink ref="WMP8" location="'Cost Summary'!A1" display="'Cost Summary'!A1"/>
    <hyperlink ref="WMQ8" location="'Cost Summary'!A1" display="'Cost Summary'!A1"/>
    <hyperlink ref="WMR8" location="'Cost Summary'!A1" display="'Cost Summary'!A1"/>
    <hyperlink ref="WMS8" location="'Cost Summary'!A1" display="'Cost Summary'!A1"/>
    <hyperlink ref="WMT8" location="'Cost Summary'!A1" display="'Cost Summary'!A1"/>
    <hyperlink ref="WMU8" location="'Cost Summary'!A1" display="'Cost Summary'!A1"/>
    <hyperlink ref="WMV8" location="'Cost Summary'!A1" display="'Cost Summary'!A1"/>
    <hyperlink ref="WMW8" location="'Cost Summary'!A1" display="'Cost Summary'!A1"/>
    <hyperlink ref="WMX8" location="'Cost Summary'!A1" display="'Cost Summary'!A1"/>
    <hyperlink ref="WMY8" location="'Cost Summary'!A1" display="'Cost Summary'!A1"/>
    <hyperlink ref="WMZ8" location="'Cost Summary'!A1" display="'Cost Summary'!A1"/>
    <hyperlink ref="WNA8" location="'Cost Summary'!A1" display="'Cost Summary'!A1"/>
    <hyperlink ref="WNB8" location="'Cost Summary'!A1" display="'Cost Summary'!A1"/>
    <hyperlink ref="WNC8" location="'Cost Summary'!A1" display="'Cost Summary'!A1"/>
    <hyperlink ref="WND8" location="'Cost Summary'!A1" display="'Cost Summary'!A1"/>
    <hyperlink ref="WNE8" location="'Cost Summary'!A1" display="'Cost Summary'!A1"/>
    <hyperlink ref="WNF8" location="'Cost Summary'!A1" display="'Cost Summary'!A1"/>
    <hyperlink ref="WNG8" location="'Cost Summary'!A1" display="'Cost Summary'!A1"/>
    <hyperlink ref="WNH8" location="'Cost Summary'!A1" display="'Cost Summary'!A1"/>
    <hyperlink ref="WNI8" location="'Cost Summary'!A1" display="'Cost Summary'!A1"/>
    <hyperlink ref="WNJ8" location="'Cost Summary'!A1" display="'Cost Summary'!A1"/>
    <hyperlink ref="WNK8" location="'Cost Summary'!A1" display="'Cost Summary'!A1"/>
    <hyperlink ref="WNL8" location="'Cost Summary'!A1" display="'Cost Summary'!A1"/>
    <hyperlink ref="WNM8" location="'Cost Summary'!A1" display="'Cost Summary'!A1"/>
    <hyperlink ref="WNN8" location="'Cost Summary'!A1" display="'Cost Summary'!A1"/>
    <hyperlink ref="WNO8" location="'Cost Summary'!A1" display="'Cost Summary'!A1"/>
    <hyperlink ref="WNP8" location="'Cost Summary'!A1" display="'Cost Summary'!A1"/>
    <hyperlink ref="WNQ8" location="'Cost Summary'!A1" display="'Cost Summary'!A1"/>
    <hyperlink ref="WNR8" location="'Cost Summary'!A1" display="'Cost Summary'!A1"/>
    <hyperlink ref="WNS8" location="'Cost Summary'!A1" display="'Cost Summary'!A1"/>
    <hyperlink ref="WNT8" location="'Cost Summary'!A1" display="'Cost Summary'!A1"/>
    <hyperlink ref="WNU8" location="'Cost Summary'!A1" display="'Cost Summary'!A1"/>
    <hyperlink ref="WNV8" location="'Cost Summary'!A1" display="'Cost Summary'!A1"/>
    <hyperlink ref="WNW8" location="'Cost Summary'!A1" display="'Cost Summary'!A1"/>
    <hyperlink ref="WNX8" location="'Cost Summary'!A1" display="'Cost Summary'!A1"/>
    <hyperlink ref="WNY8" location="'Cost Summary'!A1" display="'Cost Summary'!A1"/>
    <hyperlink ref="WNZ8" location="'Cost Summary'!A1" display="'Cost Summary'!A1"/>
    <hyperlink ref="WOA8" location="'Cost Summary'!A1" display="'Cost Summary'!A1"/>
    <hyperlink ref="WOB8" location="'Cost Summary'!A1" display="'Cost Summary'!A1"/>
    <hyperlink ref="WOC8" location="'Cost Summary'!A1" display="'Cost Summary'!A1"/>
    <hyperlink ref="WOD8" location="'Cost Summary'!A1" display="'Cost Summary'!A1"/>
    <hyperlink ref="WOE8" location="'Cost Summary'!A1" display="'Cost Summary'!A1"/>
    <hyperlink ref="WOF8" location="'Cost Summary'!A1" display="'Cost Summary'!A1"/>
    <hyperlink ref="WOG8" location="'Cost Summary'!A1" display="'Cost Summary'!A1"/>
    <hyperlink ref="WOH8" location="'Cost Summary'!A1" display="'Cost Summary'!A1"/>
    <hyperlink ref="WOI8" location="'Cost Summary'!A1" display="'Cost Summary'!A1"/>
    <hyperlink ref="WOJ8" location="'Cost Summary'!A1" display="'Cost Summary'!A1"/>
    <hyperlink ref="WOK8" location="'Cost Summary'!A1" display="'Cost Summary'!A1"/>
    <hyperlink ref="WOL8" location="'Cost Summary'!A1" display="'Cost Summary'!A1"/>
    <hyperlink ref="WOM8" location="'Cost Summary'!A1" display="'Cost Summary'!A1"/>
    <hyperlink ref="WON8" location="'Cost Summary'!A1" display="'Cost Summary'!A1"/>
    <hyperlink ref="WOO8" location="'Cost Summary'!A1" display="'Cost Summary'!A1"/>
    <hyperlink ref="WOP8" location="'Cost Summary'!A1" display="'Cost Summary'!A1"/>
    <hyperlink ref="WOQ8" location="'Cost Summary'!A1" display="'Cost Summary'!A1"/>
    <hyperlink ref="WOR8" location="'Cost Summary'!A1" display="'Cost Summary'!A1"/>
    <hyperlink ref="WOS8" location="'Cost Summary'!A1" display="'Cost Summary'!A1"/>
    <hyperlink ref="WOT8" location="'Cost Summary'!A1" display="'Cost Summary'!A1"/>
    <hyperlink ref="WOU8" location="'Cost Summary'!A1" display="'Cost Summary'!A1"/>
    <hyperlink ref="WOV8" location="'Cost Summary'!A1" display="'Cost Summary'!A1"/>
    <hyperlink ref="WOW8" location="'Cost Summary'!A1" display="'Cost Summary'!A1"/>
    <hyperlink ref="WOX8" location="'Cost Summary'!A1" display="'Cost Summary'!A1"/>
    <hyperlink ref="WOY8" location="'Cost Summary'!A1" display="'Cost Summary'!A1"/>
    <hyperlink ref="WOZ8" location="'Cost Summary'!A1" display="'Cost Summary'!A1"/>
    <hyperlink ref="WPA8" location="'Cost Summary'!A1" display="'Cost Summary'!A1"/>
    <hyperlink ref="WPB8" location="'Cost Summary'!A1" display="'Cost Summary'!A1"/>
    <hyperlink ref="WPC8" location="'Cost Summary'!A1" display="'Cost Summary'!A1"/>
    <hyperlink ref="WPD8" location="'Cost Summary'!A1" display="'Cost Summary'!A1"/>
    <hyperlink ref="WPE8" location="'Cost Summary'!A1" display="'Cost Summary'!A1"/>
    <hyperlink ref="WPF8" location="'Cost Summary'!A1" display="'Cost Summary'!A1"/>
    <hyperlink ref="WPG8" location="'Cost Summary'!A1" display="'Cost Summary'!A1"/>
    <hyperlink ref="WPH8" location="'Cost Summary'!A1" display="'Cost Summary'!A1"/>
    <hyperlink ref="WPI8" location="'Cost Summary'!A1" display="'Cost Summary'!A1"/>
    <hyperlink ref="WPJ8" location="'Cost Summary'!A1" display="'Cost Summary'!A1"/>
    <hyperlink ref="WPK8" location="'Cost Summary'!A1" display="'Cost Summary'!A1"/>
    <hyperlink ref="WPL8" location="'Cost Summary'!A1" display="'Cost Summary'!A1"/>
    <hyperlink ref="WPM8" location="'Cost Summary'!A1" display="'Cost Summary'!A1"/>
    <hyperlink ref="WPN8" location="'Cost Summary'!A1" display="'Cost Summary'!A1"/>
    <hyperlink ref="WPO8" location="'Cost Summary'!A1" display="'Cost Summary'!A1"/>
    <hyperlink ref="WPP8" location="'Cost Summary'!A1" display="'Cost Summary'!A1"/>
    <hyperlink ref="WPQ8" location="'Cost Summary'!A1" display="'Cost Summary'!A1"/>
    <hyperlink ref="WPR8" location="'Cost Summary'!A1" display="'Cost Summary'!A1"/>
    <hyperlink ref="WPS8" location="'Cost Summary'!A1" display="'Cost Summary'!A1"/>
    <hyperlink ref="WPT8" location="'Cost Summary'!A1" display="'Cost Summary'!A1"/>
    <hyperlink ref="WPU8" location="'Cost Summary'!A1" display="'Cost Summary'!A1"/>
    <hyperlink ref="WPV8" location="'Cost Summary'!A1" display="'Cost Summary'!A1"/>
    <hyperlink ref="WPW8" location="'Cost Summary'!A1" display="'Cost Summary'!A1"/>
    <hyperlink ref="WPX8" location="'Cost Summary'!A1" display="'Cost Summary'!A1"/>
    <hyperlink ref="WPY8" location="'Cost Summary'!A1" display="'Cost Summary'!A1"/>
    <hyperlink ref="WPZ8" location="'Cost Summary'!A1" display="'Cost Summary'!A1"/>
    <hyperlink ref="WQA8" location="'Cost Summary'!A1" display="'Cost Summary'!A1"/>
    <hyperlink ref="WQB8" location="'Cost Summary'!A1" display="'Cost Summary'!A1"/>
    <hyperlink ref="WQC8" location="'Cost Summary'!A1" display="'Cost Summary'!A1"/>
    <hyperlink ref="WQD8" location="'Cost Summary'!A1" display="'Cost Summary'!A1"/>
    <hyperlink ref="WQE8" location="'Cost Summary'!A1" display="'Cost Summary'!A1"/>
    <hyperlink ref="WQF8" location="'Cost Summary'!A1" display="'Cost Summary'!A1"/>
    <hyperlink ref="WQG8" location="'Cost Summary'!A1" display="'Cost Summary'!A1"/>
    <hyperlink ref="WQH8" location="'Cost Summary'!A1" display="'Cost Summary'!A1"/>
    <hyperlink ref="WQI8" location="'Cost Summary'!A1" display="'Cost Summary'!A1"/>
    <hyperlink ref="WQJ8" location="'Cost Summary'!A1" display="'Cost Summary'!A1"/>
    <hyperlink ref="WQK8" location="'Cost Summary'!A1" display="'Cost Summary'!A1"/>
    <hyperlink ref="WQL8" location="'Cost Summary'!A1" display="'Cost Summary'!A1"/>
    <hyperlink ref="WQM8" location="'Cost Summary'!A1" display="'Cost Summary'!A1"/>
    <hyperlink ref="WQN8" location="'Cost Summary'!A1" display="'Cost Summary'!A1"/>
    <hyperlink ref="WQO8" location="'Cost Summary'!A1" display="'Cost Summary'!A1"/>
    <hyperlink ref="WQP8" location="'Cost Summary'!A1" display="'Cost Summary'!A1"/>
    <hyperlink ref="WQQ8" location="'Cost Summary'!A1" display="'Cost Summary'!A1"/>
    <hyperlink ref="WQR8" location="'Cost Summary'!A1" display="'Cost Summary'!A1"/>
    <hyperlink ref="WQS8" location="'Cost Summary'!A1" display="'Cost Summary'!A1"/>
    <hyperlink ref="WQT8" location="'Cost Summary'!A1" display="'Cost Summary'!A1"/>
    <hyperlink ref="WQU8" location="'Cost Summary'!A1" display="'Cost Summary'!A1"/>
    <hyperlink ref="WQV8" location="'Cost Summary'!A1" display="'Cost Summary'!A1"/>
    <hyperlink ref="WQW8" location="'Cost Summary'!A1" display="'Cost Summary'!A1"/>
    <hyperlink ref="WQX8" location="'Cost Summary'!A1" display="'Cost Summary'!A1"/>
    <hyperlink ref="WQY8" location="'Cost Summary'!A1" display="'Cost Summary'!A1"/>
    <hyperlink ref="WQZ8" location="'Cost Summary'!A1" display="'Cost Summary'!A1"/>
    <hyperlink ref="WRA8" location="'Cost Summary'!A1" display="'Cost Summary'!A1"/>
    <hyperlink ref="WRB8" location="'Cost Summary'!A1" display="'Cost Summary'!A1"/>
    <hyperlink ref="WRC8" location="'Cost Summary'!A1" display="'Cost Summary'!A1"/>
    <hyperlink ref="WRD8" location="'Cost Summary'!A1" display="'Cost Summary'!A1"/>
    <hyperlink ref="WRE8" location="'Cost Summary'!A1" display="'Cost Summary'!A1"/>
    <hyperlink ref="WRF8" location="'Cost Summary'!A1" display="'Cost Summary'!A1"/>
    <hyperlink ref="WRG8" location="'Cost Summary'!A1" display="'Cost Summary'!A1"/>
    <hyperlink ref="WRH8" location="'Cost Summary'!A1" display="'Cost Summary'!A1"/>
    <hyperlink ref="WRI8" location="'Cost Summary'!A1" display="'Cost Summary'!A1"/>
    <hyperlink ref="WRJ8" location="'Cost Summary'!A1" display="'Cost Summary'!A1"/>
    <hyperlink ref="WRK8" location="'Cost Summary'!A1" display="'Cost Summary'!A1"/>
    <hyperlink ref="WRL8" location="'Cost Summary'!A1" display="'Cost Summary'!A1"/>
    <hyperlink ref="WRM8" location="'Cost Summary'!A1" display="'Cost Summary'!A1"/>
    <hyperlink ref="WRN8" location="'Cost Summary'!A1" display="'Cost Summary'!A1"/>
    <hyperlink ref="WRO8" location="'Cost Summary'!A1" display="'Cost Summary'!A1"/>
    <hyperlink ref="WRP8" location="'Cost Summary'!A1" display="'Cost Summary'!A1"/>
    <hyperlink ref="WRQ8" location="'Cost Summary'!A1" display="'Cost Summary'!A1"/>
    <hyperlink ref="WRR8" location="'Cost Summary'!A1" display="'Cost Summary'!A1"/>
    <hyperlink ref="WRS8" location="'Cost Summary'!A1" display="'Cost Summary'!A1"/>
    <hyperlink ref="WRT8" location="'Cost Summary'!A1" display="'Cost Summary'!A1"/>
    <hyperlink ref="WRU8" location="'Cost Summary'!A1" display="'Cost Summary'!A1"/>
    <hyperlink ref="WRV8" location="'Cost Summary'!A1" display="'Cost Summary'!A1"/>
    <hyperlink ref="WRW8" location="'Cost Summary'!A1" display="'Cost Summary'!A1"/>
    <hyperlink ref="WRX8" location="'Cost Summary'!A1" display="'Cost Summary'!A1"/>
    <hyperlink ref="WRY8" location="'Cost Summary'!A1" display="'Cost Summary'!A1"/>
    <hyperlink ref="WRZ8" location="'Cost Summary'!A1" display="'Cost Summary'!A1"/>
    <hyperlink ref="WSA8" location="'Cost Summary'!A1" display="'Cost Summary'!A1"/>
    <hyperlink ref="WSB8" location="'Cost Summary'!A1" display="'Cost Summary'!A1"/>
    <hyperlink ref="WSC8" location="'Cost Summary'!A1" display="'Cost Summary'!A1"/>
    <hyperlink ref="WSD8" location="'Cost Summary'!A1" display="'Cost Summary'!A1"/>
    <hyperlink ref="WSE8" location="'Cost Summary'!A1" display="'Cost Summary'!A1"/>
    <hyperlink ref="WSF8" location="'Cost Summary'!A1" display="'Cost Summary'!A1"/>
    <hyperlink ref="WSG8" location="'Cost Summary'!A1" display="'Cost Summary'!A1"/>
    <hyperlink ref="WSH8" location="'Cost Summary'!A1" display="'Cost Summary'!A1"/>
    <hyperlink ref="WSI8" location="'Cost Summary'!A1" display="'Cost Summary'!A1"/>
    <hyperlink ref="WSJ8" location="'Cost Summary'!A1" display="'Cost Summary'!A1"/>
    <hyperlink ref="WSK8" location="'Cost Summary'!A1" display="'Cost Summary'!A1"/>
    <hyperlink ref="WSL8" location="'Cost Summary'!A1" display="'Cost Summary'!A1"/>
    <hyperlink ref="WSM8" location="'Cost Summary'!A1" display="'Cost Summary'!A1"/>
    <hyperlink ref="WSN8" location="'Cost Summary'!A1" display="'Cost Summary'!A1"/>
    <hyperlink ref="WSO8" location="'Cost Summary'!A1" display="'Cost Summary'!A1"/>
    <hyperlink ref="WSP8" location="'Cost Summary'!A1" display="'Cost Summary'!A1"/>
    <hyperlink ref="WSQ8" location="'Cost Summary'!A1" display="'Cost Summary'!A1"/>
    <hyperlink ref="WSR8" location="'Cost Summary'!A1" display="'Cost Summary'!A1"/>
    <hyperlink ref="WSS8" location="'Cost Summary'!A1" display="'Cost Summary'!A1"/>
    <hyperlink ref="WST8" location="'Cost Summary'!A1" display="'Cost Summary'!A1"/>
    <hyperlink ref="WSU8" location="'Cost Summary'!A1" display="'Cost Summary'!A1"/>
    <hyperlink ref="WSV8" location="'Cost Summary'!A1" display="'Cost Summary'!A1"/>
    <hyperlink ref="WSW8" location="'Cost Summary'!A1" display="'Cost Summary'!A1"/>
    <hyperlink ref="WSX8" location="'Cost Summary'!A1" display="'Cost Summary'!A1"/>
    <hyperlink ref="WSY8" location="'Cost Summary'!A1" display="'Cost Summary'!A1"/>
    <hyperlink ref="WSZ8" location="'Cost Summary'!A1" display="'Cost Summary'!A1"/>
    <hyperlink ref="WTA8" location="'Cost Summary'!A1" display="'Cost Summary'!A1"/>
    <hyperlink ref="WTB8" location="'Cost Summary'!A1" display="'Cost Summary'!A1"/>
    <hyperlink ref="WTC8" location="'Cost Summary'!A1" display="'Cost Summary'!A1"/>
    <hyperlink ref="WTD8" location="'Cost Summary'!A1" display="'Cost Summary'!A1"/>
    <hyperlink ref="WTE8" location="'Cost Summary'!A1" display="'Cost Summary'!A1"/>
    <hyperlink ref="WTF8" location="'Cost Summary'!A1" display="'Cost Summary'!A1"/>
    <hyperlink ref="WTG8" location="'Cost Summary'!A1" display="'Cost Summary'!A1"/>
    <hyperlink ref="WTH8" location="'Cost Summary'!A1" display="'Cost Summary'!A1"/>
    <hyperlink ref="WTI8" location="'Cost Summary'!A1" display="'Cost Summary'!A1"/>
    <hyperlink ref="WTJ8" location="'Cost Summary'!A1" display="'Cost Summary'!A1"/>
    <hyperlink ref="WTK8" location="'Cost Summary'!A1" display="'Cost Summary'!A1"/>
    <hyperlink ref="WTL8" location="'Cost Summary'!A1" display="'Cost Summary'!A1"/>
    <hyperlink ref="WTM8" location="'Cost Summary'!A1" display="'Cost Summary'!A1"/>
    <hyperlink ref="WTN8" location="'Cost Summary'!A1" display="'Cost Summary'!A1"/>
    <hyperlink ref="WTO8" location="'Cost Summary'!A1" display="'Cost Summary'!A1"/>
    <hyperlink ref="WTP8" location="'Cost Summary'!A1" display="'Cost Summary'!A1"/>
    <hyperlink ref="WTQ8" location="'Cost Summary'!A1" display="'Cost Summary'!A1"/>
    <hyperlink ref="WTR8" location="'Cost Summary'!A1" display="'Cost Summary'!A1"/>
    <hyperlink ref="WTS8" location="'Cost Summary'!A1" display="'Cost Summary'!A1"/>
    <hyperlink ref="WTT8" location="'Cost Summary'!A1" display="'Cost Summary'!A1"/>
    <hyperlink ref="WTU8" location="'Cost Summary'!A1" display="'Cost Summary'!A1"/>
    <hyperlink ref="WTV8" location="'Cost Summary'!A1" display="'Cost Summary'!A1"/>
    <hyperlink ref="WTW8" location="'Cost Summary'!A1" display="'Cost Summary'!A1"/>
    <hyperlink ref="WTX8" location="'Cost Summary'!A1" display="'Cost Summary'!A1"/>
    <hyperlink ref="WTY8" location="'Cost Summary'!A1" display="'Cost Summary'!A1"/>
    <hyperlink ref="WTZ8" location="'Cost Summary'!A1" display="'Cost Summary'!A1"/>
    <hyperlink ref="WUA8" location="'Cost Summary'!A1" display="'Cost Summary'!A1"/>
    <hyperlink ref="WUB8" location="'Cost Summary'!A1" display="'Cost Summary'!A1"/>
    <hyperlink ref="WUC8" location="'Cost Summary'!A1" display="'Cost Summary'!A1"/>
    <hyperlink ref="WUD8" location="'Cost Summary'!A1" display="'Cost Summary'!A1"/>
    <hyperlink ref="WUE8" location="'Cost Summary'!A1" display="'Cost Summary'!A1"/>
    <hyperlink ref="WUF8" location="'Cost Summary'!A1" display="'Cost Summary'!A1"/>
    <hyperlink ref="WUG8" location="'Cost Summary'!A1" display="'Cost Summary'!A1"/>
    <hyperlink ref="WUH8" location="'Cost Summary'!A1" display="'Cost Summary'!A1"/>
    <hyperlink ref="WUI8" location="'Cost Summary'!A1" display="'Cost Summary'!A1"/>
    <hyperlink ref="WUJ8" location="'Cost Summary'!A1" display="'Cost Summary'!A1"/>
    <hyperlink ref="WUK8" location="'Cost Summary'!A1" display="'Cost Summary'!A1"/>
    <hyperlink ref="WUL8" location="'Cost Summary'!A1" display="'Cost Summary'!A1"/>
    <hyperlink ref="WUM8" location="'Cost Summary'!A1" display="'Cost Summary'!A1"/>
    <hyperlink ref="WUN8" location="'Cost Summary'!A1" display="'Cost Summary'!A1"/>
    <hyperlink ref="WUO8" location="'Cost Summary'!A1" display="'Cost Summary'!A1"/>
    <hyperlink ref="WUP8" location="'Cost Summary'!A1" display="'Cost Summary'!A1"/>
    <hyperlink ref="WUQ8" location="'Cost Summary'!A1" display="'Cost Summary'!A1"/>
    <hyperlink ref="WUR8" location="'Cost Summary'!A1" display="'Cost Summary'!A1"/>
    <hyperlink ref="WUS8" location="'Cost Summary'!A1" display="'Cost Summary'!A1"/>
    <hyperlink ref="WUT8" location="'Cost Summary'!A1" display="'Cost Summary'!A1"/>
    <hyperlink ref="WUU8" location="'Cost Summary'!A1" display="'Cost Summary'!A1"/>
    <hyperlink ref="WUV8" location="'Cost Summary'!A1" display="'Cost Summary'!A1"/>
    <hyperlink ref="WUW8" location="'Cost Summary'!A1" display="'Cost Summary'!A1"/>
    <hyperlink ref="WUX8" location="'Cost Summary'!A1" display="'Cost Summary'!A1"/>
    <hyperlink ref="WUY8" location="'Cost Summary'!A1" display="'Cost Summary'!A1"/>
    <hyperlink ref="WUZ8" location="'Cost Summary'!A1" display="'Cost Summary'!A1"/>
    <hyperlink ref="WVA8" location="'Cost Summary'!A1" display="'Cost Summary'!A1"/>
    <hyperlink ref="WVB8" location="'Cost Summary'!A1" display="'Cost Summary'!A1"/>
    <hyperlink ref="WVC8" location="'Cost Summary'!A1" display="'Cost Summary'!A1"/>
    <hyperlink ref="WVD8" location="'Cost Summary'!A1" display="'Cost Summary'!A1"/>
    <hyperlink ref="WVE8" location="'Cost Summary'!A1" display="'Cost Summary'!A1"/>
    <hyperlink ref="WVF8" location="'Cost Summary'!A1" display="'Cost Summary'!A1"/>
    <hyperlink ref="WVG8" location="'Cost Summary'!A1" display="'Cost Summary'!A1"/>
    <hyperlink ref="WVH8" location="'Cost Summary'!A1" display="'Cost Summary'!A1"/>
    <hyperlink ref="WVI8" location="'Cost Summary'!A1" display="'Cost Summary'!A1"/>
    <hyperlink ref="WVJ8" location="'Cost Summary'!A1" display="'Cost Summary'!A1"/>
    <hyperlink ref="WVK8" location="'Cost Summary'!A1" display="'Cost Summary'!A1"/>
    <hyperlink ref="WVL8" location="'Cost Summary'!A1" display="'Cost Summary'!A1"/>
    <hyperlink ref="WVM8" location="'Cost Summary'!A1" display="'Cost Summary'!A1"/>
    <hyperlink ref="WVN8" location="'Cost Summary'!A1" display="'Cost Summary'!A1"/>
    <hyperlink ref="WVO8" location="'Cost Summary'!A1" display="'Cost Summary'!A1"/>
    <hyperlink ref="WVP8" location="'Cost Summary'!A1" display="'Cost Summary'!A1"/>
    <hyperlink ref="WVQ8" location="'Cost Summary'!A1" display="'Cost Summary'!A1"/>
    <hyperlink ref="WVR8" location="'Cost Summary'!A1" display="'Cost Summary'!A1"/>
    <hyperlink ref="WVS8" location="'Cost Summary'!A1" display="'Cost Summary'!A1"/>
    <hyperlink ref="WVT8" location="'Cost Summary'!A1" display="'Cost Summary'!A1"/>
    <hyperlink ref="WVU8" location="'Cost Summary'!A1" display="'Cost Summary'!A1"/>
    <hyperlink ref="WVV8" location="'Cost Summary'!A1" display="'Cost Summary'!A1"/>
    <hyperlink ref="WVW8" location="'Cost Summary'!A1" display="'Cost Summary'!A1"/>
    <hyperlink ref="WVX8" location="'Cost Summary'!A1" display="'Cost Summary'!A1"/>
    <hyperlink ref="WVY8" location="'Cost Summary'!A1" display="'Cost Summary'!A1"/>
    <hyperlink ref="WVZ8" location="'Cost Summary'!A1" display="'Cost Summary'!A1"/>
    <hyperlink ref="WWA8" location="'Cost Summary'!A1" display="'Cost Summary'!A1"/>
    <hyperlink ref="WWB8" location="'Cost Summary'!A1" display="'Cost Summary'!A1"/>
    <hyperlink ref="WWC8" location="'Cost Summary'!A1" display="'Cost Summary'!A1"/>
    <hyperlink ref="WWD8" location="'Cost Summary'!A1" display="'Cost Summary'!A1"/>
    <hyperlink ref="WWE8" location="'Cost Summary'!A1" display="'Cost Summary'!A1"/>
    <hyperlink ref="WWF8" location="'Cost Summary'!A1" display="'Cost Summary'!A1"/>
    <hyperlink ref="WWG8" location="'Cost Summary'!A1" display="'Cost Summary'!A1"/>
    <hyperlink ref="WWH8" location="'Cost Summary'!A1" display="'Cost Summary'!A1"/>
    <hyperlink ref="WWI8" location="'Cost Summary'!A1" display="'Cost Summary'!A1"/>
    <hyperlink ref="WWJ8" location="'Cost Summary'!A1" display="'Cost Summary'!A1"/>
    <hyperlink ref="WWK8" location="'Cost Summary'!A1" display="'Cost Summary'!A1"/>
    <hyperlink ref="WWL8" location="'Cost Summary'!A1" display="'Cost Summary'!A1"/>
    <hyperlink ref="WWM8" location="'Cost Summary'!A1" display="'Cost Summary'!A1"/>
    <hyperlink ref="WWN8" location="'Cost Summary'!A1" display="'Cost Summary'!A1"/>
    <hyperlink ref="WWO8" location="'Cost Summary'!A1" display="'Cost Summary'!A1"/>
    <hyperlink ref="WWP8" location="'Cost Summary'!A1" display="'Cost Summary'!A1"/>
    <hyperlink ref="WWQ8" location="'Cost Summary'!A1" display="'Cost Summary'!A1"/>
    <hyperlink ref="WWR8" location="'Cost Summary'!A1" display="'Cost Summary'!A1"/>
    <hyperlink ref="WWS8" location="'Cost Summary'!A1" display="'Cost Summary'!A1"/>
    <hyperlink ref="WWT8" location="'Cost Summary'!A1" display="'Cost Summary'!A1"/>
    <hyperlink ref="WWU8" location="'Cost Summary'!A1" display="'Cost Summary'!A1"/>
    <hyperlink ref="WWV8" location="'Cost Summary'!A1" display="'Cost Summary'!A1"/>
    <hyperlink ref="WWW8" location="'Cost Summary'!A1" display="'Cost Summary'!A1"/>
    <hyperlink ref="WWX8" location="'Cost Summary'!A1" display="'Cost Summary'!A1"/>
    <hyperlink ref="WWY8" location="'Cost Summary'!A1" display="'Cost Summary'!A1"/>
    <hyperlink ref="WWZ8" location="'Cost Summary'!A1" display="'Cost Summary'!A1"/>
    <hyperlink ref="WXA8" location="'Cost Summary'!A1" display="'Cost Summary'!A1"/>
    <hyperlink ref="WXB8" location="'Cost Summary'!A1" display="'Cost Summary'!A1"/>
    <hyperlink ref="WXC8" location="'Cost Summary'!A1" display="'Cost Summary'!A1"/>
    <hyperlink ref="WXD8" location="'Cost Summary'!A1" display="'Cost Summary'!A1"/>
    <hyperlink ref="WXE8" location="'Cost Summary'!A1" display="'Cost Summary'!A1"/>
    <hyperlink ref="WXF8" location="'Cost Summary'!A1" display="'Cost Summary'!A1"/>
    <hyperlink ref="WXG8" location="'Cost Summary'!A1" display="'Cost Summary'!A1"/>
    <hyperlink ref="WXH8" location="'Cost Summary'!A1" display="'Cost Summary'!A1"/>
    <hyperlink ref="WXI8" location="'Cost Summary'!A1" display="'Cost Summary'!A1"/>
    <hyperlink ref="WXJ8" location="'Cost Summary'!A1" display="'Cost Summary'!A1"/>
    <hyperlink ref="WXK8" location="'Cost Summary'!A1" display="'Cost Summary'!A1"/>
    <hyperlink ref="WXL8" location="'Cost Summary'!A1" display="'Cost Summary'!A1"/>
    <hyperlink ref="WXM8" location="'Cost Summary'!A1" display="'Cost Summary'!A1"/>
    <hyperlink ref="WXN8" location="'Cost Summary'!A1" display="'Cost Summary'!A1"/>
    <hyperlink ref="WXO8" location="'Cost Summary'!A1" display="'Cost Summary'!A1"/>
    <hyperlink ref="WXP8" location="'Cost Summary'!A1" display="'Cost Summary'!A1"/>
    <hyperlink ref="WXQ8" location="'Cost Summary'!A1" display="'Cost Summary'!A1"/>
    <hyperlink ref="WXR8" location="'Cost Summary'!A1" display="'Cost Summary'!A1"/>
    <hyperlink ref="WXS8" location="'Cost Summary'!A1" display="'Cost Summary'!A1"/>
    <hyperlink ref="WXT8" location="'Cost Summary'!A1" display="'Cost Summary'!A1"/>
    <hyperlink ref="WXU8" location="'Cost Summary'!A1" display="'Cost Summary'!A1"/>
    <hyperlink ref="WXV8" location="'Cost Summary'!A1" display="'Cost Summary'!A1"/>
    <hyperlink ref="WXW8" location="'Cost Summary'!A1" display="'Cost Summary'!A1"/>
    <hyperlink ref="WXX8" location="'Cost Summary'!A1" display="'Cost Summary'!A1"/>
    <hyperlink ref="WXY8" location="'Cost Summary'!A1" display="'Cost Summary'!A1"/>
    <hyperlink ref="WXZ8" location="'Cost Summary'!A1" display="'Cost Summary'!A1"/>
    <hyperlink ref="WYA8" location="'Cost Summary'!A1" display="'Cost Summary'!A1"/>
    <hyperlink ref="WYB8" location="'Cost Summary'!A1" display="'Cost Summary'!A1"/>
    <hyperlink ref="WYC8" location="'Cost Summary'!A1" display="'Cost Summary'!A1"/>
    <hyperlink ref="WYD8" location="'Cost Summary'!A1" display="'Cost Summary'!A1"/>
    <hyperlink ref="WYE8" location="'Cost Summary'!A1" display="'Cost Summary'!A1"/>
    <hyperlink ref="WYF8" location="'Cost Summary'!A1" display="'Cost Summary'!A1"/>
    <hyperlink ref="WYG8" location="'Cost Summary'!A1" display="'Cost Summary'!A1"/>
    <hyperlink ref="WYH8" location="'Cost Summary'!A1" display="'Cost Summary'!A1"/>
    <hyperlink ref="WYI8" location="'Cost Summary'!A1" display="'Cost Summary'!A1"/>
    <hyperlink ref="WYJ8" location="'Cost Summary'!A1" display="'Cost Summary'!A1"/>
    <hyperlink ref="WYK8" location="'Cost Summary'!A1" display="'Cost Summary'!A1"/>
    <hyperlink ref="WYL8" location="'Cost Summary'!A1" display="'Cost Summary'!A1"/>
    <hyperlink ref="WYM8" location="'Cost Summary'!A1" display="'Cost Summary'!A1"/>
    <hyperlink ref="WYN8" location="'Cost Summary'!A1" display="'Cost Summary'!A1"/>
    <hyperlink ref="WYO8" location="'Cost Summary'!A1" display="'Cost Summary'!A1"/>
    <hyperlink ref="WYP8" location="'Cost Summary'!A1" display="'Cost Summary'!A1"/>
    <hyperlink ref="WYQ8" location="'Cost Summary'!A1" display="'Cost Summary'!A1"/>
    <hyperlink ref="WYR8" location="'Cost Summary'!A1" display="'Cost Summary'!A1"/>
    <hyperlink ref="WYS8" location="'Cost Summary'!A1" display="'Cost Summary'!A1"/>
    <hyperlink ref="WYT8" location="'Cost Summary'!A1" display="'Cost Summary'!A1"/>
    <hyperlink ref="WYU8" location="'Cost Summary'!A1" display="'Cost Summary'!A1"/>
    <hyperlink ref="WYV8" location="'Cost Summary'!A1" display="'Cost Summary'!A1"/>
    <hyperlink ref="WYW8" location="'Cost Summary'!A1" display="'Cost Summary'!A1"/>
    <hyperlink ref="WYX8" location="'Cost Summary'!A1" display="'Cost Summary'!A1"/>
    <hyperlink ref="WYY8" location="'Cost Summary'!A1" display="'Cost Summary'!A1"/>
    <hyperlink ref="WYZ8" location="'Cost Summary'!A1" display="'Cost Summary'!A1"/>
    <hyperlink ref="WZA8" location="'Cost Summary'!A1" display="'Cost Summary'!A1"/>
    <hyperlink ref="WZB8" location="'Cost Summary'!A1" display="'Cost Summary'!A1"/>
    <hyperlink ref="WZC8" location="'Cost Summary'!A1" display="'Cost Summary'!A1"/>
    <hyperlink ref="WZD8" location="'Cost Summary'!A1" display="'Cost Summary'!A1"/>
    <hyperlink ref="WZE8" location="'Cost Summary'!A1" display="'Cost Summary'!A1"/>
    <hyperlink ref="WZF8" location="'Cost Summary'!A1" display="'Cost Summary'!A1"/>
    <hyperlink ref="WZG8" location="'Cost Summary'!A1" display="'Cost Summary'!A1"/>
    <hyperlink ref="WZH8" location="'Cost Summary'!A1" display="'Cost Summary'!A1"/>
    <hyperlink ref="WZI8" location="'Cost Summary'!A1" display="'Cost Summary'!A1"/>
    <hyperlink ref="WZJ8" location="'Cost Summary'!A1" display="'Cost Summary'!A1"/>
    <hyperlink ref="WZK8" location="'Cost Summary'!A1" display="'Cost Summary'!A1"/>
    <hyperlink ref="WZL8" location="'Cost Summary'!A1" display="'Cost Summary'!A1"/>
    <hyperlink ref="WZM8" location="'Cost Summary'!A1" display="'Cost Summary'!A1"/>
    <hyperlink ref="WZN8" location="'Cost Summary'!A1" display="'Cost Summary'!A1"/>
    <hyperlink ref="WZO8" location="'Cost Summary'!A1" display="'Cost Summary'!A1"/>
    <hyperlink ref="WZP8" location="'Cost Summary'!A1" display="'Cost Summary'!A1"/>
    <hyperlink ref="WZQ8" location="'Cost Summary'!A1" display="'Cost Summary'!A1"/>
    <hyperlink ref="WZR8" location="'Cost Summary'!A1" display="'Cost Summary'!A1"/>
    <hyperlink ref="WZS8" location="'Cost Summary'!A1" display="'Cost Summary'!A1"/>
    <hyperlink ref="WZT8" location="'Cost Summary'!A1" display="'Cost Summary'!A1"/>
    <hyperlink ref="WZU8" location="'Cost Summary'!A1" display="'Cost Summary'!A1"/>
    <hyperlink ref="WZV8" location="'Cost Summary'!A1" display="'Cost Summary'!A1"/>
    <hyperlink ref="WZW8" location="'Cost Summary'!A1" display="'Cost Summary'!A1"/>
    <hyperlink ref="WZX8" location="'Cost Summary'!A1" display="'Cost Summary'!A1"/>
    <hyperlink ref="WZY8" location="'Cost Summary'!A1" display="'Cost Summary'!A1"/>
    <hyperlink ref="WZZ8" location="'Cost Summary'!A1" display="'Cost Summary'!A1"/>
    <hyperlink ref="XAA8" location="'Cost Summary'!A1" display="'Cost Summary'!A1"/>
    <hyperlink ref="XAB8" location="'Cost Summary'!A1" display="'Cost Summary'!A1"/>
    <hyperlink ref="XAC8" location="'Cost Summary'!A1" display="'Cost Summary'!A1"/>
    <hyperlink ref="XAD8" location="'Cost Summary'!A1" display="'Cost Summary'!A1"/>
    <hyperlink ref="XAE8" location="'Cost Summary'!A1" display="'Cost Summary'!A1"/>
    <hyperlink ref="XAF8" location="'Cost Summary'!A1" display="'Cost Summary'!A1"/>
    <hyperlink ref="XAG8" location="'Cost Summary'!A1" display="'Cost Summary'!A1"/>
    <hyperlink ref="XAH8" location="'Cost Summary'!A1" display="'Cost Summary'!A1"/>
    <hyperlink ref="XAI8" location="'Cost Summary'!A1" display="'Cost Summary'!A1"/>
    <hyperlink ref="XAJ8" location="'Cost Summary'!A1" display="'Cost Summary'!A1"/>
    <hyperlink ref="XAK8" location="'Cost Summary'!A1" display="'Cost Summary'!A1"/>
    <hyperlink ref="XAL8" location="'Cost Summary'!A1" display="'Cost Summary'!A1"/>
    <hyperlink ref="XAM8" location="'Cost Summary'!A1" display="'Cost Summary'!A1"/>
    <hyperlink ref="XAN8" location="'Cost Summary'!A1" display="'Cost Summary'!A1"/>
    <hyperlink ref="XAO8" location="'Cost Summary'!A1" display="'Cost Summary'!A1"/>
    <hyperlink ref="XAP8" location="'Cost Summary'!A1" display="'Cost Summary'!A1"/>
    <hyperlink ref="XAQ8" location="'Cost Summary'!A1" display="'Cost Summary'!A1"/>
    <hyperlink ref="XAR8" location="'Cost Summary'!A1" display="'Cost Summary'!A1"/>
    <hyperlink ref="XAS8" location="'Cost Summary'!A1" display="'Cost Summary'!A1"/>
    <hyperlink ref="XAT8" location="'Cost Summary'!A1" display="'Cost Summary'!A1"/>
    <hyperlink ref="XAU8" location="'Cost Summary'!A1" display="'Cost Summary'!A1"/>
    <hyperlink ref="XAV8" location="'Cost Summary'!A1" display="'Cost Summary'!A1"/>
    <hyperlink ref="XAW8" location="'Cost Summary'!A1" display="'Cost Summary'!A1"/>
    <hyperlink ref="XAX8" location="'Cost Summary'!A1" display="'Cost Summary'!A1"/>
    <hyperlink ref="XAY8" location="'Cost Summary'!A1" display="'Cost Summary'!A1"/>
    <hyperlink ref="XAZ8" location="'Cost Summary'!A1" display="'Cost Summary'!A1"/>
    <hyperlink ref="XBA8" location="'Cost Summary'!A1" display="'Cost Summary'!A1"/>
    <hyperlink ref="XBB8" location="'Cost Summary'!A1" display="'Cost Summary'!A1"/>
    <hyperlink ref="XBC8" location="'Cost Summary'!A1" display="'Cost Summary'!A1"/>
    <hyperlink ref="XBD8" location="'Cost Summary'!A1" display="'Cost Summary'!A1"/>
    <hyperlink ref="XBE8" location="'Cost Summary'!A1" display="'Cost Summary'!A1"/>
    <hyperlink ref="XBF8" location="'Cost Summary'!A1" display="'Cost Summary'!A1"/>
    <hyperlink ref="XBG8" location="'Cost Summary'!A1" display="'Cost Summary'!A1"/>
    <hyperlink ref="XBH8" location="'Cost Summary'!A1" display="'Cost Summary'!A1"/>
    <hyperlink ref="XBI8" location="'Cost Summary'!A1" display="'Cost Summary'!A1"/>
    <hyperlink ref="XBJ8" location="'Cost Summary'!A1" display="'Cost Summary'!A1"/>
    <hyperlink ref="XBK8" location="'Cost Summary'!A1" display="'Cost Summary'!A1"/>
    <hyperlink ref="XBL8" location="'Cost Summary'!A1" display="'Cost Summary'!A1"/>
    <hyperlink ref="XBM8" location="'Cost Summary'!A1" display="'Cost Summary'!A1"/>
    <hyperlink ref="XBN8" location="'Cost Summary'!A1" display="'Cost Summary'!A1"/>
    <hyperlink ref="XBO8" location="'Cost Summary'!A1" display="'Cost Summary'!A1"/>
    <hyperlink ref="XBP8" location="'Cost Summary'!A1" display="'Cost Summary'!A1"/>
    <hyperlink ref="XBQ8" location="'Cost Summary'!A1" display="'Cost Summary'!A1"/>
    <hyperlink ref="XBR8" location="'Cost Summary'!A1" display="'Cost Summary'!A1"/>
    <hyperlink ref="XBS8" location="'Cost Summary'!A1" display="'Cost Summary'!A1"/>
    <hyperlink ref="XBT8" location="'Cost Summary'!A1" display="'Cost Summary'!A1"/>
    <hyperlink ref="XBU8" location="'Cost Summary'!A1" display="'Cost Summary'!A1"/>
    <hyperlink ref="XBV8" location="'Cost Summary'!A1" display="'Cost Summary'!A1"/>
    <hyperlink ref="XBW8" location="'Cost Summary'!A1" display="'Cost Summary'!A1"/>
    <hyperlink ref="XBX8" location="'Cost Summary'!A1" display="'Cost Summary'!A1"/>
    <hyperlink ref="XBY8" location="'Cost Summary'!A1" display="'Cost Summary'!A1"/>
    <hyperlink ref="XBZ8" location="'Cost Summary'!A1" display="'Cost Summary'!A1"/>
    <hyperlink ref="XCA8" location="'Cost Summary'!A1" display="'Cost Summary'!A1"/>
    <hyperlink ref="XCB8" location="'Cost Summary'!A1" display="'Cost Summary'!A1"/>
    <hyperlink ref="XCC8" location="'Cost Summary'!A1" display="'Cost Summary'!A1"/>
    <hyperlink ref="XCD8" location="'Cost Summary'!A1" display="'Cost Summary'!A1"/>
    <hyperlink ref="XCE8" location="'Cost Summary'!A1" display="'Cost Summary'!A1"/>
    <hyperlink ref="XCF8" location="'Cost Summary'!A1" display="'Cost Summary'!A1"/>
    <hyperlink ref="XCG8" location="'Cost Summary'!A1" display="'Cost Summary'!A1"/>
    <hyperlink ref="XCH8" location="'Cost Summary'!A1" display="'Cost Summary'!A1"/>
    <hyperlink ref="XCI8" location="'Cost Summary'!A1" display="'Cost Summary'!A1"/>
    <hyperlink ref="XCJ8" location="'Cost Summary'!A1" display="'Cost Summary'!A1"/>
    <hyperlink ref="XCK8" location="'Cost Summary'!A1" display="'Cost Summary'!A1"/>
    <hyperlink ref="XCL8" location="'Cost Summary'!A1" display="'Cost Summary'!A1"/>
    <hyperlink ref="XCM8" location="'Cost Summary'!A1" display="'Cost Summary'!A1"/>
    <hyperlink ref="XCN8" location="'Cost Summary'!A1" display="'Cost Summary'!A1"/>
    <hyperlink ref="XCO8" location="'Cost Summary'!A1" display="'Cost Summary'!A1"/>
    <hyperlink ref="XCP8" location="'Cost Summary'!A1" display="'Cost Summary'!A1"/>
    <hyperlink ref="XCQ8" location="'Cost Summary'!A1" display="'Cost Summary'!A1"/>
    <hyperlink ref="XCR8" location="'Cost Summary'!A1" display="'Cost Summary'!A1"/>
    <hyperlink ref="XCS8" location="'Cost Summary'!A1" display="'Cost Summary'!A1"/>
    <hyperlink ref="XCT8" location="'Cost Summary'!A1" display="'Cost Summary'!A1"/>
    <hyperlink ref="XCU8" location="'Cost Summary'!A1" display="'Cost Summary'!A1"/>
    <hyperlink ref="XCV8" location="'Cost Summary'!A1" display="'Cost Summary'!A1"/>
    <hyperlink ref="XCW8" location="'Cost Summary'!A1" display="'Cost Summary'!A1"/>
    <hyperlink ref="XCX8" location="'Cost Summary'!A1" display="'Cost Summary'!A1"/>
    <hyperlink ref="XCY8" location="'Cost Summary'!A1" display="'Cost Summary'!A1"/>
    <hyperlink ref="XCZ8" location="'Cost Summary'!A1" display="'Cost Summary'!A1"/>
    <hyperlink ref="XDA8" location="'Cost Summary'!A1" display="'Cost Summary'!A1"/>
    <hyperlink ref="XDB8" location="'Cost Summary'!A1" display="'Cost Summary'!A1"/>
    <hyperlink ref="XDC8" location="'Cost Summary'!A1" display="'Cost Summary'!A1"/>
    <hyperlink ref="XDD8" location="'Cost Summary'!A1" display="'Cost Summary'!A1"/>
    <hyperlink ref="XDE8" location="'Cost Summary'!A1" display="'Cost Summary'!A1"/>
    <hyperlink ref="XDF8" location="'Cost Summary'!A1" display="'Cost Summary'!A1"/>
    <hyperlink ref="XDG8" location="'Cost Summary'!A1" display="'Cost Summary'!A1"/>
    <hyperlink ref="XDH8" location="'Cost Summary'!A1" display="'Cost Summary'!A1"/>
    <hyperlink ref="XDI8" location="'Cost Summary'!A1" display="'Cost Summary'!A1"/>
    <hyperlink ref="XDJ8" location="'Cost Summary'!A1" display="'Cost Summary'!A1"/>
    <hyperlink ref="XDK8" location="'Cost Summary'!A1" display="'Cost Summary'!A1"/>
    <hyperlink ref="XDL8" location="'Cost Summary'!A1" display="'Cost Summary'!A1"/>
    <hyperlink ref="XDM8" location="'Cost Summary'!A1" display="'Cost Summary'!A1"/>
    <hyperlink ref="XDN8" location="'Cost Summary'!A1" display="'Cost Summary'!A1"/>
    <hyperlink ref="XDO8" location="'Cost Summary'!A1" display="'Cost Summary'!A1"/>
    <hyperlink ref="XDP8" location="'Cost Summary'!A1" display="'Cost Summary'!A1"/>
    <hyperlink ref="XDQ8" location="'Cost Summary'!A1" display="'Cost Summary'!A1"/>
    <hyperlink ref="XDR8" location="'Cost Summary'!A1" display="'Cost Summary'!A1"/>
    <hyperlink ref="XDS8" location="'Cost Summary'!A1" display="'Cost Summary'!A1"/>
    <hyperlink ref="XDT8" location="'Cost Summary'!A1" display="'Cost Summary'!A1"/>
    <hyperlink ref="XDU8" location="'Cost Summary'!A1" display="'Cost Summary'!A1"/>
    <hyperlink ref="XDV8" location="'Cost Summary'!A1" display="'Cost Summary'!A1"/>
    <hyperlink ref="XDW8" location="'Cost Summary'!A1" display="'Cost Summary'!A1"/>
    <hyperlink ref="XDX8" location="'Cost Summary'!A1" display="'Cost Summary'!A1"/>
    <hyperlink ref="XDY8" location="'Cost Summary'!A1" display="'Cost Summary'!A1"/>
    <hyperlink ref="XDZ8" location="'Cost Summary'!A1" display="'Cost Summary'!A1"/>
    <hyperlink ref="XEA8" location="'Cost Summary'!A1" display="'Cost Summary'!A1"/>
    <hyperlink ref="XEB8" location="'Cost Summary'!A1" display="'Cost Summary'!A1"/>
    <hyperlink ref="XEC8" location="'Cost Summary'!A1" display="'Cost Summary'!A1"/>
    <hyperlink ref="XED8" location="'Cost Summary'!A1" display="'Cost Summary'!A1"/>
    <hyperlink ref="XEE8" location="'Cost Summary'!A1" display="'Cost Summary'!A1"/>
    <hyperlink ref="XEF8" location="'Cost Summary'!A1" display="'Cost Summary'!A1"/>
    <hyperlink ref="XEG8" location="'Cost Summary'!A1" display="'Cost Summary'!A1"/>
    <hyperlink ref="XEH8" location="'Cost Summary'!A1" display="'Cost Summary'!A1"/>
    <hyperlink ref="XEI8" location="'Cost Summary'!A1" display="'Cost Summary'!A1"/>
    <hyperlink ref="XEJ8" location="'Cost Summary'!A1" display="'Cost Summary'!A1"/>
    <hyperlink ref="XEK8" location="'Cost Summary'!A1" display="'Cost Summary'!A1"/>
    <hyperlink ref="XEL8" location="'Cost Summary'!A1" display="'Cost Summary'!A1"/>
    <hyperlink ref="XEM8" location="'Cost Summary'!A1" display="'Cost Summary'!A1"/>
    <hyperlink ref="XEN8" location="'Cost Summary'!A1" display="'Cost Summary'!A1"/>
    <hyperlink ref="XEO8" location="'Cost Summary'!A1" display="'Cost Summary'!A1"/>
    <hyperlink ref="XEP8" location="'Cost Summary'!A1" display="'Cost Summary'!A1"/>
    <hyperlink ref="XEQ8" location="'Cost Summary'!A1" display="'Cost Summary'!A1"/>
    <hyperlink ref="XER8" location="'Cost Summary'!A1" display="'Cost Summary'!A1"/>
    <hyperlink ref="XES8" location="'Cost Summary'!A1" display="'Cost Summary'!A1"/>
    <hyperlink ref="XET8" location="'Cost Summary'!A1" display="'Cost Summary'!A1"/>
    <hyperlink ref="XEU8" location="'Cost Summary'!A1" display="'Cost Summary'!A1"/>
    <hyperlink ref="XEV8" location="'Cost Summary'!A1" display="'Cost Summary'!A1"/>
    <hyperlink ref="XEW8" location="'Cost Summary'!A1" display="'Cost Summary'!A1"/>
    <hyperlink ref="XEX8" location="'Cost Summary'!A1" display="'Cost Summary'!A1"/>
    <hyperlink ref="XEY8" location="'Cost Summary'!A1" display="'Cost Summary'!A1"/>
    <hyperlink ref="XEZ8" location="'Cost Summary'!A1" display="'Cost Summary'!A1"/>
    <hyperlink ref="XFA8" location="'Cost Summary'!A1" display="'Cost Summary'!A1"/>
    <hyperlink ref="XFB8" location="'Cost Summary'!A1" display="'Cost Summary'!A1"/>
    <hyperlink ref="XFC8" location="'Cost Summary'!A1" display="'Cost Summary'!A1"/>
    <hyperlink ref="XFD8" location="'Cost Summary'!A1" display="'Cost Summary'!A1"/>
    <hyperlink ref="C8" location="'Cost Summary'!A1" display="Cost Summary"/>
    <hyperlink ref="D8" location="'Cost Summary'!A1" display="'Cost Summary'!A1"/>
    <hyperlink ref="E8" location="'Cost Summary'!A1" display="'Cost Summary'!A1"/>
    <hyperlink ref="D9" location="BOM!A1" display="BOM!A1"/>
    <hyperlink ref="E9" location="BOM!A1" display="BOM!A1"/>
  </hyperlinks>
  <printOptions horizontalCentered="1"/>
  <pageMargins left="0.7" right="0.7" top="0.75" bottom="0.75" header="0.3" footer="0.3"/>
  <pageSetup paperSize="9" scale="70" orientation="landscape" horizontalDpi="0" verticalDpi="0" r:id="rId1"/>
  <headerFoot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9"/>
  <sheetViews>
    <sheetView topLeftCell="A4" zoomScaleNormal="100" zoomScaleSheetLayoutView="145" workbookViewId="0">
      <selection activeCell="E49" sqref="E49"/>
    </sheetView>
  </sheetViews>
  <sheetFormatPr baseColWidth="10" defaultColWidth="9.109375" defaultRowHeight="13.2" x14ac:dyDescent="0.25"/>
  <cols>
    <col min="1" max="1" width="3.109375" style="30" customWidth="1"/>
    <col min="2" max="2" width="18" style="30" customWidth="1"/>
    <col min="3" max="3" width="28.5546875" style="30" customWidth="1"/>
    <col min="4" max="5" width="10.33203125" style="30" customWidth="1"/>
    <col min="6" max="6" width="9" style="30" bestFit="1" customWidth="1"/>
    <col min="7" max="7" width="10.44140625" style="30" customWidth="1"/>
    <col min="8" max="8" width="12.5546875" style="30" customWidth="1"/>
    <col min="9" max="9" width="3.44140625" style="30" customWidth="1"/>
    <col min="10" max="256" width="9.109375" style="30"/>
    <col min="257" max="257" width="3.109375" style="30" customWidth="1"/>
    <col min="258" max="258" width="18" style="30" customWidth="1"/>
    <col min="259" max="259" width="26.109375" style="30" customWidth="1"/>
    <col min="260" max="260" width="9.109375" style="30" customWidth="1"/>
    <col min="261" max="261" width="8.5546875" style="30" customWidth="1"/>
    <col min="262" max="262" width="9" style="30" bestFit="1" customWidth="1"/>
    <col min="263" max="263" width="8" style="30" bestFit="1" customWidth="1"/>
    <col min="264" max="264" width="12.5546875" style="30" customWidth="1"/>
    <col min="265" max="265" width="3.44140625" style="30" customWidth="1"/>
    <col min="266" max="512" width="9.109375" style="30"/>
    <col min="513" max="513" width="3.109375" style="30" customWidth="1"/>
    <col min="514" max="514" width="18" style="30" customWidth="1"/>
    <col min="515" max="515" width="26.109375" style="30" customWidth="1"/>
    <col min="516" max="516" width="9.109375" style="30" customWidth="1"/>
    <col min="517" max="517" width="8.5546875" style="30" customWidth="1"/>
    <col min="518" max="518" width="9" style="30" bestFit="1" customWidth="1"/>
    <col min="519" max="519" width="8" style="30" bestFit="1" customWidth="1"/>
    <col min="520" max="520" width="12.5546875" style="30" customWidth="1"/>
    <col min="521" max="521" width="3.44140625" style="30" customWidth="1"/>
    <col min="522" max="768" width="9.109375" style="30"/>
    <col min="769" max="769" width="3.109375" style="30" customWidth="1"/>
    <col min="770" max="770" width="18" style="30" customWidth="1"/>
    <col min="771" max="771" width="26.109375" style="30" customWidth="1"/>
    <col min="772" max="772" width="9.109375" style="30" customWidth="1"/>
    <col min="773" max="773" width="8.5546875" style="30" customWidth="1"/>
    <col min="774" max="774" width="9" style="30" bestFit="1" customWidth="1"/>
    <col min="775" max="775" width="8" style="30" bestFit="1" customWidth="1"/>
    <col min="776" max="776" width="12.5546875" style="30" customWidth="1"/>
    <col min="777" max="777" width="3.44140625" style="30" customWidth="1"/>
    <col min="778" max="1024" width="9.109375" style="30"/>
    <col min="1025" max="1025" width="3.109375" style="30" customWidth="1"/>
    <col min="1026" max="1026" width="18" style="30" customWidth="1"/>
    <col min="1027" max="1027" width="26.109375" style="30" customWidth="1"/>
    <col min="1028" max="1028" width="9.109375" style="30" customWidth="1"/>
    <col min="1029" max="1029" width="8.5546875" style="30" customWidth="1"/>
    <col min="1030" max="1030" width="9" style="30" bestFit="1" customWidth="1"/>
    <col min="1031" max="1031" width="8" style="30" bestFit="1" customWidth="1"/>
    <col min="1032" max="1032" width="12.5546875" style="30" customWidth="1"/>
    <col min="1033" max="1033" width="3.44140625" style="30" customWidth="1"/>
    <col min="1034" max="1280" width="9.109375" style="30"/>
    <col min="1281" max="1281" width="3.109375" style="30" customWidth="1"/>
    <col min="1282" max="1282" width="18" style="30" customWidth="1"/>
    <col min="1283" max="1283" width="26.109375" style="30" customWidth="1"/>
    <col min="1284" max="1284" width="9.109375" style="30" customWidth="1"/>
    <col min="1285" max="1285" width="8.5546875" style="30" customWidth="1"/>
    <col min="1286" max="1286" width="9" style="30" bestFit="1" customWidth="1"/>
    <col min="1287" max="1287" width="8" style="30" bestFit="1" customWidth="1"/>
    <col min="1288" max="1288" width="12.5546875" style="30" customWidth="1"/>
    <col min="1289" max="1289" width="3.44140625" style="30" customWidth="1"/>
    <col min="1290" max="1536" width="9.109375" style="30"/>
    <col min="1537" max="1537" width="3.109375" style="30" customWidth="1"/>
    <col min="1538" max="1538" width="18" style="30" customWidth="1"/>
    <col min="1539" max="1539" width="26.109375" style="30" customWidth="1"/>
    <col min="1540" max="1540" width="9.109375" style="30" customWidth="1"/>
    <col min="1541" max="1541" width="8.5546875" style="30" customWidth="1"/>
    <col min="1542" max="1542" width="9" style="30" bestFit="1" customWidth="1"/>
    <col min="1543" max="1543" width="8" style="30" bestFit="1" customWidth="1"/>
    <col min="1544" max="1544" width="12.5546875" style="30" customWidth="1"/>
    <col min="1545" max="1545" width="3.44140625" style="30" customWidth="1"/>
    <col min="1546" max="1792" width="9.109375" style="30"/>
    <col min="1793" max="1793" width="3.109375" style="30" customWidth="1"/>
    <col min="1794" max="1794" width="18" style="30" customWidth="1"/>
    <col min="1795" max="1795" width="26.109375" style="30" customWidth="1"/>
    <col min="1796" max="1796" width="9.109375" style="30" customWidth="1"/>
    <col min="1797" max="1797" width="8.5546875" style="30" customWidth="1"/>
    <col min="1798" max="1798" width="9" style="30" bestFit="1" customWidth="1"/>
    <col min="1799" max="1799" width="8" style="30" bestFit="1" customWidth="1"/>
    <col min="1800" max="1800" width="12.5546875" style="30" customWidth="1"/>
    <col min="1801" max="1801" width="3.44140625" style="30" customWidth="1"/>
    <col min="1802" max="2048" width="9.109375" style="30"/>
    <col min="2049" max="2049" width="3.109375" style="30" customWidth="1"/>
    <col min="2050" max="2050" width="18" style="30" customWidth="1"/>
    <col min="2051" max="2051" width="26.109375" style="30" customWidth="1"/>
    <col min="2052" max="2052" width="9.109375" style="30" customWidth="1"/>
    <col min="2053" max="2053" width="8.5546875" style="30" customWidth="1"/>
    <col min="2054" max="2054" width="9" style="30" bestFit="1" customWidth="1"/>
    <col min="2055" max="2055" width="8" style="30" bestFit="1" customWidth="1"/>
    <col min="2056" max="2056" width="12.5546875" style="30" customWidth="1"/>
    <col min="2057" max="2057" width="3.44140625" style="30" customWidth="1"/>
    <col min="2058" max="2304" width="9.109375" style="30"/>
    <col min="2305" max="2305" width="3.109375" style="30" customWidth="1"/>
    <col min="2306" max="2306" width="18" style="30" customWidth="1"/>
    <col min="2307" max="2307" width="26.109375" style="30" customWidth="1"/>
    <col min="2308" max="2308" width="9.109375" style="30" customWidth="1"/>
    <col min="2309" max="2309" width="8.5546875" style="30" customWidth="1"/>
    <col min="2310" max="2310" width="9" style="30" bestFit="1" customWidth="1"/>
    <col min="2311" max="2311" width="8" style="30" bestFit="1" customWidth="1"/>
    <col min="2312" max="2312" width="12.5546875" style="30" customWidth="1"/>
    <col min="2313" max="2313" width="3.44140625" style="30" customWidth="1"/>
    <col min="2314" max="2560" width="9.109375" style="30"/>
    <col min="2561" max="2561" width="3.109375" style="30" customWidth="1"/>
    <col min="2562" max="2562" width="18" style="30" customWidth="1"/>
    <col min="2563" max="2563" width="26.109375" style="30" customWidth="1"/>
    <col min="2564" max="2564" width="9.109375" style="30" customWidth="1"/>
    <col min="2565" max="2565" width="8.5546875" style="30" customWidth="1"/>
    <col min="2566" max="2566" width="9" style="30" bestFit="1" customWidth="1"/>
    <col min="2567" max="2567" width="8" style="30" bestFit="1" customWidth="1"/>
    <col min="2568" max="2568" width="12.5546875" style="30" customWidth="1"/>
    <col min="2569" max="2569" width="3.44140625" style="30" customWidth="1"/>
    <col min="2570" max="2816" width="9.109375" style="30"/>
    <col min="2817" max="2817" width="3.109375" style="30" customWidth="1"/>
    <col min="2818" max="2818" width="18" style="30" customWidth="1"/>
    <col min="2819" max="2819" width="26.109375" style="30" customWidth="1"/>
    <col min="2820" max="2820" width="9.109375" style="30" customWidth="1"/>
    <col min="2821" max="2821" width="8.5546875" style="30" customWidth="1"/>
    <col min="2822" max="2822" width="9" style="30" bestFit="1" customWidth="1"/>
    <col min="2823" max="2823" width="8" style="30" bestFit="1" customWidth="1"/>
    <col min="2824" max="2824" width="12.5546875" style="30" customWidth="1"/>
    <col min="2825" max="2825" width="3.44140625" style="30" customWidth="1"/>
    <col min="2826" max="3072" width="9.109375" style="30"/>
    <col min="3073" max="3073" width="3.109375" style="30" customWidth="1"/>
    <col min="3074" max="3074" width="18" style="30" customWidth="1"/>
    <col min="3075" max="3075" width="26.109375" style="30" customWidth="1"/>
    <col min="3076" max="3076" width="9.109375" style="30" customWidth="1"/>
    <col min="3077" max="3077" width="8.5546875" style="30" customWidth="1"/>
    <col min="3078" max="3078" width="9" style="30" bestFit="1" customWidth="1"/>
    <col min="3079" max="3079" width="8" style="30" bestFit="1" customWidth="1"/>
    <col min="3080" max="3080" width="12.5546875" style="30" customWidth="1"/>
    <col min="3081" max="3081" width="3.44140625" style="30" customWidth="1"/>
    <col min="3082" max="3328" width="9.109375" style="30"/>
    <col min="3329" max="3329" width="3.109375" style="30" customWidth="1"/>
    <col min="3330" max="3330" width="18" style="30" customWidth="1"/>
    <col min="3331" max="3331" width="26.109375" style="30" customWidth="1"/>
    <col min="3332" max="3332" width="9.109375" style="30" customWidth="1"/>
    <col min="3333" max="3333" width="8.5546875" style="30" customWidth="1"/>
    <col min="3334" max="3334" width="9" style="30" bestFit="1" customWidth="1"/>
    <col min="3335" max="3335" width="8" style="30" bestFit="1" customWidth="1"/>
    <col min="3336" max="3336" width="12.5546875" style="30" customWidth="1"/>
    <col min="3337" max="3337" width="3.44140625" style="30" customWidth="1"/>
    <col min="3338" max="3584" width="9.109375" style="30"/>
    <col min="3585" max="3585" width="3.109375" style="30" customWidth="1"/>
    <col min="3586" max="3586" width="18" style="30" customWidth="1"/>
    <col min="3587" max="3587" width="26.109375" style="30" customWidth="1"/>
    <col min="3588" max="3588" width="9.109375" style="30" customWidth="1"/>
    <col min="3589" max="3589" width="8.5546875" style="30" customWidth="1"/>
    <col min="3590" max="3590" width="9" style="30" bestFit="1" customWidth="1"/>
    <col min="3591" max="3591" width="8" style="30" bestFit="1" customWidth="1"/>
    <col min="3592" max="3592" width="12.5546875" style="30" customWidth="1"/>
    <col min="3593" max="3593" width="3.44140625" style="30" customWidth="1"/>
    <col min="3594" max="3840" width="9.109375" style="30"/>
    <col min="3841" max="3841" width="3.109375" style="30" customWidth="1"/>
    <col min="3842" max="3842" width="18" style="30" customWidth="1"/>
    <col min="3843" max="3843" width="26.109375" style="30" customWidth="1"/>
    <col min="3844" max="3844" width="9.109375" style="30" customWidth="1"/>
    <col min="3845" max="3845" width="8.5546875" style="30" customWidth="1"/>
    <col min="3846" max="3846" width="9" style="30" bestFit="1" customWidth="1"/>
    <col min="3847" max="3847" width="8" style="30" bestFit="1" customWidth="1"/>
    <col min="3848" max="3848" width="12.5546875" style="30" customWidth="1"/>
    <col min="3849" max="3849" width="3.44140625" style="30" customWidth="1"/>
    <col min="3850" max="4096" width="9.109375" style="30"/>
    <col min="4097" max="4097" width="3.109375" style="30" customWidth="1"/>
    <col min="4098" max="4098" width="18" style="30" customWidth="1"/>
    <col min="4099" max="4099" width="26.109375" style="30" customWidth="1"/>
    <col min="4100" max="4100" width="9.109375" style="30" customWidth="1"/>
    <col min="4101" max="4101" width="8.5546875" style="30" customWidth="1"/>
    <col min="4102" max="4102" width="9" style="30" bestFit="1" customWidth="1"/>
    <col min="4103" max="4103" width="8" style="30" bestFit="1" customWidth="1"/>
    <col min="4104" max="4104" width="12.5546875" style="30" customWidth="1"/>
    <col min="4105" max="4105" width="3.44140625" style="30" customWidth="1"/>
    <col min="4106" max="4352" width="9.109375" style="30"/>
    <col min="4353" max="4353" width="3.109375" style="30" customWidth="1"/>
    <col min="4354" max="4354" width="18" style="30" customWidth="1"/>
    <col min="4355" max="4355" width="26.109375" style="30" customWidth="1"/>
    <col min="4356" max="4356" width="9.109375" style="30" customWidth="1"/>
    <col min="4357" max="4357" width="8.5546875" style="30" customWidth="1"/>
    <col min="4358" max="4358" width="9" style="30" bestFit="1" customWidth="1"/>
    <col min="4359" max="4359" width="8" style="30" bestFit="1" customWidth="1"/>
    <col min="4360" max="4360" width="12.5546875" style="30" customWidth="1"/>
    <col min="4361" max="4361" width="3.44140625" style="30" customWidth="1"/>
    <col min="4362" max="4608" width="9.109375" style="30"/>
    <col min="4609" max="4609" width="3.109375" style="30" customWidth="1"/>
    <col min="4610" max="4610" width="18" style="30" customWidth="1"/>
    <col min="4611" max="4611" width="26.109375" style="30" customWidth="1"/>
    <col min="4612" max="4612" width="9.109375" style="30" customWidth="1"/>
    <col min="4613" max="4613" width="8.5546875" style="30" customWidth="1"/>
    <col min="4614" max="4614" width="9" style="30" bestFit="1" customWidth="1"/>
    <col min="4615" max="4615" width="8" style="30" bestFit="1" customWidth="1"/>
    <col min="4616" max="4616" width="12.5546875" style="30" customWidth="1"/>
    <col min="4617" max="4617" width="3.44140625" style="30" customWidth="1"/>
    <col min="4618" max="4864" width="9.109375" style="30"/>
    <col min="4865" max="4865" width="3.109375" style="30" customWidth="1"/>
    <col min="4866" max="4866" width="18" style="30" customWidth="1"/>
    <col min="4867" max="4867" width="26.109375" style="30" customWidth="1"/>
    <col min="4868" max="4868" width="9.109375" style="30" customWidth="1"/>
    <col min="4869" max="4869" width="8.5546875" style="30" customWidth="1"/>
    <col min="4870" max="4870" width="9" style="30" bestFit="1" customWidth="1"/>
    <col min="4871" max="4871" width="8" style="30" bestFit="1" customWidth="1"/>
    <col min="4872" max="4872" width="12.5546875" style="30" customWidth="1"/>
    <col min="4873" max="4873" width="3.44140625" style="30" customWidth="1"/>
    <col min="4874" max="5120" width="9.109375" style="30"/>
    <col min="5121" max="5121" width="3.109375" style="30" customWidth="1"/>
    <col min="5122" max="5122" width="18" style="30" customWidth="1"/>
    <col min="5123" max="5123" width="26.109375" style="30" customWidth="1"/>
    <col min="5124" max="5124" width="9.109375" style="30" customWidth="1"/>
    <col min="5125" max="5125" width="8.5546875" style="30" customWidth="1"/>
    <col min="5126" max="5126" width="9" style="30" bestFit="1" customWidth="1"/>
    <col min="5127" max="5127" width="8" style="30" bestFit="1" customWidth="1"/>
    <col min="5128" max="5128" width="12.5546875" style="30" customWidth="1"/>
    <col min="5129" max="5129" width="3.44140625" style="30" customWidth="1"/>
    <col min="5130" max="5376" width="9.109375" style="30"/>
    <col min="5377" max="5377" width="3.109375" style="30" customWidth="1"/>
    <col min="5378" max="5378" width="18" style="30" customWidth="1"/>
    <col min="5379" max="5379" width="26.109375" style="30" customWidth="1"/>
    <col min="5380" max="5380" width="9.109375" style="30" customWidth="1"/>
    <col min="5381" max="5381" width="8.5546875" style="30" customWidth="1"/>
    <col min="5382" max="5382" width="9" style="30" bestFit="1" customWidth="1"/>
    <col min="5383" max="5383" width="8" style="30" bestFit="1" customWidth="1"/>
    <col min="5384" max="5384" width="12.5546875" style="30" customWidth="1"/>
    <col min="5385" max="5385" width="3.44140625" style="30" customWidth="1"/>
    <col min="5386" max="5632" width="9.109375" style="30"/>
    <col min="5633" max="5633" width="3.109375" style="30" customWidth="1"/>
    <col min="5634" max="5634" width="18" style="30" customWidth="1"/>
    <col min="5635" max="5635" width="26.109375" style="30" customWidth="1"/>
    <col min="5636" max="5636" width="9.109375" style="30" customWidth="1"/>
    <col min="5637" max="5637" width="8.5546875" style="30" customWidth="1"/>
    <col min="5638" max="5638" width="9" style="30" bestFit="1" customWidth="1"/>
    <col min="5639" max="5639" width="8" style="30" bestFit="1" customWidth="1"/>
    <col min="5640" max="5640" width="12.5546875" style="30" customWidth="1"/>
    <col min="5641" max="5641" width="3.44140625" style="30" customWidth="1"/>
    <col min="5642" max="5888" width="9.109375" style="30"/>
    <col min="5889" max="5889" width="3.109375" style="30" customWidth="1"/>
    <col min="5890" max="5890" width="18" style="30" customWidth="1"/>
    <col min="5891" max="5891" width="26.109375" style="30" customWidth="1"/>
    <col min="5892" max="5892" width="9.109375" style="30" customWidth="1"/>
    <col min="5893" max="5893" width="8.5546875" style="30" customWidth="1"/>
    <col min="5894" max="5894" width="9" style="30" bestFit="1" customWidth="1"/>
    <col min="5895" max="5895" width="8" style="30" bestFit="1" customWidth="1"/>
    <col min="5896" max="5896" width="12.5546875" style="30" customWidth="1"/>
    <col min="5897" max="5897" width="3.44140625" style="30" customWidth="1"/>
    <col min="5898" max="6144" width="9.109375" style="30"/>
    <col min="6145" max="6145" width="3.109375" style="30" customWidth="1"/>
    <col min="6146" max="6146" width="18" style="30" customWidth="1"/>
    <col min="6147" max="6147" width="26.109375" style="30" customWidth="1"/>
    <col min="6148" max="6148" width="9.109375" style="30" customWidth="1"/>
    <col min="6149" max="6149" width="8.5546875" style="30" customWidth="1"/>
    <col min="6150" max="6150" width="9" style="30" bestFit="1" customWidth="1"/>
    <col min="6151" max="6151" width="8" style="30" bestFit="1" customWidth="1"/>
    <col min="6152" max="6152" width="12.5546875" style="30" customWidth="1"/>
    <col min="6153" max="6153" width="3.44140625" style="30" customWidth="1"/>
    <col min="6154" max="6400" width="9.109375" style="30"/>
    <col min="6401" max="6401" width="3.109375" style="30" customWidth="1"/>
    <col min="6402" max="6402" width="18" style="30" customWidth="1"/>
    <col min="6403" max="6403" width="26.109375" style="30" customWidth="1"/>
    <col min="6404" max="6404" width="9.109375" style="30" customWidth="1"/>
    <col min="6405" max="6405" width="8.5546875" style="30" customWidth="1"/>
    <col min="6406" max="6406" width="9" style="30" bestFit="1" customWidth="1"/>
    <col min="6407" max="6407" width="8" style="30" bestFit="1" customWidth="1"/>
    <col min="6408" max="6408" width="12.5546875" style="30" customWidth="1"/>
    <col min="6409" max="6409" width="3.44140625" style="30" customWidth="1"/>
    <col min="6410" max="6656" width="9.109375" style="30"/>
    <col min="6657" max="6657" width="3.109375" style="30" customWidth="1"/>
    <col min="6658" max="6658" width="18" style="30" customWidth="1"/>
    <col min="6659" max="6659" width="26.109375" style="30" customWidth="1"/>
    <col min="6660" max="6660" width="9.109375" style="30" customWidth="1"/>
    <col min="6661" max="6661" width="8.5546875" style="30" customWidth="1"/>
    <col min="6662" max="6662" width="9" style="30" bestFit="1" customWidth="1"/>
    <col min="6663" max="6663" width="8" style="30" bestFit="1" customWidth="1"/>
    <col min="6664" max="6664" width="12.5546875" style="30" customWidth="1"/>
    <col min="6665" max="6665" width="3.44140625" style="30" customWidth="1"/>
    <col min="6666" max="6912" width="9.109375" style="30"/>
    <col min="6913" max="6913" width="3.109375" style="30" customWidth="1"/>
    <col min="6914" max="6914" width="18" style="30" customWidth="1"/>
    <col min="6915" max="6915" width="26.109375" style="30" customWidth="1"/>
    <col min="6916" max="6916" width="9.109375" style="30" customWidth="1"/>
    <col min="6917" max="6917" width="8.5546875" style="30" customWidth="1"/>
    <col min="6918" max="6918" width="9" style="30" bestFit="1" customWidth="1"/>
    <col min="6919" max="6919" width="8" style="30" bestFit="1" customWidth="1"/>
    <col min="6920" max="6920" width="12.5546875" style="30" customWidth="1"/>
    <col min="6921" max="6921" width="3.44140625" style="30" customWidth="1"/>
    <col min="6922" max="7168" width="9.109375" style="30"/>
    <col min="7169" max="7169" width="3.109375" style="30" customWidth="1"/>
    <col min="7170" max="7170" width="18" style="30" customWidth="1"/>
    <col min="7171" max="7171" width="26.109375" style="30" customWidth="1"/>
    <col min="7172" max="7172" width="9.109375" style="30" customWidth="1"/>
    <col min="7173" max="7173" width="8.5546875" style="30" customWidth="1"/>
    <col min="7174" max="7174" width="9" style="30" bestFit="1" customWidth="1"/>
    <col min="7175" max="7175" width="8" style="30" bestFit="1" customWidth="1"/>
    <col min="7176" max="7176" width="12.5546875" style="30" customWidth="1"/>
    <col min="7177" max="7177" width="3.44140625" style="30" customWidth="1"/>
    <col min="7178" max="7424" width="9.109375" style="30"/>
    <col min="7425" max="7425" width="3.109375" style="30" customWidth="1"/>
    <col min="7426" max="7426" width="18" style="30" customWidth="1"/>
    <col min="7427" max="7427" width="26.109375" style="30" customWidth="1"/>
    <col min="7428" max="7428" width="9.109375" style="30" customWidth="1"/>
    <col min="7429" max="7429" width="8.5546875" style="30" customWidth="1"/>
    <col min="7430" max="7430" width="9" style="30" bestFit="1" customWidth="1"/>
    <col min="7431" max="7431" width="8" style="30" bestFit="1" customWidth="1"/>
    <col min="7432" max="7432" width="12.5546875" style="30" customWidth="1"/>
    <col min="7433" max="7433" width="3.44140625" style="30" customWidth="1"/>
    <col min="7434" max="7680" width="9.109375" style="30"/>
    <col min="7681" max="7681" width="3.109375" style="30" customWidth="1"/>
    <col min="7682" max="7682" width="18" style="30" customWidth="1"/>
    <col min="7683" max="7683" width="26.109375" style="30" customWidth="1"/>
    <col min="7684" max="7684" width="9.109375" style="30" customWidth="1"/>
    <col min="7685" max="7685" width="8.5546875" style="30" customWidth="1"/>
    <col min="7686" max="7686" width="9" style="30" bestFit="1" customWidth="1"/>
    <col min="7687" max="7687" width="8" style="30" bestFit="1" customWidth="1"/>
    <col min="7688" max="7688" width="12.5546875" style="30" customWidth="1"/>
    <col min="7689" max="7689" width="3.44140625" style="30" customWidth="1"/>
    <col min="7690" max="7936" width="9.109375" style="30"/>
    <col min="7937" max="7937" width="3.109375" style="30" customWidth="1"/>
    <col min="7938" max="7938" width="18" style="30" customWidth="1"/>
    <col min="7939" max="7939" width="26.109375" style="30" customWidth="1"/>
    <col min="7940" max="7940" width="9.109375" style="30" customWidth="1"/>
    <col min="7941" max="7941" width="8.5546875" style="30" customWidth="1"/>
    <col min="7942" max="7942" width="9" style="30" bestFit="1" customWidth="1"/>
    <col min="7943" max="7943" width="8" style="30" bestFit="1" customWidth="1"/>
    <col min="7944" max="7944" width="12.5546875" style="30" customWidth="1"/>
    <col min="7945" max="7945" width="3.44140625" style="30" customWidth="1"/>
    <col min="7946" max="8192" width="9.109375" style="30"/>
    <col min="8193" max="8193" width="3.109375" style="30" customWidth="1"/>
    <col min="8194" max="8194" width="18" style="30" customWidth="1"/>
    <col min="8195" max="8195" width="26.109375" style="30" customWidth="1"/>
    <col min="8196" max="8196" width="9.109375" style="30" customWidth="1"/>
    <col min="8197" max="8197" width="8.5546875" style="30" customWidth="1"/>
    <col min="8198" max="8198" width="9" style="30" bestFit="1" customWidth="1"/>
    <col min="8199" max="8199" width="8" style="30" bestFit="1" customWidth="1"/>
    <col min="8200" max="8200" width="12.5546875" style="30" customWidth="1"/>
    <col min="8201" max="8201" width="3.44140625" style="30" customWidth="1"/>
    <col min="8202" max="8448" width="9.109375" style="30"/>
    <col min="8449" max="8449" width="3.109375" style="30" customWidth="1"/>
    <col min="8450" max="8450" width="18" style="30" customWidth="1"/>
    <col min="8451" max="8451" width="26.109375" style="30" customWidth="1"/>
    <col min="8452" max="8452" width="9.109375" style="30" customWidth="1"/>
    <col min="8453" max="8453" width="8.5546875" style="30" customWidth="1"/>
    <col min="8454" max="8454" width="9" style="30" bestFit="1" customWidth="1"/>
    <col min="8455" max="8455" width="8" style="30" bestFit="1" customWidth="1"/>
    <col min="8456" max="8456" width="12.5546875" style="30" customWidth="1"/>
    <col min="8457" max="8457" width="3.44140625" style="30" customWidth="1"/>
    <col min="8458" max="8704" width="9.109375" style="30"/>
    <col min="8705" max="8705" width="3.109375" style="30" customWidth="1"/>
    <col min="8706" max="8706" width="18" style="30" customWidth="1"/>
    <col min="8707" max="8707" width="26.109375" style="30" customWidth="1"/>
    <col min="8708" max="8708" width="9.109375" style="30" customWidth="1"/>
    <col min="8709" max="8709" width="8.5546875" style="30" customWidth="1"/>
    <col min="8710" max="8710" width="9" style="30" bestFit="1" customWidth="1"/>
    <col min="8711" max="8711" width="8" style="30" bestFit="1" customWidth="1"/>
    <col min="8712" max="8712" width="12.5546875" style="30" customWidth="1"/>
    <col min="8713" max="8713" width="3.44140625" style="30" customWidth="1"/>
    <col min="8714" max="8960" width="9.109375" style="30"/>
    <col min="8961" max="8961" width="3.109375" style="30" customWidth="1"/>
    <col min="8962" max="8962" width="18" style="30" customWidth="1"/>
    <col min="8963" max="8963" width="26.109375" style="30" customWidth="1"/>
    <col min="8964" max="8964" width="9.109375" style="30" customWidth="1"/>
    <col min="8965" max="8965" width="8.5546875" style="30" customWidth="1"/>
    <col min="8966" max="8966" width="9" style="30" bestFit="1" customWidth="1"/>
    <col min="8967" max="8967" width="8" style="30" bestFit="1" customWidth="1"/>
    <col min="8968" max="8968" width="12.5546875" style="30" customWidth="1"/>
    <col min="8969" max="8969" width="3.44140625" style="30" customWidth="1"/>
    <col min="8970" max="9216" width="9.109375" style="30"/>
    <col min="9217" max="9217" width="3.109375" style="30" customWidth="1"/>
    <col min="9218" max="9218" width="18" style="30" customWidth="1"/>
    <col min="9219" max="9219" width="26.109375" style="30" customWidth="1"/>
    <col min="9220" max="9220" width="9.109375" style="30" customWidth="1"/>
    <col min="9221" max="9221" width="8.5546875" style="30" customWidth="1"/>
    <col min="9222" max="9222" width="9" style="30" bestFit="1" customWidth="1"/>
    <col min="9223" max="9223" width="8" style="30" bestFit="1" customWidth="1"/>
    <col min="9224" max="9224" width="12.5546875" style="30" customWidth="1"/>
    <col min="9225" max="9225" width="3.44140625" style="30" customWidth="1"/>
    <col min="9226" max="9472" width="9.109375" style="30"/>
    <col min="9473" max="9473" width="3.109375" style="30" customWidth="1"/>
    <col min="9474" max="9474" width="18" style="30" customWidth="1"/>
    <col min="9475" max="9475" width="26.109375" style="30" customWidth="1"/>
    <col min="9476" max="9476" width="9.109375" style="30" customWidth="1"/>
    <col min="9477" max="9477" width="8.5546875" style="30" customWidth="1"/>
    <col min="9478" max="9478" width="9" style="30" bestFit="1" customWidth="1"/>
    <col min="9479" max="9479" width="8" style="30" bestFit="1" customWidth="1"/>
    <col min="9480" max="9480" width="12.5546875" style="30" customWidth="1"/>
    <col min="9481" max="9481" width="3.44140625" style="30" customWidth="1"/>
    <col min="9482" max="9728" width="9.109375" style="30"/>
    <col min="9729" max="9729" width="3.109375" style="30" customWidth="1"/>
    <col min="9730" max="9730" width="18" style="30" customWidth="1"/>
    <col min="9731" max="9731" width="26.109375" style="30" customWidth="1"/>
    <col min="9732" max="9732" width="9.109375" style="30" customWidth="1"/>
    <col min="9733" max="9733" width="8.5546875" style="30" customWidth="1"/>
    <col min="9734" max="9734" width="9" style="30" bestFit="1" customWidth="1"/>
    <col min="9735" max="9735" width="8" style="30" bestFit="1" customWidth="1"/>
    <col min="9736" max="9736" width="12.5546875" style="30" customWidth="1"/>
    <col min="9737" max="9737" width="3.44140625" style="30" customWidth="1"/>
    <col min="9738" max="9984" width="9.109375" style="30"/>
    <col min="9985" max="9985" width="3.109375" style="30" customWidth="1"/>
    <col min="9986" max="9986" width="18" style="30" customWidth="1"/>
    <col min="9987" max="9987" width="26.109375" style="30" customWidth="1"/>
    <col min="9988" max="9988" width="9.109375" style="30" customWidth="1"/>
    <col min="9989" max="9989" width="8.5546875" style="30" customWidth="1"/>
    <col min="9990" max="9990" width="9" style="30" bestFit="1" customWidth="1"/>
    <col min="9991" max="9991" width="8" style="30" bestFit="1" customWidth="1"/>
    <col min="9992" max="9992" width="12.5546875" style="30" customWidth="1"/>
    <col min="9993" max="9993" width="3.44140625" style="30" customWidth="1"/>
    <col min="9994" max="10240" width="9.109375" style="30"/>
    <col min="10241" max="10241" width="3.109375" style="30" customWidth="1"/>
    <col min="10242" max="10242" width="18" style="30" customWidth="1"/>
    <col min="10243" max="10243" width="26.109375" style="30" customWidth="1"/>
    <col min="10244" max="10244" width="9.109375" style="30" customWidth="1"/>
    <col min="10245" max="10245" width="8.5546875" style="30" customWidth="1"/>
    <col min="10246" max="10246" width="9" style="30" bestFit="1" customWidth="1"/>
    <col min="10247" max="10247" width="8" style="30" bestFit="1" customWidth="1"/>
    <col min="10248" max="10248" width="12.5546875" style="30" customWidth="1"/>
    <col min="10249" max="10249" width="3.44140625" style="30" customWidth="1"/>
    <col min="10250" max="10496" width="9.109375" style="30"/>
    <col min="10497" max="10497" width="3.109375" style="30" customWidth="1"/>
    <col min="10498" max="10498" width="18" style="30" customWidth="1"/>
    <col min="10499" max="10499" width="26.109375" style="30" customWidth="1"/>
    <col min="10500" max="10500" width="9.109375" style="30" customWidth="1"/>
    <col min="10501" max="10501" width="8.5546875" style="30" customWidth="1"/>
    <col min="10502" max="10502" width="9" style="30" bestFit="1" customWidth="1"/>
    <col min="10503" max="10503" width="8" style="30" bestFit="1" customWidth="1"/>
    <col min="10504" max="10504" width="12.5546875" style="30" customWidth="1"/>
    <col min="10505" max="10505" width="3.44140625" style="30" customWidth="1"/>
    <col min="10506" max="10752" width="9.109375" style="30"/>
    <col min="10753" max="10753" width="3.109375" style="30" customWidth="1"/>
    <col min="10754" max="10754" width="18" style="30" customWidth="1"/>
    <col min="10755" max="10755" width="26.109375" style="30" customWidth="1"/>
    <col min="10756" max="10756" width="9.109375" style="30" customWidth="1"/>
    <col min="10757" max="10757" width="8.5546875" style="30" customWidth="1"/>
    <col min="10758" max="10758" width="9" style="30" bestFit="1" customWidth="1"/>
    <col min="10759" max="10759" width="8" style="30" bestFit="1" customWidth="1"/>
    <col min="10760" max="10760" width="12.5546875" style="30" customWidth="1"/>
    <col min="10761" max="10761" width="3.44140625" style="30" customWidth="1"/>
    <col min="10762" max="11008" width="9.109375" style="30"/>
    <col min="11009" max="11009" width="3.109375" style="30" customWidth="1"/>
    <col min="11010" max="11010" width="18" style="30" customWidth="1"/>
    <col min="11011" max="11011" width="26.109375" style="30" customWidth="1"/>
    <col min="11012" max="11012" width="9.109375" style="30" customWidth="1"/>
    <col min="11013" max="11013" width="8.5546875" style="30" customWidth="1"/>
    <col min="11014" max="11014" width="9" style="30" bestFit="1" customWidth="1"/>
    <col min="11015" max="11015" width="8" style="30" bestFit="1" customWidth="1"/>
    <col min="11016" max="11016" width="12.5546875" style="30" customWidth="1"/>
    <col min="11017" max="11017" width="3.44140625" style="30" customWidth="1"/>
    <col min="11018" max="11264" width="9.109375" style="30"/>
    <col min="11265" max="11265" width="3.109375" style="30" customWidth="1"/>
    <col min="11266" max="11266" width="18" style="30" customWidth="1"/>
    <col min="11267" max="11267" width="26.109375" style="30" customWidth="1"/>
    <col min="11268" max="11268" width="9.109375" style="30" customWidth="1"/>
    <col min="11269" max="11269" width="8.5546875" style="30" customWidth="1"/>
    <col min="11270" max="11270" width="9" style="30" bestFit="1" customWidth="1"/>
    <col min="11271" max="11271" width="8" style="30" bestFit="1" customWidth="1"/>
    <col min="11272" max="11272" width="12.5546875" style="30" customWidth="1"/>
    <col min="11273" max="11273" width="3.44140625" style="30" customWidth="1"/>
    <col min="11274" max="11520" width="9.109375" style="30"/>
    <col min="11521" max="11521" width="3.109375" style="30" customWidth="1"/>
    <col min="11522" max="11522" width="18" style="30" customWidth="1"/>
    <col min="11523" max="11523" width="26.109375" style="30" customWidth="1"/>
    <col min="11524" max="11524" width="9.109375" style="30" customWidth="1"/>
    <col min="11525" max="11525" width="8.5546875" style="30" customWidth="1"/>
    <col min="11526" max="11526" width="9" style="30" bestFit="1" customWidth="1"/>
    <col min="11527" max="11527" width="8" style="30" bestFit="1" customWidth="1"/>
    <col min="11528" max="11528" width="12.5546875" style="30" customWidth="1"/>
    <col min="11529" max="11529" width="3.44140625" style="30" customWidth="1"/>
    <col min="11530" max="11776" width="9.109375" style="30"/>
    <col min="11777" max="11777" width="3.109375" style="30" customWidth="1"/>
    <col min="11778" max="11778" width="18" style="30" customWidth="1"/>
    <col min="11779" max="11779" width="26.109375" style="30" customWidth="1"/>
    <col min="11780" max="11780" width="9.109375" style="30" customWidth="1"/>
    <col min="11781" max="11781" width="8.5546875" style="30" customWidth="1"/>
    <col min="11782" max="11782" width="9" style="30" bestFit="1" customWidth="1"/>
    <col min="11783" max="11783" width="8" style="30" bestFit="1" customWidth="1"/>
    <col min="11784" max="11784" width="12.5546875" style="30" customWidth="1"/>
    <col min="11785" max="11785" width="3.44140625" style="30" customWidth="1"/>
    <col min="11786" max="12032" width="9.109375" style="30"/>
    <col min="12033" max="12033" width="3.109375" style="30" customWidth="1"/>
    <col min="12034" max="12034" width="18" style="30" customWidth="1"/>
    <col min="12035" max="12035" width="26.109375" style="30" customWidth="1"/>
    <col min="12036" max="12036" width="9.109375" style="30" customWidth="1"/>
    <col min="12037" max="12037" width="8.5546875" style="30" customWidth="1"/>
    <col min="12038" max="12038" width="9" style="30" bestFit="1" customWidth="1"/>
    <col min="12039" max="12039" width="8" style="30" bestFit="1" customWidth="1"/>
    <col min="12040" max="12040" width="12.5546875" style="30" customWidth="1"/>
    <col min="12041" max="12041" width="3.44140625" style="30" customWidth="1"/>
    <col min="12042" max="12288" width="9.109375" style="30"/>
    <col min="12289" max="12289" width="3.109375" style="30" customWidth="1"/>
    <col min="12290" max="12290" width="18" style="30" customWidth="1"/>
    <col min="12291" max="12291" width="26.109375" style="30" customWidth="1"/>
    <col min="12292" max="12292" width="9.109375" style="30" customWidth="1"/>
    <col min="12293" max="12293" width="8.5546875" style="30" customWidth="1"/>
    <col min="12294" max="12294" width="9" style="30" bestFit="1" customWidth="1"/>
    <col min="12295" max="12295" width="8" style="30" bestFit="1" customWidth="1"/>
    <col min="12296" max="12296" width="12.5546875" style="30" customWidth="1"/>
    <col min="12297" max="12297" width="3.44140625" style="30" customWidth="1"/>
    <col min="12298" max="12544" width="9.109375" style="30"/>
    <col min="12545" max="12545" width="3.109375" style="30" customWidth="1"/>
    <col min="12546" max="12546" width="18" style="30" customWidth="1"/>
    <col min="12547" max="12547" width="26.109375" style="30" customWidth="1"/>
    <col min="12548" max="12548" width="9.109375" style="30" customWidth="1"/>
    <col min="12549" max="12549" width="8.5546875" style="30" customWidth="1"/>
    <col min="12550" max="12550" width="9" style="30" bestFit="1" customWidth="1"/>
    <col min="12551" max="12551" width="8" style="30" bestFit="1" customWidth="1"/>
    <col min="12552" max="12552" width="12.5546875" style="30" customWidth="1"/>
    <col min="12553" max="12553" width="3.44140625" style="30" customWidth="1"/>
    <col min="12554" max="12800" width="9.109375" style="30"/>
    <col min="12801" max="12801" width="3.109375" style="30" customWidth="1"/>
    <col min="12802" max="12802" width="18" style="30" customWidth="1"/>
    <col min="12803" max="12803" width="26.109375" style="30" customWidth="1"/>
    <col min="12804" max="12804" width="9.109375" style="30" customWidth="1"/>
    <col min="12805" max="12805" width="8.5546875" style="30" customWidth="1"/>
    <col min="12806" max="12806" width="9" style="30" bestFit="1" customWidth="1"/>
    <col min="12807" max="12807" width="8" style="30" bestFit="1" customWidth="1"/>
    <col min="12808" max="12808" width="12.5546875" style="30" customWidth="1"/>
    <col min="12809" max="12809" width="3.44140625" style="30" customWidth="1"/>
    <col min="12810" max="13056" width="9.109375" style="30"/>
    <col min="13057" max="13057" width="3.109375" style="30" customWidth="1"/>
    <col min="13058" max="13058" width="18" style="30" customWidth="1"/>
    <col min="13059" max="13059" width="26.109375" style="30" customWidth="1"/>
    <col min="13060" max="13060" width="9.109375" style="30" customWidth="1"/>
    <col min="13061" max="13061" width="8.5546875" style="30" customWidth="1"/>
    <col min="13062" max="13062" width="9" style="30" bestFit="1" customWidth="1"/>
    <col min="13063" max="13063" width="8" style="30" bestFit="1" customWidth="1"/>
    <col min="13064" max="13064" width="12.5546875" style="30" customWidth="1"/>
    <col min="13065" max="13065" width="3.44140625" style="30" customWidth="1"/>
    <col min="13066" max="13312" width="9.109375" style="30"/>
    <col min="13313" max="13313" width="3.109375" style="30" customWidth="1"/>
    <col min="13314" max="13314" width="18" style="30" customWidth="1"/>
    <col min="13315" max="13315" width="26.109375" style="30" customWidth="1"/>
    <col min="13316" max="13316" width="9.109375" style="30" customWidth="1"/>
    <col min="13317" max="13317" width="8.5546875" style="30" customWidth="1"/>
    <col min="13318" max="13318" width="9" style="30" bestFit="1" customWidth="1"/>
    <col min="13319" max="13319" width="8" style="30" bestFit="1" customWidth="1"/>
    <col min="13320" max="13320" width="12.5546875" style="30" customWidth="1"/>
    <col min="13321" max="13321" width="3.44140625" style="30" customWidth="1"/>
    <col min="13322" max="13568" width="9.109375" style="30"/>
    <col min="13569" max="13569" width="3.109375" style="30" customWidth="1"/>
    <col min="13570" max="13570" width="18" style="30" customWidth="1"/>
    <col min="13571" max="13571" width="26.109375" style="30" customWidth="1"/>
    <col min="13572" max="13572" width="9.109375" style="30" customWidth="1"/>
    <col min="13573" max="13573" width="8.5546875" style="30" customWidth="1"/>
    <col min="13574" max="13574" width="9" style="30" bestFit="1" customWidth="1"/>
    <col min="13575" max="13575" width="8" style="30" bestFit="1" customWidth="1"/>
    <col min="13576" max="13576" width="12.5546875" style="30" customWidth="1"/>
    <col min="13577" max="13577" width="3.44140625" style="30" customWidth="1"/>
    <col min="13578" max="13824" width="9.109375" style="30"/>
    <col min="13825" max="13825" width="3.109375" style="30" customWidth="1"/>
    <col min="13826" max="13826" width="18" style="30" customWidth="1"/>
    <col min="13827" max="13827" width="26.109375" style="30" customWidth="1"/>
    <col min="13828" max="13828" width="9.109375" style="30" customWidth="1"/>
    <col min="13829" max="13829" width="8.5546875" style="30" customWidth="1"/>
    <col min="13830" max="13830" width="9" style="30" bestFit="1" customWidth="1"/>
    <col min="13831" max="13831" width="8" style="30" bestFit="1" customWidth="1"/>
    <col min="13832" max="13832" width="12.5546875" style="30" customWidth="1"/>
    <col min="13833" max="13833" width="3.44140625" style="30" customWidth="1"/>
    <col min="13834" max="14080" width="9.109375" style="30"/>
    <col min="14081" max="14081" width="3.109375" style="30" customWidth="1"/>
    <col min="14082" max="14082" width="18" style="30" customWidth="1"/>
    <col min="14083" max="14083" width="26.109375" style="30" customWidth="1"/>
    <col min="14084" max="14084" width="9.109375" style="30" customWidth="1"/>
    <col min="14085" max="14085" width="8.5546875" style="30" customWidth="1"/>
    <col min="14086" max="14086" width="9" style="30" bestFit="1" customWidth="1"/>
    <col min="14087" max="14087" width="8" style="30" bestFit="1" customWidth="1"/>
    <col min="14088" max="14088" width="12.5546875" style="30" customWidth="1"/>
    <col min="14089" max="14089" width="3.44140625" style="30" customWidth="1"/>
    <col min="14090" max="14336" width="9.109375" style="30"/>
    <col min="14337" max="14337" width="3.109375" style="30" customWidth="1"/>
    <col min="14338" max="14338" width="18" style="30" customWidth="1"/>
    <col min="14339" max="14339" width="26.109375" style="30" customWidth="1"/>
    <col min="14340" max="14340" width="9.109375" style="30" customWidth="1"/>
    <col min="14341" max="14341" width="8.5546875" style="30" customWidth="1"/>
    <col min="14342" max="14342" width="9" style="30" bestFit="1" customWidth="1"/>
    <col min="14343" max="14343" width="8" style="30" bestFit="1" customWidth="1"/>
    <col min="14344" max="14344" width="12.5546875" style="30" customWidth="1"/>
    <col min="14345" max="14345" width="3.44140625" style="30" customWidth="1"/>
    <col min="14346" max="14592" width="9.109375" style="30"/>
    <col min="14593" max="14593" width="3.109375" style="30" customWidth="1"/>
    <col min="14594" max="14594" width="18" style="30" customWidth="1"/>
    <col min="14595" max="14595" width="26.109375" style="30" customWidth="1"/>
    <col min="14596" max="14596" width="9.109375" style="30" customWidth="1"/>
    <col min="14597" max="14597" width="8.5546875" style="30" customWidth="1"/>
    <col min="14598" max="14598" width="9" style="30" bestFit="1" customWidth="1"/>
    <col min="14599" max="14599" width="8" style="30" bestFit="1" customWidth="1"/>
    <col min="14600" max="14600" width="12.5546875" style="30" customWidth="1"/>
    <col min="14601" max="14601" width="3.44140625" style="30" customWidth="1"/>
    <col min="14602" max="14848" width="9.109375" style="30"/>
    <col min="14849" max="14849" width="3.109375" style="30" customWidth="1"/>
    <col min="14850" max="14850" width="18" style="30" customWidth="1"/>
    <col min="14851" max="14851" width="26.109375" style="30" customWidth="1"/>
    <col min="14852" max="14852" width="9.109375" style="30" customWidth="1"/>
    <col min="14853" max="14853" width="8.5546875" style="30" customWidth="1"/>
    <col min="14854" max="14854" width="9" style="30" bestFit="1" customWidth="1"/>
    <col min="14855" max="14855" width="8" style="30" bestFit="1" customWidth="1"/>
    <col min="14856" max="14856" width="12.5546875" style="30" customWidth="1"/>
    <col min="14857" max="14857" width="3.44140625" style="30" customWidth="1"/>
    <col min="14858" max="15104" width="9.109375" style="30"/>
    <col min="15105" max="15105" width="3.109375" style="30" customWidth="1"/>
    <col min="15106" max="15106" width="18" style="30" customWidth="1"/>
    <col min="15107" max="15107" width="26.109375" style="30" customWidth="1"/>
    <col min="15108" max="15108" width="9.109375" style="30" customWidth="1"/>
    <col min="15109" max="15109" width="8.5546875" style="30" customWidth="1"/>
    <col min="15110" max="15110" width="9" style="30" bestFit="1" customWidth="1"/>
    <col min="15111" max="15111" width="8" style="30" bestFit="1" customWidth="1"/>
    <col min="15112" max="15112" width="12.5546875" style="30" customWidth="1"/>
    <col min="15113" max="15113" width="3.44140625" style="30" customWidth="1"/>
    <col min="15114" max="15360" width="9.109375" style="30"/>
    <col min="15361" max="15361" width="3.109375" style="30" customWidth="1"/>
    <col min="15362" max="15362" width="18" style="30" customWidth="1"/>
    <col min="15363" max="15363" width="26.109375" style="30" customWidth="1"/>
    <col min="15364" max="15364" width="9.109375" style="30" customWidth="1"/>
    <col min="15365" max="15365" width="8.5546875" style="30" customWidth="1"/>
    <col min="15366" max="15366" width="9" style="30" bestFit="1" customWidth="1"/>
    <col min="15367" max="15367" width="8" style="30" bestFit="1" customWidth="1"/>
    <col min="15368" max="15368" width="12.5546875" style="30" customWidth="1"/>
    <col min="15369" max="15369" width="3.44140625" style="30" customWidth="1"/>
    <col min="15370" max="15616" width="9.109375" style="30"/>
    <col min="15617" max="15617" width="3.109375" style="30" customWidth="1"/>
    <col min="15618" max="15618" width="18" style="30" customWidth="1"/>
    <col min="15619" max="15619" width="26.109375" style="30" customWidth="1"/>
    <col min="15620" max="15620" width="9.109375" style="30" customWidth="1"/>
    <col min="15621" max="15621" width="8.5546875" style="30" customWidth="1"/>
    <col min="15622" max="15622" width="9" style="30" bestFit="1" customWidth="1"/>
    <col min="15623" max="15623" width="8" style="30" bestFit="1" customWidth="1"/>
    <col min="15624" max="15624" width="12.5546875" style="30" customWidth="1"/>
    <col min="15625" max="15625" width="3.44140625" style="30" customWidth="1"/>
    <col min="15626" max="15872" width="9.109375" style="30"/>
    <col min="15873" max="15873" width="3.109375" style="30" customWidth="1"/>
    <col min="15874" max="15874" width="18" style="30" customWidth="1"/>
    <col min="15875" max="15875" width="26.109375" style="30" customWidth="1"/>
    <col min="15876" max="15876" width="9.109375" style="30" customWidth="1"/>
    <col min="15877" max="15877" width="8.5546875" style="30" customWidth="1"/>
    <col min="15878" max="15878" width="9" style="30" bestFit="1" customWidth="1"/>
    <col min="15879" max="15879" width="8" style="30" bestFit="1" customWidth="1"/>
    <col min="15880" max="15880" width="12.5546875" style="30" customWidth="1"/>
    <col min="15881" max="15881" width="3.44140625" style="30" customWidth="1"/>
    <col min="15882" max="16128" width="9.109375" style="30"/>
    <col min="16129" max="16129" width="3.109375" style="30" customWidth="1"/>
    <col min="16130" max="16130" width="18" style="30" customWidth="1"/>
    <col min="16131" max="16131" width="26.109375" style="30" customWidth="1"/>
    <col min="16132" max="16132" width="9.109375" style="30" customWidth="1"/>
    <col min="16133" max="16133" width="8.5546875" style="30" customWidth="1"/>
    <col min="16134" max="16134" width="9" style="30" bestFit="1" customWidth="1"/>
    <col min="16135" max="16135" width="8" style="30" bestFit="1" customWidth="1"/>
    <col min="16136" max="16136" width="12.5546875" style="30" customWidth="1"/>
    <col min="16137" max="16137" width="3.44140625" style="30" customWidth="1"/>
    <col min="16138" max="16384" width="9.109375" style="30"/>
  </cols>
  <sheetData>
    <row r="2" spans="2:11" ht="20.399999999999999" x14ac:dyDescent="0.25">
      <c r="B2" s="29" t="s">
        <v>14</v>
      </c>
      <c r="C2" s="29"/>
      <c r="D2" s="29"/>
      <c r="E2" s="29"/>
      <c r="F2" s="29"/>
      <c r="G2" s="29"/>
      <c r="H2" s="29"/>
    </row>
    <row r="4" spans="2:11" x14ac:dyDescent="0.25">
      <c r="B4" s="31" t="s">
        <v>1</v>
      </c>
      <c r="C4" s="32" t="str">
        <f>[2]BOM!B1</f>
        <v>Ecole Centrale de Lyon</v>
      </c>
      <c r="D4" s="32"/>
    </row>
    <row r="5" spans="2:11" ht="33" customHeight="1" x14ac:dyDescent="0.25">
      <c r="C5" s="33">
        <f>BOM!B4</f>
        <v>81</v>
      </c>
      <c r="D5" s="33"/>
    </row>
    <row r="6" spans="2:11" x14ac:dyDescent="0.25">
      <c r="B6" s="34" t="s">
        <v>15</v>
      </c>
      <c r="D6" s="35" t="s">
        <v>16</v>
      </c>
      <c r="E6" s="36" t="s">
        <v>17</v>
      </c>
      <c r="F6" s="36" t="s">
        <v>18</v>
      </c>
      <c r="G6" s="36" t="s">
        <v>19</v>
      </c>
      <c r="H6" s="36" t="s">
        <v>20</v>
      </c>
    </row>
    <row r="7" spans="2:11" ht="14.4" x14ac:dyDescent="0.3">
      <c r="B7" s="37"/>
      <c r="C7" s="38" t="s">
        <v>6</v>
      </c>
      <c r="D7" s="39">
        <f>BOM!J22</f>
        <v>1008.5877670362638</v>
      </c>
      <c r="E7" s="39">
        <f>BOM!K22</f>
        <v>96.695179999999993</v>
      </c>
      <c r="F7" s="39">
        <f>BOM!L22</f>
        <v>5.4213613981327917</v>
      </c>
      <c r="G7" s="39">
        <f>BOM!M22</f>
        <v>0.66666666666666663</v>
      </c>
      <c r="H7" s="39">
        <f>BOM!N22</f>
        <v>1111.3709751010633</v>
      </c>
    </row>
    <row r="8" spans="2:11" ht="14.4" x14ac:dyDescent="0.3">
      <c r="B8" s="40"/>
      <c r="C8" s="40" t="s">
        <v>21</v>
      </c>
      <c r="D8" s="41">
        <f>BOM!J102</f>
        <v>2652.4000925529185</v>
      </c>
      <c r="E8" s="41">
        <f>BOM!K102</f>
        <v>1465.8629070873462</v>
      </c>
      <c r="F8" s="41">
        <f>BOM!L102</f>
        <v>54.225440540151354</v>
      </c>
      <c r="G8" s="41">
        <f>BOM!M102</f>
        <v>32.704000000000001</v>
      </c>
      <c r="H8" s="41">
        <f>BOM!N102</f>
        <v>4205.1924401804181</v>
      </c>
    </row>
    <row r="9" spans="2:11" ht="14.4" x14ac:dyDescent="0.3">
      <c r="B9" s="42"/>
      <c r="C9" s="42" t="s">
        <v>22</v>
      </c>
      <c r="D9" s="43">
        <f>BOM!J153</f>
        <v>475.9973697544068</v>
      </c>
      <c r="E9" s="43">
        <f>BOM!K153</f>
        <v>1709.98168508925</v>
      </c>
      <c r="F9" s="43">
        <f>BOM!L153</f>
        <v>85.02764069900141</v>
      </c>
      <c r="G9" s="43">
        <f>BOM!M153</f>
        <v>196.21333333333334</v>
      </c>
      <c r="H9" s="43">
        <f>BOM!N153</f>
        <v>2467.2200288759923</v>
      </c>
    </row>
    <row r="10" spans="2:11" ht="14.4" x14ac:dyDescent="0.3">
      <c r="B10" s="44"/>
      <c r="C10" s="44" t="s">
        <v>9</v>
      </c>
      <c r="D10" s="45">
        <f>BOM!J170</f>
        <v>1603.6979136550003</v>
      </c>
      <c r="E10" s="45">
        <f>BOM!K170</f>
        <v>320.53659413333344</v>
      </c>
      <c r="F10" s="45">
        <f>BOM!L170</f>
        <v>2.73</v>
      </c>
      <c r="G10" s="45">
        <f>BOM!M170</f>
        <v>5.333333333333333</v>
      </c>
      <c r="H10" s="45">
        <f>BOM!N170</f>
        <v>1932.297841121667</v>
      </c>
    </row>
    <row r="11" spans="2:11" ht="13.8" x14ac:dyDescent="0.3">
      <c r="B11" s="46"/>
      <c r="C11" s="47" t="s">
        <v>23</v>
      </c>
      <c r="D11" s="48">
        <f>BOM!J189</f>
        <v>101.74723253205165</v>
      </c>
      <c r="E11" s="48">
        <f>BOM!K189</f>
        <v>173.2146886710585</v>
      </c>
      <c r="F11" s="48">
        <f>BOM!L189</f>
        <v>6.9463071246256689</v>
      </c>
      <c r="G11" s="48">
        <f>BOM!M189</f>
        <v>12.533333333333333</v>
      </c>
      <c r="H11" s="48">
        <f>BOM!N189</f>
        <v>294.4415616610691</v>
      </c>
    </row>
    <row r="12" spans="2:11" ht="14.4" x14ac:dyDescent="0.3">
      <c r="B12" s="49"/>
      <c r="C12" s="50" t="s">
        <v>24</v>
      </c>
      <c r="D12" s="51">
        <f>BOM!J219</f>
        <v>166.39448974021391</v>
      </c>
      <c r="E12" s="51">
        <f>BOM!K219</f>
        <v>170.6046002066654</v>
      </c>
      <c r="F12" s="51">
        <f>BOM!L219</f>
        <v>2.1989831546401302</v>
      </c>
      <c r="G12" s="51">
        <f>BOM!M219</f>
        <v>3.333333333333333</v>
      </c>
      <c r="H12" s="51">
        <f>BOM!N219</f>
        <v>342.53140643485278</v>
      </c>
    </row>
    <row r="13" spans="2:11" ht="14.4" x14ac:dyDescent="0.3">
      <c r="B13" s="52"/>
      <c r="C13" s="52" t="s">
        <v>25</v>
      </c>
      <c r="D13" s="53">
        <f>BOM!J305</f>
        <v>1865.7978751981448</v>
      </c>
      <c r="E13" s="53">
        <f>BOM!K305</f>
        <v>924.02871530614379</v>
      </c>
      <c r="F13" s="53">
        <f>BOM!L305</f>
        <v>12.840105661655308</v>
      </c>
      <c r="G13" s="53">
        <f>BOM!M305</f>
        <v>14.666666666666664</v>
      </c>
      <c r="H13" s="53">
        <f>BOM!N305</f>
        <v>2817.3333628326109</v>
      </c>
    </row>
    <row r="14" spans="2:11" ht="14.4" x14ac:dyDescent="0.3">
      <c r="B14" s="54"/>
      <c r="C14" s="54" t="s">
        <v>26</v>
      </c>
      <c r="D14" s="55">
        <f>BOM!J319</f>
        <v>1636.9658030757757</v>
      </c>
      <c r="E14" s="55">
        <f>BOM!K319</f>
        <v>306.75247999999993</v>
      </c>
      <c r="F14" s="55">
        <f>BOM!L319</f>
        <v>23.448342873004769</v>
      </c>
      <c r="G14" s="55">
        <f>BOM!M319</f>
        <v>0</v>
      </c>
      <c r="H14" s="55">
        <f>BOM!N319</f>
        <v>1967.1666259487806</v>
      </c>
    </row>
    <row r="16" spans="2:11" ht="13.8" thickBot="1" x14ac:dyDescent="0.3">
      <c r="B16" s="56"/>
      <c r="C16" s="56" t="s">
        <v>27</v>
      </c>
      <c r="D16" s="57">
        <f>SUM(D7:D14)</f>
        <v>9511.5885435447744</v>
      </c>
      <c r="E16" s="57">
        <f>SUM(E7:E14)</f>
        <v>5167.6768504937972</v>
      </c>
      <c r="F16" s="57">
        <f>SUM(F7:F14)</f>
        <v>192.83818145121143</v>
      </c>
      <c r="G16" s="57">
        <f>SUM(G7:G14)</f>
        <v>265.45066666666668</v>
      </c>
      <c r="H16" s="57">
        <f>SUM(H7:H14)</f>
        <v>15137.554242156455</v>
      </c>
      <c r="K16" s="58"/>
    </row>
    <row r="17" spans="2:2" ht="13.8" thickTop="1" x14ac:dyDescent="0.25"/>
    <row r="19" spans="2:2" x14ac:dyDescent="0.25">
      <c r="B19" s="30" t="s">
        <v>28</v>
      </c>
    </row>
  </sheetData>
  <mergeCells count="3">
    <mergeCell ref="B2:H2"/>
    <mergeCell ref="C4:D4"/>
    <mergeCell ref="C5:D5"/>
  </mergeCells>
  <conditionalFormatting sqref="C4:D4">
    <cfRule type="cellIs" dxfId="1" priority="2" stopIfTrue="1" operator="equal">
      <formula>0</formula>
    </cfRule>
  </conditionalFormatting>
  <conditionalFormatting sqref="C5:D5">
    <cfRule type="expression" dxfId="0" priority="1" stopIfTrue="1">
      <formula>$C$4=0</formula>
    </cfRule>
  </conditionalFormatting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G466"/>
  <sheetViews>
    <sheetView zoomScale="85" zoomScaleNormal="85" workbookViewId="0">
      <pane xSplit="3" ySplit="6" topLeftCell="E77" activePane="bottomRight" state="frozen"/>
      <selection activeCell="E49" sqref="E49"/>
      <selection pane="topRight" activeCell="E49" sqref="E49"/>
      <selection pane="bottomLeft" activeCell="E49" sqref="E49"/>
      <selection pane="bottomRight" activeCell="E49" sqref="E49"/>
    </sheetView>
  </sheetViews>
  <sheetFormatPr baseColWidth="10" defaultColWidth="9.109375" defaultRowHeight="13.2" x14ac:dyDescent="0.25"/>
  <cols>
    <col min="1" max="1" width="17.44140625" style="61" bestFit="1" customWidth="1"/>
    <col min="2" max="2" width="21.109375" style="68" customWidth="1"/>
    <col min="3" max="3" width="13.5546875" style="61" customWidth="1"/>
    <col min="4" max="4" width="10" style="61" bestFit="1" customWidth="1"/>
    <col min="5" max="5" width="23" style="61" customWidth="1"/>
    <col min="6" max="6" width="36" style="63" customWidth="1"/>
    <col min="7" max="7" width="13" style="61" customWidth="1"/>
    <col min="8" max="8" width="11" style="61" bestFit="1" customWidth="1"/>
    <col min="9" max="9" width="10.44140625" style="64" customWidth="1"/>
    <col min="10" max="10" width="12.6640625" style="64" customWidth="1"/>
    <col min="11" max="11" width="11.33203125" style="64" customWidth="1"/>
    <col min="12" max="13" width="10.44140625" style="64" customWidth="1"/>
    <col min="14" max="14" width="11.5546875" style="61" bestFit="1" customWidth="1"/>
    <col min="15" max="15" width="11.109375" style="68" customWidth="1"/>
    <col min="16" max="16384" width="9.109375" style="68"/>
  </cols>
  <sheetData>
    <row r="1" spans="1:15" ht="15" thickBot="1" x14ac:dyDescent="0.35">
      <c r="A1" s="59" t="s">
        <v>29</v>
      </c>
      <c r="B1" s="60" t="s">
        <v>2</v>
      </c>
      <c r="D1" s="62"/>
      <c r="M1" s="65" t="s">
        <v>30</v>
      </c>
      <c r="N1" s="66"/>
      <c r="O1" s="67">
        <f>Cout_total</f>
        <v>15137.554242156455</v>
      </c>
    </row>
    <row r="2" spans="1:15" s="72" customFormat="1" ht="15" thickBot="1" x14ac:dyDescent="0.35">
      <c r="A2" s="69" t="s">
        <v>31</v>
      </c>
      <c r="B2" s="70" t="s">
        <v>32</v>
      </c>
      <c r="C2" s="71"/>
      <c r="F2" s="73"/>
    </row>
    <row r="3" spans="1:15" s="72" customFormat="1" ht="15.6" thickTop="1" thickBot="1" x14ac:dyDescent="0.35">
      <c r="A3" s="74" t="s">
        <v>33</v>
      </c>
      <c r="B3" s="75">
        <v>2018</v>
      </c>
      <c r="C3" s="71"/>
      <c r="F3" s="73"/>
    </row>
    <row r="4" spans="1:15" s="72" customFormat="1" ht="15.6" thickTop="1" thickBot="1" x14ac:dyDescent="0.35">
      <c r="A4" s="76" t="s">
        <v>34</v>
      </c>
      <c r="B4" s="77">
        <v>81</v>
      </c>
      <c r="C4" s="71"/>
      <c r="D4" s="62" t="s">
        <v>35</v>
      </c>
      <c r="F4" s="73"/>
    </row>
    <row r="5" spans="1:15" s="81" customFormat="1" ht="15" thickTop="1" x14ac:dyDescent="0.3">
      <c r="A5" s="78"/>
      <c r="B5" s="79"/>
      <c r="C5" s="80"/>
      <c r="F5" s="82"/>
    </row>
    <row r="6" spans="1:15" s="87" customFormat="1" ht="49.5" customHeight="1" x14ac:dyDescent="0.25">
      <c r="A6" s="83" t="s">
        <v>36</v>
      </c>
      <c r="B6" s="84" t="s">
        <v>37</v>
      </c>
      <c r="C6" s="84" t="s">
        <v>38</v>
      </c>
      <c r="D6" s="84" t="s">
        <v>39</v>
      </c>
      <c r="E6" s="84" t="s">
        <v>40</v>
      </c>
      <c r="F6" s="84" t="s">
        <v>41</v>
      </c>
      <c r="G6" s="84" t="s">
        <v>42</v>
      </c>
      <c r="H6" s="85" t="s">
        <v>43</v>
      </c>
      <c r="I6" s="84" t="s">
        <v>44</v>
      </c>
      <c r="J6" s="84" t="s">
        <v>45</v>
      </c>
      <c r="K6" s="84" t="s">
        <v>46</v>
      </c>
      <c r="L6" s="84" t="s">
        <v>47</v>
      </c>
      <c r="M6" s="84" t="s">
        <v>48</v>
      </c>
      <c r="N6" s="86" t="s">
        <v>49</v>
      </c>
      <c r="O6" s="84" t="s">
        <v>50</v>
      </c>
    </row>
    <row r="7" spans="1:15" ht="14.4" x14ac:dyDescent="0.3">
      <c r="A7" s="88"/>
      <c r="B7" s="89" t="str">
        <f>'[1]BR A0001'!B3</f>
        <v>Brake System</v>
      </c>
      <c r="C7" s="90" t="str">
        <f>BR_A0001</f>
        <v>BR A0100</v>
      </c>
      <c r="D7" s="90" t="s">
        <v>51</v>
      </c>
      <c r="E7" s="90"/>
      <c r="F7" s="91" t="str">
        <f>'[1]BR A0001'!B4</f>
        <v>Front Brake Rotor</v>
      </c>
      <c r="G7" s="90"/>
      <c r="H7" s="92">
        <f t="shared" ref="H7:H21" si="0">SUM(J7:M7)</f>
        <v>89.742665746687933</v>
      </c>
      <c r="I7" s="93">
        <f>BR_A0001_q</f>
        <v>2</v>
      </c>
      <c r="J7" s="94">
        <f>BR_A0001_m</f>
        <v>84.708956000000001</v>
      </c>
      <c r="K7" s="94">
        <f>BR_A0001_p</f>
        <v>4.42</v>
      </c>
      <c r="L7" s="94">
        <f>BR_A0001_f</f>
        <v>0.61370974668793365</v>
      </c>
      <c r="M7" s="94">
        <v>0</v>
      </c>
      <c r="N7" s="95">
        <f t="shared" ref="N7:N21" si="1">H7*I7</f>
        <v>179.48533149337587</v>
      </c>
      <c r="O7" s="96">
        <v>12</v>
      </c>
    </row>
    <row r="8" spans="1:15" ht="14.4" x14ac:dyDescent="0.3">
      <c r="A8" s="97"/>
      <c r="B8" s="98" t="str">
        <f>'[1]BR A0001'!B3</f>
        <v>Brake System</v>
      </c>
      <c r="C8" s="99" t="str">
        <f>BR_01001</f>
        <v>BR 01001</v>
      </c>
      <c r="D8" s="100" t="s">
        <v>51</v>
      </c>
      <c r="E8" s="100" t="str">
        <f>F7</f>
        <v>Front Brake Rotor</v>
      </c>
      <c r="F8" s="101" t="str">
        <f>'[1]BR 01001'!B5</f>
        <v>Brake Rotor</v>
      </c>
      <c r="G8" s="100"/>
      <c r="H8" s="102">
        <f t="shared" si="0"/>
        <v>3.3906536124999995</v>
      </c>
      <c r="I8" s="103">
        <f>BR_A0001_q*BR_01001_q</f>
        <v>2</v>
      </c>
      <c r="J8" s="104">
        <f>BR_01001_m</f>
        <v>1.4669236125</v>
      </c>
      <c r="K8" s="104">
        <f>BR_01001_p</f>
        <v>1.9237299999999997</v>
      </c>
      <c r="L8" s="104">
        <v>0</v>
      </c>
      <c r="M8" s="104">
        <v>0</v>
      </c>
      <c r="N8" s="105">
        <f t="shared" si="1"/>
        <v>6.7813072249999991</v>
      </c>
      <c r="O8" s="106">
        <v>13</v>
      </c>
    </row>
    <row r="9" spans="1:15" ht="14.4" x14ac:dyDescent="0.3">
      <c r="A9" s="97"/>
      <c r="B9" s="98" t="str">
        <f>'[1]BR A0001'!$B$3</f>
        <v>Brake System</v>
      </c>
      <c r="C9" s="99" t="str">
        <f>BR_01002</f>
        <v>BR 01002</v>
      </c>
      <c r="D9" s="100" t="s">
        <v>51</v>
      </c>
      <c r="E9" s="100" t="str">
        <f>F7</f>
        <v>Front Brake Rotor</v>
      </c>
      <c r="F9" s="107" t="str">
        <f>'[1]BR 01002'!B5</f>
        <v>Brake Shrink Disc</v>
      </c>
      <c r="G9" s="100"/>
      <c r="H9" s="102">
        <f t="shared" si="0"/>
        <v>6.0191946657382926</v>
      </c>
      <c r="I9" s="103">
        <f>BR_A0001_q*BR_01002_q</f>
        <v>2</v>
      </c>
      <c r="J9" s="104">
        <f>BR_01002_m</f>
        <v>1.8871946657382919</v>
      </c>
      <c r="K9" s="104">
        <f>BR_01002_p</f>
        <v>4.1320000000000006</v>
      </c>
      <c r="L9" s="104">
        <v>0</v>
      </c>
      <c r="M9" s="104">
        <v>0</v>
      </c>
      <c r="N9" s="105">
        <f t="shared" si="1"/>
        <v>12.038389331476585</v>
      </c>
      <c r="O9" s="106">
        <v>14</v>
      </c>
    </row>
    <row r="10" spans="1:15" ht="14.4" x14ac:dyDescent="0.3">
      <c r="A10" s="97"/>
      <c r="B10" s="98" t="str">
        <f>'[1]BR A0001'!$B$3</f>
        <v>Brake System</v>
      </c>
      <c r="C10" s="99" t="str">
        <f>BR_01003</f>
        <v>BR 01003</v>
      </c>
      <c r="D10" s="100" t="s">
        <v>51</v>
      </c>
      <c r="E10" s="100" t="str">
        <f>F7</f>
        <v>Front Brake Rotor</v>
      </c>
      <c r="F10" s="107" t="str">
        <f>'[1]BR 01003'!B5</f>
        <v>Brake Bobbin</v>
      </c>
      <c r="G10" s="100"/>
      <c r="H10" s="102">
        <f t="shared" si="0"/>
        <v>0.26854397491666665</v>
      </c>
      <c r="I10" s="103">
        <f>BR_A0001_q*BR_01003_q</f>
        <v>12</v>
      </c>
      <c r="J10" s="104">
        <f>BR_01003_m</f>
        <v>3.6081308249999992E-2</v>
      </c>
      <c r="K10" s="104">
        <f>BR_01003_p</f>
        <v>0.23246266666666668</v>
      </c>
      <c r="L10" s="104">
        <v>0</v>
      </c>
      <c r="M10" s="104">
        <v>0</v>
      </c>
      <c r="N10" s="105">
        <f t="shared" si="1"/>
        <v>3.2225276989999996</v>
      </c>
      <c r="O10" s="106">
        <v>16</v>
      </c>
    </row>
    <row r="11" spans="1:15" ht="14.4" x14ac:dyDescent="0.3">
      <c r="A11" s="97"/>
      <c r="B11" s="98" t="str">
        <f>'[1]BR A0001'!$B$3</f>
        <v>Brake System</v>
      </c>
      <c r="C11" s="99" t="str">
        <f>BR_01004</f>
        <v>BR 01004</v>
      </c>
      <c r="D11" s="100" t="s">
        <v>51</v>
      </c>
      <c r="E11" s="100" t="str">
        <f>F7</f>
        <v>Front Brake Rotor</v>
      </c>
      <c r="F11" s="107" t="str">
        <f>'[1]BR 01004'!B5</f>
        <v>Brake Caliper Spacer</v>
      </c>
      <c r="G11" s="100"/>
      <c r="H11" s="102">
        <f t="shared" si="0"/>
        <v>0.28175735472631153</v>
      </c>
      <c r="I11" s="103">
        <f>BR_A0001_q*BR_01004_q</f>
        <v>4</v>
      </c>
      <c r="J11" s="104">
        <f>BR_01004_m</f>
        <v>4.0090354726311485E-2</v>
      </c>
      <c r="K11" s="104">
        <f>BR_01004_p</f>
        <v>0.24166700000000002</v>
      </c>
      <c r="L11" s="104">
        <v>0</v>
      </c>
      <c r="M11" s="104">
        <v>0</v>
      </c>
      <c r="N11" s="105">
        <f t="shared" si="1"/>
        <v>1.1270294189052461</v>
      </c>
      <c r="O11" s="106">
        <v>17</v>
      </c>
    </row>
    <row r="12" spans="1:15" ht="14.4" x14ac:dyDescent="0.3">
      <c r="A12" s="88"/>
      <c r="B12" s="89" t="str">
        <f>'[1]BR A0002'!B3</f>
        <v>Brake System</v>
      </c>
      <c r="C12" s="90" t="str">
        <f>BR_A0002</f>
        <v>BR A0200</v>
      </c>
      <c r="D12" s="90" t="s">
        <v>51</v>
      </c>
      <c r="E12" s="90"/>
      <c r="F12" s="108" t="str">
        <f>'[1]BR A0002'!B4</f>
        <v>Rear Brake Rotor</v>
      </c>
      <c r="G12" s="90"/>
      <c r="H12" s="92">
        <f t="shared" si="0"/>
        <v>89.742665746687933</v>
      </c>
      <c r="I12" s="93">
        <f>BR_A0002_q</f>
        <v>2</v>
      </c>
      <c r="J12" s="94">
        <f>BR_A0002_m</f>
        <v>84.708956000000001</v>
      </c>
      <c r="K12" s="94">
        <f>BR_A0002_p</f>
        <v>4.42</v>
      </c>
      <c r="L12" s="94">
        <f>BR_A0002_f</f>
        <v>0.61370974668793365</v>
      </c>
      <c r="M12" s="94">
        <v>0</v>
      </c>
      <c r="N12" s="95">
        <f t="shared" si="1"/>
        <v>179.48533149337587</v>
      </c>
      <c r="O12" s="96">
        <v>19</v>
      </c>
    </row>
    <row r="13" spans="1:15" ht="14.4" x14ac:dyDescent="0.3">
      <c r="A13" s="97"/>
      <c r="B13" s="98" t="str">
        <f>'[1]BR 02001'!B3</f>
        <v>Brake System</v>
      </c>
      <c r="C13" s="99" t="str">
        <f>BR_02001</f>
        <v>BR 02001</v>
      </c>
      <c r="D13" s="100" t="s">
        <v>51</v>
      </c>
      <c r="E13" s="100" t="str">
        <f>F12</f>
        <v>Rear Brake Rotor</v>
      </c>
      <c r="F13" s="109" t="str">
        <f>'[1]BR 02001'!B5</f>
        <v>Brake Rotor</v>
      </c>
      <c r="G13" s="100"/>
      <c r="H13" s="102">
        <f t="shared" si="0"/>
        <v>3.3906536124999995</v>
      </c>
      <c r="I13" s="103">
        <f>BR_A0002_q*BR_02001_q</f>
        <v>2</v>
      </c>
      <c r="J13" s="104">
        <f>BR_02001_m</f>
        <v>1.4669236125</v>
      </c>
      <c r="K13" s="104">
        <f>BR_02001_p</f>
        <v>1.9237299999999997</v>
      </c>
      <c r="L13" s="104">
        <v>0</v>
      </c>
      <c r="M13" s="104">
        <v>0</v>
      </c>
      <c r="N13" s="105">
        <f t="shared" si="1"/>
        <v>6.7813072249999991</v>
      </c>
      <c r="O13" s="106">
        <v>20</v>
      </c>
    </row>
    <row r="14" spans="1:15" ht="14.4" x14ac:dyDescent="0.3">
      <c r="A14" s="97"/>
      <c r="B14" s="98" t="str">
        <f>'[1]BR A0002'!$B$3</f>
        <v>Brake System</v>
      </c>
      <c r="C14" s="99" t="str">
        <f>BR_02002</f>
        <v>BR 02002</v>
      </c>
      <c r="D14" s="100" t="s">
        <v>51</v>
      </c>
      <c r="E14" s="100" t="str">
        <f>F12</f>
        <v>Rear Brake Rotor</v>
      </c>
      <c r="F14" s="109" t="str">
        <f>'[1]BR 02002'!B5</f>
        <v>Brake Shrink Disc</v>
      </c>
      <c r="G14" s="100"/>
      <c r="H14" s="102">
        <f t="shared" si="0"/>
        <v>6.1541946657382924</v>
      </c>
      <c r="I14" s="103">
        <f>BR_A0002_q*BR_02002_q</f>
        <v>2</v>
      </c>
      <c r="J14" s="104">
        <f>BR_02002_m</f>
        <v>1.8871946657382919</v>
      </c>
      <c r="K14" s="104">
        <f>BR_02002_p</f>
        <v>4.2670000000000003</v>
      </c>
      <c r="L14" s="104">
        <v>0</v>
      </c>
      <c r="M14" s="104">
        <v>0</v>
      </c>
      <c r="N14" s="105">
        <f t="shared" si="1"/>
        <v>12.308389331476585</v>
      </c>
      <c r="O14" s="106">
        <v>21</v>
      </c>
    </row>
    <row r="15" spans="1:15" ht="14.4" x14ac:dyDescent="0.3">
      <c r="A15" s="97"/>
      <c r="B15" s="98" t="str">
        <f>'[1]BR A0002'!$B$3</f>
        <v>Brake System</v>
      </c>
      <c r="C15" s="99" t="str">
        <f>BR_02003</f>
        <v>BR 02003</v>
      </c>
      <c r="D15" s="100" t="s">
        <v>51</v>
      </c>
      <c r="E15" s="100" t="str">
        <f>F12</f>
        <v>Rear Brake Rotor</v>
      </c>
      <c r="F15" s="109" t="str">
        <f>'[1]BR 02003'!B5</f>
        <v>Brake Bobbin</v>
      </c>
      <c r="G15" s="100"/>
      <c r="H15" s="102">
        <f t="shared" si="0"/>
        <v>0.26854397491666665</v>
      </c>
      <c r="I15" s="103">
        <f>BR_A0002_q*BR_02003_q</f>
        <v>12</v>
      </c>
      <c r="J15" s="104">
        <f>BR_02003_m</f>
        <v>3.6081308249999992E-2</v>
      </c>
      <c r="K15" s="104">
        <f>BR_02003_p</f>
        <v>0.23246266666666668</v>
      </c>
      <c r="L15" s="104">
        <v>0</v>
      </c>
      <c r="M15" s="104">
        <v>0</v>
      </c>
      <c r="N15" s="105">
        <f t="shared" si="1"/>
        <v>3.2225276989999996</v>
      </c>
      <c r="O15" s="106">
        <v>23</v>
      </c>
    </row>
    <row r="16" spans="1:15" ht="14.4" x14ac:dyDescent="0.3">
      <c r="A16" s="97"/>
      <c r="B16" s="98" t="str">
        <f>'[1]BR A0002'!$B$3</f>
        <v>Brake System</v>
      </c>
      <c r="C16" s="99" t="str">
        <f>BR_02004</f>
        <v>BR 02004</v>
      </c>
      <c r="D16" s="100" t="s">
        <v>51</v>
      </c>
      <c r="E16" s="100" t="str">
        <f>F12</f>
        <v>Rear Brake Rotor</v>
      </c>
      <c r="F16" s="109" t="str">
        <f>'[1]BR 02004'!B5</f>
        <v>Brake Caliper Spacer</v>
      </c>
      <c r="G16" s="100"/>
      <c r="H16" s="102">
        <f t="shared" si="0"/>
        <v>0.28175735472631153</v>
      </c>
      <c r="I16" s="103">
        <f>BR_A0002_q*BR_02004_q</f>
        <v>4</v>
      </c>
      <c r="J16" s="104">
        <f>BR_02004_m</f>
        <v>4.0090354726311485E-2</v>
      </c>
      <c r="K16" s="104">
        <f>BR_02004_p</f>
        <v>0.24166700000000002</v>
      </c>
      <c r="L16" s="104">
        <v>0</v>
      </c>
      <c r="M16" s="104">
        <v>0</v>
      </c>
      <c r="N16" s="105">
        <f t="shared" si="1"/>
        <v>1.1270294189052461</v>
      </c>
      <c r="O16" s="106">
        <v>24</v>
      </c>
    </row>
    <row r="17" spans="1:15" ht="14.4" x14ac:dyDescent="0.3">
      <c r="A17" s="88"/>
      <c r="B17" s="89" t="str">
        <f>'[1]BR A0003'!B3</f>
        <v>Brake System</v>
      </c>
      <c r="C17" s="90" t="str">
        <f>BR_A0003</f>
        <v>BR A0300</v>
      </c>
      <c r="D17" s="90" t="s">
        <v>51</v>
      </c>
      <c r="E17" s="90"/>
      <c r="F17" s="108" t="str">
        <f>'[1]BR A0003'!B4</f>
        <v>Brake Circuit Assembly</v>
      </c>
      <c r="G17" s="90"/>
      <c r="H17" s="92">
        <f t="shared" si="0"/>
        <v>699.63424864054775</v>
      </c>
      <c r="I17" s="93">
        <f>BR_A0003_q</f>
        <v>1</v>
      </c>
      <c r="J17" s="94">
        <f>BR_A0003_m</f>
        <v>655.03345956250007</v>
      </c>
      <c r="K17" s="94">
        <f>BR_A0003_p</f>
        <v>40.967599999999997</v>
      </c>
      <c r="L17" s="94">
        <f>BR_A0003_f</f>
        <v>2.9665224113810575</v>
      </c>
      <c r="M17" s="94">
        <f>BR_A0003_t</f>
        <v>0.66666666666666663</v>
      </c>
      <c r="N17" s="95">
        <f t="shared" si="1"/>
        <v>699.63424864054775</v>
      </c>
      <c r="O17" s="96">
        <v>26</v>
      </c>
    </row>
    <row r="18" spans="1:15" ht="14.4" x14ac:dyDescent="0.3">
      <c r="A18" s="97"/>
      <c r="B18" s="98" t="str">
        <f>'[1]BR 03001'!B3</f>
        <v>Brake System</v>
      </c>
      <c r="C18" s="99" t="str">
        <f>BR_03001</f>
        <v>BR 03001</v>
      </c>
      <c r="D18" s="100" t="s">
        <v>51</v>
      </c>
      <c r="E18" s="100" t="str">
        <f>F17</f>
        <v>Brake Circuit Assembly</v>
      </c>
      <c r="F18" s="109" t="str">
        <f>'[1]BR 03001'!B5</f>
        <v>Hydraulic Fluid Reservoir Mount</v>
      </c>
      <c r="G18" s="100"/>
      <c r="H18" s="102">
        <f t="shared" si="0"/>
        <v>1.7156425</v>
      </c>
      <c r="I18" s="103">
        <f>BR_A0003_q*BR_03001_q</f>
        <v>1</v>
      </c>
      <c r="J18" s="104">
        <f>BR_03001_m</f>
        <v>3.1792499999999994E-2</v>
      </c>
      <c r="K18" s="104">
        <f>BR_03001_p</f>
        <v>1.6838500000000001</v>
      </c>
      <c r="L18" s="104">
        <v>0</v>
      </c>
      <c r="M18" s="104">
        <v>0</v>
      </c>
      <c r="N18" s="105">
        <f t="shared" si="1"/>
        <v>1.7156425</v>
      </c>
      <c r="O18" s="106">
        <v>28</v>
      </c>
    </row>
    <row r="19" spans="1:15" ht="14.4" x14ac:dyDescent="0.3">
      <c r="A19" s="97"/>
      <c r="B19" s="98" t="str">
        <f>'[1]BR A0003'!$B$3</f>
        <v>Brake System</v>
      </c>
      <c r="C19" s="99" t="str">
        <f>BR_03002</f>
        <v>BR 03002</v>
      </c>
      <c r="D19" s="100" t="s">
        <v>51</v>
      </c>
      <c r="E19" s="100" t="str">
        <f>F17</f>
        <v>Brake Circuit Assembly</v>
      </c>
      <c r="F19" s="109" t="str">
        <f>'[1]BR 03002'!B5</f>
        <v>Distribution Tee Mount</v>
      </c>
      <c r="G19" s="100"/>
      <c r="H19" s="102">
        <f t="shared" si="0"/>
        <v>1.65790375</v>
      </c>
      <c r="I19" s="103">
        <f>BR_A0003_q*BR_03002_q</f>
        <v>1</v>
      </c>
      <c r="J19" s="104">
        <f>BR_03002_m</f>
        <v>2.6493750000000003E-2</v>
      </c>
      <c r="K19" s="104">
        <f>BR_03002_p</f>
        <v>1.63141</v>
      </c>
      <c r="L19" s="104">
        <v>0</v>
      </c>
      <c r="M19" s="104">
        <v>0</v>
      </c>
      <c r="N19" s="105">
        <f t="shared" si="1"/>
        <v>1.65790375</v>
      </c>
      <c r="O19" s="106">
        <v>30</v>
      </c>
    </row>
    <row r="20" spans="1:15" ht="14.4" x14ac:dyDescent="0.3">
      <c r="A20" s="97"/>
      <c r="B20" s="98" t="str">
        <f>'[1]BR A0003'!$B$3</f>
        <v>Brake System</v>
      </c>
      <c r="C20" s="99" t="str">
        <f>BR_03003</f>
        <v>BR 03003</v>
      </c>
      <c r="D20" s="100" t="s">
        <v>51</v>
      </c>
      <c r="E20" s="100" t="str">
        <f>F17</f>
        <v>Brake Circuit Assembly</v>
      </c>
      <c r="F20" s="109" t="str">
        <f>'[1]BR 03003'!B5</f>
        <v>Internal Spacer</v>
      </c>
      <c r="G20" s="100"/>
      <c r="H20" s="102">
        <f t="shared" si="0"/>
        <v>0.72533112500000008</v>
      </c>
      <c r="I20" s="103">
        <f>BR_A0003_q*BR_03003_q</f>
        <v>2</v>
      </c>
      <c r="J20" s="104">
        <f>BR_03003_m</f>
        <v>2.3491125000000002E-2</v>
      </c>
      <c r="K20" s="104">
        <f>BR_03003_p</f>
        <v>0.70184000000000002</v>
      </c>
      <c r="L20" s="104">
        <v>0</v>
      </c>
      <c r="M20" s="104">
        <v>0</v>
      </c>
      <c r="N20" s="105">
        <f t="shared" si="1"/>
        <v>1.4506622500000002</v>
      </c>
      <c r="O20" s="106">
        <v>32</v>
      </c>
    </row>
    <row r="21" spans="1:15" ht="15" thickBot="1" x14ac:dyDescent="0.35">
      <c r="A21" s="97"/>
      <c r="B21" s="98" t="str">
        <f>'[1]BR A0003'!$B$3</f>
        <v>Brake System</v>
      </c>
      <c r="C21" s="99" t="str">
        <f>BR_03004</f>
        <v>BR 03004</v>
      </c>
      <c r="D21" s="100" t="s">
        <v>51</v>
      </c>
      <c r="E21" s="100" t="str">
        <f>F17</f>
        <v>Brake Circuit Assembly</v>
      </c>
      <c r="F21" s="109" t="str">
        <f>'[1]BR 03004'!B5</f>
        <v>External Spacer</v>
      </c>
      <c r="G21" s="100"/>
      <c r="H21" s="102">
        <f t="shared" si="0"/>
        <v>0.66667381250000002</v>
      </c>
      <c r="I21" s="103">
        <f>BR_A0003_q*BR_03004_q</f>
        <v>2</v>
      </c>
      <c r="J21" s="104">
        <f>BR_03004_m</f>
        <v>5.033812500000001E-3</v>
      </c>
      <c r="K21" s="104">
        <f>BR_03004_p</f>
        <v>0.66164000000000001</v>
      </c>
      <c r="L21" s="104">
        <v>0</v>
      </c>
      <c r="M21" s="104">
        <v>0</v>
      </c>
      <c r="N21" s="105">
        <f t="shared" si="1"/>
        <v>1.333347625</v>
      </c>
      <c r="O21" s="106">
        <v>34</v>
      </c>
    </row>
    <row r="22" spans="1:15" s="117" customFormat="1" ht="15" thickTop="1" thickBot="1" x14ac:dyDescent="0.3">
      <c r="A22" s="110"/>
      <c r="B22" s="111" t="str">
        <f>'[1]BR A0001'!B3</f>
        <v>Brake System</v>
      </c>
      <c r="C22" s="112"/>
      <c r="D22" s="112"/>
      <c r="E22" s="112"/>
      <c r="F22" s="111" t="s">
        <v>52</v>
      </c>
      <c r="G22" s="112"/>
      <c r="H22" s="113"/>
      <c r="I22" s="114"/>
      <c r="J22" s="115">
        <f>SUMPRODUCT($I7:$I21,J7:J21)</f>
        <v>1008.5877670362638</v>
      </c>
      <c r="K22" s="115">
        <f>SUMPRODUCT($I7:$I21,K7:K21)</f>
        <v>96.695179999999993</v>
      </c>
      <c r="L22" s="115">
        <f>SUMPRODUCT($I7:$I21,L7:L21)</f>
        <v>5.4213613981327917</v>
      </c>
      <c r="M22" s="115">
        <f>SUMPRODUCT($I7:$I21,M7:M21)</f>
        <v>0.66666666666666663</v>
      </c>
      <c r="N22" s="115">
        <f>SUM(N7:N21)</f>
        <v>1111.3709751010633</v>
      </c>
      <c r="O22" s="116"/>
    </row>
    <row r="23" spans="1:15" ht="15" thickTop="1" x14ac:dyDescent="0.3">
      <c r="A23" s="118"/>
      <c r="B23" s="119" t="str">
        <f>'[1]EN A0100'!B2</f>
        <v>Engine &amp; Drivetrain</v>
      </c>
      <c r="C23" s="120" t="s">
        <v>53</v>
      </c>
      <c r="D23" s="121" t="s">
        <v>51</v>
      </c>
      <c r="E23" s="121"/>
      <c r="F23" s="122" t="str">
        <f>'[1]EN A0100'!B3</f>
        <v>Engine</v>
      </c>
      <c r="G23" s="121"/>
      <c r="H23" s="123">
        <f t="shared" ref="H23:H86" si="2">SUM(J23:M23)</f>
        <v>1582.9930137887866</v>
      </c>
      <c r="I23" s="124">
        <f>EN_A0100_q</f>
        <v>1</v>
      </c>
      <c r="J23" s="124">
        <f>EN_A0100_m</f>
        <v>1500.213344</v>
      </c>
      <c r="K23" s="124">
        <f>EN_A0100_p</f>
        <v>76.377982849999995</v>
      </c>
      <c r="L23" s="124">
        <f>EN_A0100_f</f>
        <v>5.7350202721198675</v>
      </c>
      <c r="M23" s="124">
        <f>EN_A0100_t</f>
        <v>0.66666666666666663</v>
      </c>
      <c r="N23" s="125">
        <f t="shared" ref="N23:N86" si="3">H23*I23</f>
        <v>1582.9930137887866</v>
      </c>
      <c r="O23" s="126">
        <v>37</v>
      </c>
    </row>
    <row r="24" spans="1:15" ht="14.4" x14ac:dyDescent="0.3">
      <c r="A24" s="127"/>
      <c r="B24" s="128" t="str">
        <f>'[1]EN 01001'!B$2</f>
        <v>Engine &amp; Drivetrain</v>
      </c>
      <c r="C24" s="129" t="s">
        <v>54</v>
      </c>
      <c r="D24" s="130" t="s">
        <v>51</v>
      </c>
      <c r="E24" s="130" t="str">
        <f>F$23</f>
        <v>Engine</v>
      </c>
      <c r="F24" s="131" t="str">
        <f>'[1]EN 01001'!B4</f>
        <v>Flat Sump</v>
      </c>
      <c r="G24" s="130"/>
      <c r="H24" s="132">
        <f t="shared" si="2"/>
        <v>38.781627930666666</v>
      </c>
      <c r="I24" s="133">
        <f>EN_A0100_q*EN_01001_q</f>
        <v>1</v>
      </c>
      <c r="J24" s="134">
        <f>EN_01001_m</f>
        <v>10.574961264000001</v>
      </c>
      <c r="K24" s="134">
        <f>EN_01001_p</f>
        <v>26.04</v>
      </c>
      <c r="L24" s="134">
        <v>0</v>
      </c>
      <c r="M24" s="134">
        <f>EN_01001_t</f>
        <v>2.1666666666666665</v>
      </c>
      <c r="N24" s="135">
        <f t="shared" si="3"/>
        <v>38.781627930666666</v>
      </c>
      <c r="O24" s="136">
        <v>38</v>
      </c>
    </row>
    <row r="25" spans="1:15" ht="14.4" x14ac:dyDescent="0.3">
      <c r="A25" s="127"/>
      <c r="B25" s="128" t="str">
        <f>'[1]EN 01001'!B$2</f>
        <v>Engine &amp; Drivetrain</v>
      </c>
      <c r="C25" s="129" t="s">
        <v>55</v>
      </c>
      <c r="D25" s="130" t="s">
        <v>51</v>
      </c>
      <c r="E25" s="130" t="str">
        <f>F$23</f>
        <v>Engine</v>
      </c>
      <c r="F25" s="131" t="str">
        <f>'[1]EN 01002'!B4</f>
        <v>Rear tab</v>
      </c>
      <c r="G25" s="130"/>
      <c r="H25" s="132">
        <f t="shared" si="2"/>
        <v>1.4174720000000001</v>
      </c>
      <c r="I25" s="133">
        <f>EN_A0100_q*EN_01002_q</f>
        <v>2</v>
      </c>
      <c r="J25" s="134">
        <f>EN_01002_m</f>
        <v>0.20347200000000001</v>
      </c>
      <c r="K25" s="134">
        <f>EN_01002_p</f>
        <v>1.214</v>
      </c>
      <c r="L25" s="134">
        <v>0</v>
      </c>
      <c r="M25" s="134">
        <v>0</v>
      </c>
      <c r="N25" s="135">
        <f t="shared" si="3"/>
        <v>2.8349440000000001</v>
      </c>
      <c r="O25" s="136">
        <v>39</v>
      </c>
    </row>
    <row r="26" spans="1:15" ht="14.4" x14ac:dyDescent="0.3">
      <c r="A26" s="137"/>
      <c r="B26" s="128" t="str">
        <f>'[1]EN 01001'!B$2</f>
        <v>Engine &amp; Drivetrain</v>
      </c>
      <c r="C26" s="129" t="s">
        <v>56</v>
      </c>
      <c r="D26" s="130" t="s">
        <v>51</v>
      </c>
      <c r="E26" s="130" t="str">
        <f>F$23</f>
        <v>Engine</v>
      </c>
      <c r="F26" s="138" t="str">
        <f>'[1]EN 01003'!B4</f>
        <v>Rear tube</v>
      </c>
      <c r="G26" s="139"/>
      <c r="H26" s="132">
        <f t="shared" si="2"/>
        <v>1.2960502534247162</v>
      </c>
      <c r="I26" s="133">
        <f>EN_A0100_q*EN_01003_q</f>
        <v>2</v>
      </c>
      <c r="J26" s="134">
        <f>EN_01003_m</f>
        <v>0.14205025342471611</v>
      </c>
      <c r="K26" s="134">
        <f>EN_01003_p</f>
        <v>1.1540000000000001</v>
      </c>
      <c r="L26" s="134">
        <v>0</v>
      </c>
      <c r="M26" s="134">
        <v>0</v>
      </c>
      <c r="N26" s="135">
        <f t="shared" si="3"/>
        <v>2.5921005068494325</v>
      </c>
      <c r="O26" s="139">
        <v>41</v>
      </c>
    </row>
    <row r="27" spans="1:15" ht="14.4" x14ac:dyDescent="0.3">
      <c r="A27" s="140"/>
      <c r="B27" s="119" t="str">
        <f>'[1]EN A0200'!B3</f>
        <v>Engine and Drivetrain</v>
      </c>
      <c r="C27" s="121" t="str">
        <f>EN_A0200</f>
        <v>EN A0200</v>
      </c>
      <c r="D27" s="121" t="s">
        <v>51</v>
      </c>
      <c r="E27" s="121"/>
      <c r="F27" s="122" t="str">
        <f>'[1]EN A0200'!B4</f>
        <v>Exhaust System</v>
      </c>
      <c r="G27" s="121"/>
      <c r="H27" s="123">
        <f t="shared" si="2"/>
        <v>100.72663538500295</v>
      </c>
      <c r="I27" s="124">
        <f>EN_A0200_q</f>
        <v>1</v>
      </c>
      <c r="J27" s="141">
        <f>EN_A0200_m</f>
        <v>6</v>
      </c>
      <c r="K27" s="141">
        <f>EN_A0200_p</f>
        <v>92.688849013323178</v>
      </c>
      <c r="L27" s="141">
        <f>EN_A0200_f</f>
        <v>1.0377863716797775</v>
      </c>
      <c r="M27" s="141">
        <f>EN_A0200_t</f>
        <v>1</v>
      </c>
      <c r="N27" s="125">
        <f t="shared" si="3"/>
        <v>100.72663538500295</v>
      </c>
      <c r="O27" s="126">
        <v>43</v>
      </c>
    </row>
    <row r="28" spans="1:15" ht="14.4" x14ac:dyDescent="0.3">
      <c r="A28" s="142"/>
      <c r="B28" s="143" t="str">
        <f>[1]EN_02001!$B$3</f>
        <v>Engine and Drivetrain</v>
      </c>
      <c r="C28" s="144" t="str">
        <f>EN_02001</f>
        <v>EN 02001</v>
      </c>
      <c r="D28" s="145" t="s">
        <v>51</v>
      </c>
      <c r="E28" s="145" t="str">
        <f t="shared" ref="E28:E37" si="4">$F$27</f>
        <v>Exhaust System</v>
      </c>
      <c r="F28" s="146" t="str">
        <f>[1]EN_02001!B5</f>
        <v>Exhaust Tip</v>
      </c>
      <c r="G28" s="145"/>
      <c r="H28" s="147">
        <f t="shared" si="2"/>
        <v>4.3537375941950689</v>
      </c>
      <c r="I28" s="133">
        <f>EN_A0200_q*EN_02001_q</f>
        <v>4</v>
      </c>
      <c r="J28" s="134">
        <f>EN_02001_m</f>
        <v>0.64123759419506832</v>
      </c>
      <c r="K28" s="134">
        <f>EN_02001_p</f>
        <v>3.7125000000000004</v>
      </c>
      <c r="L28" s="134">
        <v>0</v>
      </c>
      <c r="M28" s="134">
        <v>0</v>
      </c>
      <c r="N28" s="135">
        <f t="shared" si="3"/>
        <v>17.414950376780276</v>
      </c>
      <c r="O28" s="148">
        <v>45</v>
      </c>
    </row>
    <row r="29" spans="1:15" ht="14.4" x14ac:dyDescent="0.3">
      <c r="A29" s="142"/>
      <c r="B29" s="143" t="str">
        <f>[1]EN_02001!$B$3</f>
        <v>Engine and Drivetrain</v>
      </c>
      <c r="C29" s="144" t="str">
        <f>EN_02002</f>
        <v>EN 02002</v>
      </c>
      <c r="D29" s="145" t="s">
        <v>51</v>
      </c>
      <c r="E29" s="145" t="str">
        <f t="shared" si="4"/>
        <v>Exhaust System</v>
      </c>
      <c r="F29" s="146" t="str">
        <f>[1]EN_02002!B5</f>
        <v>Exhaust Flange</v>
      </c>
      <c r="G29" s="145"/>
      <c r="H29" s="147">
        <f t="shared" si="2"/>
        <v>1.75075</v>
      </c>
      <c r="I29" s="133">
        <f>EN_A0200_q*EN_02002_q</f>
        <v>4</v>
      </c>
      <c r="J29" s="134">
        <f>EN_02002_m</f>
        <v>0.35325000000000001</v>
      </c>
      <c r="K29" s="134">
        <f>EN_02002_p</f>
        <v>1.3975</v>
      </c>
      <c r="L29" s="134">
        <v>0</v>
      </c>
      <c r="M29" s="134">
        <v>0</v>
      </c>
      <c r="N29" s="135">
        <f t="shared" si="3"/>
        <v>7.0030000000000001</v>
      </c>
      <c r="O29" s="148">
        <v>47</v>
      </c>
    </row>
    <row r="30" spans="1:15" ht="14.4" x14ac:dyDescent="0.3">
      <c r="A30" s="142"/>
      <c r="B30" s="128" t="str">
        <f>[1]EN_02001!$B$3</f>
        <v>Engine and Drivetrain</v>
      </c>
      <c r="C30" s="144" t="str">
        <f>EN_02003</f>
        <v>EN 02003</v>
      </c>
      <c r="D30" s="145" t="s">
        <v>51</v>
      </c>
      <c r="E30" s="145" t="str">
        <f t="shared" si="4"/>
        <v>Exhaust System</v>
      </c>
      <c r="F30" s="146" t="str">
        <f>[1]EN_02003!B5</f>
        <v>Exhaust headers</v>
      </c>
      <c r="G30" s="145"/>
      <c r="H30" s="147">
        <f t="shared" si="2"/>
        <v>109.43393911329514</v>
      </c>
      <c r="I30" s="133">
        <f>EN_A0200_q*EN_02003_q</f>
        <v>1</v>
      </c>
      <c r="J30" s="134">
        <f>EN_02003_m</f>
        <v>1.6472724466284603</v>
      </c>
      <c r="K30" s="134">
        <f>EN_02003_p</f>
        <v>100.12</v>
      </c>
      <c r="L30" s="134">
        <v>0</v>
      </c>
      <c r="M30" s="134">
        <f>EN_02003_t</f>
        <v>7.666666666666667</v>
      </c>
      <c r="N30" s="135">
        <f t="shared" si="3"/>
        <v>109.43393911329514</v>
      </c>
      <c r="O30" s="148">
        <v>49</v>
      </c>
    </row>
    <row r="31" spans="1:15" ht="14.4" x14ac:dyDescent="0.3">
      <c r="A31" s="142"/>
      <c r="B31" s="143" t="str">
        <f>[1]EN_02001!$B$3</f>
        <v>Engine and Drivetrain</v>
      </c>
      <c r="C31" s="144" t="str">
        <f>EN_02004</f>
        <v>EN 02004</v>
      </c>
      <c r="D31" s="145" t="s">
        <v>51</v>
      </c>
      <c r="E31" s="145" t="str">
        <f t="shared" si="4"/>
        <v>Exhaust System</v>
      </c>
      <c r="F31" s="146" t="str">
        <f>[1]EN_02004!B5</f>
        <v>Primary collector</v>
      </c>
      <c r="G31" s="145"/>
      <c r="H31" s="147">
        <f t="shared" si="2"/>
        <v>20.228377789788073</v>
      </c>
      <c r="I31" s="133">
        <f>EN_A0200_q*EN_02004_q</f>
        <v>2</v>
      </c>
      <c r="J31" s="134">
        <f>EN_02004_m</f>
        <v>0.28964518324531668</v>
      </c>
      <c r="K31" s="134">
        <f>EN_02004_p</f>
        <v>18.438732606542757</v>
      </c>
      <c r="L31" s="134">
        <v>0</v>
      </c>
      <c r="M31" s="134">
        <f>EN_02004_t</f>
        <v>1.5</v>
      </c>
      <c r="N31" s="135">
        <f t="shared" si="3"/>
        <v>40.456755579576146</v>
      </c>
      <c r="O31" s="148">
        <v>50</v>
      </c>
    </row>
    <row r="32" spans="1:15" ht="14.4" x14ac:dyDescent="0.3">
      <c r="A32" s="142"/>
      <c r="B32" s="143" t="str">
        <f>[1]EN_02001!$B$3</f>
        <v>Engine and Drivetrain</v>
      </c>
      <c r="C32" s="144" t="str">
        <f>EN_02005</f>
        <v>EN 02005</v>
      </c>
      <c r="D32" s="145" t="s">
        <v>51</v>
      </c>
      <c r="E32" s="145" t="str">
        <f t="shared" si="4"/>
        <v>Exhaust System</v>
      </c>
      <c r="F32" s="146" t="str">
        <f>[1]EN_02005!B5</f>
        <v>Primary collector tubing</v>
      </c>
      <c r="G32" s="145"/>
      <c r="H32" s="147">
        <f t="shared" si="2"/>
        <v>1.2217583384506194</v>
      </c>
      <c r="I32" s="133">
        <f>EN_A0200_q*EN_02005_q</f>
        <v>2</v>
      </c>
      <c r="J32" s="134">
        <f>EN_02005_m</f>
        <v>0.59025833845061948</v>
      </c>
      <c r="K32" s="134">
        <f>EN_02005_p</f>
        <v>0.63149999999999995</v>
      </c>
      <c r="L32" s="134">
        <v>0</v>
      </c>
      <c r="M32" s="134">
        <v>0</v>
      </c>
      <c r="N32" s="135">
        <f t="shared" si="3"/>
        <v>2.4435166769012389</v>
      </c>
      <c r="O32" s="148">
        <v>51</v>
      </c>
    </row>
    <row r="33" spans="1:15" ht="14.4" x14ac:dyDescent="0.3">
      <c r="A33" s="142"/>
      <c r="B33" s="143" t="str">
        <f>[1]EN_02001!$B$3</f>
        <v>Engine and Drivetrain</v>
      </c>
      <c r="C33" s="144" t="str">
        <f>EN_02006</f>
        <v>EN 02006</v>
      </c>
      <c r="D33" s="145" t="s">
        <v>51</v>
      </c>
      <c r="E33" s="145" t="str">
        <f t="shared" si="4"/>
        <v>Exhaust System</v>
      </c>
      <c r="F33" s="146" t="str">
        <f>[1]EN_02006!B5</f>
        <v>Secondary collector</v>
      </c>
      <c r="G33" s="145"/>
      <c r="H33" s="147">
        <f t="shared" si="2"/>
        <v>22.466496278906856</v>
      </c>
      <c r="I33" s="133">
        <f>EN_A0200_q*EN_02006_q</f>
        <v>1</v>
      </c>
      <c r="J33" s="134">
        <f>EN_02006_m</f>
        <v>0.38627070650896178</v>
      </c>
      <c r="K33" s="134">
        <f>EN_02006_p</f>
        <v>20.580225572397893</v>
      </c>
      <c r="L33" s="134">
        <v>0</v>
      </c>
      <c r="M33" s="134">
        <f>EN_02006_t</f>
        <v>1.5</v>
      </c>
      <c r="N33" s="135">
        <f t="shared" si="3"/>
        <v>22.466496278906856</v>
      </c>
      <c r="O33" s="148">
        <v>52</v>
      </c>
    </row>
    <row r="34" spans="1:15" ht="14.4" x14ac:dyDescent="0.3">
      <c r="A34" s="142"/>
      <c r="B34" s="143" t="str">
        <f>[1]EN_02001!$B$3</f>
        <v>Engine and Drivetrain</v>
      </c>
      <c r="C34" s="144" t="str">
        <f>EN_02007</f>
        <v>EN 02007</v>
      </c>
      <c r="D34" s="145" t="s">
        <v>51</v>
      </c>
      <c r="E34" s="145" t="str">
        <f t="shared" si="4"/>
        <v>Exhaust System</v>
      </c>
      <c r="F34" s="146" t="str">
        <f>[1]EN_02007!B5</f>
        <v>Secondary collector tubing</v>
      </c>
      <c r="G34" s="145"/>
      <c r="H34" s="147">
        <f t="shared" si="2"/>
        <v>12.90112506395198</v>
      </c>
      <c r="I34" s="133">
        <f>EN_A0200_q*EN_02007_q</f>
        <v>1</v>
      </c>
      <c r="J34" s="134">
        <f>EN_02007_m</f>
        <v>0.51345839728531351</v>
      </c>
      <c r="K34" s="134">
        <f>EN_02007_p</f>
        <v>11.721</v>
      </c>
      <c r="L34" s="134">
        <v>0</v>
      </c>
      <c r="M34" s="134">
        <f>EN_02007_t</f>
        <v>0.66666666666666663</v>
      </c>
      <c r="N34" s="135">
        <f t="shared" si="3"/>
        <v>12.90112506395198</v>
      </c>
      <c r="O34" s="148">
        <v>53</v>
      </c>
    </row>
    <row r="35" spans="1:15" ht="14.4" x14ac:dyDescent="0.3">
      <c r="A35" s="142"/>
      <c r="B35" s="143" t="str">
        <f>[1]EN_02001!$B$3</f>
        <v>Engine and Drivetrain</v>
      </c>
      <c r="C35" s="144" t="str">
        <f>EN_02008</f>
        <v>EN 02008</v>
      </c>
      <c r="D35" s="145" t="s">
        <v>51</v>
      </c>
      <c r="E35" s="145" t="str">
        <f t="shared" si="4"/>
        <v>Exhaust System</v>
      </c>
      <c r="F35" s="146" t="str">
        <f>[1]EN_02008!B5</f>
        <v>Muffler</v>
      </c>
      <c r="G35" s="149"/>
      <c r="H35" s="147">
        <f t="shared" si="2"/>
        <v>40.144999999999996</v>
      </c>
      <c r="I35" s="133">
        <f>EN_A0200_q*EN_02008_q</f>
        <v>1</v>
      </c>
      <c r="J35" s="134">
        <f>EN_02008_m</f>
        <v>24.125</v>
      </c>
      <c r="K35" s="134">
        <f>EN_02008_p</f>
        <v>16.02</v>
      </c>
      <c r="L35" s="134">
        <v>0</v>
      </c>
      <c r="M35" s="134">
        <v>0</v>
      </c>
      <c r="N35" s="135">
        <f t="shared" si="3"/>
        <v>40.144999999999996</v>
      </c>
      <c r="O35" s="148">
        <v>54</v>
      </c>
    </row>
    <row r="36" spans="1:15" ht="14.4" x14ac:dyDescent="0.3">
      <c r="A36" s="142"/>
      <c r="B36" s="143" t="str">
        <f>[1]EN_02001!$B$3</f>
        <v>Engine and Drivetrain</v>
      </c>
      <c r="C36" s="144" t="str">
        <f>EN_02009</f>
        <v>EN 02009</v>
      </c>
      <c r="D36" s="145" t="s">
        <v>51</v>
      </c>
      <c r="E36" s="145" t="str">
        <f t="shared" si="4"/>
        <v>Exhaust System</v>
      </c>
      <c r="F36" s="146" t="str">
        <f>[1]EN_02009!B5</f>
        <v>Muffler Collar</v>
      </c>
      <c r="G36" s="145"/>
      <c r="H36" s="147">
        <f t="shared" si="2"/>
        <v>6.208613333333334</v>
      </c>
      <c r="I36" s="133">
        <f>EN_A0200_q*EN_02009_q</f>
        <v>1</v>
      </c>
      <c r="J36" s="134">
        <f>EN_02009_m</f>
        <v>5.5552800000000007</v>
      </c>
      <c r="K36" s="134">
        <f>EN_02009_p</f>
        <v>0.61599999999999999</v>
      </c>
      <c r="L36" s="134">
        <v>0</v>
      </c>
      <c r="M36" s="134">
        <f>EN_02009_t</f>
        <v>3.7333333333333336E-2</v>
      </c>
      <c r="N36" s="135">
        <f t="shared" si="3"/>
        <v>6.208613333333334</v>
      </c>
      <c r="O36" s="148">
        <v>55</v>
      </c>
    </row>
    <row r="37" spans="1:15" ht="14.4" x14ac:dyDescent="0.3">
      <c r="A37" s="142"/>
      <c r="B37" s="143" t="str">
        <f>[1]EN_02001!$B$3</f>
        <v>Engine and Drivetrain</v>
      </c>
      <c r="C37" s="144" t="str">
        <f>EN_02010</f>
        <v>EN 02010</v>
      </c>
      <c r="D37" s="145" t="s">
        <v>51</v>
      </c>
      <c r="E37" s="145" t="str">
        <f t="shared" si="4"/>
        <v>Exhaust System</v>
      </c>
      <c r="F37" s="146" t="str">
        <f>[1]EN_02010!B5</f>
        <v>Spacer</v>
      </c>
      <c r="G37" s="145"/>
      <c r="H37" s="147">
        <f t="shared" si="2"/>
        <v>2.2250004878264873</v>
      </c>
      <c r="I37" s="133">
        <f>EN_A0200_q*EN_02010_q</f>
        <v>1</v>
      </c>
      <c r="J37" s="134">
        <f>EN_02010_m</f>
        <v>0.14915276609595188</v>
      </c>
      <c r="K37" s="134">
        <f>EN_02010_p</f>
        <v>2.0758477217305353</v>
      </c>
      <c r="L37" s="134">
        <v>0</v>
      </c>
      <c r="M37" s="134">
        <v>0</v>
      </c>
      <c r="N37" s="135">
        <f t="shared" si="3"/>
        <v>2.2250004878264873</v>
      </c>
      <c r="O37" s="148">
        <v>56</v>
      </c>
    </row>
    <row r="38" spans="1:15" ht="14.4" x14ac:dyDescent="0.3">
      <c r="A38" s="140"/>
      <c r="B38" s="119" t="str">
        <f>[1]EN_A0300!B3</f>
        <v>Engine and Drivetrain</v>
      </c>
      <c r="C38" s="120" t="s">
        <v>57</v>
      </c>
      <c r="D38" s="121" t="s">
        <v>51</v>
      </c>
      <c r="E38" s="121"/>
      <c r="F38" s="122" t="str">
        <f>EN_A0300</f>
        <v>Air Intake System</v>
      </c>
      <c r="G38" s="121"/>
      <c r="H38" s="123">
        <f t="shared" si="2"/>
        <v>95.195598846774004</v>
      </c>
      <c r="I38" s="124">
        <f>EN_A0300_q</f>
        <v>1</v>
      </c>
      <c r="J38" s="141">
        <f>EN_A0300_m</f>
        <v>26.45</v>
      </c>
      <c r="K38" s="141">
        <f>EN_A0300_p</f>
        <v>62.641749999999995</v>
      </c>
      <c r="L38" s="141">
        <f>EN_A0300_f</f>
        <v>5.437182180107337</v>
      </c>
      <c r="M38" s="141">
        <f>EN_A0300_t</f>
        <v>0.66666666666666663</v>
      </c>
      <c r="N38" s="125">
        <f t="shared" si="3"/>
        <v>95.195598846774004</v>
      </c>
      <c r="O38" s="126">
        <v>57</v>
      </c>
    </row>
    <row r="39" spans="1:15" ht="14.4" x14ac:dyDescent="0.3">
      <c r="A39" s="142"/>
      <c r="B39" s="143" t="str">
        <f>[1]EN_A0300!$B$3</f>
        <v>Engine and Drivetrain</v>
      </c>
      <c r="C39" s="144" t="s">
        <v>58</v>
      </c>
      <c r="D39" s="145" t="s">
        <v>51</v>
      </c>
      <c r="E39" s="145" t="str">
        <f t="shared" ref="E39:E46" si="5">$F$38</f>
        <v>Air Intake System</v>
      </c>
      <c r="F39" s="146" t="str">
        <f>[1]EN_03001!B$5</f>
        <v>Upper plenum</v>
      </c>
      <c r="G39" s="145"/>
      <c r="H39" s="147">
        <f t="shared" si="2"/>
        <v>12.588749999999999</v>
      </c>
      <c r="I39" s="133">
        <f>EN_A0300_q*EN_0300_001_q</f>
        <v>1</v>
      </c>
      <c r="J39" s="134">
        <f>EN_0300_001_m</f>
        <v>1.1549999999999998</v>
      </c>
      <c r="K39" s="134">
        <f>EN_0300_001_p</f>
        <v>11.43375</v>
      </c>
      <c r="L39" s="134">
        <f>EN_0300_001_f</f>
        <v>0</v>
      </c>
      <c r="M39" s="134">
        <f>EN_0300_001_t</f>
        <v>0</v>
      </c>
      <c r="N39" s="135">
        <f t="shared" si="3"/>
        <v>12.588749999999999</v>
      </c>
      <c r="O39" s="148">
        <v>59</v>
      </c>
    </row>
    <row r="40" spans="1:15" ht="14.4" x14ac:dyDescent="0.3">
      <c r="A40" s="142"/>
      <c r="B40" s="143" t="str">
        <f>[1]EN_A0300!$B$3</f>
        <v>Engine and Drivetrain</v>
      </c>
      <c r="C40" s="144" t="s">
        <v>59</v>
      </c>
      <c r="D40" s="145" t="s">
        <v>51</v>
      </c>
      <c r="E40" s="145" t="str">
        <f t="shared" si="5"/>
        <v>Air Intake System</v>
      </c>
      <c r="F40" s="146" t="str">
        <f>[1]EN_03002!B$5</f>
        <v>Plenum plate</v>
      </c>
      <c r="G40" s="145"/>
      <c r="H40" s="147">
        <f t="shared" si="2"/>
        <v>3.6799999999999997</v>
      </c>
      <c r="I40" s="133">
        <f>EN_A0300_q*EN_0300_002_q</f>
        <v>1</v>
      </c>
      <c r="J40" s="134">
        <f>EN_0300_002_m</f>
        <v>0.58800000000000008</v>
      </c>
      <c r="K40" s="134">
        <f>EN_0300_002_p</f>
        <v>3.0919999999999996</v>
      </c>
      <c r="L40" s="134">
        <f>EN_0300_002_f</f>
        <v>0</v>
      </c>
      <c r="M40" s="134">
        <f>EN_0300_002_t</f>
        <v>0</v>
      </c>
      <c r="N40" s="135">
        <f t="shared" si="3"/>
        <v>3.6799999999999997</v>
      </c>
      <c r="O40" s="148">
        <v>60</v>
      </c>
    </row>
    <row r="41" spans="1:15" ht="14.4" x14ac:dyDescent="0.3">
      <c r="A41" s="142"/>
      <c r="B41" s="143" t="str">
        <f>[1]EN_A0300!$B$3</f>
        <v>Engine and Drivetrain</v>
      </c>
      <c r="C41" s="144" t="s">
        <v>60</v>
      </c>
      <c r="D41" s="145" t="s">
        <v>51</v>
      </c>
      <c r="E41" s="145" t="str">
        <f t="shared" si="5"/>
        <v>Air Intake System</v>
      </c>
      <c r="F41" s="146" t="str">
        <f>[1]EN_03003!B$5</f>
        <v>Intake manifold</v>
      </c>
      <c r="G41" s="145"/>
      <c r="H41" s="147">
        <f t="shared" si="2"/>
        <v>18.135749999999998</v>
      </c>
      <c r="I41" s="133">
        <f>EN_A0300_q*EN_0300_003_q</f>
        <v>1</v>
      </c>
      <c r="J41" s="134">
        <f>EN_0300_003_m</f>
        <v>1.65</v>
      </c>
      <c r="K41" s="134">
        <f>EN_0300_003_p</f>
        <v>16.485749999999999</v>
      </c>
      <c r="L41" s="134">
        <f>EN_0300_003_f</f>
        <v>0</v>
      </c>
      <c r="M41" s="134">
        <f>EN_0300_003_t</f>
        <v>0</v>
      </c>
      <c r="N41" s="135">
        <f t="shared" si="3"/>
        <v>18.135749999999998</v>
      </c>
      <c r="O41" s="148">
        <v>62</v>
      </c>
    </row>
    <row r="42" spans="1:15" ht="14.4" x14ac:dyDescent="0.3">
      <c r="A42" s="142"/>
      <c r="B42" s="143" t="str">
        <f>[1]EN_A0300!$B$3</f>
        <v>Engine and Drivetrain</v>
      </c>
      <c r="C42" s="144" t="s">
        <v>61</v>
      </c>
      <c r="D42" s="145" t="s">
        <v>51</v>
      </c>
      <c r="E42" s="145" t="str">
        <f t="shared" si="5"/>
        <v>Air Intake System</v>
      </c>
      <c r="F42" s="146" t="str">
        <f>[1]EN_03004!B$5</f>
        <v>Left frame bracket</v>
      </c>
      <c r="G42" s="145"/>
      <c r="H42" s="147">
        <f t="shared" si="2"/>
        <v>1.6890000000000001</v>
      </c>
      <c r="I42" s="133">
        <f>EN_A0300_q*EN_0300_004_q</f>
        <v>1</v>
      </c>
      <c r="J42" s="134">
        <f>EN_0300_004_m</f>
        <v>4.2000000000000003E-2</v>
      </c>
      <c r="K42" s="134">
        <f>EN_0300_004_p</f>
        <v>1.647</v>
      </c>
      <c r="L42" s="134">
        <f>EN_0300_004_f</f>
        <v>0</v>
      </c>
      <c r="M42" s="134">
        <f>EN_0300_004_t</f>
        <v>0</v>
      </c>
      <c r="N42" s="135">
        <f t="shared" si="3"/>
        <v>1.6890000000000001</v>
      </c>
      <c r="O42" s="148">
        <v>63</v>
      </c>
    </row>
    <row r="43" spans="1:15" ht="14.4" x14ac:dyDescent="0.3">
      <c r="A43" s="142"/>
      <c r="B43" s="143" t="str">
        <f>[1]EN_A0300!$B$3</f>
        <v>Engine and Drivetrain</v>
      </c>
      <c r="C43" s="144" t="s">
        <v>62</v>
      </c>
      <c r="D43" s="145" t="s">
        <v>51</v>
      </c>
      <c r="E43" s="145" t="str">
        <f t="shared" si="5"/>
        <v>Air Intake System</v>
      </c>
      <c r="F43" s="146" t="str">
        <f>[1]EN_03005!B$5</f>
        <v>Right frame bracket</v>
      </c>
      <c r="G43" s="145"/>
      <c r="H43" s="147">
        <f t="shared" si="2"/>
        <v>1.7614000000000001</v>
      </c>
      <c r="I43" s="133">
        <f>EN_A0300_q*EN_0300_005_q</f>
        <v>1</v>
      </c>
      <c r="J43" s="134">
        <f>EN_0300_005_m</f>
        <v>5.04E-2</v>
      </c>
      <c r="K43" s="134">
        <f>EN_0300_005_p</f>
        <v>1.7110000000000001</v>
      </c>
      <c r="L43" s="134">
        <f>EN_0300_005_f</f>
        <v>0</v>
      </c>
      <c r="M43" s="134">
        <f>EN_0300_005_t</f>
        <v>0</v>
      </c>
      <c r="N43" s="135">
        <f t="shared" si="3"/>
        <v>1.7614000000000001</v>
      </c>
      <c r="O43" s="148">
        <v>65</v>
      </c>
    </row>
    <row r="44" spans="1:15" ht="14.4" x14ac:dyDescent="0.3">
      <c r="A44" s="142"/>
      <c r="B44" s="143" t="str">
        <f>[1]EN_A0300!$B$3</f>
        <v>Engine and Drivetrain</v>
      </c>
      <c r="C44" s="144" t="s">
        <v>63</v>
      </c>
      <c r="D44" s="145" t="s">
        <v>51</v>
      </c>
      <c r="E44" s="145" t="str">
        <f t="shared" si="5"/>
        <v>Air Intake System</v>
      </c>
      <c r="F44" s="146" t="str">
        <f>[1]EN_03006!B$5</f>
        <v>PAIR plate</v>
      </c>
      <c r="G44" s="145"/>
      <c r="H44" s="147">
        <f t="shared" si="2"/>
        <v>1.3155999999999999</v>
      </c>
      <c r="I44" s="133">
        <f>EN_A0300_q*EN_0300_006_q</f>
        <v>2</v>
      </c>
      <c r="J44" s="134">
        <f>EN_0300_006_m</f>
        <v>7.5600000000000001E-2</v>
      </c>
      <c r="K44" s="134">
        <f>EN_0300_006_p</f>
        <v>1.24</v>
      </c>
      <c r="L44" s="134">
        <f>EN_0300_006_f</f>
        <v>0</v>
      </c>
      <c r="M44" s="134">
        <f>EN_0300_006_t</f>
        <v>0</v>
      </c>
      <c r="N44" s="135">
        <f t="shared" si="3"/>
        <v>2.6311999999999998</v>
      </c>
      <c r="O44" s="148">
        <v>67</v>
      </c>
    </row>
    <row r="45" spans="1:15" ht="14.4" x14ac:dyDescent="0.3">
      <c r="A45" s="142"/>
      <c r="B45" s="143" t="str">
        <f>[1]EN_A0300!$B$3</f>
        <v>Engine and Drivetrain</v>
      </c>
      <c r="C45" s="144" t="s">
        <v>64</v>
      </c>
      <c r="D45" s="145" t="s">
        <v>51</v>
      </c>
      <c r="E45" s="145" t="str">
        <f t="shared" si="5"/>
        <v>Air Intake System</v>
      </c>
      <c r="F45" s="146" t="str">
        <f>[1]EN_03007!B$5</f>
        <v>Motor bracket</v>
      </c>
      <c r="G45" s="145"/>
      <c r="H45" s="147">
        <f t="shared" si="2"/>
        <v>4.1755999999999993</v>
      </c>
      <c r="I45" s="133">
        <f>EN_A0300_q*EN_0300_007_q</f>
        <v>1</v>
      </c>
      <c r="J45" s="134">
        <f>EN_0300_007_m</f>
        <v>0.28560000000000002</v>
      </c>
      <c r="K45" s="134">
        <f>EN_0300_007_p</f>
        <v>3.8899999999999997</v>
      </c>
      <c r="L45" s="134">
        <f>EN_0300_007_f</f>
        <v>0</v>
      </c>
      <c r="M45" s="134">
        <f>EN_0300_007_t</f>
        <v>0</v>
      </c>
      <c r="N45" s="135">
        <f t="shared" si="3"/>
        <v>4.1755999999999993</v>
      </c>
      <c r="O45" s="148">
        <v>69</v>
      </c>
    </row>
    <row r="46" spans="1:15" ht="14.4" x14ac:dyDescent="0.3">
      <c r="A46" s="150"/>
      <c r="B46" s="151" t="str">
        <f>[1]EN_A0300!$B$3</f>
        <v>Engine and Drivetrain</v>
      </c>
      <c r="C46" s="152" t="s">
        <v>65</v>
      </c>
      <c r="D46" s="153" t="s">
        <v>51</v>
      </c>
      <c r="E46" s="145" t="str">
        <f t="shared" si="5"/>
        <v>Air Intake System</v>
      </c>
      <c r="F46" s="154" t="str">
        <f>[1]EN_03008!B$5</f>
        <v>Intake bracket</v>
      </c>
      <c r="G46" s="153"/>
      <c r="H46" s="155">
        <f t="shared" si="2"/>
        <v>0.73226887500000004</v>
      </c>
      <c r="I46" s="156">
        <f>EN_A0300_q*EN_0300_008_q</f>
        <v>2</v>
      </c>
      <c r="J46" s="134">
        <f>EN_0300_008_m</f>
        <v>4.7688749999999997E-3</v>
      </c>
      <c r="K46" s="157">
        <f>EN_0300_008_p</f>
        <v>0.72750000000000004</v>
      </c>
      <c r="L46" s="157">
        <f>EN_0300_008_f</f>
        <v>0</v>
      </c>
      <c r="M46" s="157">
        <f>EN_0300_008_t</f>
        <v>0</v>
      </c>
      <c r="N46" s="158">
        <f t="shared" si="3"/>
        <v>1.4645377500000001</v>
      </c>
      <c r="O46" s="159">
        <v>71</v>
      </c>
    </row>
    <row r="47" spans="1:15" ht="14.4" x14ac:dyDescent="0.3">
      <c r="A47" s="140"/>
      <c r="B47" s="160" t="str">
        <f>[1]EN_A0400!B3</f>
        <v>Engine and Drivetrain</v>
      </c>
      <c r="C47" s="121" t="s">
        <v>66</v>
      </c>
      <c r="D47" s="121" t="s">
        <v>51</v>
      </c>
      <c r="E47" s="121"/>
      <c r="F47" s="122" t="str">
        <f>EN_A0400</f>
        <v>Throttle Body</v>
      </c>
      <c r="G47" s="121"/>
      <c r="H47" s="123">
        <f t="shared" si="2"/>
        <v>130.01000000000002</v>
      </c>
      <c r="I47" s="124">
        <f>EN_A0400_q</f>
        <v>1</v>
      </c>
      <c r="J47" s="141">
        <f>EN_A0400_m</f>
        <v>119.8</v>
      </c>
      <c r="K47" s="141">
        <f>EN_A0400_p</f>
        <v>9.1900000000000013</v>
      </c>
      <c r="L47" s="141">
        <f>EN_A0400_f</f>
        <v>1.02</v>
      </c>
      <c r="M47" s="141">
        <f>EN_A0400_t</f>
        <v>0</v>
      </c>
      <c r="N47" s="125">
        <f t="shared" si="3"/>
        <v>130.01000000000002</v>
      </c>
      <c r="O47" s="126">
        <v>73</v>
      </c>
    </row>
    <row r="48" spans="1:15" ht="14.4" x14ac:dyDescent="0.3">
      <c r="A48" s="142"/>
      <c r="B48" s="143" t="str">
        <f>[1]EN_A0400!$B$3</f>
        <v>Engine and Drivetrain</v>
      </c>
      <c r="C48" s="144" t="s">
        <v>67</v>
      </c>
      <c r="D48" s="145" t="s">
        <v>51</v>
      </c>
      <c r="E48" s="145" t="str">
        <f t="shared" ref="E48:E56" si="6">$F$47</f>
        <v>Throttle Body</v>
      </c>
      <c r="F48" s="146" t="str">
        <f>EN_0400_001</f>
        <v>Throttle Frange</v>
      </c>
      <c r="G48" s="145"/>
      <c r="H48" s="147">
        <f t="shared" si="2"/>
        <v>5.1789856000000007</v>
      </c>
      <c r="I48" s="133">
        <f>EN_A0400_q*EN_0400_001_q</f>
        <v>1</v>
      </c>
      <c r="J48" s="134">
        <f>EN_0400_001_m</f>
        <v>0.72898560000000012</v>
      </c>
      <c r="K48" s="134">
        <f>EN_0400_001_p</f>
        <v>4.45</v>
      </c>
      <c r="L48" s="134">
        <f>EN_0400_001_f</f>
        <v>0</v>
      </c>
      <c r="M48" s="134">
        <f>EN_0400_001_t</f>
        <v>0</v>
      </c>
      <c r="N48" s="135">
        <f t="shared" si="3"/>
        <v>5.1789856000000007</v>
      </c>
      <c r="O48" s="148">
        <v>75</v>
      </c>
    </row>
    <row r="49" spans="1:15" ht="14.4" x14ac:dyDescent="0.3">
      <c r="A49" s="142"/>
      <c r="B49" s="143" t="str">
        <f>[1]EN_A0400!$B$3</f>
        <v>Engine and Drivetrain</v>
      </c>
      <c r="C49" s="144" t="s">
        <v>68</v>
      </c>
      <c r="D49" s="145" t="s">
        <v>51</v>
      </c>
      <c r="E49" s="145" t="str">
        <f t="shared" si="6"/>
        <v>Throttle Body</v>
      </c>
      <c r="F49" s="146" t="str">
        <f>EN_0400_002</f>
        <v>Restrictor</v>
      </c>
      <c r="G49" s="145"/>
      <c r="H49" s="147">
        <f t="shared" si="2"/>
        <v>5.7292000000000005</v>
      </c>
      <c r="I49" s="133">
        <f>EN_A0400_q*EN_0400_002_q</f>
        <v>1</v>
      </c>
      <c r="J49" s="134">
        <f>EN_0400_002_m</f>
        <v>1.5792000000000002</v>
      </c>
      <c r="K49" s="134">
        <f>EN_0400_002_p</f>
        <v>4.1500000000000004</v>
      </c>
      <c r="L49" s="134">
        <f>EN_0400_002_f</f>
        <v>0</v>
      </c>
      <c r="M49" s="134">
        <f>EN_0400_002_t</f>
        <v>0</v>
      </c>
      <c r="N49" s="135">
        <f t="shared" si="3"/>
        <v>5.7292000000000005</v>
      </c>
      <c r="O49" s="148">
        <v>76</v>
      </c>
    </row>
    <row r="50" spans="1:15" ht="14.4" x14ac:dyDescent="0.3">
      <c r="A50" s="142"/>
      <c r="B50" s="143" t="str">
        <f>[1]EN_A0400!$B$3</f>
        <v>Engine and Drivetrain</v>
      </c>
      <c r="C50" s="144" t="s">
        <v>69</v>
      </c>
      <c r="D50" s="145" t="s">
        <v>51</v>
      </c>
      <c r="E50" s="145" t="str">
        <f t="shared" si="6"/>
        <v>Throttle Body</v>
      </c>
      <c r="F50" s="146" t="str">
        <f>EN_0400_003</f>
        <v>Throttle Housing</v>
      </c>
      <c r="G50" s="145"/>
      <c r="H50" s="147">
        <f t="shared" si="2"/>
        <v>4.2741999999999996</v>
      </c>
      <c r="I50" s="133">
        <f>EN_A0400_q*EN_0400_003_q</f>
        <v>1</v>
      </c>
      <c r="J50" s="134">
        <f>EN_0400_003_m</f>
        <v>0.84420000000000006</v>
      </c>
      <c r="K50" s="134">
        <f>EN_0400_003_p</f>
        <v>3.4299999999999997</v>
      </c>
      <c r="L50" s="134">
        <f>EN_0400_003_f</f>
        <v>0</v>
      </c>
      <c r="M50" s="134">
        <f>EN_0400_003_t</f>
        <v>0</v>
      </c>
      <c r="N50" s="135">
        <f t="shared" si="3"/>
        <v>4.2741999999999996</v>
      </c>
      <c r="O50" s="148">
        <v>77</v>
      </c>
    </row>
    <row r="51" spans="1:15" ht="14.4" x14ac:dyDescent="0.3">
      <c r="A51" s="142"/>
      <c r="B51" s="143" t="str">
        <f>[1]EN_A0400!$B$3</f>
        <v>Engine and Drivetrain</v>
      </c>
      <c r="C51" s="144" t="s">
        <v>70</v>
      </c>
      <c r="D51" s="145" t="s">
        <v>51</v>
      </c>
      <c r="E51" s="145" t="str">
        <f t="shared" si="6"/>
        <v>Throttle Body</v>
      </c>
      <c r="F51" s="146" t="str">
        <f>EN_0400_004</f>
        <v>Throttle Axle</v>
      </c>
      <c r="G51" s="145"/>
      <c r="H51" s="147">
        <f t="shared" si="2"/>
        <v>2.7262499999999998</v>
      </c>
      <c r="I51" s="133">
        <f>EN_A0400_q*EN_0400_004_q</f>
        <v>1</v>
      </c>
      <c r="J51" s="134">
        <f>EN_0400_004_m</f>
        <v>5.6250000000000001E-2</v>
      </c>
      <c r="K51" s="134">
        <f>EN_0400_004_p</f>
        <v>2.67</v>
      </c>
      <c r="L51" s="134">
        <f>EN_0400_004_f</f>
        <v>0</v>
      </c>
      <c r="M51" s="134">
        <f>EN_0400_004_t</f>
        <v>0</v>
      </c>
      <c r="N51" s="135">
        <f t="shared" si="3"/>
        <v>2.7262499999999998</v>
      </c>
      <c r="O51" s="148">
        <v>78</v>
      </c>
    </row>
    <row r="52" spans="1:15" ht="14.4" x14ac:dyDescent="0.3">
      <c r="A52" s="142"/>
      <c r="B52" s="143" t="str">
        <f>[1]EN_A0400!$B$3</f>
        <v>Engine and Drivetrain</v>
      </c>
      <c r="C52" s="144" t="s">
        <v>71</v>
      </c>
      <c r="D52" s="145" t="s">
        <v>51</v>
      </c>
      <c r="E52" s="145" t="str">
        <f t="shared" si="6"/>
        <v>Throttle Body</v>
      </c>
      <c r="F52" s="146" t="str">
        <f>EN_0400_005</f>
        <v>TPS Axle</v>
      </c>
      <c r="G52" s="145"/>
      <c r="H52" s="147">
        <f t="shared" si="2"/>
        <v>2.7105000000000001</v>
      </c>
      <c r="I52" s="133">
        <f>EN_A0400_q*EN_0400_005_q</f>
        <v>1</v>
      </c>
      <c r="J52" s="134">
        <f>EN_0400_005_m</f>
        <v>4.0499999999999994E-2</v>
      </c>
      <c r="K52" s="134">
        <f>EN_0400_005_p</f>
        <v>2.67</v>
      </c>
      <c r="L52" s="134">
        <f>EN_0400_005_f</f>
        <v>0</v>
      </c>
      <c r="M52" s="134">
        <f>EN_0400_005_t</f>
        <v>0</v>
      </c>
      <c r="N52" s="135">
        <f t="shared" si="3"/>
        <v>2.7105000000000001</v>
      </c>
      <c r="O52" s="148">
        <v>79</v>
      </c>
    </row>
    <row r="53" spans="1:15" ht="14.4" x14ac:dyDescent="0.3">
      <c r="A53" s="142"/>
      <c r="B53" s="143" t="str">
        <f>[1]EN_A0400!$B$3</f>
        <v>Engine and Drivetrain</v>
      </c>
      <c r="C53" s="144" t="s">
        <v>72</v>
      </c>
      <c r="D53" s="145" t="s">
        <v>51</v>
      </c>
      <c r="E53" s="145" t="str">
        <f t="shared" si="6"/>
        <v>Throttle Body</v>
      </c>
      <c r="F53" s="146" t="str">
        <f>EN_0400_006</f>
        <v>Cable Housing</v>
      </c>
      <c r="G53" s="145"/>
      <c r="H53" s="147">
        <f t="shared" si="2"/>
        <v>3.5687500000000001</v>
      </c>
      <c r="I53" s="133">
        <f>EN_A0400_q*EN_0400_006_q</f>
        <v>1</v>
      </c>
      <c r="J53" s="134">
        <f>EN_0400_006_m</f>
        <v>0.16874999999999998</v>
      </c>
      <c r="K53" s="134">
        <f>EN_0400_006_p</f>
        <v>3.4</v>
      </c>
      <c r="L53" s="134">
        <f>EN_0400_006_f</f>
        <v>0</v>
      </c>
      <c r="M53" s="134">
        <f>EN_0400_006_t</f>
        <v>0</v>
      </c>
      <c r="N53" s="135">
        <f t="shared" si="3"/>
        <v>3.5687500000000001</v>
      </c>
      <c r="O53" s="148">
        <v>80</v>
      </c>
    </row>
    <row r="54" spans="1:15" ht="14.4" x14ac:dyDescent="0.3">
      <c r="A54" s="142"/>
      <c r="B54" s="143" t="str">
        <f>[1]EN_A0400!$B$3</f>
        <v>Engine and Drivetrain</v>
      </c>
      <c r="C54" s="144" t="s">
        <v>73</v>
      </c>
      <c r="D54" s="145" t="s">
        <v>51</v>
      </c>
      <c r="E54" s="145" t="str">
        <f t="shared" si="6"/>
        <v>Throttle Body</v>
      </c>
      <c r="F54" s="146" t="str">
        <f>EN_0400_007</f>
        <v>Axle Stop</v>
      </c>
      <c r="G54" s="145"/>
      <c r="H54" s="147">
        <f t="shared" si="2"/>
        <v>2.0409999999999999</v>
      </c>
      <c r="I54" s="133">
        <f>EN_A0400_q*EN_0400_007_q</f>
        <v>1</v>
      </c>
      <c r="J54" s="134">
        <f>EN_0400_007_m</f>
        <v>0.26100000000000001</v>
      </c>
      <c r="K54" s="134">
        <f>EN_0400_007_p</f>
        <v>1.78</v>
      </c>
      <c r="L54" s="134">
        <f>EN_0400_007_f</f>
        <v>0</v>
      </c>
      <c r="M54" s="134">
        <f>EN_0400_007_t</f>
        <v>0</v>
      </c>
      <c r="N54" s="135">
        <f t="shared" si="3"/>
        <v>2.0409999999999999</v>
      </c>
      <c r="O54" s="148">
        <v>81</v>
      </c>
    </row>
    <row r="55" spans="1:15" ht="14.4" x14ac:dyDescent="0.3">
      <c r="A55" s="142"/>
      <c r="B55" s="143" t="str">
        <f>[1]EN_A0400!$B$3</f>
        <v>Engine and Drivetrain</v>
      </c>
      <c r="C55" s="144" t="s">
        <v>74</v>
      </c>
      <c r="D55" s="145" t="s">
        <v>51</v>
      </c>
      <c r="E55" s="145" t="str">
        <f t="shared" si="6"/>
        <v>Throttle Body</v>
      </c>
      <c r="F55" s="146" t="str">
        <f>EN_0400_008</f>
        <v>Ram Pipe</v>
      </c>
      <c r="G55" s="149"/>
      <c r="H55" s="147">
        <f t="shared" si="2"/>
        <v>12.5068</v>
      </c>
      <c r="I55" s="133">
        <f>EN_A0400_q*EN_0400_008_q</f>
        <v>1</v>
      </c>
      <c r="J55" s="134">
        <f>EN_0400_008_m</f>
        <v>4.0068000000000001</v>
      </c>
      <c r="K55" s="134">
        <f>EN_0400_008_p</f>
        <v>8.5</v>
      </c>
      <c r="L55" s="134">
        <f>EN_0400_008_f</f>
        <v>0</v>
      </c>
      <c r="M55" s="134">
        <f>EN_0400_008_t</f>
        <v>0</v>
      </c>
      <c r="N55" s="135">
        <f t="shared" si="3"/>
        <v>12.5068</v>
      </c>
      <c r="O55" s="148">
        <v>82</v>
      </c>
    </row>
    <row r="56" spans="1:15" ht="14.4" x14ac:dyDescent="0.3">
      <c r="A56" s="142"/>
      <c r="B56" s="143" t="str">
        <f>[1]EN_A0400!$B$3</f>
        <v>Engine and Drivetrain</v>
      </c>
      <c r="C56" s="144" t="s">
        <v>75</v>
      </c>
      <c r="D56" s="145" t="s">
        <v>51</v>
      </c>
      <c r="E56" s="145" t="str">
        <f t="shared" si="6"/>
        <v>Throttle Body</v>
      </c>
      <c r="F56" s="146" t="str">
        <f>EN_0400_009</f>
        <v>Throttle Plate</v>
      </c>
      <c r="G56" s="145"/>
      <c r="H56" s="147">
        <f t="shared" si="2"/>
        <v>1.492</v>
      </c>
      <c r="I56" s="133">
        <f>EN_A0400_q*EN_0400_009_q</f>
        <v>1</v>
      </c>
      <c r="J56" s="134">
        <f>EN_0400_009_m</f>
        <v>7.2000000000000008E-2</v>
      </c>
      <c r="K56" s="134">
        <f>EN_0400_009_p</f>
        <v>1.42</v>
      </c>
      <c r="L56" s="134">
        <f>EN_0400_009_f</f>
        <v>0</v>
      </c>
      <c r="M56" s="134">
        <f>EN_0400_009_t</f>
        <v>0</v>
      </c>
      <c r="N56" s="135">
        <f t="shared" si="3"/>
        <v>1.492</v>
      </c>
      <c r="O56" s="148">
        <v>83</v>
      </c>
    </row>
    <row r="57" spans="1:15" ht="14.4" x14ac:dyDescent="0.3">
      <c r="A57" s="118"/>
      <c r="B57" s="160" t="str">
        <f>B58</f>
        <v>Engine and Drivetrain</v>
      </c>
      <c r="C57" s="161" t="str">
        <f>EN_A0500</f>
        <v>EN A0500</v>
      </c>
      <c r="D57" s="162" t="s">
        <v>51</v>
      </c>
      <c r="E57" s="162"/>
      <c r="F57" s="163" t="str">
        <f>'[1]EN A0005'!B3</f>
        <v>Fuel Tank Assembly</v>
      </c>
      <c r="G57" s="162"/>
      <c r="H57" s="164">
        <f t="shared" si="2"/>
        <v>38.532146708333343</v>
      </c>
      <c r="I57" s="124">
        <f>EN_A0500_q</f>
        <v>1</v>
      </c>
      <c r="J57" s="165">
        <f>EN_A0500_m</f>
        <v>24.858435000000004</v>
      </c>
      <c r="K57" s="165">
        <f>EN_A0500_p</f>
        <v>10.460378374999999</v>
      </c>
      <c r="L57" s="165">
        <f>EN_A0500_f</f>
        <v>1.8800000000000001</v>
      </c>
      <c r="M57" s="165">
        <f>EN_A0500_t</f>
        <v>1.3333333333333333</v>
      </c>
      <c r="N57" s="166">
        <f t="shared" si="3"/>
        <v>38.532146708333343</v>
      </c>
      <c r="O57" s="167">
        <v>84</v>
      </c>
    </row>
    <row r="58" spans="1:15" ht="14.4" x14ac:dyDescent="0.3">
      <c r="A58" s="142"/>
      <c r="B58" s="143" t="str">
        <f>[1]EN_A0400!$B$3</f>
        <v>Engine and Drivetrain</v>
      </c>
      <c r="C58" s="144" t="str">
        <f>EN_05001</f>
        <v>EN 05001</v>
      </c>
      <c r="D58" s="145" t="s">
        <v>51</v>
      </c>
      <c r="E58" s="145" t="str">
        <f>F$57</f>
        <v>Fuel Tank Assembly</v>
      </c>
      <c r="F58" s="146" t="str">
        <f>'[1]EN 05001'!B4</f>
        <v>Fuel Tank (with filler neck)</v>
      </c>
      <c r="G58" s="145"/>
      <c r="H58" s="147">
        <f t="shared" si="2"/>
        <v>103.67125799008251</v>
      </c>
      <c r="I58" s="133">
        <f>EN_A0500_q*EN_05001_q</f>
        <v>1</v>
      </c>
      <c r="J58" s="134">
        <f>EN_05001_m</f>
        <v>19.849591323415851</v>
      </c>
      <c r="K58" s="134">
        <f>EN_05001_p</f>
        <v>82.154999999999987</v>
      </c>
      <c r="L58" s="134">
        <v>0</v>
      </c>
      <c r="M58" s="134">
        <f>EN_05001_t</f>
        <v>1.6666666666666667</v>
      </c>
      <c r="N58" s="135">
        <f t="shared" si="3"/>
        <v>103.67125799008251</v>
      </c>
      <c r="O58" s="148">
        <v>85</v>
      </c>
    </row>
    <row r="59" spans="1:15" ht="14.4" x14ac:dyDescent="0.3">
      <c r="A59" s="142"/>
      <c r="B59" s="143" t="str">
        <f>[1]EN_A0400!$B$3</f>
        <v>Engine and Drivetrain</v>
      </c>
      <c r="C59" s="144" t="str">
        <f>EN_05002</f>
        <v>EN 05002</v>
      </c>
      <c r="D59" s="145" t="s">
        <v>51</v>
      </c>
      <c r="E59" s="145" t="str">
        <f>F$57</f>
        <v>Fuel Tank Assembly</v>
      </c>
      <c r="F59" s="146" t="str">
        <f>'[1]EN 05002'!B4</f>
        <v>Filler Cap</v>
      </c>
      <c r="G59" s="145"/>
      <c r="H59" s="147">
        <f t="shared" si="2"/>
        <v>31.684274971513588</v>
      </c>
      <c r="I59" s="133">
        <f>EN_A0500_q*EN_05002_q</f>
        <v>1</v>
      </c>
      <c r="J59" s="134">
        <f>EN_05002_m</f>
        <v>24.424274971513587</v>
      </c>
      <c r="K59" s="134">
        <f>EN_05002_p</f>
        <v>7.26</v>
      </c>
      <c r="L59" s="134">
        <v>0</v>
      </c>
      <c r="M59" s="134">
        <v>0</v>
      </c>
      <c r="N59" s="135">
        <f t="shared" si="3"/>
        <v>31.684274971513588</v>
      </c>
      <c r="O59" s="148">
        <v>87</v>
      </c>
    </row>
    <row r="60" spans="1:15" ht="14.4" x14ac:dyDescent="0.3">
      <c r="A60" s="142"/>
      <c r="B60" s="143" t="str">
        <f>[1]EN_A0400!$B$3</f>
        <v>Engine and Drivetrain</v>
      </c>
      <c r="C60" s="144" t="str">
        <f>EN_05003</f>
        <v>EN 05003</v>
      </c>
      <c r="D60" s="145" t="s">
        <v>51</v>
      </c>
      <c r="E60" s="145" t="str">
        <f>F$57</f>
        <v>Fuel Tank Assembly</v>
      </c>
      <c r="F60" s="146" t="str">
        <f>'[1]EN 05003'!B4</f>
        <v>Filler Tube</v>
      </c>
      <c r="G60" s="145"/>
      <c r="H60" s="147">
        <f t="shared" si="2"/>
        <v>18.357814563839998</v>
      </c>
      <c r="I60" s="133">
        <f>EN_A0500_q*EN_05003_q</f>
        <v>1</v>
      </c>
      <c r="J60" s="134">
        <f>EN_05003_m</f>
        <v>4.0578145638400001</v>
      </c>
      <c r="K60" s="134">
        <f>EN_05003_p</f>
        <v>10.78</v>
      </c>
      <c r="L60" s="134">
        <f>EN_05003_f</f>
        <v>2.52</v>
      </c>
      <c r="M60" s="134">
        <f>EN_05003_t</f>
        <v>1</v>
      </c>
      <c r="N60" s="135">
        <f t="shared" si="3"/>
        <v>18.357814563839998</v>
      </c>
      <c r="O60" s="148">
        <v>88</v>
      </c>
    </row>
    <row r="61" spans="1:15" ht="14.4" x14ac:dyDescent="0.3">
      <c r="A61" s="142"/>
      <c r="B61" s="143" t="str">
        <f>[1]EN_A0400!$B$3</f>
        <v>Engine and Drivetrain</v>
      </c>
      <c r="C61" s="144" t="str">
        <f>EN_05004</f>
        <v>EN 05004</v>
      </c>
      <c r="D61" s="145" t="s">
        <v>51</v>
      </c>
      <c r="E61" s="145" t="str">
        <f>F$57</f>
        <v>Fuel Tank Assembly</v>
      </c>
      <c r="F61" s="146" t="str">
        <f>'[1]EN 05004'!B4</f>
        <v>Lateral tab</v>
      </c>
      <c r="G61" s="145"/>
      <c r="H61" s="147">
        <f t="shared" si="2"/>
        <v>1.738382125</v>
      </c>
      <c r="I61" s="133">
        <f>EN_A0500_q*EN_05004_q</f>
        <v>2</v>
      </c>
      <c r="J61" s="134">
        <f>EN_05004_m</f>
        <v>3.3382125000000006E-2</v>
      </c>
      <c r="K61" s="134">
        <f>EN_05004_p</f>
        <v>1.7050000000000001</v>
      </c>
      <c r="L61" s="134">
        <v>0</v>
      </c>
      <c r="M61" s="134">
        <v>0</v>
      </c>
      <c r="N61" s="135">
        <f t="shared" si="3"/>
        <v>3.47676425</v>
      </c>
      <c r="O61" s="148">
        <v>89</v>
      </c>
    </row>
    <row r="62" spans="1:15" ht="14.4" x14ac:dyDescent="0.3">
      <c r="A62" s="142"/>
      <c r="B62" s="143" t="str">
        <f>[1]EN_A0400!$B$3</f>
        <v>Engine and Drivetrain</v>
      </c>
      <c r="C62" s="144" t="str">
        <f>EN_05005</f>
        <v>EN 05005</v>
      </c>
      <c r="D62" s="145" t="s">
        <v>51</v>
      </c>
      <c r="E62" s="145" t="str">
        <f>F$57</f>
        <v>Fuel Tank Assembly</v>
      </c>
      <c r="F62" s="146" t="str">
        <f>'[1]EN 05005'!B4</f>
        <v>Rear tab</v>
      </c>
      <c r="G62" s="145"/>
      <c r="H62" s="147">
        <f t="shared" si="2"/>
        <v>1.884868</v>
      </c>
      <c r="I62" s="133">
        <f>EN_A0500_q*EN_05005_q</f>
        <v>2</v>
      </c>
      <c r="J62" s="134">
        <f>EN_05005_m</f>
        <v>5.0868000000000003E-2</v>
      </c>
      <c r="K62" s="134">
        <f>EN_05005_p</f>
        <v>1.8340000000000001</v>
      </c>
      <c r="L62" s="134">
        <v>0</v>
      </c>
      <c r="M62" s="134">
        <v>0</v>
      </c>
      <c r="N62" s="135">
        <f t="shared" si="3"/>
        <v>3.769736</v>
      </c>
      <c r="O62" s="148">
        <v>91</v>
      </c>
    </row>
    <row r="63" spans="1:15" ht="14.4" x14ac:dyDescent="0.3">
      <c r="A63" s="118"/>
      <c r="B63" s="160" t="str">
        <f>B57</f>
        <v>Engine and Drivetrain</v>
      </c>
      <c r="C63" s="161" t="str">
        <f>EN_A0600</f>
        <v>EN A0600</v>
      </c>
      <c r="D63" s="162" t="s">
        <v>51</v>
      </c>
      <c r="E63" s="162"/>
      <c r="F63" s="163" t="str">
        <f>'[1]EN A0600'!B3</f>
        <v>Fuel System</v>
      </c>
      <c r="G63" s="162"/>
      <c r="H63" s="164">
        <f t="shared" si="2"/>
        <v>328.32780866666673</v>
      </c>
      <c r="I63" s="168">
        <f>EN_A0600_q</f>
        <v>1</v>
      </c>
      <c r="J63" s="165">
        <f>EN_A0600_m</f>
        <v>283.82959200000005</v>
      </c>
      <c r="K63" s="165">
        <f>EN_A0600_p</f>
        <v>43.141549999999995</v>
      </c>
      <c r="L63" s="165">
        <f>EN_A0600_f</f>
        <v>0.69</v>
      </c>
      <c r="M63" s="165">
        <f>EN_A0600_t</f>
        <v>0.66666666666666663</v>
      </c>
      <c r="N63" s="166">
        <f t="shared" si="3"/>
        <v>328.32780866666673</v>
      </c>
      <c r="O63" s="167">
        <v>93</v>
      </c>
    </row>
    <row r="64" spans="1:15" ht="14.4" x14ac:dyDescent="0.3">
      <c r="A64" s="142"/>
      <c r="B64" s="143" t="str">
        <f>[1]EN_A0400!$B$3</f>
        <v>Engine and Drivetrain</v>
      </c>
      <c r="C64" s="144" t="str">
        <f>EN_06001</f>
        <v>EN 06001</v>
      </c>
      <c r="D64" s="145" t="s">
        <v>51</v>
      </c>
      <c r="E64" s="145" t="str">
        <f>F$63</f>
        <v>Fuel System</v>
      </c>
      <c r="F64" s="146" t="str">
        <f>'[1]EN 06001'!B4</f>
        <v>Fuel Rail</v>
      </c>
      <c r="G64" s="145"/>
      <c r="H64" s="147">
        <f t="shared" si="2"/>
        <v>7.6413700144256271</v>
      </c>
      <c r="I64" s="133">
        <f>EN_A0600_q*EN_06001_q</f>
        <v>1</v>
      </c>
      <c r="J64" s="134">
        <f>EN_06001_m</f>
        <v>0.4680366810922939</v>
      </c>
      <c r="K64" s="134">
        <f>EN_06001_p</f>
        <v>4.84</v>
      </c>
      <c r="L64" s="134">
        <v>0</v>
      </c>
      <c r="M64" s="134">
        <f>EN_06001_t</f>
        <v>2.3333333333333335</v>
      </c>
      <c r="N64" s="135">
        <f t="shared" si="3"/>
        <v>7.6413700144256271</v>
      </c>
      <c r="O64" s="148">
        <v>95</v>
      </c>
    </row>
    <row r="65" spans="1:15" ht="14.4" x14ac:dyDescent="0.3">
      <c r="A65" s="142"/>
      <c r="B65" s="143" t="str">
        <f>[1]EN_A0400!$B$3</f>
        <v>Engine and Drivetrain</v>
      </c>
      <c r="C65" s="144" t="str">
        <f>EN_06002</f>
        <v>EN 06002</v>
      </c>
      <c r="D65" s="145" t="s">
        <v>51</v>
      </c>
      <c r="E65" s="145" t="str">
        <f>F$63</f>
        <v>Fuel System</v>
      </c>
      <c r="F65" s="146" t="str">
        <f>'[1]EN 06002'!B4</f>
        <v>Fuel Pump Collar</v>
      </c>
      <c r="G65" s="145"/>
      <c r="H65" s="147">
        <f t="shared" si="2"/>
        <v>3.3523958399999998</v>
      </c>
      <c r="I65" s="133">
        <f>EN_A0600_q*EN_06002_q</f>
        <v>1</v>
      </c>
      <c r="J65" s="134">
        <f>EN_06002_m</f>
        <v>5.2395840000000006E-2</v>
      </c>
      <c r="K65" s="134">
        <f>EN_06002_p</f>
        <v>3.3</v>
      </c>
      <c r="L65" s="134">
        <v>0</v>
      </c>
      <c r="M65" s="134">
        <v>0</v>
      </c>
      <c r="N65" s="135">
        <f t="shared" si="3"/>
        <v>3.3523958399999998</v>
      </c>
      <c r="O65" s="148">
        <v>96</v>
      </c>
    </row>
    <row r="66" spans="1:15" ht="14.4" x14ac:dyDescent="0.3">
      <c r="A66" s="142"/>
      <c r="B66" s="143" t="str">
        <f>[1]EN_A0400!$B$3</f>
        <v>Engine and Drivetrain</v>
      </c>
      <c r="C66" s="144" t="str">
        <f>EN_06003</f>
        <v>EN 06003</v>
      </c>
      <c r="D66" s="145" t="s">
        <v>51</v>
      </c>
      <c r="E66" s="145" t="str">
        <f>F$63</f>
        <v>Fuel System</v>
      </c>
      <c r="F66" s="146" t="str">
        <f>'[1]EN 06003'!B4</f>
        <v>Pressure Regulator Tab</v>
      </c>
      <c r="G66" s="145"/>
      <c r="H66" s="147">
        <f t="shared" si="2"/>
        <v>1.8305095</v>
      </c>
      <c r="I66" s="133">
        <f>EN_A0600_q*EN_06003_q</f>
        <v>1</v>
      </c>
      <c r="J66" s="134">
        <f>EN_06003_m</f>
        <v>4.4509500000000007E-2</v>
      </c>
      <c r="K66" s="134">
        <f>EN_06003_p</f>
        <v>1.786</v>
      </c>
      <c r="L66" s="134">
        <v>0</v>
      </c>
      <c r="M66" s="134">
        <v>0</v>
      </c>
      <c r="N66" s="135">
        <f t="shared" si="3"/>
        <v>1.8305095</v>
      </c>
      <c r="O66" s="148">
        <v>97</v>
      </c>
    </row>
    <row r="67" spans="1:15" ht="14.4" x14ac:dyDescent="0.3">
      <c r="A67" s="142"/>
      <c r="B67" s="143" t="str">
        <f>[1]EN_A0400!$B$3</f>
        <v>Engine and Drivetrain</v>
      </c>
      <c r="C67" s="144" t="str">
        <f>EN_06004</f>
        <v>EN 06004</v>
      </c>
      <c r="D67" s="145" t="s">
        <v>51</v>
      </c>
      <c r="E67" s="145" t="str">
        <f>F$63</f>
        <v>Fuel System</v>
      </c>
      <c r="F67" s="146" t="str">
        <f>'[1]EN 06004'!B4</f>
        <v>Fuel Pump Tab</v>
      </c>
      <c r="G67" s="145"/>
      <c r="H67" s="147">
        <f t="shared" si="2"/>
        <v>1.5539844999999999</v>
      </c>
      <c r="I67" s="133">
        <f>EN_A0600_q*EN_06004_q</f>
        <v>1</v>
      </c>
      <c r="J67" s="134">
        <f>EN_06004_m</f>
        <v>9.1845E-3</v>
      </c>
      <c r="K67" s="134">
        <f>EN_06004_p</f>
        <v>1.5448</v>
      </c>
      <c r="L67" s="134">
        <v>0</v>
      </c>
      <c r="M67" s="134">
        <v>0</v>
      </c>
      <c r="N67" s="135">
        <f t="shared" si="3"/>
        <v>1.5539844999999999</v>
      </c>
      <c r="O67" s="148">
        <v>99</v>
      </c>
    </row>
    <row r="68" spans="1:15" ht="14.4" x14ac:dyDescent="0.3">
      <c r="A68" s="118"/>
      <c r="B68" s="160" t="str">
        <f>B63</f>
        <v>Engine and Drivetrain</v>
      </c>
      <c r="C68" s="161" t="str">
        <f>EN_A0700</f>
        <v>EN A0700</v>
      </c>
      <c r="D68" s="162" t="s">
        <v>51</v>
      </c>
      <c r="E68" s="162"/>
      <c r="F68" s="163" t="str">
        <f>'[1]EN A0700'!B3</f>
        <v>Overflow Bottles</v>
      </c>
      <c r="G68" s="162"/>
      <c r="H68" s="164">
        <f t="shared" si="2"/>
        <v>22.600997910649138</v>
      </c>
      <c r="I68" s="168">
        <f>EN_A0700_q</f>
        <v>1</v>
      </c>
      <c r="J68" s="165">
        <f>EN_A0700_m</f>
        <v>11.515199999999998</v>
      </c>
      <c r="K68" s="165">
        <f>EN_A0700_p</f>
        <v>9.11</v>
      </c>
      <c r="L68" s="165">
        <f>EN_A0700_f</f>
        <v>1.9757979106491377</v>
      </c>
      <c r="M68" s="165">
        <v>0</v>
      </c>
      <c r="N68" s="166">
        <f t="shared" si="3"/>
        <v>22.600997910649138</v>
      </c>
      <c r="O68" s="167">
        <v>101</v>
      </c>
    </row>
    <row r="69" spans="1:15" ht="14.4" x14ac:dyDescent="0.3">
      <c r="A69" s="118"/>
      <c r="B69" s="160" t="str">
        <f>B68</f>
        <v>Engine and Drivetrain</v>
      </c>
      <c r="C69" s="161" t="str">
        <f>EN_A0800</f>
        <v>EN A0800</v>
      </c>
      <c r="D69" s="162" t="s">
        <v>51</v>
      </c>
      <c r="E69" s="162"/>
      <c r="F69" s="163" t="str">
        <f>'[1]EN A0800'!B3</f>
        <v>Cooling System</v>
      </c>
      <c r="G69" s="162"/>
      <c r="H69" s="164">
        <f t="shared" si="2"/>
        <v>49.037957249999998</v>
      </c>
      <c r="I69" s="168">
        <f>EN_A0800_q</f>
        <v>1</v>
      </c>
      <c r="J69" s="165">
        <f>EN_A0800_m</f>
        <v>20.044000000000004</v>
      </c>
      <c r="K69" s="165">
        <f>EN_A0800_p</f>
        <v>19.440357249999991</v>
      </c>
      <c r="L69" s="165">
        <f>EN_A0800_f</f>
        <v>8.5536000000000012</v>
      </c>
      <c r="M69" s="165">
        <f>EN_A0800_t</f>
        <v>1</v>
      </c>
      <c r="N69" s="166">
        <f t="shared" si="3"/>
        <v>49.037957249999998</v>
      </c>
      <c r="O69" s="167">
        <v>102</v>
      </c>
    </row>
    <row r="70" spans="1:15" ht="14.4" x14ac:dyDescent="0.3">
      <c r="A70" s="142"/>
      <c r="B70" s="143" t="str">
        <f>[1]EN_A0400!$B$3</f>
        <v>Engine and Drivetrain</v>
      </c>
      <c r="C70" s="144" t="str">
        <f>EN_08001</f>
        <v>EN 08001</v>
      </c>
      <c r="D70" s="145" t="s">
        <v>51</v>
      </c>
      <c r="E70" s="145" t="str">
        <f t="shared" ref="E70:E79" si="7">F$69</f>
        <v>Cooling System</v>
      </c>
      <c r="F70" s="146" t="str">
        <f>[1]EN_08001!B4</f>
        <v>Radiator</v>
      </c>
      <c r="G70" s="145"/>
      <c r="H70" s="147">
        <f t="shared" si="2"/>
        <v>102.8625049297335</v>
      </c>
      <c r="I70" s="133">
        <f>EN_A0800_q*EN_08001_q</f>
        <v>1</v>
      </c>
      <c r="J70" s="134">
        <f>EN_08001_m</f>
        <v>17.942504929733513</v>
      </c>
      <c r="K70" s="134">
        <f>EN_08001_p</f>
        <v>84.919999999999987</v>
      </c>
      <c r="L70" s="134">
        <v>0</v>
      </c>
      <c r="M70" s="134">
        <v>0</v>
      </c>
      <c r="N70" s="135">
        <f t="shared" si="3"/>
        <v>102.8625049297335</v>
      </c>
      <c r="O70" s="148">
        <v>103</v>
      </c>
    </row>
    <row r="71" spans="1:15" ht="14.4" x14ac:dyDescent="0.3">
      <c r="A71" s="142"/>
      <c r="B71" s="143" t="str">
        <f>[1]EN_A0400!$B$3</f>
        <v>Engine and Drivetrain</v>
      </c>
      <c r="C71" s="144" t="str">
        <f>EN_08002</f>
        <v>EN 08002</v>
      </c>
      <c r="D71" s="145" t="s">
        <v>51</v>
      </c>
      <c r="E71" s="145" t="str">
        <f t="shared" si="7"/>
        <v>Cooling System</v>
      </c>
      <c r="F71" s="146" t="str">
        <f>[1]EN_08002!B4</f>
        <v>Radiator lateral upper tab</v>
      </c>
      <c r="G71" s="145"/>
      <c r="H71" s="147">
        <f t="shared" si="2"/>
        <v>1.7906290000000002</v>
      </c>
      <c r="I71" s="133">
        <f>EN_A0800_q*EN_08002_q</f>
        <v>1</v>
      </c>
      <c r="J71" s="134">
        <f>EN_08002_m</f>
        <v>4.6628999999999997E-2</v>
      </c>
      <c r="K71" s="134">
        <f>EN_08002_p</f>
        <v>1.7440000000000002</v>
      </c>
      <c r="L71" s="134">
        <v>0</v>
      </c>
      <c r="M71" s="134">
        <v>0</v>
      </c>
      <c r="N71" s="135">
        <f t="shared" si="3"/>
        <v>1.7906290000000002</v>
      </c>
      <c r="O71" s="148">
        <v>106</v>
      </c>
    </row>
    <row r="72" spans="1:15" ht="14.4" x14ac:dyDescent="0.3">
      <c r="A72" s="142"/>
      <c r="B72" s="143" t="str">
        <f>[1]EN_A0400!$B$3</f>
        <v>Engine and Drivetrain</v>
      </c>
      <c r="C72" s="144" t="str">
        <f>EN_08003</f>
        <v>EN 08003</v>
      </c>
      <c r="D72" s="145" t="s">
        <v>51</v>
      </c>
      <c r="E72" s="145" t="str">
        <f t="shared" si="7"/>
        <v>Cooling System</v>
      </c>
      <c r="F72" s="146" t="str">
        <f>[1]EN_08003!B4</f>
        <v>Radiator lateral lower tab</v>
      </c>
      <c r="G72" s="145"/>
      <c r="H72" s="147">
        <f t="shared" si="2"/>
        <v>2.5271720024703863</v>
      </c>
      <c r="I72" s="133">
        <f>EN_A0800_q*EN_08003_q</f>
        <v>1</v>
      </c>
      <c r="J72" s="134">
        <f>EN_08003_m</f>
        <v>0.26493749999999999</v>
      </c>
      <c r="K72" s="134">
        <f>EN_08003_p</f>
        <v>2.2622345024703865</v>
      </c>
      <c r="L72" s="134">
        <v>0</v>
      </c>
      <c r="M72" s="134">
        <v>0</v>
      </c>
      <c r="N72" s="135">
        <f t="shared" si="3"/>
        <v>2.5271720024703863</v>
      </c>
      <c r="O72" s="148">
        <v>108</v>
      </c>
    </row>
    <row r="73" spans="1:15" ht="14.4" x14ac:dyDescent="0.3">
      <c r="A73" s="142"/>
      <c r="B73" s="143" t="str">
        <f>[1]EN_A0400!$B$3</f>
        <v>Engine and Drivetrain</v>
      </c>
      <c r="C73" s="144" t="str">
        <f>EN_08004</f>
        <v>EN 08004</v>
      </c>
      <c r="D73" s="145" t="s">
        <v>51</v>
      </c>
      <c r="E73" s="145" t="str">
        <f t="shared" si="7"/>
        <v>Cooling System</v>
      </c>
      <c r="F73" s="146" t="str">
        <f>[1]EN_08004!B4</f>
        <v>Radiator Back tab</v>
      </c>
      <c r="G73" s="145"/>
      <c r="H73" s="147">
        <f t="shared" si="2"/>
        <v>1.614127375</v>
      </c>
      <c r="I73" s="133">
        <f>EN_A0800_q*EN_08004_q</f>
        <v>1</v>
      </c>
      <c r="J73" s="134">
        <f>EN_08004_m</f>
        <v>1.1127375000000002E-2</v>
      </c>
      <c r="K73" s="134">
        <f>EN_08004_p</f>
        <v>1.603</v>
      </c>
      <c r="L73" s="134">
        <v>0</v>
      </c>
      <c r="M73" s="134">
        <v>0</v>
      </c>
      <c r="N73" s="135">
        <f t="shared" si="3"/>
        <v>1.614127375</v>
      </c>
      <c r="O73" s="148">
        <v>110</v>
      </c>
    </row>
    <row r="74" spans="1:15" ht="14.4" x14ac:dyDescent="0.3">
      <c r="A74" s="142"/>
      <c r="B74" s="143" t="str">
        <f>[1]EN_A0400!$B$3</f>
        <v>Engine and Drivetrain</v>
      </c>
      <c r="C74" s="144" t="str">
        <f>EN_08005</f>
        <v>EN 08005</v>
      </c>
      <c r="D74" s="145" t="s">
        <v>51</v>
      </c>
      <c r="E74" s="145" t="str">
        <f t="shared" si="7"/>
        <v>Cooling System</v>
      </c>
      <c r="F74" s="146" t="str">
        <f>[1]EN_08005!B4</f>
        <v xml:space="preserve">Main Coolant Line </v>
      </c>
      <c r="G74" s="145"/>
      <c r="H74" s="147">
        <f t="shared" si="2"/>
        <v>38.15621592366692</v>
      </c>
      <c r="I74" s="133">
        <f>EN_A0800_q*EN_08005_q</f>
        <v>1</v>
      </c>
      <c r="J74" s="134">
        <f>EN_08005_m</f>
        <v>12.259934125000001</v>
      </c>
      <c r="K74" s="134">
        <f>EN_08005_p</f>
        <v>21.096281798666926</v>
      </c>
      <c r="L74" s="134">
        <f>EN_08005_f</f>
        <v>4.8</v>
      </c>
      <c r="M74" s="134">
        <v>0</v>
      </c>
      <c r="N74" s="135">
        <f t="shared" si="3"/>
        <v>38.15621592366692</v>
      </c>
      <c r="O74" s="148">
        <v>112</v>
      </c>
    </row>
    <row r="75" spans="1:15" ht="14.4" x14ac:dyDescent="0.3">
      <c r="A75" s="142"/>
      <c r="B75" s="143" t="str">
        <f>[1]EN_A0400!$B$3</f>
        <v>Engine and Drivetrain</v>
      </c>
      <c r="C75" s="144" t="str">
        <f>EN_08006</f>
        <v>EN 08006</v>
      </c>
      <c r="D75" s="145" t="s">
        <v>51</v>
      </c>
      <c r="E75" s="145" t="str">
        <f t="shared" si="7"/>
        <v>Cooling System</v>
      </c>
      <c r="F75" s="146" t="str">
        <f>[1]EN_08006!B4</f>
        <v>Fan</v>
      </c>
      <c r="G75" s="145"/>
      <c r="H75" s="147">
        <f t="shared" si="2"/>
        <v>30.77</v>
      </c>
      <c r="I75" s="133">
        <f>EN_A0800_q*EN_08006_q</f>
        <v>1</v>
      </c>
      <c r="J75" s="134">
        <f>EN_08006_m</f>
        <v>30</v>
      </c>
      <c r="K75" s="134">
        <f>EN_08006_p</f>
        <v>0.37</v>
      </c>
      <c r="L75" s="134">
        <f>EN_08006_f</f>
        <v>0.4</v>
      </c>
      <c r="M75" s="134">
        <v>0</v>
      </c>
      <c r="N75" s="135">
        <f t="shared" si="3"/>
        <v>30.77</v>
      </c>
      <c r="O75" s="148">
        <v>113</v>
      </c>
    </row>
    <row r="76" spans="1:15" ht="14.4" x14ac:dyDescent="0.3">
      <c r="A76" s="142"/>
      <c r="B76" s="143" t="str">
        <f>[1]EN_A0400!$B$3</f>
        <v>Engine and Drivetrain</v>
      </c>
      <c r="C76" s="144" t="str">
        <f>EN_08007</f>
        <v>EN 08007</v>
      </c>
      <c r="D76" s="145" t="s">
        <v>51</v>
      </c>
      <c r="E76" s="145" t="str">
        <f t="shared" si="7"/>
        <v>Cooling System</v>
      </c>
      <c r="F76" s="146" t="str">
        <f>[1]EN_08007!B4</f>
        <v>Expansion Tank</v>
      </c>
      <c r="G76" s="145"/>
      <c r="H76" s="147">
        <f t="shared" si="2"/>
        <v>22.729890633701562</v>
      </c>
      <c r="I76" s="133">
        <f>EN_A0800_q*EN_08007_q</f>
        <v>1</v>
      </c>
      <c r="J76" s="134">
        <f>EN_08007_m</f>
        <v>3.0189026337015608</v>
      </c>
      <c r="K76" s="134">
        <f>EN_08007_p</f>
        <v>17.710988</v>
      </c>
      <c r="L76" s="134">
        <v>0</v>
      </c>
      <c r="M76" s="134">
        <f>EN_08007_t</f>
        <v>2</v>
      </c>
      <c r="N76" s="135">
        <f t="shared" si="3"/>
        <v>22.729890633701562</v>
      </c>
      <c r="O76" s="148">
        <v>114</v>
      </c>
    </row>
    <row r="77" spans="1:15" ht="14.4" x14ac:dyDescent="0.3">
      <c r="A77" s="142"/>
      <c r="B77" s="143" t="str">
        <f>[1]EN_A0400!$B$3</f>
        <v>Engine and Drivetrain</v>
      </c>
      <c r="C77" s="144" t="str">
        <f>EN_08008</f>
        <v>EN 08008</v>
      </c>
      <c r="D77" s="145" t="s">
        <v>51</v>
      </c>
      <c r="E77" s="145" t="str">
        <f t="shared" si="7"/>
        <v>Cooling System</v>
      </c>
      <c r="F77" s="146" t="str">
        <f>[1]EN_08008!B4</f>
        <v>Expansion Tank tab</v>
      </c>
      <c r="G77" s="145"/>
      <c r="H77" s="147">
        <f t="shared" si="2"/>
        <v>1.5446910625000001</v>
      </c>
      <c r="I77" s="133">
        <f>EN_A0800_q*EN_08008_q</f>
        <v>1</v>
      </c>
      <c r="J77" s="134">
        <f>EN_08008_m</f>
        <v>1.6691062500000003E-2</v>
      </c>
      <c r="K77" s="134">
        <f>EN_08008_p</f>
        <v>1.528</v>
      </c>
      <c r="L77" s="134">
        <v>0</v>
      </c>
      <c r="M77" s="134">
        <v>0</v>
      </c>
      <c r="N77" s="135">
        <f t="shared" si="3"/>
        <v>1.5446910625000001</v>
      </c>
      <c r="O77" s="148">
        <v>115</v>
      </c>
    </row>
    <row r="78" spans="1:15" ht="14.4" x14ac:dyDescent="0.3">
      <c r="A78" s="142"/>
      <c r="B78" s="143" t="str">
        <f>[1]EN_A0400!$B$3</f>
        <v>Engine and Drivetrain</v>
      </c>
      <c r="C78" s="144" t="str">
        <f>EN_08009</f>
        <v>EN 08009</v>
      </c>
      <c r="D78" s="145" t="s">
        <v>51</v>
      </c>
      <c r="E78" s="145" t="str">
        <f t="shared" si="7"/>
        <v>Cooling System</v>
      </c>
      <c r="F78" s="146" t="str">
        <f>[1]EN_08009!B4</f>
        <v>Lateral Tube</v>
      </c>
      <c r="G78" s="145"/>
      <c r="H78" s="147">
        <f t="shared" si="2"/>
        <v>3.1535134468570387</v>
      </c>
      <c r="I78" s="133">
        <f>EN_A0800_q*EN_08009_q</f>
        <v>1</v>
      </c>
      <c r="J78" s="134">
        <f>EN_08009_m</f>
        <v>1.8035134468570386</v>
      </c>
      <c r="K78" s="134">
        <f>EN_08009_p</f>
        <v>1.35</v>
      </c>
      <c r="L78" s="134">
        <v>0</v>
      </c>
      <c r="M78" s="134">
        <v>0</v>
      </c>
      <c r="N78" s="135">
        <f t="shared" si="3"/>
        <v>3.1535134468570387</v>
      </c>
      <c r="O78" s="148">
        <v>117</v>
      </c>
    </row>
    <row r="79" spans="1:15" ht="14.4" x14ac:dyDescent="0.3">
      <c r="A79" s="142"/>
      <c r="B79" s="143" t="str">
        <f>[1]EN_A0400!$B$3</f>
        <v>Engine and Drivetrain</v>
      </c>
      <c r="C79" s="144" t="str">
        <f>EN_08010</f>
        <v>EN 08010</v>
      </c>
      <c r="D79" s="145" t="s">
        <v>51</v>
      </c>
      <c r="E79" s="145" t="str">
        <f t="shared" si="7"/>
        <v>Cooling System</v>
      </c>
      <c r="F79" s="146" t="str">
        <f>[1]EN_08010!B4</f>
        <v>Secondary Coolant Line</v>
      </c>
      <c r="G79" s="145"/>
      <c r="H79" s="147">
        <f t="shared" si="2"/>
        <v>15.483797116966837</v>
      </c>
      <c r="I79" s="133">
        <f>EN_A0800_q*EN_08010_q</f>
        <v>1</v>
      </c>
      <c r="J79" s="134">
        <f>EN_08010_m</f>
        <v>1.3285971169668374</v>
      </c>
      <c r="K79" s="134">
        <f>EN_08010_p</f>
        <v>9.3552</v>
      </c>
      <c r="L79" s="134">
        <f>EN_08010_f</f>
        <v>4.8</v>
      </c>
      <c r="M79" s="134">
        <v>0</v>
      </c>
      <c r="N79" s="135">
        <f t="shared" si="3"/>
        <v>15.483797116966837</v>
      </c>
      <c r="O79" s="148">
        <v>119</v>
      </c>
    </row>
    <row r="80" spans="1:15" ht="14.4" x14ac:dyDescent="0.3">
      <c r="A80" s="140"/>
      <c r="B80" s="119" t="str">
        <f>[1]EN_A0900!B3</f>
        <v>Engine &amp; Drivetrain</v>
      </c>
      <c r="C80" s="120" t="str">
        <f>EN_A0900</f>
        <v>EN A0900</v>
      </c>
      <c r="D80" s="121" t="s">
        <v>51</v>
      </c>
      <c r="E80" s="121"/>
      <c r="F80" s="122" t="str">
        <f>[1]EN_A0900!B4</f>
        <v>Differential Assembly</v>
      </c>
      <c r="G80" s="121"/>
      <c r="H80" s="123">
        <f t="shared" si="2"/>
        <v>203.88982703267328</v>
      </c>
      <c r="I80" s="124">
        <f>EN_A0900_q</f>
        <v>1</v>
      </c>
      <c r="J80" s="141">
        <f>EN_A0900_m</f>
        <v>180.46876618407356</v>
      </c>
      <c r="K80" s="141">
        <f>EN_A0900_p</f>
        <v>18.487000000000002</v>
      </c>
      <c r="L80" s="141">
        <f>EN_A0900_f</f>
        <v>2.2673941819330707</v>
      </c>
      <c r="M80" s="141">
        <f>EN_A0900_t</f>
        <v>2.6666666666666665</v>
      </c>
      <c r="N80" s="125">
        <f t="shared" si="3"/>
        <v>203.88982703267328</v>
      </c>
      <c r="O80" s="126">
        <v>120</v>
      </c>
    </row>
    <row r="81" spans="1:15" ht="14.4" x14ac:dyDescent="0.3">
      <c r="A81" s="142"/>
      <c r="B81" s="143" t="str">
        <f>[1]EN_09001!$B$3</f>
        <v>Engine &amp; Drivetrain</v>
      </c>
      <c r="C81" s="144" t="str">
        <f>EN_0900_001</f>
        <v>EN 09001</v>
      </c>
      <c r="D81" s="145" t="s">
        <v>51</v>
      </c>
      <c r="E81" s="145" t="str">
        <f t="shared" ref="E81:E89" si="8">F$80</f>
        <v>Differential Assembly</v>
      </c>
      <c r="F81" s="146" t="str">
        <f>[1]EN_09001!B5</f>
        <v>Housing</v>
      </c>
      <c r="G81" s="145"/>
      <c r="H81" s="147">
        <f t="shared" si="2"/>
        <v>125.93892271516907</v>
      </c>
      <c r="I81" s="133">
        <f>EN_A0900_q*EN_0900_001_q</f>
        <v>1</v>
      </c>
      <c r="J81" s="134">
        <f>EN_0900_001_m</f>
        <v>21.413986326151015</v>
      </c>
      <c r="K81" s="134">
        <f>EN_0900_001_p</f>
        <v>101.49</v>
      </c>
      <c r="L81" s="134">
        <f>EN_0900_001_f</f>
        <v>3.0349363890180614</v>
      </c>
      <c r="M81" s="134">
        <v>0</v>
      </c>
      <c r="N81" s="135">
        <f t="shared" si="3"/>
        <v>125.93892271516907</v>
      </c>
      <c r="O81" s="148">
        <v>122</v>
      </c>
    </row>
    <row r="82" spans="1:15" ht="14.4" x14ac:dyDescent="0.3">
      <c r="A82" s="142"/>
      <c r="B82" s="143" t="str">
        <f>[1]EN_09001!$B$3</f>
        <v>Engine &amp; Drivetrain</v>
      </c>
      <c r="C82" s="144" t="str">
        <f>EN_0900_002</f>
        <v>EN 09002</v>
      </c>
      <c r="D82" s="145" t="s">
        <v>51</v>
      </c>
      <c r="E82" s="145" t="str">
        <f t="shared" si="8"/>
        <v>Differential Assembly</v>
      </c>
      <c r="F82" s="146" t="str">
        <f>[1]EN_09002!B5</f>
        <v>Left Eccentric</v>
      </c>
      <c r="G82" s="145"/>
      <c r="H82" s="147">
        <f t="shared" si="2"/>
        <v>10.904564699673662</v>
      </c>
      <c r="I82" s="133">
        <f>EN_A0900_q*EN_0900_002_q</f>
        <v>1</v>
      </c>
      <c r="J82" s="134">
        <f>EN_0900_002_m</f>
        <v>2.5923646996736607</v>
      </c>
      <c r="K82" s="134">
        <f>EN_0900_002_p</f>
        <v>8.3122000000000007</v>
      </c>
      <c r="L82" s="134">
        <v>0</v>
      </c>
      <c r="M82" s="134">
        <v>0</v>
      </c>
      <c r="N82" s="135">
        <f t="shared" si="3"/>
        <v>10.904564699673662</v>
      </c>
      <c r="O82" s="148">
        <v>123</v>
      </c>
    </row>
    <row r="83" spans="1:15" ht="14.4" x14ac:dyDescent="0.3">
      <c r="A83" s="142"/>
      <c r="B83" s="143" t="str">
        <f>[1]EN_09001!$B$3</f>
        <v>Engine &amp; Drivetrain</v>
      </c>
      <c r="C83" s="144" t="str">
        <f>EN_0900_003</f>
        <v>EN 09003</v>
      </c>
      <c r="D83" s="145" t="s">
        <v>51</v>
      </c>
      <c r="E83" s="145" t="str">
        <f t="shared" si="8"/>
        <v>Differential Assembly</v>
      </c>
      <c r="F83" s="146" t="str">
        <f>[1]EN_09003!B5</f>
        <v>Right Eccentric</v>
      </c>
      <c r="G83" s="145"/>
      <c r="H83" s="147">
        <f t="shared" si="2"/>
        <v>8.5389646196590014</v>
      </c>
      <c r="I83" s="133">
        <f>EN_A0900_q*EN_0900_003_q</f>
        <v>1</v>
      </c>
      <c r="J83" s="134">
        <f>EN_0900_003_m</f>
        <v>2.0039646196590013</v>
      </c>
      <c r="K83" s="134">
        <f>EN_0900_003_p</f>
        <v>6.5350000000000001</v>
      </c>
      <c r="L83" s="134">
        <v>0</v>
      </c>
      <c r="M83" s="134">
        <v>0</v>
      </c>
      <c r="N83" s="135">
        <f t="shared" si="3"/>
        <v>8.5389646196590014</v>
      </c>
      <c r="O83" s="148">
        <v>125</v>
      </c>
    </row>
    <row r="84" spans="1:15" ht="14.4" x14ac:dyDescent="0.3">
      <c r="A84" s="142"/>
      <c r="B84" s="143" t="str">
        <f>[1]EN_09001!$B$3</f>
        <v>Engine &amp; Drivetrain</v>
      </c>
      <c r="C84" s="144" t="str">
        <f>EN_0900_004</f>
        <v>EN 09004</v>
      </c>
      <c r="D84" s="145" t="s">
        <v>51</v>
      </c>
      <c r="E84" s="145" t="str">
        <f t="shared" si="8"/>
        <v>Differential Assembly</v>
      </c>
      <c r="F84" s="146" t="str">
        <f>[1]EN_09004!B5</f>
        <v>Left Eccentric carrier</v>
      </c>
      <c r="G84" s="145"/>
      <c r="H84" s="147">
        <f t="shared" si="2"/>
        <v>23.956417471999998</v>
      </c>
      <c r="I84" s="133">
        <f>EN_A0900_q*EN_0900_004_q</f>
        <v>1</v>
      </c>
      <c r="J84" s="134">
        <f>EN_0900_004_m</f>
        <v>7.7532174719999993</v>
      </c>
      <c r="K84" s="134">
        <f>EN_0900_004_p</f>
        <v>16.203199999999999</v>
      </c>
      <c r="L84" s="134">
        <v>0</v>
      </c>
      <c r="M84" s="134">
        <v>0</v>
      </c>
      <c r="N84" s="135">
        <f t="shared" si="3"/>
        <v>23.956417471999998</v>
      </c>
      <c r="O84" s="148">
        <v>127</v>
      </c>
    </row>
    <row r="85" spans="1:15" ht="14.4" x14ac:dyDescent="0.3">
      <c r="A85" s="142"/>
      <c r="B85" s="143" t="str">
        <f>[1]EN_09001!$B$3</f>
        <v>Engine &amp; Drivetrain</v>
      </c>
      <c r="C85" s="144" t="str">
        <f>EN_0900_005</f>
        <v>EN 09005</v>
      </c>
      <c r="D85" s="145" t="s">
        <v>51</v>
      </c>
      <c r="E85" s="145" t="str">
        <f t="shared" si="8"/>
        <v>Differential Assembly</v>
      </c>
      <c r="F85" s="146" t="str">
        <f>[1]EN_09005!B5</f>
        <v>Right Eccentric carrier</v>
      </c>
      <c r="G85" s="145"/>
      <c r="H85" s="147">
        <f t="shared" si="2"/>
        <v>17.198412672</v>
      </c>
      <c r="I85" s="133">
        <f>EN_A0900_q*EN_0900_005_q</f>
        <v>1</v>
      </c>
      <c r="J85" s="134">
        <f>EN_0900_005_m</f>
        <v>5.6232126720000002</v>
      </c>
      <c r="K85" s="134">
        <f>EN_0900_005_p</f>
        <v>11.575200000000001</v>
      </c>
      <c r="L85" s="134">
        <v>0</v>
      </c>
      <c r="M85" s="134">
        <v>0</v>
      </c>
      <c r="N85" s="135">
        <f t="shared" si="3"/>
        <v>17.198412672</v>
      </c>
      <c r="O85" s="148">
        <v>129</v>
      </c>
    </row>
    <row r="86" spans="1:15" ht="14.4" x14ac:dyDescent="0.3">
      <c r="A86" s="142"/>
      <c r="B86" s="143" t="str">
        <f>[1]EN_09001!$B$3</f>
        <v>Engine &amp; Drivetrain</v>
      </c>
      <c r="C86" s="144" t="str">
        <f>EN_0900_006</f>
        <v>EN 09006</v>
      </c>
      <c r="D86" s="145" t="s">
        <v>51</v>
      </c>
      <c r="E86" s="145" t="str">
        <f t="shared" si="8"/>
        <v>Differential Assembly</v>
      </c>
      <c r="F86" s="146" t="str">
        <f>[1]EN_09006!B5</f>
        <v>Upper Eccentric Carrier bracket</v>
      </c>
      <c r="G86" s="145"/>
      <c r="H86" s="147">
        <f t="shared" si="2"/>
        <v>0.99587245000000002</v>
      </c>
      <c r="I86" s="133">
        <f>EN_A0900_q*EN_0900_006_q</f>
        <v>4</v>
      </c>
      <c r="J86" s="134">
        <f>EN_0900_006_m</f>
        <v>8.287245E-2</v>
      </c>
      <c r="K86" s="134">
        <f>EN_0900_006_p</f>
        <v>0.91300000000000003</v>
      </c>
      <c r="L86" s="134">
        <v>0</v>
      </c>
      <c r="M86" s="134">
        <v>0</v>
      </c>
      <c r="N86" s="135">
        <f t="shared" si="3"/>
        <v>3.9834898000000001</v>
      </c>
      <c r="O86" s="148">
        <v>131</v>
      </c>
    </row>
    <row r="87" spans="1:15" ht="14.4" x14ac:dyDescent="0.3">
      <c r="A87" s="142"/>
      <c r="B87" s="143" t="str">
        <f>[1]EN_09001!$B$3</f>
        <v>Engine &amp; Drivetrain</v>
      </c>
      <c r="C87" s="144" t="str">
        <f>EN_0900_007</f>
        <v>EN 09007</v>
      </c>
      <c r="D87" s="145" t="s">
        <v>51</v>
      </c>
      <c r="E87" s="145" t="str">
        <f t="shared" si="8"/>
        <v>Differential Assembly</v>
      </c>
      <c r="F87" s="146" t="str">
        <f>[1]EN_09007!B5</f>
        <v>Lower Eccentric Carrier bracket</v>
      </c>
      <c r="G87" s="145"/>
      <c r="H87" s="147">
        <f t="shared" ref="H87:H101" si="9">SUM(J87:M87)</f>
        <v>0.96928532500000009</v>
      </c>
      <c r="I87" s="133">
        <f>EN_A0900_q*EN_0900_007_q</f>
        <v>4</v>
      </c>
      <c r="J87" s="134">
        <f>EN_0900_007_m</f>
        <v>7.0685324999999993E-2</v>
      </c>
      <c r="K87" s="134">
        <f>EN_0900_007_p</f>
        <v>0.89860000000000007</v>
      </c>
      <c r="L87" s="134">
        <v>0</v>
      </c>
      <c r="M87" s="134">
        <v>0</v>
      </c>
      <c r="N87" s="135">
        <f t="shared" ref="N87:N101" si="10">H87*I87</f>
        <v>3.8771413000000003</v>
      </c>
      <c r="O87" s="148">
        <v>132</v>
      </c>
    </row>
    <row r="88" spans="1:15" ht="14.4" x14ac:dyDescent="0.3">
      <c r="A88" s="142"/>
      <c r="B88" s="143" t="str">
        <f>[1]EN_09001!$B$3</f>
        <v>Engine &amp; Drivetrain</v>
      </c>
      <c r="C88" s="144" t="str">
        <f>EN_0900_008</f>
        <v>EN 09008</v>
      </c>
      <c r="D88" s="145" t="s">
        <v>51</v>
      </c>
      <c r="E88" s="145" t="str">
        <f t="shared" si="8"/>
        <v>Differential Assembly</v>
      </c>
      <c r="F88" s="146" t="str">
        <f>[1]EN_09008!B5</f>
        <v>Left Jacking Bar bracket</v>
      </c>
      <c r="G88" s="145"/>
      <c r="H88" s="147">
        <f t="shared" si="9"/>
        <v>2.2021247500000003</v>
      </c>
      <c r="I88" s="133">
        <f>EN_A0900_q*EN_0900_008_q</f>
        <v>1</v>
      </c>
      <c r="J88" s="134">
        <f>EN_0900_008_m</f>
        <v>0.14942475</v>
      </c>
      <c r="K88" s="134">
        <f>EN_0900_008_p</f>
        <v>2.0527000000000002</v>
      </c>
      <c r="L88" s="134">
        <v>0</v>
      </c>
      <c r="M88" s="134">
        <v>0</v>
      </c>
      <c r="N88" s="135">
        <f t="shared" si="10"/>
        <v>2.2021247500000003</v>
      </c>
      <c r="O88" s="148">
        <v>135</v>
      </c>
    </row>
    <row r="89" spans="1:15" ht="14.4" x14ac:dyDescent="0.3">
      <c r="A89" s="142"/>
      <c r="B89" s="143" t="str">
        <f>[1]EN_09001!$B$3</f>
        <v>Engine &amp; Drivetrain</v>
      </c>
      <c r="C89" s="144" t="str">
        <f>EN_0900_009</f>
        <v>EN 09009</v>
      </c>
      <c r="D89" s="145" t="s">
        <v>51</v>
      </c>
      <c r="E89" s="145" t="str">
        <f t="shared" si="8"/>
        <v>Differential Assembly</v>
      </c>
      <c r="F89" s="146" t="str">
        <f>[1]EN_09009!B5</f>
        <v>Right Jacking Bar bracket</v>
      </c>
      <c r="G89" s="145"/>
      <c r="H89" s="147">
        <f t="shared" si="9"/>
        <v>2.2130151625000001</v>
      </c>
      <c r="I89" s="133">
        <f>EN_A0900_q*EN_0900_009_q</f>
        <v>1</v>
      </c>
      <c r="J89" s="134">
        <f>EN_0900_009_m</f>
        <v>0.15191516250000001</v>
      </c>
      <c r="K89" s="134">
        <f>EN_0900_009_p</f>
        <v>2.0611000000000002</v>
      </c>
      <c r="L89" s="134">
        <v>0</v>
      </c>
      <c r="M89" s="134">
        <v>0</v>
      </c>
      <c r="N89" s="135">
        <f t="shared" si="10"/>
        <v>2.2130151625000001</v>
      </c>
      <c r="O89" s="148">
        <v>137</v>
      </c>
    </row>
    <row r="90" spans="1:15" ht="14.4" x14ac:dyDescent="0.3">
      <c r="A90" s="140"/>
      <c r="B90" s="119" t="str">
        <f>[1]EN_A1000!B3</f>
        <v>Engine &amp; Drivetrain</v>
      </c>
      <c r="C90" s="120" t="str">
        <f>[1]EN_A1000!B5</f>
        <v>EN A1000</v>
      </c>
      <c r="D90" s="121" t="s">
        <v>51</v>
      </c>
      <c r="E90" s="121"/>
      <c r="F90" s="122" t="str">
        <f>[1]EN_A1000!B4</f>
        <v>Driveshaft</v>
      </c>
      <c r="G90" s="121"/>
      <c r="H90" s="123">
        <f t="shared" si="9"/>
        <v>223.03216066177703</v>
      </c>
      <c r="I90" s="124">
        <f>EN_A1000_q</f>
        <v>1</v>
      </c>
      <c r="J90" s="141">
        <f>EN_A1000_m</f>
        <v>200</v>
      </c>
      <c r="K90" s="141">
        <f>EN_A1000_p</f>
        <v>15.54</v>
      </c>
      <c r="L90" s="141">
        <f>EN_A1000_f</f>
        <v>7.492160661777044</v>
      </c>
      <c r="M90" s="141">
        <v>0</v>
      </c>
      <c r="N90" s="125">
        <f t="shared" si="10"/>
        <v>223.03216066177703</v>
      </c>
      <c r="O90" s="126">
        <v>139</v>
      </c>
    </row>
    <row r="91" spans="1:15" ht="14.4" x14ac:dyDescent="0.3">
      <c r="A91" s="142"/>
      <c r="B91" s="143" t="str">
        <f>[1]EN_10001!$B$3</f>
        <v>Engine &amp; Drivetrain</v>
      </c>
      <c r="C91" s="144" t="str">
        <f>EN_1000_001</f>
        <v>EN 10001</v>
      </c>
      <c r="D91" s="145" t="s">
        <v>51</v>
      </c>
      <c r="E91" s="145" t="str">
        <f>F$90</f>
        <v>Driveshaft</v>
      </c>
      <c r="F91" s="146" t="str">
        <f>[1]EN_10001!B5</f>
        <v>Inboard tripod housing</v>
      </c>
      <c r="G91" s="145"/>
      <c r="H91" s="147">
        <f t="shared" si="9"/>
        <v>66.549787154500507</v>
      </c>
      <c r="I91" s="133">
        <f>EN_A1000_q*EN_1000_001_q</f>
        <v>2</v>
      </c>
      <c r="J91" s="134">
        <f>EN_1000_001_m</f>
        <v>9.224787154500504</v>
      </c>
      <c r="K91" s="134">
        <f>EN_1000_001_p</f>
        <v>57.324999999999996</v>
      </c>
      <c r="L91" s="134">
        <v>0</v>
      </c>
      <c r="M91" s="134">
        <v>0</v>
      </c>
      <c r="N91" s="135">
        <f t="shared" si="10"/>
        <v>133.09957430900101</v>
      </c>
      <c r="O91" s="148">
        <v>140</v>
      </c>
    </row>
    <row r="92" spans="1:15" ht="14.4" x14ac:dyDescent="0.3">
      <c r="A92" s="142"/>
      <c r="B92" s="143" t="str">
        <f>[1]EN_10001!$B$3</f>
        <v>Engine &amp; Drivetrain</v>
      </c>
      <c r="C92" s="144" t="str">
        <f>EN_1000_002</f>
        <v>EN 10002</v>
      </c>
      <c r="D92" s="145" t="s">
        <v>51</v>
      </c>
      <c r="E92" s="145" t="str">
        <f>F$90</f>
        <v>Driveshaft</v>
      </c>
      <c r="F92" s="146" t="str">
        <f>[1]EN_10002!B5</f>
        <v>Outboard tripod housing</v>
      </c>
      <c r="G92" s="145"/>
      <c r="H92" s="147">
        <f t="shared" si="9"/>
        <v>72.275200595774251</v>
      </c>
      <c r="I92" s="133">
        <f>EN_A1000_q*EN_1000_002_q</f>
        <v>2</v>
      </c>
      <c r="J92" s="134">
        <f>EN_1000_002_m</f>
        <v>9.6278805957742595</v>
      </c>
      <c r="K92" s="134">
        <f>EN_1000_002_p</f>
        <v>62.647319999999993</v>
      </c>
      <c r="L92" s="134">
        <v>0</v>
      </c>
      <c r="M92" s="134">
        <v>0</v>
      </c>
      <c r="N92" s="135">
        <f t="shared" si="10"/>
        <v>144.5504011915485</v>
      </c>
      <c r="O92" s="148">
        <v>141</v>
      </c>
    </row>
    <row r="93" spans="1:15" ht="14.4" x14ac:dyDescent="0.3">
      <c r="A93" s="142"/>
      <c r="B93" s="143" t="str">
        <f>[1]EN_10001!$B$3</f>
        <v>Engine &amp; Drivetrain</v>
      </c>
      <c r="C93" s="144" t="str">
        <f>EN_1000_003</f>
        <v>EN 10003</v>
      </c>
      <c r="D93" s="145" t="s">
        <v>51</v>
      </c>
      <c r="E93" s="145" t="str">
        <f>F$90</f>
        <v>Driveshaft</v>
      </c>
      <c r="F93" s="146" t="str">
        <f>[1]EN_10003!B5</f>
        <v>Left Axle</v>
      </c>
      <c r="G93" s="145"/>
      <c r="H93" s="147">
        <f t="shared" si="9"/>
        <v>16.43313830045987</v>
      </c>
      <c r="I93" s="133">
        <f>EN_A1000_q*EN_1000_003_q</f>
        <v>1</v>
      </c>
      <c r="J93" s="134">
        <f>EN_1000_003_m</f>
        <v>2.58137785047247</v>
      </c>
      <c r="K93" s="134">
        <f>EN_1000_003_p</f>
        <v>13.851760449987401</v>
      </c>
      <c r="L93" s="134">
        <v>0</v>
      </c>
      <c r="M93" s="134">
        <v>0</v>
      </c>
      <c r="N93" s="135">
        <f t="shared" si="10"/>
        <v>16.43313830045987</v>
      </c>
      <c r="O93" s="148">
        <v>142</v>
      </c>
    </row>
    <row r="94" spans="1:15" ht="14.4" x14ac:dyDescent="0.3">
      <c r="A94" s="169"/>
      <c r="B94" s="151" t="str">
        <f>[1]EN_10001!$B$3</f>
        <v>Engine &amp; Drivetrain</v>
      </c>
      <c r="C94" s="170" t="str">
        <f>EN_1000_004</f>
        <v>EN 10004</v>
      </c>
      <c r="D94" s="171" t="s">
        <v>51</v>
      </c>
      <c r="E94" s="153" t="str">
        <f>F$90</f>
        <v>Driveshaft</v>
      </c>
      <c r="F94" s="172" t="str">
        <f>[1]EN_10004!B5</f>
        <v>Right Axle</v>
      </c>
      <c r="G94" s="171"/>
      <c r="H94" s="155">
        <f t="shared" si="9"/>
        <v>17.337133082722115</v>
      </c>
      <c r="I94" s="156">
        <f>EN_A1000_q*EN_1000_004_q</f>
        <v>1</v>
      </c>
      <c r="J94" s="157">
        <f>EN_1000_004_m</f>
        <v>2.9255615638687997</v>
      </c>
      <c r="K94" s="157">
        <f>EN_1000_004_p</f>
        <v>14.411571518853314</v>
      </c>
      <c r="L94" s="157">
        <v>0</v>
      </c>
      <c r="M94" s="157">
        <v>0</v>
      </c>
      <c r="N94" s="158">
        <f t="shared" si="10"/>
        <v>17.337133082722115</v>
      </c>
      <c r="O94" s="159">
        <v>144</v>
      </c>
    </row>
    <row r="95" spans="1:15" ht="14.4" x14ac:dyDescent="0.3">
      <c r="A95" s="140"/>
      <c r="B95" s="119" t="str">
        <f>[1]EN_A1100!B3</f>
        <v>Engine &amp; Drivetrain</v>
      </c>
      <c r="C95" s="120" t="str">
        <f>EN_A1100</f>
        <v>EN A1100</v>
      </c>
      <c r="D95" s="121" t="s">
        <v>51</v>
      </c>
      <c r="E95" s="121"/>
      <c r="F95" s="122" t="str">
        <f>[1]EN_A1100!B4</f>
        <v>Chain Set</v>
      </c>
      <c r="G95" s="121"/>
      <c r="H95" s="173">
        <f t="shared" si="9"/>
        <v>25.137729239533723</v>
      </c>
      <c r="I95" s="124">
        <f>EN_A1100_q</f>
        <v>1</v>
      </c>
      <c r="J95" s="141">
        <f>EN_A1100_m</f>
        <v>2.1800000000000002</v>
      </c>
      <c r="K95" s="141">
        <f>EN_A1100_p</f>
        <v>17.709499999999998</v>
      </c>
      <c r="L95" s="141">
        <f>EN_A1100_f</f>
        <v>2.5815625728670586</v>
      </c>
      <c r="M95" s="141">
        <f>EN_A1100_t</f>
        <v>2.6666666666666665</v>
      </c>
      <c r="N95" s="174">
        <f t="shared" si="10"/>
        <v>25.137729239533723</v>
      </c>
      <c r="O95" s="126">
        <v>146</v>
      </c>
    </row>
    <row r="96" spans="1:15" ht="14.4" x14ac:dyDescent="0.3">
      <c r="A96" s="142"/>
      <c r="B96" s="143" t="str">
        <f>[1]EN_A1100!$B$3</f>
        <v>Engine &amp; Drivetrain</v>
      </c>
      <c r="C96" s="144" t="str">
        <f>EN_1100_001</f>
        <v>EN 11001</v>
      </c>
      <c r="D96" s="145" t="s">
        <v>51</v>
      </c>
      <c r="E96" s="145" t="str">
        <f t="shared" ref="E96:E101" si="11">F$95</f>
        <v>Chain Set</v>
      </c>
      <c r="F96" s="146" t="str">
        <f>[1]EN_11001!B5</f>
        <v>Front sprocket</v>
      </c>
      <c r="G96" s="145"/>
      <c r="H96" s="155">
        <f t="shared" si="9"/>
        <v>24.754258243942196</v>
      </c>
      <c r="I96" s="133">
        <f>EN_A1100_q*EN_1100_001_q</f>
        <v>1</v>
      </c>
      <c r="J96" s="134">
        <f>EN_1100_001_m</f>
        <v>1.519947422111005</v>
      </c>
      <c r="K96" s="134">
        <f>EN_1100_001_p</f>
        <v>23.23431082183119</v>
      </c>
      <c r="L96" s="134">
        <v>0</v>
      </c>
      <c r="M96" s="134">
        <v>0</v>
      </c>
      <c r="N96" s="158">
        <f t="shared" si="10"/>
        <v>24.754258243942196</v>
      </c>
      <c r="O96" s="148">
        <v>148</v>
      </c>
    </row>
    <row r="97" spans="1:15" ht="14.4" x14ac:dyDescent="0.3">
      <c r="A97" s="142"/>
      <c r="B97" s="143" t="str">
        <f>[1]EN_A1100!$B$3</f>
        <v>Engine &amp; Drivetrain</v>
      </c>
      <c r="C97" s="144" t="str">
        <f>EN_1100_002</f>
        <v>EN 11002</v>
      </c>
      <c r="D97" s="145" t="s">
        <v>51</v>
      </c>
      <c r="E97" s="145" t="str">
        <f t="shared" si="11"/>
        <v>Chain Set</v>
      </c>
      <c r="F97" s="146" t="str">
        <f>[1]EN_11002!B5</f>
        <v>Rear sprocket</v>
      </c>
      <c r="G97" s="145"/>
      <c r="H97" s="155">
        <f t="shared" si="9"/>
        <v>41.802269960952131</v>
      </c>
      <c r="I97" s="133">
        <f>EN_A1100_q*EN_1100_002_q</f>
        <v>1</v>
      </c>
      <c r="J97" s="134">
        <f>EN_1100_002_m</f>
        <v>3.0587969609521379</v>
      </c>
      <c r="K97" s="134">
        <f>EN_1100_002_p</f>
        <v>38.743472999999994</v>
      </c>
      <c r="L97" s="134">
        <v>0</v>
      </c>
      <c r="M97" s="134">
        <v>0</v>
      </c>
      <c r="N97" s="158">
        <f t="shared" si="10"/>
        <v>41.802269960952131</v>
      </c>
      <c r="O97" s="148">
        <v>149</v>
      </c>
    </row>
    <row r="98" spans="1:15" ht="14.4" x14ac:dyDescent="0.3">
      <c r="A98" s="142"/>
      <c r="B98" s="143" t="str">
        <f>[1]EN_A1100!$B$3</f>
        <v>Engine &amp; Drivetrain</v>
      </c>
      <c r="C98" s="144" t="str">
        <f>EN_1100_003</f>
        <v>EN 11003</v>
      </c>
      <c r="D98" s="145" t="s">
        <v>51</v>
      </c>
      <c r="E98" s="145" t="str">
        <f t="shared" si="11"/>
        <v>Chain Set</v>
      </c>
      <c r="F98" s="146" t="str">
        <f>[1]EN_11003!B5</f>
        <v>Rear sprocket adaptor</v>
      </c>
      <c r="G98" s="145"/>
      <c r="H98" s="155">
        <f t="shared" si="9"/>
        <v>29.160865459581132</v>
      </c>
      <c r="I98" s="133">
        <f>EN_A1100_q*EN_1100_003_q</f>
        <v>1</v>
      </c>
      <c r="J98" s="134">
        <f>EN_1100_003_m</f>
        <v>8.7196654595811296</v>
      </c>
      <c r="K98" s="134">
        <f>EN_1100_003_p</f>
        <v>20.441200000000002</v>
      </c>
      <c r="L98" s="134">
        <v>0</v>
      </c>
      <c r="M98" s="134">
        <v>0</v>
      </c>
      <c r="N98" s="158">
        <f t="shared" si="10"/>
        <v>29.160865459581132</v>
      </c>
      <c r="O98" s="148">
        <v>150</v>
      </c>
    </row>
    <row r="99" spans="1:15" ht="14.4" x14ac:dyDescent="0.3">
      <c r="A99" s="142"/>
      <c r="B99" s="143" t="str">
        <f>[1]EN_A1100!$B$3</f>
        <v>Engine &amp; Drivetrain</v>
      </c>
      <c r="C99" s="144" t="str">
        <f>EN_1100_004</f>
        <v>EN 11004</v>
      </c>
      <c r="D99" s="145" t="s">
        <v>51</v>
      </c>
      <c r="E99" s="145" t="str">
        <f t="shared" si="11"/>
        <v>Chain Set</v>
      </c>
      <c r="F99" s="146" t="str">
        <f>[1]EN_11004!B5</f>
        <v>Chain shield</v>
      </c>
      <c r="G99" s="145"/>
      <c r="H99" s="155">
        <f t="shared" si="9"/>
        <v>9.0978820921659498</v>
      </c>
      <c r="I99" s="133">
        <f>EN_A1100_q*EN_1100_004_q</f>
        <v>1</v>
      </c>
      <c r="J99" s="134">
        <f>EN_1100_004_m</f>
        <v>3.3131600921659494</v>
      </c>
      <c r="K99" s="134">
        <f>EN_1100_004_p</f>
        <v>5.7847220000000004</v>
      </c>
      <c r="L99" s="134">
        <v>0</v>
      </c>
      <c r="M99" s="134">
        <v>0</v>
      </c>
      <c r="N99" s="158">
        <f t="shared" si="10"/>
        <v>9.0978820921659498</v>
      </c>
      <c r="O99" s="148">
        <v>152</v>
      </c>
    </row>
    <row r="100" spans="1:15" ht="14.4" x14ac:dyDescent="0.3">
      <c r="A100" s="142"/>
      <c r="B100" s="143" t="str">
        <f>[1]EN_A1100!$B$3</f>
        <v>Engine &amp; Drivetrain</v>
      </c>
      <c r="C100" s="144" t="str">
        <f>EN_1100_005</f>
        <v>EN 11005</v>
      </c>
      <c r="D100" s="145" t="s">
        <v>51</v>
      </c>
      <c r="E100" s="145" t="str">
        <f t="shared" si="11"/>
        <v>Chain Set</v>
      </c>
      <c r="F100" s="146" t="str">
        <f>[1]EN_11005!B5</f>
        <v>Upper chainshield bracket</v>
      </c>
      <c r="G100" s="145"/>
      <c r="H100" s="155">
        <f t="shared" si="9"/>
        <v>1.7144014375000001</v>
      </c>
      <c r="I100" s="133">
        <f>EN_A1100_q*EN_1100_005_q</f>
        <v>1</v>
      </c>
      <c r="J100" s="134">
        <f>EN_1100_005_m</f>
        <v>4.0535437499999993E-2</v>
      </c>
      <c r="K100" s="134">
        <f>EN_1100_005_p</f>
        <v>1.6738660000000001</v>
      </c>
      <c r="L100" s="134">
        <v>0</v>
      </c>
      <c r="M100" s="134">
        <v>0</v>
      </c>
      <c r="N100" s="158">
        <f t="shared" si="10"/>
        <v>1.7144014375000001</v>
      </c>
      <c r="O100" s="148">
        <v>154</v>
      </c>
    </row>
    <row r="101" spans="1:15" ht="15" thickBot="1" x14ac:dyDescent="0.35">
      <c r="A101" s="169"/>
      <c r="B101" s="143" t="str">
        <f>[1]EN_A1100!$B$3</f>
        <v>Engine &amp; Drivetrain</v>
      </c>
      <c r="C101" s="170" t="str">
        <f>EN_1100_006</f>
        <v>EN 11006</v>
      </c>
      <c r="D101" s="145" t="s">
        <v>51</v>
      </c>
      <c r="E101" s="145" t="str">
        <f t="shared" si="11"/>
        <v>Chain Set</v>
      </c>
      <c r="F101" s="172" t="str">
        <f>[1]EN_11006!B5</f>
        <v>Lower chainshield bracket</v>
      </c>
      <c r="G101" s="171"/>
      <c r="H101" s="155">
        <f t="shared" si="9"/>
        <v>1.7139456024999999</v>
      </c>
      <c r="I101" s="133">
        <f>EN_A1100_q*EN_1100_006_q</f>
        <v>1</v>
      </c>
      <c r="J101" s="134">
        <f>EN_1100_006_m</f>
        <v>3.7292602500000001E-2</v>
      </c>
      <c r="K101" s="134">
        <f>EN_1100_006_p</f>
        <v>1.6766529999999999</v>
      </c>
      <c r="L101" s="134">
        <v>0</v>
      </c>
      <c r="M101" s="134">
        <v>0</v>
      </c>
      <c r="N101" s="158">
        <f t="shared" si="10"/>
        <v>1.7139456024999999</v>
      </c>
      <c r="O101" s="175">
        <v>156</v>
      </c>
    </row>
    <row r="102" spans="1:15" s="117" customFormat="1" ht="14.4" thickBot="1" x14ac:dyDescent="0.3">
      <c r="A102" s="176"/>
      <c r="B102" s="177" t="str">
        <f>'[1]EN A0200'!B3</f>
        <v>Engine and Drivetrain</v>
      </c>
      <c r="C102" s="178"/>
      <c r="D102" s="178"/>
      <c r="E102" s="178"/>
      <c r="F102" s="177" t="s">
        <v>52</v>
      </c>
      <c r="G102" s="178"/>
      <c r="H102" s="179"/>
      <c r="I102" s="180"/>
      <c r="J102" s="181">
        <f>SUMPRODUCT($I23:$I101,J23:J101)</f>
        <v>2652.4000925529185</v>
      </c>
      <c r="K102" s="181">
        <f>SUMPRODUCT($I23:$I101,K23:K101)</f>
        <v>1465.8629070873462</v>
      </c>
      <c r="L102" s="181">
        <f>SUMPRODUCT($I23:$I101,L23:L101)</f>
        <v>54.225440540151354</v>
      </c>
      <c r="M102" s="181">
        <f>SUMPRODUCT($I23:$I101,M23:M101)</f>
        <v>32.704000000000001</v>
      </c>
      <c r="N102" s="181">
        <f>SUM(N23:N101)</f>
        <v>4205.1924401804181</v>
      </c>
      <c r="O102" s="182"/>
    </row>
    <row r="103" spans="1:15" ht="14.4" x14ac:dyDescent="0.3">
      <c r="A103" s="183"/>
      <c r="B103" s="184" t="str">
        <f>'[1]FR A0100'!B3</f>
        <v>Frame and Body</v>
      </c>
      <c r="C103" s="185" t="str">
        <f>FR_A0001</f>
        <v>FR A0100</v>
      </c>
      <c r="D103" s="185" t="s">
        <v>51</v>
      </c>
      <c r="E103" s="185"/>
      <c r="F103" s="186" t="str">
        <f>'[1]FR A0100'!B4</f>
        <v>Frame</v>
      </c>
      <c r="G103" s="185"/>
      <c r="H103" s="187">
        <f>SUM(J103:M103)</f>
        <v>639.85083333333341</v>
      </c>
      <c r="I103" s="188">
        <f>FR_A0001_q</f>
        <v>1</v>
      </c>
      <c r="J103" s="189">
        <f>FR_A0001_m</f>
        <v>30.7</v>
      </c>
      <c r="K103" s="189">
        <f>FR_A0001_p</f>
        <v>538.61749999999995</v>
      </c>
      <c r="L103" s="189">
        <f>FR_A0001_f</f>
        <v>3.2</v>
      </c>
      <c r="M103" s="189">
        <f>FR_A0001_t</f>
        <v>67.333333333333343</v>
      </c>
      <c r="N103" s="190">
        <f>H103*I103</f>
        <v>639.85083333333341</v>
      </c>
      <c r="O103" s="191">
        <v>159</v>
      </c>
    </row>
    <row r="104" spans="1:15" ht="14.4" x14ac:dyDescent="0.3">
      <c r="A104" s="192"/>
      <c r="B104" s="193" t="str">
        <f>'[1]FR A0100'!B3</f>
        <v>Frame and Body</v>
      </c>
      <c r="C104" s="194" t="str">
        <f>FR_01001</f>
        <v>FR 01001</v>
      </c>
      <c r="D104" s="195" t="s">
        <v>51</v>
      </c>
      <c r="E104" s="195" t="str">
        <f>F$103</f>
        <v>Frame</v>
      </c>
      <c r="F104" s="196" t="str">
        <f>'[1]FR 01001'!B5</f>
        <v>Bend Round steel tubing</v>
      </c>
      <c r="G104" s="195"/>
      <c r="H104" s="197">
        <f>SUM(J104:M104)</f>
        <v>23.75227908990254</v>
      </c>
      <c r="I104" s="198">
        <f>FR_A0001_q*FR_01001_q</f>
        <v>1</v>
      </c>
      <c r="J104" s="199">
        <f>FR_01001_m</f>
        <v>12.802279089902541</v>
      </c>
      <c r="K104" s="199">
        <f>FR_01001_p</f>
        <v>10.95</v>
      </c>
      <c r="L104" s="199">
        <v>0</v>
      </c>
      <c r="M104" s="199">
        <v>0</v>
      </c>
      <c r="N104" s="200">
        <f>H104*I104</f>
        <v>23.75227908990254</v>
      </c>
      <c r="O104" s="201">
        <v>160</v>
      </c>
    </row>
    <row r="105" spans="1:15" ht="14.4" x14ac:dyDescent="0.3">
      <c r="A105" s="192"/>
      <c r="B105" s="193" t="str">
        <f>'[1]FR A0100'!$B$3</f>
        <v>Frame and Body</v>
      </c>
      <c r="C105" s="194" t="str">
        <f>FR_01002</f>
        <v>FR 01002</v>
      </c>
      <c r="D105" s="195" t="s">
        <v>51</v>
      </c>
      <c r="E105" s="195" t="str">
        <f t="shared" ref="E105:E107" si="12">F$103</f>
        <v>Frame</v>
      </c>
      <c r="F105" s="196" t="str">
        <f>'[1]FR 01002'!B5</f>
        <v>Straight round steel tubing</v>
      </c>
      <c r="G105" s="195"/>
      <c r="H105" s="197">
        <f>SUM(J105:M105)</f>
        <v>256.00709925461638</v>
      </c>
      <c r="I105" s="198">
        <f>FR_A0001_q*FR_01002_q</f>
        <v>1</v>
      </c>
      <c r="J105" s="199">
        <f>FR_01002_m</f>
        <v>70.758699254616374</v>
      </c>
      <c r="K105" s="199">
        <f>FR_01002_p</f>
        <v>185.2484</v>
      </c>
      <c r="L105" s="199">
        <v>0</v>
      </c>
      <c r="M105" s="199">
        <v>0</v>
      </c>
      <c r="N105" s="200">
        <f>H105*I105</f>
        <v>256.00709925461638</v>
      </c>
      <c r="O105" s="201">
        <v>161</v>
      </c>
    </row>
    <row r="106" spans="1:15" ht="14.4" x14ac:dyDescent="0.3">
      <c r="A106" s="192"/>
      <c r="B106" s="193" t="str">
        <f>'[1]FR A0100'!$B$3</f>
        <v>Frame and Body</v>
      </c>
      <c r="C106" s="194" t="str">
        <f>FR_01003</f>
        <v>FR 01003</v>
      </c>
      <c r="D106" s="195" t="s">
        <v>51</v>
      </c>
      <c r="E106" s="195" t="str">
        <f t="shared" si="12"/>
        <v>Frame</v>
      </c>
      <c r="F106" s="196" t="str">
        <f>'[1]FR 01003'!B5</f>
        <v>Ant-intrusion plate</v>
      </c>
      <c r="G106" s="195"/>
      <c r="H106" s="197">
        <f>SUM(J106:M106)</f>
        <v>9.1270500000000006</v>
      </c>
      <c r="I106" s="198">
        <f>FR_A0001_q*FR_01003_q</f>
        <v>1</v>
      </c>
      <c r="J106" s="199">
        <f>FR_01003_m</f>
        <v>4.02705</v>
      </c>
      <c r="K106" s="199">
        <f>FR_01003_P</f>
        <v>5.0999999999999996</v>
      </c>
      <c r="L106" s="199">
        <v>0</v>
      </c>
      <c r="M106" s="199">
        <v>0</v>
      </c>
      <c r="N106" s="200">
        <f>H106*I106</f>
        <v>9.1270500000000006</v>
      </c>
      <c r="O106" s="201">
        <v>162</v>
      </c>
    </row>
    <row r="107" spans="1:15" ht="14.4" x14ac:dyDescent="0.3">
      <c r="A107" s="192"/>
      <c r="B107" s="193" t="str">
        <f>'[1]FR A0100'!$B$3</f>
        <v>Frame and Body</v>
      </c>
      <c r="C107" s="194" t="str">
        <f>FR_01004</f>
        <v>FR 01004</v>
      </c>
      <c r="D107" s="195" t="s">
        <v>51</v>
      </c>
      <c r="E107" s="195" t="str">
        <f t="shared" si="12"/>
        <v>Frame</v>
      </c>
      <c r="F107" s="196" t="str">
        <f>'[1]FR 01004'!B5</f>
        <v>Sleeved joint</v>
      </c>
      <c r="G107" s="195"/>
      <c r="H107" s="197">
        <f>SUM(J107:M107)</f>
        <v>3.9191256335617903</v>
      </c>
      <c r="I107" s="198">
        <f>FR_A0001_q*FR_01004_q</f>
        <v>4</v>
      </c>
      <c r="J107" s="199">
        <f>FR_01004_m</f>
        <v>0.35512563356179044</v>
      </c>
      <c r="K107" s="199">
        <f>FR_01004_p</f>
        <v>3.5640000000000001</v>
      </c>
      <c r="L107" s="199">
        <v>0</v>
      </c>
      <c r="M107" s="199">
        <v>0</v>
      </c>
      <c r="N107" s="200">
        <f>H107*I107</f>
        <v>15.676502534247161</v>
      </c>
      <c r="O107" s="201">
        <v>163</v>
      </c>
    </row>
    <row r="108" spans="1:15" ht="14.4" x14ac:dyDescent="0.3">
      <c r="A108" s="183"/>
      <c r="B108" s="184" t="str">
        <f>'[1]FR A0200'!B3</f>
        <v>Frame and Body</v>
      </c>
      <c r="C108" s="202" t="str">
        <f>'[1]FR A0200'!B5</f>
        <v>FR A0200</v>
      </c>
      <c r="D108" s="185" t="s">
        <v>51</v>
      </c>
      <c r="E108" s="185"/>
      <c r="F108" s="186" t="str">
        <f>'[1]FR A0200'!B4</f>
        <v>Impact Attenuator</v>
      </c>
      <c r="G108" s="185"/>
      <c r="H108" s="187">
        <f t="shared" ref="H108:H122" si="13">SUM(J108:M108)</f>
        <v>11.516560788530354</v>
      </c>
      <c r="I108" s="188">
        <f>FR_A0200_q</f>
        <v>1</v>
      </c>
      <c r="J108" s="189">
        <v>0</v>
      </c>
      <c r="K108" s="189">
        <f>FR_A0200_p</f>
        <v>8.0625</v>
      </c>
      <c r="L108" s="189">
        <f>FR_A0200_f</f>
        <v>3.4540607885303536</v>
      </c>
      <c r="M108" s="189">
        <v>0</v>
      </c>
      <c r="N108" s="190">
        <f t="shared" ref="N108:N122" si="14">H108*I108</f>
        <v>11.516560788530354</v>
      </c>
      <c r="O108" s="191">
        <v>165</v>
      </c>
    </row>
    <row r="109" spans="1:15" ht="14.4" x14ac:dyDescent="0.3">
      <c r="A109" s="192"/>
      <c r="B109" s="193" t="str">
        <f>'[1]FR 02001'!B3</f>
        <v>Frame and Body</v>
      </c>
      <c r="C109" s="194" t="str">
        <f>'[1]FR 02001'!B6</f>
        <v>FR 02001</v>
      </c>
      <c r="D109" s="195" t="s">
        <v>51</v>
      </c>
      <c r="E109" s="195" t="str">
        <f>F$108</f>
        <v>Impact Attenuator</v>
      </c>
      <c r="F109" s="196" t="str">
        <f>'[1]FR 02001'!B5</f>
        <v>Impact Attenuator</v>
      </c>
      <c r="G109" s="195"/>
      <c r="H109" s="197">
        <f t="shared" si="13"/>
        <v>35.193220412499997</v>
      </c>
      <c r="I109" s="198">
        <f>FR_A0200_q*FR_02001_q</f>
        <v>1</v>
      </c>
      <c r="J109" s="199">
        <f>FR_02001_m</f>
        <v>7.0072204125000006</v>
      </c>
      <c r="K109" s="199">
        <f>FR_02001_p</f>
        <v>28.186</v>
      </c>
      <c r="L109" s="199">
        <v>0</v>
      </c>
      <c r="M109" s="199">
        <v>0</v>
      </c>
      <c r="N109" s="200">
        <f t="shared" si="14"/>
        <v>35.193220412499997</v>
      </c>
      <c r="O109" s="201">
        <v>166</v>
      </c>
    </row>
    <row r="110" spans="1:15" ht="14.4" x14ac:dyDescent="0.3">
      <c r="A110" s="183"/>
      <c r="B110" s="184" t="str">
        <f>'[1]FR A0300'!B3</f>
        <v>Frame and Body</v>
      </c>
      <c r="C110" s="185" t="str">
        <f>FR_A0300</f>
        <v>FR A0300</v>
      </c>
      <c r="D110" s="185" t="s">
        <v>51</v>
      </c>
      <c r="E110" s="185"/>
      <c r="F110" s="186" t="str">
        <f>'[1]FR A0300'!B4</f>
        <v>Pedal box</v>
      </c>
      <c r="G110" s="185"/>
      <c r="H110" s="187">
        <f t="shared" si="13"/>
        <v>52.469153772996464</v>
      </c>
      <c r="I110" s="188">
        <f>FR_A0300_q</f>
        <v>1</v>
      </c>
      <c r="J110" s="189">
        <f>FR_A0300_m</f>
        <v>18.920000000000002</v>
      </c>
      <c r="K110" s="189">
        <f>FR_A0300_p</f>
        <v>25.469999999999992</v>
      </c>
      <c r="L110" s="189">
        <f>FR_A0300_f</f>
        <v>5.0791537729964675</v>
      </c>
      <c r="M110" s="189">
        <f>FR_A0300_t</f>
        <v>3</v>
      </c>
      <c r="N110" s="190">
        <f t="shared" si="14"/>
        <v>52.469153772996464</v>
      </c>
      <c r="O110" s="191">
        <v>167</v>
      </c>
    </row>
    <row r="111" spans="1:15" ht="14.4" x14ac:dyDescent="0.3">
      <c r="A111" s="192"/>
      <c r="B111" s="193" t="str">
        <f>[1]FR_03001!B3</f>
        <v>Frame and Body</v>
      </c>
      <c r="C111" s="194" t="str">
        <f>FR_03001</f>
        <v>FR 03001</v>
      </c>
      <c r="D111" s="195" t="s">
        <v>51</v>
      </c>
      <c r="E111" s="195" t="str">
        <f>F$110</f>
        <v>Pedal box</v>
      </c>
      <c r="F111" s="196" t="str">
        <f>[1]FR_03001!B5</f>
        <v>Rail</v>
      </c>
      <c r="G111" s="195"/>
      <c r="H111" s="197">
        <f t="shared" si="13"/>
        <v>3.10793344</v>
      </c>
      <c r="I111" s="198">
        <f>FR_A0300_q*FR_03001_q</f>
        <v>2</v>
      </c>
      <c r="J111" s="199">
        <f>FR_03001_m</f>
        <v>0.8383334400000001</v>
      </c>
      <c r="K111" s="199">
        <f>FR_03001_p</f>
        <v>2.2696000000000001</v>
      </c>
      <c r="L111" s="199">
        <v>0</v>
      </c>
      <c r="M111" s="199">
        <v>0</v>
      </c>
      <c r="N111" s="200">
        <f t="shared" si="14"/>
        <v>6.2158668800000001</v>
      </c>
      <c r="O111" s="201">
        <v>169</v>
      </c>
    </row>
    <row r="112" spans="1:15" ht="14.4" x14ac:dyDescent="0.3">
      <c r="A112" s="192"/>
      <c r="B112" s="193" t="str">
        <f>'[1]FR A0300'!$B$3</f>
        <v>Frame and Body</v>
      </c>
      <c r="C112" s="194" t="str">
        <f>FR_03002</f>
        <v>FR 03002</v>
      </c>
      <c r="D112" s="195" t="s">
        <v>51</v>
      </c>
      <c r="E112" s="195" t="str">
        <f t="shared" ref="E112:E122" si="15">F$110</f>
        <v>Pedal box</v>
      </c>
      <c r="F112" s="196" t="str">
        <f>[1]FR_03002!B5</f>
        <v>Brake pedal</v>
      </c>
      <c r="G112" s="195"/>
      <c r="H112" s="197">
        <f t="shared" si="13"/>
        <v>5.6870399999999997</v>
      </c>
      <c r="I112" s="198">
        <f>FR_A0300_q*FR_03002_q</f>
        <v>1</v>
      </c>
      <c r="J112" s="199">
        <f>FR_03002_m</f>
        <v>1.1390400000000001</v>
      </c>
      <c r="K112" s="199">
        <f>FR_03002_p</f>
        <v>4.548</v>
      </c>
      <c r="L112" s="199">
        <v>0</v>
      </c>
      <c r="M112" s="199">
        <v>0</v>
      </c>
      <c r="N112" s="200">
        <f t="shared" si="14"/>
        <v>5.6870399999999997</v>
      </c>
      <c r="O112" s="201">
        <v>171</v>
      </c>
    </row>
    <row r="113" spans="1:15" ht="14.4" x14ac:dyDescent="0.3">
      <c r="A113" s="192"/>
      <c r="B113" s="193" t="str">
        <f>'[1]FR A0300'!$B$3</f>
        <v>Frame and Body</v>
      </c>
      <c r="C113" s="194" t="str">
        <f>FR_03003</f>
        <v>FR 03003</v>
      </c>
      <c r="D113" s="195" t="s">
        <v>51</v>
      </c>
      <c r="E113" s="195" t="str">
        <f t="shared" si="15"/>
        <v>Pedal box</v>
      </c>
      <c r="F113" s="203" t="str">
        <f>[1]FR_03003!B5</f>
        <v>Accelerator Pedal</v>
      </c>
      <c r="G113" s="195"/>
      <c r="H113" s="197">
        <f t="shared" si="13"/>
        <v>4.8410399999999996</v>
      </c>
      <c r="I113" s="198">
        <f>FR_A0300_q*FR_03003_q</f>
        <v>1</v>
      </c>
      <c r="J113" s="199">
        <f>FR_03003_m</f>
        <v>1.1390400000000001</v>
      </c>
      <c r="K113" s="199">
        <f>FR_03003_p</f>
        <v>3.702</v>
      </c>
      <c r="L113" s="199">
        <v>0</v>
      </c>
      <c r="M113" s="199">
        <v>0</v>
      </c>
      <c r="N113" s="200">
        <f t="shared" si="14"/>
        <v>4.8410399999999996</v>
      </c>
      <c r="O113" s="201">
        <v>173</v>
      </c>
    </row>
    <row r="114" spans="1:15" ht="14.4" x14ac:dyDescent="0.3">
      <c r="A114" s="192"/>
      <c r="B114" s="193" t="str">
        <f>'[1]FR A0300'!$B$3</f>
        <v>Frame and Body</v>
      </c>
      <c r="C114" s="194" t="str">
        <f>FR_03004</f>
        <v>FR 03004</v>
      </c>
      <c r="D114" s="195" t="s">
        <v>51</v>
      </c>
      <c r="E114" s="195" t="str">
        <f t="shared" si="15"/>
        <v>Pedal box</v>
      </c>
      <c r="F114" s="196" t="str">
        <f>[1]FR_03004!B5</f>
        <v>Foot Top Support</v>
      </c>
      <c r="G114" s="195"/>
      <c r="H114" s="197">
        <f t="shared" si="13"/>
        <v>2.1023579199999998</v>
      </c>
      <c r="I114" s="198">
        <f>FR_A0300_q*FR_03004_q</f>
        <v>2</v>
      </c>
      <c r="J114" s="199">
        <f>FR_03004_m</f>
        <v>0.31095792</v>
      </c>
      <c r="K114" s="199">
        <f>FR_03004_p</f>
        <v>1.7913999999999999</v>
      </c>
      <c r="L114" s="199">
        <v>0</v>
      </c>
      <c r="M114" s="199">
        <v>0</v>
      </c>
      <c r="N114" s="200">
        <f t="shared" si="14"/>
        <v>4.2047158399999995</v>
      </c>
      <c r="O114" s="201">
        <v>175</v>
      </c>
    </row>
    <row r="115" spans="1:15" ht="14.4" x14ac:dyDescent="0.3">
      <c r="A115" s="192"/>
      <c r="B115" s="193" t="str">
        <f>'[1]FR A0300'!$B$3</f>
        <v>Frame and Body</v>
      </c>
      <c r="C115" s="194" t="str">
        <f>FR_03005</f>
        <v>FR 03005</v>
      </c>
      <c r="D115" s="195" t="s">
        <v>51</v>
      </c>
      <c r="E115" s="195" t="str">
        <f t="shared" si="15"/>
        <v>Pedal box</v>
      </c>
      <c r="F115" s="196" t="str">
        <f>[1]FR_03005!B5</f>
        <v>Heel Support</v>
      </c>
      <c r="G115" s="195"/>
      <c r="H115" s="197">
        <f t="shared" si="13"/>
        <v>2.0173139839999998</v>
      </c>
      <c r="I115" s="198">
        <f>FR_A0300_q*FR_03005_q</f>
        <v>2</v>
      </c>
      <c r="J115" s="199">
        <f>FR_03005_m</f>
        <v>0.27291398400000005</v>
      </c>
      <c r="K115" s="199">
        <f>FR_03005_p</f>
        <v>1.7444</v>
      </c>
      <c r="L115" s="199">
        <v>0</v>
      </c>
      <c r="M115" s="199">
        <v>0</v>
      </c>
      <c r="N115" s="200">
        <f t="shared" si="14"/>
        <v>4.0346279679999997</v>
      </c>
      <c r="O115" s="201">
        <v>177</v>
      </c>
    </row>
    <row r="116" spans="1:15" ht="14.4" x14ac:dyDescent="0.3">
      <c r="A116" s="192"/>
      <c r="B116" s="193" t="str">
        <f>'[1]FR A0300'!$B$3</f>
        <v>Frame and Body</v>
      </c>
      <c r="C116" s="194" t="str">
        <f>FR_03006</f>
        <v>FR 03006</v>
      </c>
      <c r="D116" s="195" t="s">
        <v>51</v>
      </c>
      <c r="E116" s="195" t="str">
        <f t="shared" si="15"/>
        <v>Pedal box</v>
      </c>
      <c r="F116" s="196" t="str">
        <f>[1]FR_03006!B5</f>
        <v>Brake Pedal Support</v>
      </c>
      <c r="G116" s="195"/>
      <c r="H116" s="197">
        <f t="shared" si="13"/>
        <v>3.1116406249999997</v>
      </c>
      <c r="I116" s="198">
        <f>FR_A0300_q*FR_03006_q</f>
        <v>2</v>
      </c>
      <c r="J116" s="199">
        <f>FR_03006_m</f>
        <v>0.46364062500000008</v>
      </c>
      <c r="K116" s="199">
        <f>FR_03006_p</f>
        <v>2.6479999999999997</v>
      </c>
      <c r="L116" s="199">
        <v>0</v>
      </c>
      <c r="M116" s="199">
        <v>0</v>
      </c>
      <c r="N116" s="200">
        <f t="shared" si="14"/>
        <v>6.2232812499999994</v>
      </c>
      <c r="O116" s="201">
        <v>179</v>
      </c>
    </row>
    <row r="117" spans="1:15" ht="14.4" x14ac:dyDescent="0.3">
      <c r="A117" s="192"/>
      <c r="B117" s="193" t="str">
        <f>'[1]FR A0300'!$B$3</f>
        <v>Frame and Body</v>
      </c>
      <c r="C117" s="194" t="str">
        <f>FR_03007</f>
        <v>FR 03007</v>
      </c>
      <c r="D117" s="195" t="s">
        <v>51</v>
      </c>
      <c r="E117" s="195" t="str">
        <f t="shared" si="15"/>
        <v>Pedal box</v>
      </c>
      <c r="F117" s="196" t="str">
        <f>[1]FR_03007!B5</f>
        <v>Brake over-travel switch support</v>
      </c>
      <c r="G117" s="195"/>
      <c r="H117" s="197">
        <f t="shared" si="13"/>
        <v>1.9716500000000001</v>
      </c>
      <c r="I117" s="198">
        <f>FR_A0300_q*FR_03007_q</f>
        <v>1</v>
      </c>
      <c r="J117" s="199">
        <f>FR_03007_m</f>
        <v>7.0650000000000018E-2</v>
      </c>
      <c r="K117" s="199">
        <f>FR_03007_p</f>
        <v>1.901</v>
      </c>
      <c r="L117" s="199">
        <v>0</v>
      </c>
      <c r="M117" s="199">
        <v>0</v>
      </c>
      <c r="N117" s="200">
        <f t="shared" si="14"/>
        <v>1.9716500000000001</v>
      </c>
      <c r="O117" s="201">
        <v>181</v>
      </c>
    </row>
    <row r="118" spans="1:15" ht="14.4" x14ac:dyDescent="0.3">
      <c r="A118" s="192"/>
      <c r="B118" s="193" t="str">
        <f>'[1]FR A0300'!$B$3</f>
        <v>Frame and Body</v>
      </c>
      <c r="C118" s="194" t="str">
        <f>FR_03008</f>
        <v>FR 03008</v>
      </c>
      <c r="D118" s="195" t="s">
        <v>51</v>
      </c>
      <c r="E118" s="195" t="str">
        <f t="shared" si="15"/>
        <v>Pedal box</v>
      </c>
      <c r="F118" s="196" t="str">
        <f>[1]FR_03008!B5</f>
        <v>Accelerator pedal support</v>
      </c>
      <c r="G118" s="204"/>
      <c r="H118" s="197">
        <f t="shared" si="13"/>
        <v>1.9959815000000003</v>
      </c>
      <c r="I118" s="198">
        <f>FR_A0300_q*FR_03008_q</f>
        <v>2</v>
      </c>
      <c r="J118" s="199">
        <f>FR_03008_m</f>
        <v>0.24798149999999999</v>
      </c>
      <c r="K118" s="199">
        <f>FR_03008_p</f>
        <v>1.7480000000000002</v>
      </c>
      <c r="L118" s="199">
        <v>0</v>
      </c>
      <c r="M118" s="199">
        <v>0</v>
      </c>
      <c r="N118" s="200">
        <f t="shared" si="14"/>
        <v>3.9919630000000006</v>
      </c>
      <c r="O118" s="201">
        <v>183</v>
      </c>
    </row>
    <row r="119" spans="1:15" ht="14.4" x14ac:dyDescent="0.3">
      <c r="A119" s="192"/>
      <c r="B119" s="193" t="str">
        <f>'[1]FR A0300'!$B$3</f>
        <v>Frame and Body</v>
      </c>
      <c r="C119" s="194" t="str">
        <f>FR_03009</f>
        <v>FR 03009</v>
      </c>
      <c r="D119" s="195" t="s">
        <v>51</v>
      </c>
      <c r="E119" s="195" t="str">
        <f t="shared" si="15"/>
        <v>Pedal box</v>
      </c>
      <c r="F119" s="196" t="str">
        <f>[1]FR_03009!B5</f>
        <v>Cable Support</v>
      </c>
      <c r="G119" s="195"/>
      <c r="H119" s="197">
        <f t="shared" si="13"/>
        <v>4.2054950875000001</v>
      </c>
      <c r="I119" s="198">
        <f>FR_A0300_q*FR_03009_q</f>
        <v>1</v>
      </c>
      <c r="J119" s="199">
        <f>FR_03009_m</f>
        <v>0.11549508750000001</v>
      </c>
      <c r="K119" s="199">
        <f>FR_03009_p</f>
        <v>4.09</v>
      </c>
      <c r="L119" s="199">
        <v>0</v>
      </c>
      <c r="M119" s="199">
        <v>0</v>
      </c>
      <c r="N119" s="200">
        <f t="shared" si="14"/>
        <v>4.2054950875000001</v>
      </c>
      <c r="O119" s="201">
        <v>185</v>
      </c>
    </row>
    <row r="120" spans="1:15" ht="14.4" x14ac:dyDescent="0.3">
      <c r="A120" s="192"/>
      <c r="B120" s="193" t="str">
        <f>'[1]FR A0300'!$B$3</f>
        <v>Frame and Body</v>
      </c>
      <c r="C120" s="194" t="str">
        <f>FR_03012</f>
        <v>FR 03010</v>
      </c>
      <c r="D120" s="195" t="s">
        <v>51</v>
      </c>
      <c r="E120" s="195" t="str">
        <f t="shared" si="15"/>
        <v>Pedal box</v>
      </c>
      <c r="F120" s="196" t="str">
        <f>[1]FR_03010!B5</f>
        <v>Rear Rail Mount</v>
      </c>
      <c r="G120" s="195"/>
      <c r="H120" s="197">
        <f t="shared" si="13"/>
        <v>0.85994725000000005</v>
      </c>
      <c r="I120" s="198">
        <f>FR_A0300_q*FR_03012_q</f>
        <v>4</v>
      </c>
      <c r="J120" s="199">
        <f>FR_03012_m</f>
        <v>5.4047250000000005E-2</v>
      </c>
      <c r="K120" s="199">
        <f>FR_03012_p</f>
        <v>0.80590000000000006</v>
      </c>
      <c r="L120" s="199">
        <v>0</v>
      </c>
      <c r="M120" s="199">
        <v>0</v>
      </c>
      <c r="N120" s="200">
        <f t="shared" si="14"/>
        <v>3.4397890000000002</v>
      </c>
      <c r="O120" s="201">
        <v>187</v>
      </c>
    </row>
    <row r="121" spans="1:15" ht="14.4" x14ac:dyDescent="0.3">
      <c r="A121" s="192"/>
      <c r="B121" s="193" t="str">
        <f>'[1]FR A0300'!$B$3</f>
        <v>Frame and Body</v>
      </c>
      <c r="C121" s="194" t="str">
        <f>FR_03013</f>
        <v>FR 03011</v>
      </c>
      <c r="D121" s="195" t="s">
        <v>51</v>
      </c>
      <c r="E121" s="195" t="str">
        <f t="shared" si="15"/>
        <v>Pedal box</v>
      </c>
      <c r="F121" s="196" t="str">
        <f>[1]FR_03011!B5</f>
        <v>Front Rail Mount</v>
      </c>
      <c r="G121" s="195"/>
      <c r="H121" s="197">
        <f t="shared" si="13"/>
        <v>0.79530246250000003</v>
      </c>
      <c r="I121" s="198">
        <f>FR_A0300_q*FR_03013_q</f>
        <v>4</v>
      </c>
      <c r="J121" s="199">
        <f>FR_03013_m</f>
        <v>7.0102462500000004E-2</v>
      </c>
      <c r="K121" s="199">
        <f>FR_03013_p</f>
        <v>0.72520000000000007</v>
      </c>
      <c r="L121" s="199">
        <v>0</v>
      </c>
      <c r="M121" s="199">
        <v>0</v>
      </c>
      <c r="N121" s="200">
        <f t="shared" si="14"/>
        <v>3.1812098500000001</v>
      </c>
      <c r="O121" s="201">
        <v>189</v>
      </c>
    </row>
    <row r="122" spans="1:15" ht="14.4" x14ac:dyDescent="0.3">
      <c r="A122" s="192"/>
      <c r="B122" s="193" t="str">
        <f>'[1]FR A0300'!$B$3</f>
        <v>Frame and Body</v>
      </c>
      <c r="C122" s="194" t="str">
        <f>FR_03014</f>
        <v>FR 03012</v>
      </c>
      <c r="D122" s="195" t="s">
        <v>51</v>
      </c>
      <c r="E122" s="195" t="str">
        <f t="shared" si="15"/>
        <v>Pedal box</v>
      </c>
      <c r="F122" s="196" t="str">
        <f>[1]FR_03012!B5</f>
        <v>Sheath for cable mount</v>
      </c>
      <c r="G122" s="195"/>
      <c r="H122" s="197">
        <f t="shared" si="13"/>
        <v>1.8554658250000002</v>
      </c>
      <c r="I122" s="198">
        <f>FR_A0300_q*FR_03014_q</f>
        <v>1</v>
      </c>
      <c r="J122" s="199">
        <f>FR_03014_m</f>
        <v>6.8565825000000011E-2</v>
      </c>
      <c r="K122" s="199">
        <f>FR_03014_p</f>
        <v>1.7869000000000002</v>
      </c>
      <c r="L122" s="199">
        <v>0</v>
      </c>
      <c r="M122" s="199">
        <v>0</v>
      </c>
      <c r="N122" s="200">
        <f t="shared" si="14"/>
        <v>1.8554658250000002</v>
      </c>
      <c r="O122" s="201">
        <v>191</v>
      </c>
    </row>
    <row r="123" spans="1:15" ht="14.4" x14ac:dyDescent="0.3">
      <c r="A123" s="183"/>
      <c r="B123" s="184" t="str">
        <f>'[1]FR A0400'!B3</f>
        <v>Frame and Body</v>
      </c>
      <c r="C123" s="185" t="str">
        <f>FR_A0400</f>
        <v>FR A0400</v>
      </c>
      <c r="D123" s="185" t="s">
        <v>51</v>
      </c>
      <c r="E123" s="185"/>
      <c r="F123" s="205" t="str">
        <f>'[1]FR A0400'!B4</f>
        <v>Floor Pan</v>
      </c>
      <c r="G123" s="185"/>
      <c r="H123" s="187">
        <f>SUM(J123:M123)</f>
        <v>19.190448224001326</v>
      </c>
      <c r="I123" s="188">
        <f>FR_A0400_q</f>
        <v>1</v>
      </c>
      <c r="J123" s="189">
        <f>FR_A0400_m</f>
        <v>0.1249</v>
      </c>
      <c r="K123" s="189">
        <f>FR_A0400_p</f>
        <v>15.115572499999999</v>
      </c>
      <c r="L123" s="189">
        <f>FR_A0400_f</f>
        <v>0.61664239066799353</v>
      </c>
      <c r="M123" s="189">
        <f>FR_A0400_t</f>
        <v>3.3333333333333335</v>
      </c>
      <c r="N123" s="190">
        <f>H123*I123</f>
        <v>19.190448224001326</v>
      </c>
      <c r="O123" s="191">
        <v>193</v>
      </c>
    </row>
    <row r="124" spans="1:15" s="117" customFormat="1" ht="14.4" x14ac:dyDescent="0.3">
      <c r="A124" s="192"/>
      <c r="B124" s="193" t="str">
        <f>[1]FR_04001!$B$3</f>
        <v>Frame and Body</v>
      </c>
      <c r="C124" s="194" t="str">
        <f>FR_04001</f>
        <v>FR 04001</v>
      </c>
      <c r="D124" s="195" t="s">
        <v>51</v>
      </c>
      <c r="E124" s="195" t="str">
        <f>F$123</f>
        <v>Floor Pan</v>
      </c>
      <c r="F124" s="196" t="str">
        <f>[1]FR_04001!B5</f>
        <v>Front Floor Pan Plate</v>
      </c>
      <c r="G124" s="195"/>
      <c r="H124" s="197">
        <f>SUM(J124:M124)</f>
        <v>8.1802199536</v>
      </c>
      <c r="I124" s="198">
        <f>FR_A0400_q*FR_04001_q</f>
        <v>1</v>
      </c>
      <c r="J124" s="199">
        <f>FR_04001_m</f>
        <v>4.6542199536000002</v>
      </c>
      <c r="K124" s="199">
        <f>FR_04001_p</f>
        <v>3.5259999999999998</v>
      </c>
      <c r="L124" s="199">
        <v>0</v>
      </c>
      <c r="M124" s="199">
        <v>0</v>
      </c>
      <c r="N124" s="200">
        <f>H124*I124</f>
        <v>8.1802199536</v>
      </c>
      <c r="O124" s="201">
        <v>194</v>
      </c>
    </row>
    <row r="125" spans="1:15" ht="14.4" x14ac:dyDescent="0.3">
      <c r="A125" s="192"/>
      <c r="B125" s="193" t="str">
        <f>[1]FR_04001!$B$3</f>
        <v>Frame and Body</v>
      </c>
      <c r="C125" s="194" t="str">
        <f>FR_04002</f>
        <v>FR 04002</v>
      </c>
      <c r="D125" s="195" t="s">
        <v>51</v>
      </c>
      <c r="E125" s="195" t="str">
        <f t="shared" ref="E125:E126" si="16">F$123</f>
        <v>Floor Pan</v>
      </c>
      <c r="F125" s="196" t="str">
        <f>[1]FR_04002!B5</f>
        <v>Back Floor Pan Plate</v>
      </c>
      <c r="G125" s="195"/>
      <c r="H125" s="197">
        <f>SUM(J125:M125)</f>
        <v>20.067421556000003</v>
      </c>
      <c r="I125" s="198">
        <f>FR_A0400_q*FR_04002_q</f>
        <v>1</v>
      </c>
      <c r="J125" s="199">
        <f>FR_04002_m</f>
        <v>14.845421556000002</v>
      </c>
      <c r="K125" s="199">
        <f>FR_04002_p</f>
        <v>5.2220000000000004</v>
      </c>
      <c r="L125" s="199">
        <v>0</v>
      </c>
      <c r="M125" s="199">
        <v>0</v>
      </c>
      <c r="N125" s="200">
        <f>H125*I125</f>
        <v>20.067421556000003</v>
      </c>
      <c r="O125" s="201">
        <v>196</v>
      </c>
    </row>
    <row r="126" spans="1:15" ht="14.4" x14ac:dyDescent="0.3">
      <c r="A126" s="192"/>
      <c r="B126" s="193" t="str">
        <f>[1]FR_04001!$B$3</f>
        <v>Frame and Body</v>
      </c>
      <c r="C126" s="194" t="str">
        <f>FR_04003</f>
        <v>FR 04003</v>
      </c>
      <c r="D126" s="195" t="s">
        <v>51</v>
      </c>
      <c r="E126" s="195" t="str">
        <f t="shared" si="16"/>
        <v>Floor Pan</v>
      </c>
      <c r="F126" s="206" t="str">
        <f>[1]FR_04003!B5</f>
        <v>Floor Pan Bracket</v>
      </c>
      <c r="G126" s="195"/>
      <c r="H126" s="197">
        <f>SUM(J126:M126)</f>
        <v>0.50585734375000002</v>
      </c>
      <c r="I126" s="198">
        <f>FR_A0400_q*FR_04003_q</f>
        <v>10</v>
      </c>
      <c r="J126" s="199">
        <f>FR_04003_m</f>
        <v>2.1857343750000001E-2</v>
      </c>
      <c r="K126" s="199">
        <f>FR_04003_p</f>
        <v>0.48400000000000004</v>
      </c>
      <c r="L126" s="199">
        <v>0</v>
      </c>
      <c r="M126" s="199">
        <v>0</v>
      </c>
      <c r="N126" s="200">
        <f>H126*I126</f>
        <v>5.0585734374999998</v>
      </c>
      <c r="O126" s="201">
        <v>198</v>
      </c>
    </row>
    <row r="127" spans="1:15" ht="14.4" x14ac:dyDescent="0.3">
      <c r="A127" s="183"/>
      <c r="B127" s="184" t="str">
        <f>'[1]FR A0500'!B3</f>
        <v>Frame and Body</v>
      </c>
      <c r="C127" s="185" t="str">
        <f>FR_A0500</f>
        <v>FR A0500</v>
      </c>
      <c r="D127" s="185" t="s">
        <v>51</v>
      </c>
      <c r="E127" s="185"/>
      <c r="F127" s="186" t="str">
        <f>'[1]FR A0500'!B4</f>
        <v>Clutch actuation system</v>
      </c>
      <c r="G127" s="185"/>
      <c r="H127" s="187">
        <f t="shared" ref="H127:H152" si="17">SUM(J127:M127)</f>
        <v>22.053333333333335</v>
      </c>
      <c r="I127" s="188">
        <f>FR_A0500_q</f>
        <v>1</v>
      </c>
      <c r="J127" s="189">
        <f>FR_A0500_m</f>
        <v>19</v>
      </c>
      <c r="K127" s="189">
        <f>FR_A0500_p</f>
        <v>2.5999999999999996</v>
      </c>
      <c r="L127" s="189">
        <f>FR_A0500_f</f>
        <v>0.12000000000000001</v>
      </c>
      <c r="M127" s="189">
        <f>FR_A0500_t</f>
        <v>0.33333333333333331</v>
      </c>
      <c r="N127" s="190">
        <f t="shared" ref="N127:N152" si="18">H127*I127</f>
        <v>22.053333333333335</v>
      </c>
      <c r="O127" s="191">
        <v>200</v>
      </c>
    </row>
    <row r="128" spans="1:15" ht="14.4" x14ac:dyDescent="0.3">
      <c r="A128" s="192"/>
      <c r="B128" s="193" t="str">
        <f>'[1]FR 05001'!B3</f>
        <v>Frame and Body</v>
      </c>
      <c r="C128" s="194" t="str">
        <f>FR_05001</f>
        <v>FR 05001</v>
      </c>
      <c r="D128" s="195" t="s">
        <v>51</v>
      </c>
      <c r="E128" s="195" t="str">
        <f>F$127</f>
        <v>Clutch actuation system</v>
      </c>
      <c r="F128" s="196" t="str">
        <f>'[1]FR 05001'!B$5</f>
        <v>Lever Handle</v>
      </c>
      <c r="G128" s="195"/>
      <c r="H128" s="197">
        <f t="shared" si="17"/>
        <v>4.3710446159999998</v>
      </c>
      <c r="I128" s="198">
        <f>FR_A0500_q*FR_05001_q</f>
        <v>1</v>
      </c>
      <c r="J128" s="199">
        <f>FR_05001_m</f>
        <v>0.93304461599999999</v>
      </c>
      <c r="K128" s="199">
        <f>FR_05001_p</f>
        <v>3.4380000000000002</v>
      </c>
      <c r="L128" s="199">
        <v>0</v>
      </c>
      <c r="M128" s="199">
        <v>0</v>
      </c>
      <c r="N128" s="200">
        <f t="shared" si="18"/>
        <v>4.3710446159999998</v>
      </c>
      <c r="O128" s="201">
        <v>201</v>
      </c>
    </row>
    <row r="129" spans="1:15" ht="14.4" x14ac:dyDescent="0.3">
      <c r="A129" s="192"/>
      <c r="B129" s="193" t="str">
        <f>'[1]FR A0500'!$B$3</f>
        <v>Frame and Body</v>
      </c>
      <c r="C129" s="194" t="str">
        <f>FR_05002</f>
        <v>FR 05002</v>
      </c>
      <c r="D129" s="195" t="s">
        <v>51</v>
      </c>
      <c r="E129" s="195" t="str">
        <f t="shared" ref="E129:E132" si="19">F$127</f>
        <v>Clutch actuation system</v>
      </c>
      <c r="F129" s="196" t="str">
        <f>'[1]FR 05002'!B$5</f>
        <v>Handle padding</v>
      </c>
      <c r="G129" s="195"/>
      <c r="H129" s="197">
        <f t="shared" si="17"/>
        <v>7.3966666666666665</v>
      </c>
      <c r="I129" s="198">
        <f>FR_A0500_q*FR_05002_q</f>
        <v>1</v>
      </c>
      <c r="J129" s="199">
        <f>FR_05002_m</f>
        <v>0.33</v>
      </c>
      <c r="K129" s="199">
        <f>FR_05002_p</f>
        <v>0.4</v>
      </c>
      <c r="L129" s="199">
        <v>0</v>
      </c>
      <c r="M129" s="199">
        <f>FR_05002_t</f>
        <v>6.666666666666667</v>
      </c>
      <c r="N129" s="200">
        <f t="shared" si="18"/>
        <v>7.3966666666666665</v>
      </c>
      <c r="O129" s="201">
        <v>203</v>
      </c>
    </row>
    <row r="130" spans="1:15" ht="14.4" x14ac:dyDescent="0.3">
      <c r="A130" s="192"/>
      <c r="B130" s="193" t="str">
        <f>'[1]FR A0500'!$B$3</f>
        <v>Frame and Body</v>
      </c>
      <c r="C130" s="194" t="str">
        <f>FR_05003</f>
        <v>FR 05003</v>
      </c>
      <c r="D130" s="195" t="s">
        <v>51</v>
      </c>
      <c r="E130" s="195" t="str">
        <f t="shared" si="19"/>
        <v>Clutch actuation system</v>
      </c>
      <c r="F130" s="196" t="str">
        <f>'[1]FR 05003'!B$5</f>
        <v>Clutch mount</v>
      </c>
      <c r="G130" s="195"/>
      <c r="H130" s="197">
        <f t="shared" si="17"/>
        <v>2.3714839210368996</v>
      </c>
      <c r="I130" s="198">
        <f>FR_A0500_q*FR_05003_q</f>
        <v>1</v>
      </c>
      <c r="J130" s="199">
        <f>FR_05003_m</f>
        <v>9.5883921036900008E-2</v>
      </c>
      <c r="K130" s="199">
        <f>FR_05003_p</f>
        <v>2.2755999999999998</v>
      </c>
      <c r="L130" s="199">
        <v>0</v>
      </c>
      <c r="M130" s="199">
        <v>0</v>
      </c>
      <c r="N130" s="200">
        <f t="shared" si="18"/>
        <v>2.3714839210368996</v>
      </c>
      <c r="O130" s="201">
        <v>204</v>
      </c>
    </row>
    <row r="131" spans="1:15" ht="14.4" x14ac:dyDescent="0.3">
      <c r="A131" s="192"/>
      <c r="B131" s="193" t="str">
        <f>'[1]FR A0500'!$B$3</f>
        <v>Frame and Body</v>
      </c>
      <c r="C131" s="194" t="str">
        <f>FR_05004</f>
        <v>FR 05004</v>
      </c>
      <c r="D131" s="195" t="s">
        <v>51</v>
      </c>
      <c r="E131" s="195" t="str">
        <f t="shared" si="19"/>
        <v>Clutch actuation system</v>
      </c>
      <c r="F131" s="196" t="str">
        <f>'[1]FR 05004'!B$5</f>
        <v>Lever joint</v>
      </c>
      <c r="G131" s="195"/>
      <c r="H131" s="197">
        <f t="shared" si="17"/>
        <v>11.771166666666666</v>
      </c>
      <c r="I131" s="198">
        <f>FR_A0500_q*FR_05004_q</f>
        <v>1</v>
      </c>
      <c r="J131" s="199">
        <f>FR_05004_m</f>
        <v>0.5625</v>
      </c>
      <c r="K131" s="199">
        <f>FR_05004_p</f>
        <v>4.5419999999999989</v>
      </c>
      <c r="L131" s="199">
        <v>0</v>
      </c>
      <c r="M131" s="199">
        <f>FR_05004_t</f>
        <v>6.666666666666667</v>
      </c>
      <c r="N131" s="200">
        <f t="shared" si="18"/>
        <v>11.771166666666666</v>
      </c>
      <c r="O131" s="201">
        <v>205</v>
      </c>
    </row>
    <row r="132" spans="1:15" ht="14.4" x14ac:dyDescent="0.3">
      <c r="A132" s="192"/>
      <c r="B132" s="193" t="str">
        <f>'[1]FR A0500'!$B$3</f>
        <v>Frame and Body</v>
      </c>
      <c r="C132" s="194" t="str">
        <f>FR_05005</f>
        <v>FR 05005</v>
      </c>
      <c r="D132" s="195" t="s">
        <v>51</v>
      </c>
      <c r="E132" s="195" t="str">
        <f t="shared" si="19"/>
        <v>Clutch actuation system</v>
      </c>
      <c r="F132" s="196" t="str">
        <f>'[1]FR 05005'!B$5</f>
        <v>Actuation lever</v>
      </c>
      <c r="G132" s="195"/>
      <c r="H132" s="197">
        <f t="shared" si="17"/>
        <v>10.148666666666667</v>
      </c>
      <c r="I132" s="198">
        <f>FR_A0500_q*FR_05005_q</f>
        <v>1</v>
      </c>
      <c r="J132" s="199">
        <f>FR_05005_m</f>
        <v>0.63</v>
      </c>
      <c r="K132" s="199">
        <f>FR_05005_p</f>
        <v>2.8520000000000003</v>
      </c>
      <c r="L132" s="199">
        <v>0</v>
      </c>
      <c r="M132" s="199">
        <f>FR_05005_t</f>
        <v>6.666666666666667</v>
      </c>
      <c r="N132" s="200">
        <f t="shared" si="18"/>
        <v>10.148666666666667</v>
      </c>
      <c r="O132" s="201">
        <v>206</v>
      </c>
    </row>
    <row r="133" spans="1:15" ht="14.4" x14ac:dyDescent="0.3">
      <c r="A133" s="183"/>
      <c r="B133" s="184" t="str">
        <f>'[1]FR A0600'!B3</f>
        <v>Frame and Body</v>
      </c>
      <c r="C133" s="185" t="str">
        <f>FR_A0600</f>
        <v>FR A0600</v>
      </c>
      <c r="D133" s="185" t="s">
        <v>51</v>
      </c>
      <c r="E133" s="185"/>
      <c r="F133" s="186" t="str">
        <f>'[1]FR A0600'!B4</f>
        <v>Shifter</v>
      </c>
      <c r="G133" s="185"/>
      <c r="H133" s="187">
        <f t="shared" si="17"/>
        <v>111.58624999999998</v>
      </c>
      <c r="I133" s="188">
        <f>FR_A0600_q</f>
        <v>1</v>
      </c>
      <c r="J133" s="189">
        <f>FR_A0600_m</f>
        <v>42.48</v>
      </c>
      <c r="K133" s="189">
        <f>FR_A0600_p</f>
        <v>26.216249999999999</v>
      </c>
      <c r="L133" s="189">
        <f>FR_A0600_f</f>
        <v>0.41000000000000003</v>
      </c>
      <c r="M133" s="189">
        <f>FR_A0600_m</f>
        <v>42.48</v>
      </c>
      <c r="N133" s="190">
        <f t="shared" si="18"/>
        <v>111.58624999999998</v>
      </c>
      <c r="O133" s="191">
        <v>207</v>
      </c>
    </row>
    <row r="134" spans="1:15" ht="14.4" x14ac:dyDescent="0.3">
      <c r="A134" s="192"/>
      <c r="B134" s="193" t="str">
        <f>'[1]FR A0600'!B3</f>
        <v>Frame and Body</v>
      </c>
      <c r="C134" s="194" t="str">
        <f>'[1]FR 06001'!B6</f>
        <v>FR 06001</v>
      </c>
      <c r="D134" s="195" t="s">
        <v>51</v>
      </c>
      <c r="E134" s="195" t="str">
        <f>F$133</f>
        <v>Shifter</v>
      </c>
      <c r="F134" s="207" t="s">
        <v>76</v>
      </c>
      <c r="G134" s="195"/>
      <c r="H134" s="197">
        <f t="shared" si="17"/>
        <v>12.69225</v>
      </c>
      <c r="I134" s="198">
        <f>FR_A0600_q*FR_06001_q</f>
        <v>1</v>
      </c>
      <c r="J134" s="199">
        <f>FR_06001_m</f>
        <v>0.54225000000000001</v>
      </c>
      <c r="K134" s="199">
        <f>FR_06001_p</f>
        <v>12.15</v>
      </c>
      <c r="L134" s="199">
        <v>0</v>
      </c>
      <c r="M134" s="199">
        <v>0</v>
      </c>
      <c r="N134" s="200">
        <f t="shared" si="18"/>
        <v>12.69225</v>
      </c>
      <c r="O134" s="201">
        <v>209</v>
      </c>
    </row>
    <row r="135" spans="1:15" ht="14.4" x14ac:dyDescent="0.3">
      <c r="A135" s="192"/>
      <c r="B135" s="193" t="str">
        <f>'[1]FR A0600'!$B$3</f>
        <v>Frame and Body</v>
      </c>
      <c r="C135" s="194" t="s">
        <v>77</v>
      </c>
      <c r="D135" s="195" t="s">
        <v>51</v>
      </c>
      <c r="E135" s="195" t="str">
        <f t="shared" ref="E135:E139" si="20">F$133</f>
        <v>Shifter</v>
      </c>
      <c r="F135" s="208" t="s">
        <v>78</v>
      </c>
      <c r="G135" s="195"/>
      <c r="H135" s="197">
        <f t="shared" si="17"/>
        <v>15.880500000000001</v>
      </c>
      <c r="I135" s="198">
        <f>FR_A0600_q*FR_06002_q</f>
        <v>1</v>
      </c>
      <c r="J135" s="199">
        <f>FR_06002_m</f>
        <v>0.67049999999999998</v>
      </c>
      <c r="K135" s="199">
        <f>FR_06002_p</f>
        <v>15.21</v>
      </c>
      <c r="L135" s="199">
        <v>0</v>
      </c>
      <c r="M135" s="199">
        <v>0</v>
      </c>
      <c r="N135" s="200">
        <f t="shared" si="18"/>
        <v>15.880500000000001</v>
      </c>
      <c r="O135" s="201">
        <v>210</v>
      </c>
    </row>
    <row r="136" spans="1:15" ht="14.4" x14ac:dyDescent="0.3">
      <c r="A136" s="192"/>
      <c r="B136" s="193" t="str">
        <f>'[1]FR A0600'!$B$3</f>
        <v>Frame and Body</v>
      </c>
      <c r="C136" s="194" t="s">
        <v>79</v>
      </c>
      <c r="D136" s="195" t="s">
        <v>51</v>
      </c>
      <c r="E136" s="195" t="str">
        <f t="shared" si="20"/>
        <v>Shifter</v>
      </c>
      <c r="F136" s="208" t="s">
        <v>80</v>
      </c>
      <c r="G136" s="195"/>
      <c r="H136" s="197">
        <f t="shared" si="17"/>
        <v>1.6045</v>
      </c>
      <c r="I136" s="198">
        <f>FR_A0600_q*FR_06003_q</f>
        <v>1</v>
      </c>
      <c r="J136" s="199">
        <f>FR_06003_m</f>
        <v>2.2499999999999999E-2</v>
      </c>
      <c r="K136" s="199">
        <f>FR_06003_p</f>
        <v>1.5820000000000001</v>
      </c>
      <c r="L136" s="199">
        <v>0</v>
      </c>
      <c r="M136" s="199">
        <v>0</v>
      </c>
      <c r="N136" s="200">
        <f t="shared" si="18"/>
        <v>1.6045</v>
      </c>
      <c r="O136" s="201">
        <v>211</v>
      </c>
    </row>
    <row r="137" spans="1:15" ht="14.4" x14ac:dyDescent="0.3">
      <c r="A137" s="192"/>
      <c r="B137" s="193" t="str">
        <f>'[1]FR A0600'!$B$3</f>
        <v>Frame and Body</v>
      </c>
      <c r="C137" s="194" t="s">
        <v>81</v>
      </c>
      <c r="D137" s="195" t="s">
        <v>51</v>
      </c>
      <c r="E137" s="195" t="str">
        <f t="shared" si="20"/>
        <v>Shifter</v>
      </c>
      <c r="F137" s="208" t="s">
        <v>82</v>
      </c>
      <c r="G137" s="195"/>
      <c r="H137" s="197">
        <f t="shared" si="17"/>
        <v>2.8193999999999999</v>
      </c>
      <c r="I137" s="198">
        <f>FR_A0600_q*FR_06004_q</f>
        <v>1</v>
      </c>
      <c r="J137" s="199">
        <f>FR_06004_m</f>
        <v>2.9400000000000003E-2</v>
      </c>
      <c r="K137" s="199">
        <f>FR_06004_p</f>
        <v>2.79</v>
      </c>
      <c r="L137" s="199">
        <v>0</v>
      </c>
      <c r="M137" s="199">
        <v>0</v>
      </c>
      <c r="N137" s="200">
        <f t="shared" si="18"/>
        <v>2.8193999999999999</v>
      </c>
      <c r="O137" s="201">
        <v>212</v>
      </c>
    </row>
    <row r="138" spans="1:15" ht="14.4" x14ac:dyDescent="0.3">
      <c r="A138" s="192"/>
      <c r="B138" s="193" t="str">
        <f>'[1]FR A0600'!$B$3</f>
        <v>Frame and Body</v>
      </c>
      <c r="C138" s="194" t="s">
        <v>83</v>
      </c>
      <c r="D138" s="195" t="s">
        <v>51</v>
      </c>
      <c r="E138" s="195" t="str">
        <f t="shared" si="20"/>
        <v>Shifter</v>
      </c>
      <c r="F138" s="209" t="s">
        <v>84</v>
      </c>
      <c r="G138" s="195"/>
      <c r="H138" s="197">
        <f t="shared" si="17"/>
        <v>2.5568</v>
      </c>
      <c r="I138" s="198">
        <f>FR_A0600_q*FR_06005_q</f>
        <v>1</v>
      </c>
      <c r="J138" s="199">
        <f>FR_06005_m</f>
        <v>1.6800000000000002E-2</v>
      </c>
      <c r="K138" s="199">
        <f>FR_06005_p</f>
        <v>2.54</v>
      </c>
      <c r="L138" s="199">
        <v>0</v>
      </c>
      <c r="M138" s="199">
        <v>0</v>
      </c>
      <c r="N138" s="200">
        <f t="shared" si="18"/>
        <v>2.5568</v>
      </c>
      <c r="O138" s="201">
        <v>214</v>
      </c>
    </row>
    <row r="139" spans="1:15" ht="14.4" x14ac:dyDescent="0.3">
      <c r="A139" s="192"/>
      <c r="B139" s="193" t="str">
        <f>'[1]FR A0600'!$B$3</f>
        <v>Frame and Body</v>
      </c>
      <c r="C139" s="194" t="s">
        <v>85</v>
      </c>
      <c r="D139" s="195" t="s">
        <v>51</v>
      </c>
      <c r="E139" s="195" t="str">
        <f t="shared" si="20"/>
        <v>Shifter</v>
      </c>
      <c r="F139" s="209" t="s">
        <v>86</v>
      </c>
      <c r="G139" s="195"/>
      <c r="H139" s="197">
        <f t="shared" si="17"/>
        <v>7.4882499999999999</v>
      </c>
      <c r="I139" s="198">
        <f>FR_A0600_q*FR_06006_q</f>
        <v>1</v>
      </c>
      <c r="J139" s="199">
        <f>FR_06006_m</f>
        <v>0.39824999999999999</v>
      </c>
      <c r="K139" s="199">
        <f>FR_06006_p</f>
        <v>7.05</v>
      </c>
      <c r="L139" s="199">
        <f>FR_06006_f</f>
        <v>0.04</v>
      </c>
      <c r="M139" s="199">
        <v>0</v>
      </c>
      <c r="N139" s="200">
        <f t="shared" si="18"/>
        <v>7.4882499999999999</v>
      </c>
      <c r="O139" s="201">
        <v>216</v>
      </c>
    </row>
    <row r="140" spans="1:15" ht="14.4" x14ac:dyDescent="0.3">
      <c r="A140" s="183"/>
      <c r="B140" s="184" t="str">
        <f>'[1]FR A0700'!B3</f>
        <v>Frame and Body</v>
      </c>
      <c r="C140" s="185" t="str">
        <f>FR_A0700</f>
        <v>FR A0700</v>
      </c>
      <c r="D140" s="185" t="s">
        <v>51</v>
      </c>
      <c r="E140" s="185"/>
      <c r="F140" s="205" t="str">
        <f>'[1]FR A0700'!B4</f>
        <v>Bodywork</v>
      </c>
      <c r="G140" s="185"/>
      <c r="H140" s="187">
        <f t="shared" si="17"/>
        <v>111.69171317272327</v>
      </c>
      <c r="I140" s="188">
        <f>FR_A0700_q</f>
        <v>1</v>
      </c>
      <c r="J140" s="189">
        <f>FR_A0700_m</f>
        <v>11.660500169999999</v>
      </c>
      <c r="K140" s="189">
        <f>FR_A0700_p</f>
        <v>25.416762589250006</v>
      </c>
      <c r="L140" s="189">
        <f>FR_A0700_f</f>
        <v>71.947783746806593</v>
      </c>
      <c r="M140" s="189">
        <f>FR_A0700_t</f>
        <v>2.6666666666666665</v>
      </c>
      <c r="N140" s="190">
        <f t="shared" si="18"/>
        <v>111.69171317272327</v>
      </c>
      <c r="O140" s="201">
        <v>217</v>
      </c>
    </row>
    <row r="141" spans="1:15" ht="14.4" x14ac:dyDescent="0.3">
      <c r="A141" s="192"/>
      <c r="B141" s="193" t="str">
        <f>[1]FR_07001!B$3</f>
        <v>Frame and Body</v>
      </c>
      <c r="C141" s="194" t="str">
        <f>FR_07001</f>
        <v>FR 07001</v>
      </c>
      <c r="D141" s="195" t="s">
        <v>51</v>
      </c>
      <c r="E141" s="195" t="str">
        <f>F$140</f>
        <v>Bodywork</v>
      </c>
      <c r="F141" s="196" t="str">
        <f>[1]FR_07001!B5</f>
        <v>Nose</v>
      </c>
      <c r="G141" s="195"/>
      <c r="H141" s="197">
        <f t="shared" si="17"/>
        <v>261.5866666666667</v>
      </c>
      <c r="I141" s="198">
        <f>FR_A0700_q*FR_07001_q</f>
        <v>1</v>
      </c>
      <c r="J141" s="199">
        <f>FR_07001_m</f>
        <v>82.8</v>
      </c>
      <c r="K141" s="199">
        <f>FR_07001_p</f>
        <v>160.92000000000002</v>
      </c>
      <c r="L141" s="199">
        <v>0</v>
      </c>
      <c r="M141" s="199">
        <f>FR_07001_t</f>
        <v>17.866666666666667</v>
      </c>
      <c r="N141" s="200">
        <f t="shared" si="18"/>
        <v>261.5866666666667</v>
      </c>
      <c r="O141" s="201">
        <v>218</v>
      </c>
    </row>
    <row r="142" spans="1:15" ht="14.4" x14ac:dyDescent="0.3">
      <c r="A142" s="192"/>
      <c r="B142" s="193" t="str">
        <f>[1]FR_07001!B$3</f>
        <v>Frame and Body</v>
      </c>
      <c r="C142" s="194" t="str">
        <f>FR_07002</f>
        <v>FR 07002</v>
      </c>
      <c r="D142" s="195" t="s">
        <v>51</v>
      </c>
      <c r="E142" s="195" t="str">
        <f t="shared" ref="E142:E148" si="21">F$140</f>
        <v>Bodywork</v>
      </c>
      <c r="F142" s="196" t="str">
        <f>[1]FR_07002!B5</f>
        <v>Left Inlet</v>
      </c>
      <c r="G142" s="195"/>
      <c r="H142" s="197">
        <f t="shared" si="17"/>
        <v>110.33</v>
      </c>
      <c r="I142" s="210">
        <f>FR_A0700_q*FR_07002_q</f>
        <v>1</v>
      </c>
      <c r="J142" s="199">
        <f>FR_07002_m</f>
        <v>28.200000000000003</v>
      </c>
      <c r="K142" s="199">
        <f>FR_07002_p</f>
        <v>76.13</v>
      </c>
      <c r="L142" s="199">
        <v>0</v>
      </c>
      <c r="M142" s="199">
        <f>FR_07002_t</f>
        <v>6</v>
      </c>
      <c r="N142" s="200">
        <f t="shared" si="18"/>
        <v>110.33</v>
      </c>
      <c r="O142" s="201">
        <v>220</v>
      </c>
    </row>
    <row r="143" spans="1:15" ht="14.4" x14ac:dyDescent="0.3">
      <c r="A143" s="192"/>
      <c r="B143" s="193" t="str">
        <f>[1]FR_07001!B$3</f>
        <v>Frame and Body</v>
      </c>
      <c r="C143" s="194" t="str">
        <f>FR_07003</f>
        <v>FR 07003</v>
      </c>
      <c r="D143" s="195" t="s">
        <v>51</v>
      </c>
      <c r="E143" s="195" t="str">
        <f t="shared" si="21"/>
        <v>Bodywork</v>
      </c>
      <c r="F143" s="203" t="str">
        <f>[1]FR_07003!B5</f>
        <v>Right Inlet</v>
      </c>
      <c r="G143" s="195"/>
      <c r="H143" s="197">
        <f t="shared" si="17"/>
        <v>110.33</v>
      </c>
      <c r="I143" s="198">
        <f>FR_A0700_q*FR_07003_q</f>
        <v>1</v>
      </c>
      <c r="J143" s="199">
        <f>FR_07003_m</f>
        <v>28.200000000000003</v>
      </c>
      <c r="K143" s="199">
        <f>FR_07003_p</f>
        <v>76.13</v>
      </c>
      <c r="L143" s="199">
        <v>0</v>
      </c>
      <c r="M143" s="199">
        <f>FR_07003_t</f>
        <v>6</v>
      </c>
      <c r="N143" s="200">
        <f t="shared" si="18"/>
        <v>110.33</v>
      </c>
      <c r="O143" s="201">
        <v>222</v>
      </c>
    </row>
    <row r="144" spans="1:15" ht="14.4" x14ac:dyDescent="0.3">
      <c r="A144" s="192"/>
      <c r="B144" s="193" t="str">
        <f>[1]FR_07001!B$3</f>
        <v>Frame and Body</v>
      </c>
      <c r="C144" s="194" t="str">
        <f>FR_07004</f>
        <v>FR 07004</v>
      </c>
      <c r="D144" s="195" t="s">
        <v>51</v>
      </c>
      <c r="E144" s="195" t="str">
        <f t="shared" si="21"/>
        <v>Bodywork</v>
      </c>
      <c r="F144" s="196" t="str">
        <f>[1]FR_07004!B5</f>
        <v>Front Side plate</v>
      </c>
      <c r="G144" s="195"/>
      <c r="H144" s="197">
        <f t="shared" si="17"/>
        <v>86.626666666666679</v>
      </c>
      <c r="I144" s="198">
        <f>FR_A0700_q*FR_07004_q</f>
        <v>2</v>
      </c>
      <c r="J144" s="199">
        <f>FR_07004_m</f>
        <v>12.960000000000004</v>
      </c>
      <c r="K144" s="199">
        <f>FR_07004_p</f>
        <v>69.400000000000006</v>
      </c>
      <c r="L144" s="199">
        <v>0</v>
      </c>
      <c r="M144" s="199">
        <f>FR_07004_t</f>
        <v>4.2666666666666666</v>
      </c>
      <c r="N144" s="200">
        <f t="shared" si="18"/>
        <v>173.25333333333336</v>
      </c>
      <c r="O144" s="201">
        <v>224</v>
      </c>
    </row>
    <row r="145" spans="1:15" ht="14.4" x14ac:dyDescent="0.3">
      <c r="A145" s="192"/>
      <c r="B145" s="193" t="str">
        <f>[1]FR_07001!B$3</f>
        <v>Frame and Body</v>
      </c>
      <c r="C145" s="194" t="str">
        <f>FR_07005</f>
        <v>FR 07005</v>
      </c>
      <c r="D145" s="195" t="s">
        <v>51</v>
      </c>
      <c r="E145" s="195" t="str">
        <f t="shared" si="21"/>
        <v>Bodywork</v>
      </c>
      <c r="F145" s="196" t="str">
        <f>[1]FR_07005!B5</f>
        <v>Back Side Plate</v>
      </c>
      <c r="G145" s="195"/>
      <c r="H145" s="197">
        <f t="shared" si="17"/>
        <v>150.71333333333334</v>
      </c>
      <c r="I145" s="198">
        <f>FR_A0700_q*FR_07005_q</f>
        <v>2</v>
      </c>
      <c r="J145" s="199">
        <f>FR_07005_m</f>
        <v>27.000000000000004</v>
      </c>
      <c r="K145" s="199">
        <f>FR_07005_p</f>
        <v>114.38</v>
      </c>
      <c r="L145" s="199">
        <v>0</v>
      </c>
      <c r="M145" s="199">
        <f>FR_07005_t</f>
        <v>9.3333333333333339</v>
      </c>
      <c r="N145" s="200">
        <f t="shared" si="18"/>
        <v>301.42666666666668</v>
      </c>
      <c r="O145" s="201">
        <v>226</v>
      </c>
    </row>
    <row r="146" spans="1:15" ht="14.4" x14ac:dyDescent="0.3">
      <c r="A146" s="192"/>
      <c r="B146" s="193" t="str">
        <f>[1]FR_07001!B$3</f>
        <v>Frame and Body</v>
      </c>
      <c r="C146" s="194" t="str">
        <f>FR_07006</f>
        <v>FR 07006</v>
      </c>
      <c r="D146" s="195" t="s">
        <v>51</v>
      </c>
      <c r="E146" s="195" t="str">
        <f t="shared" si="21"/>
        <v>Bodywork</v>
      </c>
      <c r="F146" s="196" t="str">
        <f>[1]FR_07006!B5</f>
        <v>Back Inlet Bracket</v>
      </c>
      <c r="G146" s="195"/>
      <c r="H146" s="197">
        <f t="shared" si="17"/>
        <v>1.0759419618832944</v>
      </c>
      <c r="I146" s="198">
        <f>FR_A0700_q*FR_07006_q</f>
        <v>2</v>
      </c>
      <c r="J146" s="199">
        <f>FR_07006_m</f>
        <v>1.6141961883294399E-2</v>
      </c>
      <c r="K146" s="199">
        <f>FR_07006_p</f>
        <v>1.0598000000000001</v>
      </c>
      <c r="L146" s="199">
        <v>0</v>
      </c>
      <c r="M146" s="199">
        <v>0</v>
      </c>
      <c r="N146" s="200">
        <f t="shared" si="18"/>
        <v>2.1518839237665888</v>
      </c>
      <c r="O146" s="201">
        <v>228</v>
      </c>
    </row>
    <row r="147" spans="1:15" ht="14.4" x14ac:dyDescent="0.3">
      <c r="A147" s="192"/>
      <c r="B147" s="193" t="str">
        <f>[1]FR_07001!B$3</f>
        <v>Frame and Body</v>
      </c>
      <c r="C147" s="194" t="str">
        <f>FR_07007</f>
        <v>FR 07007</v>
      </c>
      <c r="D147" s="195" t="s">
        <v>51</v>
      </c>
      <c r="E147" s="195" t="str">
        <f t="shared" si="21"/>
        <v>Bodywork</v>
      </c>
      <c r="F147" s="196" t="str">
        <f>[1]FR_07007!B5</f>
        <v>Front Inlet Bracket</v>
      </c>
      <c r="G147" s="195"/>
      <c r="H147" s="197">
        <f t="shared" si="17"/>
        <v>1.0788162660645444</v>
      </c>
      <c r="I147" s="198">
        <f>FR_A0700_q*FR_07007_q</f>
        <v>2</v>
      </c>
      <c r="J147" s="199">
        <f>FR_07007_m</f>
        <v>2.2616266064544401E-2</v>
      </c>
      <c r="K147" s="199">
        <f>FR_07007_p</f>
        <v>1.0562</v>
      </c>
      <c r="L147" s="199">
        <v>0</v>
      </c>
      <c r="M147" s="199">
        <v>0</v>
      </c>
      <c r="N147" s="200">
        <f t="shared" si="18"/>
        <v>2.1576325321290888</v>
      </c>
      <c r="O147" s="201">
        <v>230</v>
      </c>
    </row>
    <row r="148" spans="1:15" ht="14.4" x14ac:dyDescent="0.3">
      <c r="A148" s="192"/>
      <c r="B148" s="193" t="str">
        <f>[1]FR_07001!B$3</f>
        <v>Frame and Body</v>
      </c>
      <c r="C148" s="194" t="str">
        <f>FR_07008</f>
        <v>FR 07008</v>
      </c>
      <c r="D148" s="195" t="s">
        <v>51</v>
      </c>
      <c r="E148" s="195" t="str">
        <f t="shared" si="21"/>
        <v>Bodywork</v>
      </c>
      <c r="F148" s="196" t="str">
        <f>[1]FR_07008!B5</f>
        <v>Nose Bracket</v>
      </c>
      <c r="G148" s="204"/>
      <c r="H148" s="197">
        <f t="shared" si="17"/>
        <v>0.73773216315204448</v>
      </c>
      <c r="I148" s="198">
        <f>FR_A0700_q*FR_07008_q</f>
        <v>4</v>
      </c>
      <c r="J148" s="199">
        <f>FR_07008_m</f>
        <v>1.6732163152044403E-2</v>
      </c>
      <c r="K148" s="199">
        <f>FR_07008_p</f>
        <v>0.72100000000000009</v>
      </c>
      <c r="L148" s="199">
        <v>0</v>
      </c>
      <c r="M148" s="199">
        <v>0</v>
      </c>
      <c r="N148" s="200">
        <f t="shared" si="18"/>
        <v>2.9509286526081779</v>
      </c>
      <c r="O148" s="201">
        <v>232</v>
      </c>
    </row>
    <row r="149" spans="1:15" ht="14.4" x14ac:dyDescent="0.3">
      <c r="A149" s="211"/>
      <c r="B149" s="212" t="str">
        <f>'[1]FR A0800'!B3</f>
        <v>Frame and Body</v>
      </c>
      <c r="C149" s="213" t="str">
        <f>FR_A0800</f>
        <v>FR A0800</v>
      </c>
      <c r="D149" s="214" t="s">
        <v>51</v>
      </c>
      <c r="E149" s="214"/>
      <c r="F149" s="215" t="str">
        <f>'[1]FR A0800'!B4</f>
        <v xml:space="preserve">Gearshifting paddles </v>
      </c>
      <c r="G149" s="216"/>
      <c r="H149" s="187">
        <f t="shared" si="17"/>
        <v>8.838000000000001</v>
      </c>
      <c r="I149" s="217">
        <f>FR_A0800_q</f>
        <v>1</v>
      </c>
      <c r="J149" s="218">
        <f>FR_A0800_m</f>
        <v>4</v>
      </c>
      <c r="K149" s="218">
        <f>FR_A0800_p</f>
        <v>4.6779999999999999</v>
      </c>
      <c r="L149" s="218">
        <f>FR_A0800_f</f>
        <v>0.16</v>
      </c>
      <c r="M149" s="218">
        <v>0</v>
      </c>
      <c r="N149" s="190">
        <f t="shared" si="18"/>
        <v>8.838000000000001</v>
      </c>
      <c r="O149" s="219">
        <v>234</v>
      </c>
    </row>
    <row r="150" spans="1:15" ht="14.4" x14ac:dyDescent="0.3">
      <c r="A150" s="192"/>
      <c r="B150" s="193" t="str">
        <f>'[1]FR 08001'!B$3</f>
        <v>Frame and Body</v>
      </c>
      <c r="C150" s="194" t="s">
        <v>87</v>
      </c>
      <c r="D150" s="195" t="s">
        <v>51</v>
      </c>
      <c r="E150" s="195" t="str">
        <f>BOM!F$149</f>
        <v xml:space="preserve">Gearshifting paddles </v>
      </c>
      <c r="F150" s="196" t="str">
        <f>'[1]FR 08001'!B5</f>
        <v>Paddles mount main part</v>
      </c>
      <c r="G150" s="204"/>
      <c r="H150" s="197">
        <f t="shared" si="17"/>
        <v>6.5030000000000001</v>
      </c>
      <c r="I150" s="198">
        <f>FR_A0800_q*FR_08001_q</f>
        <v>1</v>
      </c>
      <c r="J150" s="199">
        <f>FR_08001_m</f>
        <v>0.69300000000000006</v>
      </c>
      <c r="K150" s="199">
        <f>FR_08001_p</f>
        <v>5.81</v>
      </c>
      <c r="L150" s="199">
        <v>0</v>
      </c>
      <c r="M150" s="199">
        <v>0</v>
      </c>
      <c r="N150" s="200">
        <f t="shared" si="18"/>
        <v>6.5030000000000001</v>
      </c>
      <c r="O150" s="201">
        <v>235</v>
      </c>
    </row>
    <row r="151" spans="1:15" ht="14.4" x14ac:dyDescent="0.3">
      <c r="A151" s="192"/>
      <c r="B151" s="193" t="str">
        <f>'[1]FR 08001'!B$3</f>
        <v>Frame and Body</v>
      </c>
      <c r="C151" s="194" t="s">
        <v>88</v>
      </c>
      <c r="D151" s="195" t="s">
        <v>51</v>
      </c>
      <c r="E151" s="195" t="str">
        <f>BOM!F$149</f>
        <v xml:space="preserve">Gearshifting paddles </v>
      </c>
      <c r="F151" s="196" t="str">
        <f>'[1]FR 08002'!B5</f>
        <v>Paddles rockers</v>
      </c>
      <c r="G151" s="204"/>
      <c r="H151" s="197">
        <f t="shared" si="17"/>
        <v>4.6258799999999995</v>
      </c>
      <c r="I151" s="198">
        <f>FR_A0800_q*FR_08002_q</f>
        <v>2</v>
      </c>
      <c r="J151" s="199">
        <f>FR_08002_m</f>
        <v>0.11087999999999999</v>
      </c>
      <c r="K151" s="199">
        <f>FR_08002_p</f>
        <v>4.5149999999999997</v>
      </c>
      <c r="L151" s="199">
        <v>0</v>
      </c>
      <c r="M151" s="199">
        <v>0</v>
      </c>
      <c r="N151" s="200">
        <f t="shared" si="18"/>
        <v>9.2517599999999991</v>
      </c>
      <c r="O151" s="201">
        <v>236</v>
      </c>
    </row>
    <row r="152" spans="1:15" ht="15" thickBot="1" x14ac:dyDescent="0.35">
      <c r="A152" s="220"/>
      <c r="B152" s="193" t="str">
        <f>'[1]FR 08001'!B$3</f>
        <v>Frame and Body</v>
      </c>
      <c r="C152" s="221" t="s">
        <v>89</v>
      </c>
      <c r="D152" s="222" t="s">
        <v>51</v>
      </c>
      <c r="E152" s="195" t="str">
        <f>BOM!F$149</f>
        <v xml:space="preserve">Gearshifting paddles </v>
      </c>
      <c r="F152" s="223" t="str">
        <f>'[1]FR 08003'!B5</f>
        <v>Paddles</v>
      </c>
      <c r="G152" s="224"/>
      <c r="H152" s="197">
        <f t="shared" si="17"/>
        <v>4.0333125000000001</v>
      </c>
      <c r="I152" s="198">
        <f>FR_A0800_q*FR_08003_q</f>
        <v>2</v>
      </c>
      <c r="J152" s="199">
        <f>FR_08003_m</f>
        <v>0.83531250000000001</v>
      </c>
      <c r="K152" s="199">
        <f>FR_08003_p</f>
        <v>3.198</v>
      </c>
      <c r="L152" s="199">
        <v>0</v>
      </c>
      <c r="M152" s="199">
        <v>0</v>
      </c>
      <c r="N152" s="200">
        <f t="shared" si="18"/>
        <v>8.0666250000000002</v>
      </c>
      <c r="O152" s="225">
        <v>237</v>
      </c>
    </row>
    <row r="153" spans="1:15" ht="15" thickTop="1" thickBot="1" x14ac:dyDescent="0.3">
      <c r="A153" s="110"/>
      <c r="B153" s="111" t="str">
        <f>'[1]FR A0100'!B3</f>
        <v>Frame and Body</v>
      </c>
      <c r="C153" s="112"/>
      <c r="D153" s="112"/>
      <c r="E153" s="112"/>
      <c r="F153" s="111" t="s">
        <v>52</v>
      </c>
      <c r="G153" s="112"/>
      <c r="H153" s="113"/>
      <c r="I153" s="114"/>
      <c r="J153" s="115">
        <f>SUMPRODUCT($I103:$I152,J103:J152)</f>
        <v>475.9973697544068</v>
      </c>
      <c r="K153" s="115">
        <f>SUMPRODUCT($I103:$I152,K103:K152)</f>
        <v>1709.98168508925</v>
      </c>
      <c r="L153" s="115">
        <f>SUMPRODUCT($I103:$I152,L103:L152)</f>
        <v>85.02764069900141</v>
      </c>
      <c r="M153" s="115">
        <f>SUMPRODUCT($I103:$I152,M103:M152)</f>
        <v>196.21333333333334</v>
      </c>
      <c r="N153" s="115">
        <f>SUM(N103:N152)</f>
        <v>2467.2200288759923</v>
      </c>
      <c r="O153" s="116"/>
    </row>
    <row r="154" spans="1:15" ht="15" thickTop="1" x14ac:dyDescent="0.3">
      <c r="A154" s="226"/>
      <c r="B154" s="227" t="str">
        <f>[1]EL_A0100!B3</f>
        <v>Electrical</v>
      </c>
      <c r="C154" s="228" t="str">
        <f>EL_A0001</f>
        <v>EL A0100</v>
      </c>
      <c r="D154" s="228" t="s">
        <v>51</v>
      </c>
      <c r="E154" s="228"/>
      <c r="F154" s="229" t="str">
        <f>[1]EL_A0100!B4</f>
        <v>Rear firewall instruments and wires</v>
      </c>
      <c r="G154" s="228"/>
      <c r="H154" s="230">
        <f t="shared" ref="H154:H169" si="22">SUM(J154:M154)</f>
        <v>1232.1544107999998</v>
      </c>
      <c r="I154" s="231">
        <f>EL_A0001_q</f>
        <v>1</v>
      </c>
      <c r="J154" s="232">
        <f>EL_A0001_m</f>
        <v>1130.8499999999999</v>
      </c>
      <c r="K154" s="233">
        <f>EL_A0001_p</f>
        <v>97.454410799999991</v>
      </c>
      <c r="L154" s="232">
        <f>EL_A0001_f</f>
        <v>1.85</v>
      </c>
      <c r="M154" s="232">
        <f>EL_A0001_t</f>
        <v>2</v>
      </c>
      <c r="N154" s="234">
        <f t="shared" ref="N154:N169" si="23">H154*I154</f>
        <v>1232.1544107999998</v>
      </c>
      <c r="O154" s="235">
        <v>239</v>
      </c>
    </row>
    <row r="155" spans="1:15" ht="14.4" x14ac:dyDescent="0.3">
      <c r="A155" s="236"/>
      <c r="B155" s="237" t="str">
        <f>[1]EL_A0100!$B$3</f>
        <v>Electrical</v>
      </c>
      <c r="C155" s="238" t="str">
        <f>EL_01001</f>
        <v>EL 01001</v>
      </c>
      <c r="D155" s="239" t="s">
        <v>51</v>
      </c>
      <c r="E155" s="239" t="str">
        <f t="shared" ref="E155:E160" si="24">F$154</f>
        <v>Rear firewall instruments and wires</v>
      </c>
      <c r="F155" s="240" t="str">
        <f>[1]EL_01001!B5</f>
        <v>Fuse box bracket</v>
      </c>
      <c r="G155" s="239"/>
      <c r="H155" s="241">
        <f t="shared" si="22"/>
        <v>0.88343210000000005</v>
      </c>
      <c r="I155" s="242">
        <f>EL_A0001_q*EL_01001_q</f>
        <v>2</v>
      </c>
      <c r="J155" s="243">
        <f>EL_01001_m</f>
        <v>1.6532099999999997E-2</v>
      </c>
      <c r="K155" s="243">
        <f>EL_01001_p</f>
        <v>0.8669</v>
      </c>
      <c r="L155" s="243">
        <v>0</v>
      </c>
      <c r="M155" s="243">
        <v>0</v>
      </c>
      <c r="N155" s="244">
        <f t="shared" si="23"/>
        <v>1.7668642000000001</v>
      </c>
      <c r="O155" s="245">
        <v>242</v>
      </c>
    </row>
    <row r="156" spans="1:15" ht="14.4" x14ac:dyDescent="0.3">
      <c r="A156" s="236"/>
      <c r="B156" s="237" t="str">
        <f>[1]EL_A0100!$B$3</f>
        <v>Electrical</v>
      </c>
      <c r="C156" s="238" t="str">
        <f>EL_01002</f>
        <v>EL 01002</v>
      </c>
      <c r="D156" s="239" t="s">
        <v>51</v>
      </c>
      <c r="E156" s="239" t="str">
        <f t="shared" si="24"/>
        <v>Rear firewall instruments and wires</v>
      </c>
      <c r="F156" s="240" t="str">
        <f>[1]EL_01002!B5</f>
        <v>Ground bracket</v>
      </c>
      <c r="G156" s="239"/>
      <c r="H156" s="241">
        <f t="shared" si="22"/>
        <v>0.54649961458333329</v>
      </c>
      <c r="I156" s="242">
        <f>EL_A0001_q*EL_01002_q</f>
        <v>2</v>
      </c>
      <c r="J156" s="243">
        <f>EL_01002_m</f>
        <v>5.1662812500000007E-3</v>
      </c>
      <c r="K156" s="243">
        <f>EL_01002_p</f>
        <v>0.54133333333333333</v>
      </c>
      <c r="L156" s="243">
        <v>0</v>
      </c>
      <c r="M156" s="243">
        <v>0</v>
      </c>
      <c r="N156" s="244">
        <f t="shared" si="23"/>
        <v>1.0929992291666666</v>
      </c>
      <c r="O156" s="245">
        <v>244</v>
      </c>
    </row>
    <row r="157" spans="1:15" ht="14.4" x14ac:dyDescent="0.3">
      <c r="A157" s="236"/>
      <c r="B157" s="237" t="str">
        <f>[1]EL_A0100!$B$3</f>
        <v>Electrical</v>
      </c>
      <c r="C157" s="238" t="str">
        <f>EL_01003</f>
        <v>EL 01003</v>
      </c>
      <c r="D157" s="239" t="s">
        <v>51</v>
      </c>
      <c r="E157" s="239" t="str">
        <f t="shared" si="24"/>
        <v>Rear firewall instruments and wires</v>
      </c>
      <c r="F157" s="240" t="str">
        <f>[1]EL_01003!B5</f>
        <v>Break light bracket</v>
      </c>
      <c r="G157" s="239"/>
      <c r="H157" s="241">
        <f t="shared" si="22"/>
        <v>0.82069615625000003</v>
      </c>
      <c r="I157" s="242">
        <f>EL_A0001_q*EL_01003_q</f>
        <v>2</v>
      </c>
      <c r="J157" s="243">
        <f>EL_01003_m</f>
        <v>5.6961562499999998E-3</v>
      </c>
      <c r="K157" s="243">
        <f>EL_01003_p</f>
        <v>0.81500000000000006</v>
      </c>
      <c r="L157" s="243">
        <v>0</v>
      </c>
      <c r="M157" s="243">
        <v>0</v>
      </c>
      <c r="N157" s="244">
        <f t="shared" si="23"/>
        <v>1.6413923125000001</v>
      </c>
      <c r="O157" s="245">
        <v>246</v>
      </c>
    </row>
    <row r="158" spans="1:15" ht="14.4" x14ac:dyDescent="0.3">
      <c r="A158" s="236"/>
      <c r="B158" s="237" t="str">
        <f>[1]EL_A0100!$B$3</f>
        <v>Electrical</v>
      </c>
      <c r="C158" s="238" t="str">
        <f>EL_01004</f>
        <v>EL 01004</v>
      </c>
      <c r="D158" s="239" t="s">
        <v>51</v>
      </c>
      <c r="E158" s="239" t="str">
        <f t="shared" si="24"/>
        <v>Rear firewall instruments and wires</v>
      </c>
      <c r="F158" s="240" t="str">
        <f>[1]EL_01004!B5</f>
        <v>Master switch panel</v>
      </c>
      <c r="G158" s="239"/>
      <c r="H158" s="241">
        <f t="shared" si="22"/>
        <v>75.943999999999988</v>
      </c>
      <c r="I158" s="242">
        <f>EL_A0001_q*EL_01004_q</f>
        <v>1</v>
      </c>
      <c r="J158" s="243">
        <f>EL_01004_m</f>
        <v>73.599999999999994</v>
      </c>
      <c r="K158" s="243">
        <f>EL_01004_p</f>
        <v>2.3440000000000003</v>
      </c>
      <c r="L158" s="243">
        <v>0</v>
      </c>
      <c r="M158" s="243">
        <v>0</v>
      </c>
      <c r="N158" s="244">
        <f t="shared" si="23"/>
        <v>75.943999999999988</v>
      </c>
      <c r="O158" s="245">
        <v>248</v>
      </c>
    </row>
    <row r="159" spans="1:15" ht="14.4" x14ac:dyDescent="0.3">
      <c r="A159" s="236"/>
      <c r="B159" s="237" t="str">
        <f>[1]EL_A0100!$B$3</f>
        <v>Electrical</v>
      </c>
      <c r="C159" s="238" t="str">
        <f>EL_01005</f>
        <v>EL 01005</v>
      </c>
      <c r="D159" s="239" t="s">
        <v>51</v>
      </c>
      <c r="E159" s="239" t="str">
        <f t="shared" si="24"/>
        <v>Rear firewall instruments and wires</v>
      </c>
      <c r="F159" s="240" t="str">
        <f>[1]EL_01005!B5</f>
        <v>Master switch panel bracket</v>
      </c>
      <c r="G159" s="239"/>
      <c r="H159" s="241">
        <f t="shared" si="22"/>
        <v>0.82552265000000014</v>
      </c>
      <c r="I159" s="242">
        <f>EL_A0001_q*EL_01005_q</f>
        <v>2</v>
      </c>
      <c r="J159" s="243">
        <f>EL_01005_m</f>
        <v>5.7226500000000001E-3</v>
      </c>
      <c r="K159" s="243">
        <f>EL_01005_p</f>
        <v>0.81980000000000008</v>
      </c>
      <c r="L159" s="243">
        <v>0</v>
      </c>
      <c r="M159" s="243">
        <v>0</v>
      </c>
      <c r="N159" s="244">
        <f t="shared" si="23"/>
        <v>1.6510453000000003</v>
      </c>
      <c r="O159" s="245">
        <v>249</v>
      </c>
    </row>
    <row r="160" spans="1:15" ht="14.4" x14ac:dyDescent="0.3">
      <c r="A160" s="236"/>
      <c r="B160" s="237" t="str">
        <f>[1]EL_A0100!$B$3</f>
        <v>Electrical</v>
      </c>
      <c r="C160" s="238" t="str">
        <f>EL_01006</f>
        <v>EL 01006</v>
      </c>
      <c r="D160" s="239" t="s">
        <v>51</v>
      </c>
      <c r="E160" s="239" t="str">
        <f t="shared" si="24"/>
        <v>Rear firewall instruments and wires</v>
      </c>
      <c r="F160" s="240" t="str">
        <f>[1]EL_01006!B5</f>
        <v>Crash sensor bracket</v>
      </c>
      <c r="G160" s="239"/>
      <c r="H160" s="241">
        <f t="shared" si="22"/>
        <v>2.0872411375</v>
      </c>
      <c r="I160" s="242">
        <f>EL_A0001_q*EL_01006_q</f>
        <v>1</v>
      </c>
      <c r="J160" s="243">
        <f>EL_01006_m</f>
        <v>6.7241137500000006E-2</v>
      </c>
      <c r="K160" s="243">
        <f>EL_01006_p</f>
        <v>2.02</v>
      </c>
      <c r="L160" s="243">
        <v>0</v>
      </c>
      <c r="M160" s="243">
        <v>0</v>
      </c>
      <c r="N160" s="244">
        <f t="shared" si="23"/>
        <v>2.0872411375</v>
      </c>
      <c r="O160" s="245">
        <v>251</v>
      </c>
    </row>
    <row r="161" spans="1:15" ht="14.4" x14ac:dyDescent="0.3">
      <c r="A161" s="226"/>
      <c r="B161" s="246" t="str">
        <f>[1]EL_A0100!$B$3</f>
        <v>Electrical</v>
      </c>
      <c r="C161" s="247" t="str">
        <f>EL_A0002</f>
        <v>EL A0200</v>
      </c>
      <c r="D161" s="247" t="s">
        <v>51</v>
      </c>
      <c r="E161" s="247"/>
      <c r="F161" s="248" t="str">
        <f>'[1]EL A0200'!B4</f>
        <v>Front vehicule electronics</v>
      </c>
      <c r="G161" s="247"/>
      <c r="H161" s="249">
        <f t="shared" si="22"/>
        <v>160.79666666666668</v>
      </c>
      <c r="I161" s="250">
        <f>EL_A0002_q</f>
        <v>1</v>
      </c>
      <c r="J161" s="232">
        <f>EL_A0002_m</f>
        <v>112.35000000000001</v>
      </c>
      <c r="K161" s="233">
        <f>EL_A0002_p</f>
        <v>47.480000000000004</v>
      </c>
      <c r="L161" s="232">
        <f>EL_A0002_f</f>
        <v>0.3</v>
      </c>
      <c r="M161" s="232">
        <f>EL_A0002_t</f>
        <v>0.66666666666666663</v>
      </c>
      <c r="N161" s="251">
        <f t="shared" si="23"/>
        <v>160.79666666666668</v>
      </c>
      <c r="O161" s="252">
        <v>253</v>
      </c>
    </row>
    <row r="162" spans="1:15" ht="14.4" x14ac:dyDescent="0.3">
      <c r="A162" s="236"/>
      <c r="B162" s="237" t="str">
        <f>[1]EL_A0100!$B$3</f>
        <v>Electrical</v>
      </c>
      <c r="C162" s="238" t="str">
        <f>EL_02001</f>
        <v>EL 02001</v>
      </c>
      <c r="D162" s="239" t="s">
        <v>51</v>
      </c>
      <c r="E162" s="239" t="str">
        <f>F$161</f>
        <v>Front vehicule electronics</v>
      </c>
      <c r="F162" s="240" t="str">
        <f>'[1]EL 02001'!B5</f>
        <v>Dashboard</v>
      </c>
      <c r="G162" s="253"/>
      <c r="H162" s="241">
        <f t="shared" si="22"/>
        <v>114.068</v>
      </c>
      <c r="I162" s="242">
        <f>EL_A0002_q*EL_02001_q</f>
        <v>1</v>
      </c>
      <c r="J162" s="243">
        <f>EL_02001_m</f>
        <v>65.727999999999994</v>
      </c>
      <c r="K162" s="243">
        <f>EL_02001_p</f>
        <v>46.34</v>
      </c>
      <c r="L162" s="243">
        <v>0</v>
      </c>
      <c r="M162" s="243">
        <f>EL_02001_t</f>
        <v>2</v>
      </c>
      <c r="N162" s="244">
        <f t="shared" si="23"/>
        <v>114.068</v>
      </c>
      <c r="O162" s="245">
        <v>255</v>
      </c>
    </row>
    <row r="163" spans="1:15" ht="14.4" x14ac:dyDescent="0.3">
      <c r="A163" s="236"/>
      <c r="B163" s="237" t="str">
        <f>[1]EL_A0100!$B$3</f>
        <v>Electrical</v>
      </c>
      <c r="C163" s="238" t="str">
        <f>EL_02002</f>
        <v>EL 02002</v>
      </c>
      <c r="D163" s="239" t="s">
        <v>51</v>
      </c>
      <c r="E163" s="239" t="str">
        <f>F$161</f>
        <v>Front vehicule electronics</v>
      </c>
      <c r="F163" s="240" t="str">
        <f>'[1]EL 02002'!B5</f>
        <v>Dashboard control electronics</v>
      </c>
      <c r="G163" s="239"/>
      <c r="H163" s="241">
        <f t="shared" si="22"/>
        <v>234.70000000000002</v>
      </c>
      <c r="I163" s="242">
        <f>EL_A0002_q*EL_02002_q</f>
        <v>1</v>
      </c>
      <c r="J163" s="243">
        <f>EL_02002_m</f>
        <v>135</v>
      </c>
      <c r="K163" s="243">
        <f>EL_02002_p</f>
        <v>99.300000000000011</v>
      </c>
      <c r="L163" s="243">
        <f>EL_02002_f</f>
        <v>0.4</v>
      </c>
      <c r="M163" s="243">
        <v>0</v>
      </c>
      <c r="N163" s="244">
        <f t="shared" si="23"/>
        <v>234.70000000000002</v>
      </c>
      <c r="O163" s="245">
        <v>256</v>
      </c>
    </row>
    <row r="164" spans="1:15" ht="14.4" x14ac:dyDescent="0.3">
      <c r="A164" s="236"/>
      <c r="B164" s="237" t="str">
        <f>[1]EL_A0100!$B$3</f>
        <v>Electrical</v>
      </c>
      <c r="C164" s="238" t="str">
        <f>EL_02003</f>
        <v>EL 02003</v>
      </c>
      <c r="D164" s="239" t="s">
        <v>51</v>
      </c>
      <c r="E164" s="239" t="str">
        <f>F$161</f>
        <v>Front vehicule electronics</v>
      </c>
      <c r="F164" s="240" t="str">
        <f>'[1]EL 02003'!B5</f>
        <v>Dashboard Tap</v>
      </c>
      <c r="G164" s="239"/>
      <c r="H164" s="241">
        <f t="shared" si="22"/>
        <v>1.8539999999999999</v>
      </c>
      <c r="I164" s="242">
        <f>EL_A0002_q*EL_02003_q</f>
        <v>1</v>
      </c>
      <c r="J164" s="243">
        <f>EL_02003_m</f>
        <v>9.0000000000000011E-3</v>
      </c>
      <c r="K164" s="243">
        <f>EL_02003_p</f>
        <v>1.845</v>
      </c>
      <c r="L164" s="243">
        <v>0</v>
      </c>
      <c r="M164" s="243">
        <v>0</v>
      </c>
      <c r="N164" s="244">
        <f t="shared" si="23"/>
        <v>1.8539999999999999</v>
      </c>
      <c r="O164" s="245">
        <v>257</v>
      </c>
    </row>
    <row r="165" spans="1:15" ht="14.4" x14ac:dyDescent="0.3">
      <c r="A165" s="236"/>
      <c r="B165" s="237" t="str">
        <f>[1]EL_A0100!$B$3</f>
        <v>Electrical</v>
      </c>
      <c r="C165" s="238" t="str">
        <f>EL_02004</f>
        <v>EL 02004</v>
      </c>
      <c r="D165" s="239" t="s">
        <v>51</v>
      </c>
      <c r="E165" s="239" t="str">
        <f>F$161</f>
        <v>Front vehicule electronics</v>
      </c>
      <c r="F165" s="240" t="str">
        <f>[1]EL_02004!B5</f>
        <v>Ground bracket</v>
      </c>
      <c r="G165" s="239"/>
      <c r="H165" s="241">
        <f t="shared" si="22"/>
        <v>0.54649961458333329</v>
      </c>
      <c r="I165" s="242">
        <f>EL_A0002_q*EL_02004_q</f>
        <v>2</v>
      </c>
      <c r="J165" s="243">
        <f>EL_02004_m</f>
        <v>5.1662812500000007E-3</v>
      </c>
      <c r="K165" s="243">
        <f>EL_02004_p</f>
        <v>0.54133333333333333</v>
      </c>
      <c r="L165" s="243">
        <v>0</v>
      </c>
      <c r="M165" s="243">
        <v>0</v>
      </c>
      <c r="N165" s="244">
        <f t="shared" si="23"/>
        <v>1.0929992291666666</v>
      </c>
      <c r="O165" s="245">
        <v>259</v>
      </c>
    </row>
    <row r="166" spans="1:15" ht="14.4" x14ac:dyDescent="0.3">
      <c r="A166" s="226"/>
      <c r="B166" s="246" t="str">
        <f>B161</f>
        <v>Electrical</v>
      </c>
      <c r="C166" s="247" t="str">
        <f>EL_A0003</f>
        <v>EL A0300</v>
      </c>
      <c r="D166" s="247" t="s">
        <v>51</v>
      </c>
      <c r="E166" s="247"/>
      <c r="F166" s="248" t="str">
        <f>[1]EL_A0300!B4</f>
        <v>Battery assembly</v>
      </c>
      <c r="G166" s="247"/>
      <c r="H166" s="249">
        <f t="shared" si="22"/>
        <v>89.551666666666677</v>
      </c>
      <c r="I166" s="250">
        <f>EL_A0003_q</f>
        <v>1</v>
      </c>
      <c r="J166" s="232">
        <f>EL_A0003_m</f>
        <v>84.515000000000001</v>
      </c>
      <c r="K166" s="233">
        <f>EL_A0003_p</f>
        <v>4.1899999999999995</v>
      </c>
      <c r="L166" s="232">
        <f>EL_A0003_f</f>
        <v>0.18000000000000002</v>
      </c>
      <c r="M166" s="232">
        <f>EL_A0003_t</f>
        <v>0.66666666666666663</v>
      </c>
      <c r="N166" s="251">
        <f t="shared" si="23"/>
        <v>89.551666666666677</v>
      </c>
      <c r="O166" s="252">
        <v>261</v>
      </c>
    </row>
    <row r="167" spans="1:15" ht="14.4" x14ac:dyDescent="0.3">
      <c r="A167" s="236"/>
      <c r="B167" s="237" t="str">
        <f>[1]EL_A0100!$B$3</f>
        <v>Electrical</v>
      </c>
      <c r="C167" s="238" t="str">
        <f>EL_03001</f>
        <v>EL 03001</v>
      </c>
      <c r="D167" s="239" t="s">
        <v>51</v>
      </c>
      <c r="E167" s="239" t="str">
        <f>F$166</f>
        <v>Battery assembly</v>
      </c>
      <c r="F167" s="240" t="str">
        <f>[1]EL_03001!B5</f>
        <v>Main battery mount</v>
      </c>
      <c r="G167" s="239"/>
      <c r="H167" s="241">
        <f t="shared" si="22"/>
        <v>4.8295401599999996</v>
      </c>
      <c r="I167" s="242">
        <f>EL_A0003_q*EL_03001_q</f>
        <v>1</v>
      </c>
      <c r="J167" s="243">
        <f>EL_03001_m</f>
        <v>0.97274016000000019</v>
      </c>
      <c r="K167" s="243">
        <f>EL_03001_p</f>
        <v>3.8567999999999998</v>
      </c>
      <c r="L167" s="243">
        <v>0</v>
      </c>
      <c r="M167" s="243">
        <v>0</v>
      </c>
      <c r="N167" s="244">
        <f t="shared" si="23"/>
        <v>4.8295401599999996</v>
      </c>
      <c r="O167" s="245">
        <v>262</v>
      </c>
    </row>
    <row r="168" spans="1:15" ht="14.4" x14ac:dyDescent="0.3">
      <c r="A168" s="236"/>
      <c r="B168" s="237" t="str">
        <f>[1]EL_A0100!$B$3</f>
        <v>Electrical</v>
      </c>
      <c r="C168" s="238" t="str">
        <f>EL_03002</f>
        <v>EL 03002</v>
      </c>
      <c r="D168" s="239" t="s">
        <v>51</v>
      </c>
      <c r="E168" s="239" t="str">
        <f>F$166</f>
        <v>Battery assembly</v>
      </c>
      <c r="F168" s="240" t="str">
        <f>[1]EL_03002!B5</f>
        <v>Side battery mount</v>
      </c>
      <c r="G168" s="239"/>
      <c r="H168" s="241">
        <f t="shared" si="22"/>
        <v>3.6553449599999999</v>
      </c>
      <c r="I168" s="242">
        <f>EL_A0003_q*EL_03002_q</f>
        <v>2</v>
      </c>
      <c r="J168" s="243">
        <f>EL_03002_m</f>
        <v>0.25514495999999998</v>
      </c>
      <c r="K168" s="243">
        <f>EL_03002_p</f>
        <v>3.4001999999999999</v>
      </c>
      <c r="L168" s="243">
        <v>0</v>
      </c>
      <c r="M168" s="243">
        <v>0</v>
      </c>
      <c r="N168" s="244">
        <f t="shared" si="23"/>
        <v>7.3106899199999997</v>
      </c>
      <c r="O168" s="245">
        <v>264</v>
      </c>
    </row>
    <row r="169" spans="1:15" ht="15" thickBot="1" x14ac:dyDescent="0.35">
      <c r="A169" s="236"/>
      <c r="B169" s="237" t="str">
        <f>[1]EL_A0100!$B$3</f>
        <v>Electrical</v>
      </c>
      <c r="C169" s="238" t="str">
        <f>EL_03003</f>
        <v>EL 03003</v>
      </c>
      <c r="D169" s="239" t="s">
        <v>51</v>
      </c>
      <c r="E169" s="239" t="str">
        <f>F$166</f>
        <v>Battery assembly</v>
      </c>
      <c r="F169" s="240" t="str">
        <f>[1]EL_03003!B5</f>
        <v>Battery bracket</v>
      </c>
      <c r="G169" s="239"/>
      <c r="H169" s="241">
        <f t="shared" si="22"/>
        <v>0.58544183333333344</v>
      </c>
      <c r="I169" s="242">
        <f>EL_A0003_q*EL_03003_q</f>
        <v>3</v>
      </c>
      <c r="J169" s="243">
        <f>EL_03003_m</f>
        <v>6.3584999999999987E-3</v>
      </c>
      <c r="K169" s="243">
        <f>EL_03003_p</f>
        <v>0.57908333333333339</v>
      </c>
      <c r="L169" s="243">
        <v>0</v>
      </c>
      <c r="M169" s="243">
        <v>0</v>
      </c>
      <c r="N169" s="244">
        <f t="shared" si="23"/>
        <v>1.7563255000000004</v>
      </c>
      <c r="O169" s="245">
        <v>266</v>
      </c>
    </row>
    <row r="170" spans="1:15" s="117" customFormat="1" ht="15" thickTop="1" thickBot="1" x14ac:dyDescent="0.3">
      <c r="A170" s="110"/>
      <c r="B170" s="111" t="str">
        <f>[1]EL_A0100!B3</f>
        <v>Electrical</v>
      </c>
      <c r="C170" s="112"/>
      <c r="D170" s="112"/>
      <c r="E170" s="112"/>
      <c r="F170" s="111" t="s">
        <v>52</v>
      </c>
      <c r="G170" s="112"/>
      <c r="H170" s="113"/>
      <c r="I170" s="114"/>
      <c r="J170" s="115">
        <f>SUMPRODUCT($I154:$I169,J154:J169)</f>
        <v>1603.6979136550003</v>
      </c>
      <c r="K170" s="115">
        <f>SUMPRODUCT($I154:$I169,K154:K169)</f>
        <v>320.53659413333344</v>
      </c>
      <c r="L170" s="115">
        <f>SUMPRODUCT($I154:$I169,L154:L169)</f>
        <v>2.73</v>
      </c>
      <c r="M170" s="115">
        <f>SUMPRODUCT($I154:$I169,M154:M169)</f>
        <v>5.333333333333333</v>
      </c>
      <c r="N170" s="115">
        <f>SUM(N154:N169)</f>
        <v>1932.297841121667</v>
      </c>
      <c r="O170" s="116"/>
    </row>
    <row r="171" spans="1:15" ht="15" thickTop="1" x14ac:dyDescent="0.3">
      <c r="A171" s="254"/>
      <c r="B171" s="255" t="str">
        <f>'[1]MS A0100'!B3</f>
        <v>Miscellaneous, Finish &amp; Assembly</v>
      </c>
      <c r="C171" s="256" t="str">
        <f>MS_A0100</f>
        <v>MS A0100</v>
      </c>
      <c r="D171" s="256" t="s">
        <v>51</v>
      </c>
      <c r="E171" s="256"/>
      <c r="F171" s="257" t="str">
        <f>'[1]MS A0100'!B4</f>
        <v>Firewall</v>
      </c>
      <c r="G171" s="256"/>
      <c r="H171" s="258">
        <f t="shared" ref="H171:H188" si="25">SUM(J171:M171)</f>
        <v>55.466034457959005</v>
      </c>
      <c r="I171" s="259">
        <f>MS_A0100_q</f>
        <v>1</v>
      </c>
      <c r="J171" s="260">
        <f>MS_A0100_m</f>
        <v>0.28615999999999997</v>
      </c>
      <c r="K171" s="260">
        <f>MS_A0100_p</f>
        <v>42.620233999999996</v>
      </c>
      <c r="L171" s="260">
        <f>MS_A0100_f</f>
        <v>3.2263071246256692</v>
      </c>
      <c r="M171" s="260">
        <f>MS_A0100_t</f>
        <v>9.3333333333333339</v>
      </c>
      <c r="N171" s="261">
        <f t="shared" ref="N171:N187" si="26">H171*I171</f>
        <v>55.466034457959005</v>
      </c>
      <c r="O171" s="262">
        <v>269</v>
      </c>
    </row>
    <row r="172" spans="1:15" ht="14.4" x14ac:dyDescent="0.3">
      <c r="A172" s="263"/>
      <c r="B172" s="264" t="str">
        <f>'[1]MS 01001'!$B$3</f>
        <v>Miscellaneous, Finish &amp; Assembly</v>
      </c>
      <c r="C172" s="265" t="str">
        <f>MS_0100_001</f>
        <v>MS 01001</v>
      </c>
      <c r="D172" s="266" t="s">
        <v>51</v>
      </c>
      <c r="E172" s="266" t="str">
        <f t="shared" ref="E172:E179" si="27">$F$171</f>
        <v>Firewall</v>
      </c>
      <c r="F172" s="267" t="str">
        <f>[3]MS_0100_001!B5</f>
        <v>Firewall Up</v>
      </c>
      <c r="G172" s="266"/>
      <c r="H172" s="268">
        <f t="shared" si="25"/>
        <v>9.2651947324861545</v>
      </c>
      <c r="I172" s="269">
        <f>MS_A0100_q*MS_0100_001_q</f>
        <v>1</v>
      </c>
      <c r="J172" s="270">
        <f>MS_0100_001_m</f>
        <v>4.9527965088000006</v>
      </c>
      <c r="K172" s="270">
        <f>MS_0100_001_p</f>
        <v>4.3123982236861549</v>
      </c>
      <c r="L172" s="270">
        <v>0</v>
      </c>
      <c r="M172" s="270">
        <v>0</v>
      </c>
      <c r="N172" s="271">
        <f t="shared" si="26"/>
        <v>9.2651947324861545</v>
      </c>
      <c r="O172" s="272">
        <v>271</v>
      </c>
    </row>
    <row r="173" spans="1:15" ht="14.4" x14ac:dyDescent="0.3">
      <c r="A173" s="263"/>
      <c r="B173" s="264" t="str">
        <f>'[1]MS 01001'!$B$3</f>
        <v>Miscellaneous, Finish &amp; Assembly</v>
      </c>
      <c r="C173" s="265" t="str">
        <f>MS_0100_002</f>
        <v>MS 01002</v>
      </c>
      <c r="D173" s="266" t="s">
        <v>51</v>
      </c>
      <c r="E173" s="266" t="str">
        <f t="shared" si="27"/>
        <v>Firewall</v>
      </c>
      <c r="F173" s="267" t="str">
        <f>[3]MS_0100_002!B5</f>
        <v>Firewall Middle</v>
      </c>
      <c r="G173" s="266"/>
      <c r="H173" s="268">
        <f t="shared" si="25"/>
        <v>7.5426952828861555</v>
      </c>
      <c r="I173" s="273">
        <f>MS_A0100_q*MS_0100_002_q</f>
        <v>1</v>
      </c>
      <c r="J173" s="270">
        <f>MS_0100_002_m</f>
        <v>4.2952970592000002</v>
      </c>
      <c r="K173" s="270">
        <f>MS_0100_002_p</f>
        <v>3.2473982236861549</v>
      </c>
      <c r="L173" s="270">
        <v>0</v>
      </c>
      <c r="M173" s="270">
        <v>0</v>
      </c>
      <c r="N173" s="271">
        <f t="shared" si="26"/>
        <v>7.5426952828861555</v>
      </c>
      <c r="O173" s="272">
        <v>273</v>
      </c>
    </row>
    <row r="174" spans="1:15" ht="14.4" x14ac:dyDescent="0.3">
      <c r="A174" s="263"/>
      <c r="B174" s="264" t="str">
        <f>'[1]MS 01001'!$B$3</f>
        <v>Miscellaneous, Finish &amp; Assembly</v>
      </c>
      <c r="C174" s="265" t="str">
        <f>MS_0100_003</f>
        <v>MS 01003</v>
      </c>
      <c r="D174" s="266" t="s">
        <v>51</v>
      </c>
      <c r="E174" s="266" t="str">
        <f t="shared" si="27"/>
        <v>Firewall</v>
      </c>
      <c r="F174" s="274" t="str">
        <f>[3]MS_0100_003!B5</f>
        <v>Firewall Bottom</v>
      </c>
      <c r="G174" s="266"/>
      <c r="H174" s="268">
        <f t="shared" si="25"/>
        <v>11.141555750086155</v>
      </c>
      <c r="I174" s="269">
        <f>MS_A0100_q*MS_0100_003_q</f>
        <v>1</v>
      </c>
      <c r="J174" s="270">
        <f>MS_0100_003_m</f>
        <v>6.828157526400001</v>
      </c>
      <c r="K174" s="270">
        <f>MS_0100_003_p</f>
        <v>4.3133982236861552</v>
      </c>
      <c r="L174" s="270">
        <v>0</v>
      </c>
      <c r="M174" s="270">
        <v>0</v>
      </c>
      <c r="N174" s="271">
        <f t="shared" si="26"/>
        <v>11.141555750086155</v>
      </c>
      <c r="O174" s="272">
        <v>275</v>
      </c>
    </row>
    <row r="175" spans="1:15" ht="14.4" x14ac:dyDescent="0.3">
      <c r="A175" s="263"/>
      <c r="B175" s="275" t="str">
        <f>'[1]MS 01001'!$B$3</f>
        <v>Miscellaneous, Finish &amp; Assembly</v>
      </c>
      <c r="C175" s="265" t="str">
        <f>MS_0100_004</f>
        <v>MS 01004</v>
      </c>
      <c r="D175" s="266" t="s">
        <v>51</v>
      </c>
      <c r="E175" s="266" t="str">
        <f t="shared" si="27"/>
        <v>Firewall</v>
      </c>
      <c r="F175" s="267" t="str">
        <f>[3]MS_0100_004!B5</f>
        <v>Firewall Upper Side</v>
      </c>
      <c r="G175" s="266"/>
      <c r="H175" s="268">
        <f t="shared" si="25"/>
        <v>3.1699841066880001</v>
      </c>
      <c r="I175" s="269">
        <f>MS_A0100_q*MS_0100_004_q</f>
        <v>2</v>
      </c>
      <c r="J175" s="270">
        <f>MS_0100_004_m</f>
        <v>1.2442841066879999</v>
      </c>
      <c r="K175" s="270">
        <f>MS_0100_004_p</f>
        <v>1.9257</v>
      </c>
      <c r="L175" s="270">
        <v>0</v>
      </c>
      <c r="M175" s="270">
        <v>0</v>
      </c>
      <c r="N175" s="271">
        <f t="shared" si="26"/>
        <v>6.3399682133760003</v>
      </c>
      <c r="O175" s="272">
        <v>277</v>
      </c>
    </row>
    <row r="176" spans="1:15" ht="14.4" x14ac:dyDescent="0.3">
      <c r="A176" s="263"/>
      <c r="B176" s="264" t="str">
        <f>'[1]MS 01001'!$B$3</f>
        <v>Miscellaneous, Finish &amp; Assembly</v>
      </c>
      <c r="C176" s="265" t="str">
        <f>MS_0100_005</f>
        <v>MS 01005</v>
      </c>
      <c r="D176" s="266" t="s">
        <v>51</v>
      </c>
      <c r="E176" s="266" t="str">
        <f t="shared" si="27"/>
        <v>Firewall</v>
      </c>
      <c r="F176" s="267" t="str">
        <f>[3]MS_0100_005!B5</f>
        <v>Firewall Middle Side</v>
      </c>
      <c r="G176" s="266"/>
      <c r="H176" s="268">
        <f t="shared" si="25"/>
        <v>2.1490635408992</v>
      </c>
      <c r="I176" s="269">
        <f>MS_A0100_q*MS_0100_005_q</f>
        <v>2</v>
      </c>
      <c r="J176" s="270">
        <f>MS_0100_005_m</f>
        <v>0.51116354089920002</v>
      </c>
      <c r="K176" s="270">
        <f>MS_0100_005_p</f>
        <v>1.6379000000000001</v>
      </c>
      <c r="L176" s="270">
        <v>0</v>
      </c>
      <c r="M176" s="270">
        <v>0</v>
      </c>
      <c r="N176" s="271">
        <f t="shared" si="26"/>
        <v>4.2981270817984001</v>
      </c>
      <c r="O176" s="272">
        <v>279</v>
      </c>
    </row>
    <row r="177" spans="1:163" ht="14.4" x14ac:dyDescent="0.3">
      <c r="A177" s="263"/>
      <c r="B177" s="264" t="str">
        <f>'[1]MS 01001'!$B$3</f>
        <v>Miscellaneous, Finish &amp; Assembly</v>
      </c>
      <c r="C177" s="265" t="str">
        <f>MS_0100_006</f>
        <v>MS 01006</v>
      </c>
      <c r="D177" s="266" t="s">
        <v>51</v>
      </c>
      <c r="E177" s="266" t="str">
        <f t="shared" si="27"/>
        <v>Firewall</v>
      </c>
      <c r="F177" s="267" t="str">
        <f>[3]MS_0100_006!B5</f>
        <v>Firewall Lower Side</v>
      </c>
      <c r="G177" s="266"/>
      <c r="H177" s="268">
        <f t="shared" si="25"/>
        <v>4.0756338985599996</v>
      </c>
      <c r="I177" s="269">
        <f>MS_A0100_q*MS_0100_006_q</f>
        <v>2</v>
      </c>
      <c r="J177" s="270">
        <f>MS_0100_006_m</f>
        <v>1.9862738985599999</v>
      </c>
      <c r="K177" s="270">
        <f>MS_0100_006_p</f>
        <v>2.0893600000000001</v>
      </c>
      <c r="L177" s="270">
        <v>0</v>
      </c>
      <c r="M177" s="270">
        <v>0</v>
      </c>
      <c r="N177" s="271">
        <f t="shared" si="26"/>
        <v>8.1512677971199992</v>
      </c>
      <c r="O177" s="272">
        <v>281</v>
      </c>
    </row>
    <row r="178" spans="1:163" ht="14.4" x14ac:dyDescent="0.3">
      <c r="A178" s="263"/>
      <c r="B178" s="264" t="str">
        <f>'[1]MS 01001'!$B$3</f>
        <v>Miscellaneous, Finish &amp; Assembly</v>
      </c>
      <c r="C178" s="265" t="str">
        <f>MS_0100_007</f>
        <v>MS 01007</v>
      </c>
      <c r="D178" s="266" t="s">
        <v>51</v>
      </c>
      <c r="E178" s="266" t="str">
        <f t="shared" si="27"/>
        <v>Firewall</v>
      </c>
      <c r="F178" s="267" t="str">
        <f>[3]MS_0100_007!B5</f>
        <v>Firewall Up Bracket</v>
      </c>
      <c r="G178" s="266"/>
      <c r="H178" s="268">
        <f t="shared" si="25"/>
        <v>0.61744426503954442</v>
      </c>
      <c r="I178" s="269">
        <f>MS_A0100_q*MS_0100_007_q</f>
        <v>4</v>
      </c>
      <c r="J178" s="270">
        <f>MS_0100_007_m</f>
        <v>9.8442650395444021E-3</v>
      </c>
      <c r="K178" s="270">
        <f>MS_0100_007_p</f>
        <v>0.60760000000000003</v>
      </c>
      <c r="L178" s="270">
        <v>0</v>
      </c>
      <c r="M178" s="270">
        <v>0</v>
      </c>
      <c r="N178" s="271">
        <f t="shared" si="26"/>
        <v>2.4697770601581777</v>
      </c>
      <c r="O178" s="272">
        <v>283</v>
      </c>
    </row>
    <row r="179" spans="1:163" ht="14.4" x14ac:dyDescent="0.3">
      <c r="A179" s="276"/>
      <c r="B179" s="277" t="str">
        <f>'[1]MS 01001'!$B$3</f>
        <v>Miscellaneous, Finish &amp; Assembly</v>
      </c>
      <c r="C179" s="278" t="str">
        <f>MS_0100_008</f>
        <v>MS 01008</v>
      </c>
      <c r="D179" s="279" t="s">
        <v>51</v>
      </c>
      <c r="E179" s="279" t="str">
        <f t="shared" si="27"/>
        <v>Firewall</v>
      </c>
      <c r="F179" s="280" t="str">
        <f>[3]MS_0100_008!B5</f>
        <v>Firewall Middle, Bottom and Sides Bracket</v>
      </c>
      <c r="G179" s="281"/>
      <c r="H179" s="282">
        <f t="shared" si="25"/>
        <v>0.37898755354996111</v>
      </c>
      <c r="I179" s="283">
        <f>MS_A0100_q*MS_0100_008_q</f>
        <v>24</v>
      </c>
      <c r="J179" s="284">
        <f>MS_0100_008_m</f>
        <v>1.22208868832944E-2</v>
      </c>
      <c r="K179" s="284">
        <f>MS_0100_008_p</f>
        <v>0.36676666666666669</v>
      </c>
      <c r="L179" s="284">
        <v>0</v>
      </c>
      <c r="M179" s="284">
        <v>0</v>
      </c>
      <c r="N179" s="285">
        <f t="shared" si="26"/>
        <v>9.0957012851990662</v>
      </c>
      <c r="O179" s="272">
        <v>285</v>
      </c>
    </row>
    <row r="180" spans="1:163" ht="14.4" x14ac:dyDescent="0.3">
      <c r="A180" s="254"/>
      <c r="B180" s="255" t="str">
        <f>'[1]MS A0200'!B3</f>
        <v>Miscellaneous, Finish &amp; Assembly</v>
      </c>
      <c r="C180" s="256" t="str">
        <f>MS_A0200</f>
        <v>MS A0200</v>
      </c>
      <c r="D180" s="256" t="s">
        <v>51</v>
      </c>
      <c r="E180" s="256"/>
      <c r="F180" s="257" t="str">
        <f>'[1]MS A0200'!B4</f>
        <v>Driver's Safety</v>
      </c>
      <c r="G180" s="256"/>
      <c r="H180" s="258">
        <f t="shared" si="25"/>
        <v>0.78</v>
      </c>
      <c r="I180" s="259">
        <f>MS_A0200_q</f>
        <v>1</v>
      </c>
      <c r="J180" s="260">
        <v>0</v>
      </c>
      <c r="K180" s="260">
        <f>MS_A0200_p</f>
        <v>0.62</v>
      </c>
      <c r="L180" s="260">
        <f>MS_A0200_f</f>
        <v>0.16</v>
      </c>
      <c r="M180" s="260">
        <v>0</v>
      </c>
      <c r="N180" s="261">
        <f t="shared" si="26"/>
        <v>0.78</v>
      </c>
      <c r="O180" s="286">
        <v>287</v>
      </c>
    </row>
    <row r="181" spans="1:163" s="288" customFormat="1" ht="14.4" x14ac:dyDescent="0.3">
      <c r="A181" s="263"/>
      <c r="B181" s="264" t="s">
        <v>23</v>
      </c>
      <c r="C181" s="265" t="s">
        <v>90</v>
      </c>
      <c r="D181" s="266" t="s">
        <v>51</v>
      </c>
      <c r="E181" s="266" t="str">
        <f>F180</f>
        <v>Driver's Safety</v>
      </c>
      <c r="F181" s="267" t="str">
        <f>'[1]MS 02001'!B5</f>
        <v>Rollbar padding</v>
      </c>
      <c r="G181" s="266"/>
      <c r="H181" s="268">
        <f t="shared" si="25"/>
        <v>3.92</v>
      </c>
      <c r="I181" s="269">
        <f>MS_A0200_q*MS_02001_q</f>
        <v>2</v>
      </c>
      <c r="J181" s="270">
        <f>MS_02001_m</f>
        <v>1.1000000000000001</v>
      </c>
      <c r="K181" s="270">
        <f>MS_02001_p</f>
        <v>2.82</v>
      </c>
      <c r="L181" s="270">
        <v>0</v>
      </c>
      <c r="M181" s="270">
        <v>0</v>
      </c>
      <c r="N181" s="271">
        <f t="shared" si="26"/>
        <v>7.84</v>
      </c>
      <c r="O181" s="262">
        <v>288</v>
      </c>
      <c r="P181" s="287"/>
      <c r="Q181" s="287"/>
      <c r="R181" s="287"/>
      <c r="S181" s="287"/>
      <c r="T181" s="287"/>
      <c r="U181" s="287"/>
      <c r="V181" s="287"/>
      <c r="W181" s="287"/>
      <c r="X181" s="287"/>
      <c r="Y181" s="287"/>
      <c r="Z181" s="287"/>
      <c r="AA181" s="287"/>
      <c r="AB181" s="287"/>
      <c r="AC181" s="287"/>
      <c r="AD181" s="287"/>
      <c r="AE181" s="287"/>
      <c r="AF181" s="287"/>
      <c r="AG181" s="287"/>
      <c r="AH181" s="287"/>
      <c r="AI181" s="287"/>
      <c r="AJ181" s="287"/>
      <c r="AK181" s="287"/>
      <c r="AL181" s="287"/>
      <c r="AM181" s="287"/>
      <c r="AN181" s="287"/>
      <c r="AO181" s="287"/>
      <c r="AP181" s="287"/>
      <c r="AQ181" s="287"/>
      <c r="AR181" s="287"/>
      <c r="AS181" s="287"/>
      <c r="AT181" s="287"/>
      <c r="AU181" s="287"/>
      <c r="AV181" s="287"/>
      <c r="AW181" s="287"/>
      <c r="AX181" s="287"/>
      <c r="AY181" s="287"/>
      <c r="AZ181" s="287"/>
      <c r="BA181" s="287"/>
      <c r="BB181" s="287"/>
      <c r="BC181" s="287"/>
      <c r="BD181" s="287"/>
      <c r="BE181" s="287"/>
      <c r="BF181" s="287"/>
      <c r="BG181" s="287"/>
      <c r="BH181" s="287"/>
      <c r="BI181" s="287"/>
      <c r="BJ181" s="287"/>
      <c r="BK181" s="287"/>
      <c r="BL181" s="287"/>
      <c r="BM181" s="287"/>
      <c r="BN181" s="287"/>
      <c r="BO181" s="287"/>
      <c r="BP181" s="287"/>
      <c r="BQ181" s="287"/>
      <c r="BR181" s="287"/>
      <c r="BS181" s="287"/>
      <c r="BT181" s="287"/>
      <c r="BU181" s="287"/>
      <c r="BV181" s="287"/>
      <c r="BW181" s="287"/>
      <c r="BX181" s="287"/>
      <c r="BY181" s="287"/>
      <c r="BZ181" s="287"/>
      <c r="CA181" s="287"/>
      <c r="CB181" s="287"/>
      <c r="CC181" s="287"/>
      <c r="CD181" s="287"/>
      <c r="CE181" s="287"/>
      <c r="CF181" s="287"/>
      <c r="CG181" s="287"/>
      <c r="CH181" s="287"/>
      <c r="CI181" s="287"/>
      <c r="CJ181" s="287"/>
      <c r="CK181" s="287"/>
      <c r="CL181" s="287"/>
      <c r="CM181" s="287"/>
      <c r="CN181" s="287"/>
      <c r="CO181" s="287"/>
      <c r="CP181" s="287"/>
      <c r="CQ181" s="287"/>
      <c r="CR181" s="287"/>
      <c r="CS181" s="287"/>
      <c r="CT181" s="287"/>
      <c r="CU181" s="287"/>
      <c r="CV181" s="287"/>
      <c r="CW181" s="287"/>
      <c r="CX181" s="287"/>
      <c r="CY181" s="287"/>
      <c r="CZ181" s="287"/>
      <c r="DA181" s="287"/>
      <c r="DB181" s="287"/>
      <c r="DC181" s="287"/>
      <c r="DD181" s="287"/>
      <c r="DE181" s="287"/>
      <c r="DF181" s="287"/>
      <c r="DG181" s="287"/>
      <c r="DH181" s="287"/>
      <c r="DI181" s="287"/>
      <c r="DJ181" s="287"/>
      <c r="DK181" s="287"/>
      <c r="DL181" s="287"/>
      <c r="DM181" s="287"/>
      <c r="DN181" s="287"/>
      <c r="DO181" s="287"/>
      <c r="DP181" s="287"/>
      <c r="DQ181" s="287"/>
      <c r="DR181" s="287"/>
      <c r="DS181" s="287"/>
      <c r="DT181" s="287"/>
      <c r="DU181" s="287"/>
      <c r="DV181" s="287"/>
      <c r="DW181" s="287"/>
      <c r="DX181" s="287"/>
      <c r="DY181" s="287"/>
      <c r="DZ181" s="287"/>
      <c r="EA181" s="287"/>
      <c r="EB181" s="287"/>
      <c r="EC181" s="287"/>
      <c r="ED181" s="287"/>
      <c r="EE181" s="287"/>
      <c r="EF181" s="287"/>
      <c r="EG181" s="287"/>
      <c r="EH181" s="287"/>
      <c r="EI181" s="287"/>
      <c r="EJ181" s="287"/>
      <c r="EK181" s="287"/>
      <c r="EL181" s="287"/>
      <c r="EM181" s="287"/>
      <c r="EN181" s="287"/>
      <c r="EO181" s="287"/>
      <c r="EP181" s="287"/>
      <c r="EQ181" s="287"/>
      <c r="ER181" s="287"/>
      <c r="ES181" s="287"/>
      <c r="ET181" s="287"/>
      <c r="EU181" s="287"/>
      <c r="EV181" s="287"/>
      <c r="EW181" s="287"/>
      <c r="EX181" s="287"/>
      <c r="EY181" s="287"/>
      <c r="EZ181" s="287"/>
      <c r="FA181" s="287"/>
      <c r="FB181" s="287"/>
      <c r="FC181" s="287"/>
      <c r="FD181" s="287"/>
      <c r="FE181" s="287"/>
      <c r="FF181" s="287"/>
      <c r="FG181" s="287"/>
    </row>
    <row r="182" spans="1:163" s="287" customFormat="1" ht="14.4" x14ac:dyDescent="0.3">
      <c r="A182" s="254"/>
      <c r="B182" s="255" t="str">
        <f>'[1]MS A0300'!B3</f>
        <v>Miscellaneous, Finish &amp; Assembly</v>
      </c>
      <c r="C182" s="256" t="str">
        <f>MS_A0300</f>
        <v>MS A0300</v>
      </c>
      <c r="D182" s="256" t="s">
        <v>51</v>
      </c>
      <c r="E182" s="256"/>
      <c r="F182" s="257" t="str">
        <f>'[1]MS A0300'!B4</f>
        <v>Head Restraint</v>
      </c>
      <c r="G182" s="256"/>
      <c r="H182" s="258">
        <f t="shared" si="25"/>
        <v>31.541499999999999</v>
      </c>
      <c r="I182" s="259">
        <f>MS_A0300_q</f>
        <v>1</v>
      </c>
      <c r="J182" s="260">
        <f>MS_A0300_m</f>
        <v>11.218500000000001</v>
      </c>
      <c r="K182" s="260">
        <f>MS_A0300_p</f>
        <v>20.323</v>
      </c>
      <c r="L182" s="260">
        <v>0</v>
      </c>
      <c r="M182" s="260">
        <v>0</v>
      </c>
      <c r="N182" s="261">
        <f t="shared" si="26"/>
        <v>31.541499999999999</v>
      </c>
      <c r="O182" s="272">
        <v>289</v>
      </c>
    </row>
    <row r="183" spans="1:163" s="287" customFormat="1" ht="14.4" x14ac:dyDescent="0.3">
      <c r="A183" s="254"/>
      <c r="B183" s="255" t="str">
        <f>'[1]MS A0400'!B3</f>
        <v>Miscellaneous, Finish &amp; Assembly</v>
      </c>
      <c r="C183" s="256" t="str">
        <f>MS_A0400</f>
        <v>MS A0400</v>
      </c>
      <c r="D183" s="256" t="s">
        <v>51</v>
      </c>
      <c r="E183" s="256"/>
      <c r="F183" s="257" t="str">
        <f>'[1]MS A0400'!B4</f>
        <v>Driver's seat</v>
      </c>
      <c r="G183" s="256"/>
      <c r="H183" s="258">
        <f t="shared" si="25"/>
        <v>4.7378333333333336</v>
      </c>
      <c r="I183" s="259">
        <f>MS_A0400_q</f>
        <v>1</v>
      </c>
      <c r="J183" s="260">
        <f>MS_A0400_m</f>
        <v>0.04</v>
      </c>
      <c r="K183" s="260">
        <f>MS_A0400_p</f>
        <v>2.8045</v>
      </c>
      <c r="L183" s="260">
        <f>MS_A0400_f</f>
        <v>0.56000000000000005</v>
      </c>
      <c r="M183" s="260">
        <f>MS_A0400_t</f>
        <v>1.3333333333333333</v>
      </c>
      <c r="N183" s="261">
        <f t="shared" si="26"/>
        <v>4.7378333333333336</v>
      </c>
      <c r="O183" s="262">
        <v>290</v>
      </c>
    </row>
    <row r="184" spans="1:163" s="287" customFormat="1" ht="14.4" x14ac:dyDescent="0.3">
      <c r="A184" s="263"/>
      <c r="B184" s="264" t="str">
        <f>'[1]MS A0400'!$B$3</f>
        <v>Miscellaneous, Finish &amp; Assembly</v>
      </c>
      <c r="C184" s="265" t="str">
        <f>MS_04001</f>
        <v>MS 04001</v>
      </c>
      <c r="D184" s="266" t="s">
        <v>51</v>
      </c>
      <c r="E184" s="289" t="str">
        <f>F183</f>
        <v>Driver's seat</v>
      </c>
      <c r="F184" s="267" t="str">
        <f>'[1]MS 04001'!B$5</f>
        <v>Seat</v>
      </c>
      <c r="G184" s="266"/>
      <c r="H184" s="268">
        <f t="shared" si="25"/>
        <v>74.600000000000009</v>
      </c>
      <c r="I184" s="269">
        <f>MS_A0400_q*MS_04001_q</f>
        <v>1</v>
      </c>
      <c r="J184" s="270">
        <f>MS_04001_m</f>
        <v>18.8</v>
      </c>
      <c r="K184" s="270">
        <f>MS_04001_p</f>
        <v>54.6</v>
      </c>
      <c r="L184" s="270">
        <v>0</v>
      </c>
      <c r="M184" s="270">
        <f>MS_04001_t</f>
        <v>1.2</v>
      </c>
      <c r="N184" s="271">
        <f t="shared" si="26"/>
        <v>74.600000000000009</v>
      </c>
      <c r="O184" s="272">
        <v>291</v>
      </c>
    </row>
    <row r="185" spans="1:163" s="287" customFormat="1" ht="14.4" x14ac:dyDescent="0.3">
      <c r="A185" s="263"/>
      <c r="B185" s="264" t="str">
        <f>'[1]MS A0400'!$B$3</f>
        <v>Miscellaneous, Finish &amp; Assembly</v>
      </c>
      <c r="C185" s="265" t="str">
        <f>MS_04002</f>
        <v>MS 04002</v>
      </c>
      <c r="D185" s="266" t="s">
        <v>51</v>
      </c>
      <c r="E185" s="266" t="str">
        <f>F183</f>
        <v>Driver's seat</v>
      </c>
      <c r="F185" s="290" t="str">
        <f>'[1]MS 04002'!B$5</f>
        <v>Rear seat bracket</v>
      </c>
      <c r="G185" s="266"/>
      <c r="H185" s="268">
        <f t="shared" si="25"/>
        <v>1.3249249999999999</v>
      </c>
      <c r="I185" s="269">
        <f>MS_A0400_q*MS_04002_q</f>
        <v>2</v>
      </c>
      <c r="J185" s="270">
        <f>MS_04002_m</f>
        <v>1.3725000000000001E-2</v>
      </c>
      <c r="K185" s="270">
        <f>MS_04002_p</f>
        <v>1.3111999999999999</v>
      </c>
      <c r="L185" s="270">
        <v>0</v>
      </c>
      <c r="M185" s="270">
        <v>0</v>
      </c>
      <c r="N185" s="271">
        <f t="shared" si="26"/>
        <v>2.6498499999999998</v>
      </c>
      <c r="O185" s="272">
        <v>292</v>
      </c>
    </row>
    <row r="186" spans="1:163" s="287" customFormat="1" ht="14.4" x14ac:dyDescent="0.3">
      <c r="A186" s="291"/>
      <c r="B186" s="264" t="str">
        <f>'[1]MS A0400'!$B$3</f>
        <v>Miscellaneous, Finish &amp; Assembly</v>
      </c>
      <c r="C186" s="265" t="str">
        <f>MS_04003</f>
        <v>MS 04003</v>
      </c>
      <c r="D186" s="266" t="s">
        <v>51</v>
      </c>
      <c r="E186" s="266" t="str">
        <f>F183</f>
        <v>Driver's seat</v>
      </c>
      <c r="F186" s="267" t="str">
        <f>'[1]MS 04003'!B$5</f>
        <v>Front seat bracket</v>
      </c>
      <c r="G186" s="291"/>
      <c r="H186" s="268">
        <f t="shared" si="25"/>
        <v>1.1864450000000002</v>
      </c>
      <c r="I186" s="269">
        <f>MS_A0400_q*MS_04003_q</f>
        <v>2</v>
      </c>
      <c r="J186" s="270">
        <f>MS_04003_m</f>
        <v>1.9125000000000003E-2</v>
      </c>
      <c r="K186" s="270">
        <f>MS_04003_p</f>
        <v>1.1673200000000001</v>
      </c>
      <c r="L186" s="292">
        <v>0</v>
      </c>
      <c r="M186" s="292">
        <v>0</v>
      </c>
      <c r="N186" s="271">
        <f t="shared" si="26"/>
        <v>2.3728900000000004</v>
      </c>
      <c r="O186" s="272">
        <v>294</v>
      </c>
    </row>
    <row r="187" spans="1:163" s="287" customFormat="1" ht="14.4" x14ac:dyDescent="0.3">
      <c r="A187" s="293"/>
      <c r="B187" s="255" t="str">
        <f>'[1]MS A0500'!B3</f>
        <v>Miscellaneous, Finish &amp; Assembly</v>
      </c>
      <c r="C187" s="256" t="str">
        <f>MS_A0500</f>
        <v>MS A0500</v>
      </c>
      <c r="D187" s="256" t="s">
        <v>51</v>
      </c>
      <c r="E187" s="256"/>
      <c r="F187" s="257" t="str">
        <f>'[1]MS A0500'!B4</f>
        <v>Harness</v>
      </c>
      <c r="G187" s="256"/>
      <c r="H187" s="258">
        <f t="shared" si="25"/>
        <v>53.650666666666666</v>
      </c>
      <c r="I187" s="259">
        <f>MS_A0500_q</f>
        <v>1</v>
      </c>
      <c r="J187" s="260">
        <f>MS_A0500_m</f>
        <v>45.06</v>
      </c>
      <c r="K187" s="260">
        <f>MS_A0500_p</f>
        <v>4.9240000000000004</v>
      </c>
      <c r="L187" s="260">
        <f>MS_A0500_f</f>
        <v>3</v>
      </c>
      <c r="M187" s="260">
        <f>MS_A0500_t</f>
        <v>0.66666666666666663</v>
      </c>
      <c r="N187" s="261">
        <f t="shared" si="26"/>
        <v>53.650666666666666</v>
      </c>
      <c r="O187" s="262">
        <v>296</v>
      </c>
    </row>
    <row r="188" spans="1:163" s="287" customFormat="1" ht="15" thickBot="1" x14ac:dyDescent="0.35">
      <c r="A188" s="263"/>
      <c r="B188" s="264" t="str">
        <f>'[1]MS 05001'!B3</f>
        <v>Miscellaneous, Finish &amp; Assembly</v>
      </c>
      <c r="C188" s="265" t="str">
        <f>MS_05001</f>
        <v>MS 05001</v>
      </c>
      <c r="D188" s="266" t="s">
        <v>51</v>
      </c>
      <c r="E188" s="266" t="str">
        <f>F187</f>
        <v>Harness</v>
      </c>
      <c r="F188" s="267" t="str">
        <f>'[1]MS 05001'!B5</f>
        <v>Harness bracket</v>
      </c>
      <c r="G188" s="266"/>
      <c r="H188" s="268">
        <f t="shared" si="25"/>
        <v>1.24925</v>
      </c>
      <c r="I188" s="269">
        <f>MS_A0500_q*MS_05001_q</f>
        <v>2</v>
      </c>
      <c r="J188" s="270">
        <f>MS_05001_m</f>
        <v>9.2249999999999999E-2</v>
      </c>
      <c r="K188" s="270">
        <f>MS_05001_p</f>
        <v>1.157</v>
      </c>
      <c r="L188" s="270"/>
      <c r="M188" s="270"/>
      <c r="N188" s="270">
        <f>I188*H188</f>
        <v>2.4984999999999999</v>
      </c>
      <c r="O188" s="272">
        <v>297</v>
      </c>
    </row>
    <row r="189" spans="1:163" s="295" customFormat="1" ht="14.4" thickBot="1" x14ac:dyDescent="0.3">
      <c r="A189" s="176"/>
      <c r="B189" s="177" t="str">
        <f>'[1]MS A0100'!B3</f>
        <v>Miscellaneous, Finish &amp; Assembly</v>
      </c>
      <c r="C189" s="178"/>
      <c r="D189" s="178"/>
      <c r="E189" s="178"/>
      <c r="F189" s="177" t="s">
        <v>52</v>
      </c>
      <c r="G189" s="178"/>
      <c r="H189" s="179"/>
      <c r="I189" s="180"/>
      <c r="J189" s="181">
        <f>SUMPRODUCT($I171:$I188,J171:J188)</f>
        <v>101.74723253205165</v>
      </c>
      <c r="K189" s="181">
        <f>SUMPRODUCT($I171:$I188,K171:K188)</f>
        <v>173.2146886710585</v>
      </c>
      <c r="L189" s="181">
        <f>SUMPRODUCT($I171:$I188,L171:L188)</f>
        <v>6.9463071246256689</v>
      </c>
      <c r="M189" s="181">
        <f>SUMPRODUCT($I171:$I188,M171:M188)</f>
        <v>12.533333333333333</v>
      </c>
      <c r="N189" s="181">
        <f>SUM(N171:N188)</f>
        <v>294.4415616610691</v>
      </c>
      <c r="O189" s="182"/>
      <c r="P189" s="294"/>
      <c r="Q189" s="294"/>
      <c r="R189" s="294"/>
      <c r="S189" s="294"/>
      <c r="T189" s="294"/>
      <c r="U189" s="294"/>
      <c r="V189" s="294"/>
      <c r="W189" s="294"/>
      <c r="X189" s="294"/>
      <c r="Y189" s="294"/>
      <c r="Z189" s="294"/>
      <c r="AA189" s="294"/>
      <c r="AB189" s="294"/>
      <c r="AC189" s="294"/>
      <c r="AD189" s="294"/>
      <c r="AE189" s="294"/>
      <c r="AF189" s="294"/>
      <c r="AG189" s="294"/>
      <c r="AH189" s="294"/>
      <c r="AI189" s="294"/>
      <c r="AJ189" s="294"/>
      <c r="AK189" s="294"/>
      <c r="AL189" s="294"/>
      <c r="AM189" s="294"/>
      <c r="AN189" s="294"/>
      <c r="AO189" s="294"/>
      <c r="AP189" s="294"/>
      <c r="AQ189" s="294"/>
      <c r="AR189" s="294"/>
      <c r="AS189" s="294"/>
      <c r="AT189" s="294"/>
      <c r="AU189" s="294"/>
      <c r="AV189" s="294"/>
      <c r="AW189" s="294"/>
      <c r="AX189" s="294"/>
      <c r="AY189" s="294"/>
      <c r="AZ189" s="294"/>
      <c r="BA189" s="294"/>
      <c r="BB189" s="294"/>
      <c r="BC189" s="294"/>
      <c r="BD189" s="294"/>
      <c r="BE189" s="294"/>
      <c r="BF189" s="294"/>
      <c r="BG189" s="294"/>
      <c r="BH189" s="294"/>
      <c r="BI189" s="294"/>
      <c r="BJ189" s="294"/>
      <c r="BK189" s="294"/>
      <c r="BL189" s="294"/>
      <c r="BM189" s="294"/>
      <c r="BN189" s="294"/>
      <c r="BO189" s="294"/>
      <c r="BP189" s="294"/>
      <c r="BQ189" s="294"/>
      <c r="BR189" s="294"/>
      <c r="BS189" s="294"/>
      <c r="BT189" s="294"/>
      <c r="BU189" s="294"/>
      <c r="BV189" s="294"/>
      <c r="BW189" s="294"/>
      <c r="BX189" s="294"/>
      <c r="BY189" s="294"/>
      <c r="BZ189" s="294"/>
      <c r="CA189" s="294"/>
      <c r="CB189" s="294"/>
      <c r="CC189" s="294"/>
      <c r="CD189" s="294"/>
      <c r="CE189" s="294"/>
      <c r="CF189" s="294"/>
      <c r="CG189" s="294"/>
      <c r="CH189" s="294"/>
      <c r="CI189" s="294"/>
      <c r="CJ189" s="294"/>
      <c r="CK189" s="294"/>
      <c r="CL189" s="294"/>
      <c r="CM189" s="294"/>
      <c r="CN189" s="294"/>
      <c r="CO189" s="294"/>
      <c r="CP189" s="294"/>
      <c r="CQ189" s="294"/>
      <c r="CR189" s="294"/>
      <c r="CS189" s="294"/>
      <c r="CT189" s="294"/>
      <c r="CU189" s="294"/>
      <c r="CV189" s="294"/>
      <c r="CW189" s="294"/>
      <c r="CX189" s="294"/>
      <c r="CY189" s="294"/>
      <c r="CZ189" s="294"/>
      <c r="DA189" s="294"/>
      <c r="DB189" s="294"/>
      <c r="DC189" s="294"/>
      <c r="DD189" s="294"/>
      <c r="DE189" s="294"/>
      <c r="DF189" s="294"/>
      <c r="DG189" s="294"/>
      <c r="DH189" s="294"/>
      <c r="DI189" s="294"/>
      <c r="DJ189" s="294"/>
      <c r="DK189" s="294"/>
      <c r="DL189" s="294"/>
      <c r="DM189" s="294"/>
      <c r="DN189" s="294"/>
      <c r="DO189" s="294"/>
      <c r="DP189" s="294"/>
      <c r="DQ189" s="294"/>
      <c r="DR189" s="294"/>
      <c r="DS189" s="294"/>
      <c r="DT189" s="294"/>
      <c r="DU189" s="294"/>
      <c r="DV189" s="294"/>
      <c r="DW189" s="294"/>
      <c r="DX189" s="294"/>
      <c r="DY189" s="294"/>
      <c r="DZ189" s="294"/>
      <c r="EA189" s="294"/>
      <c r="EB189" s="294"/>
      <c r="EC189" s="294"/>
      <c r="ED189" s="294"/>
      <c r="EE189" s="294"/>
      <c r="EF189" s="294"/>
      <c r="EG189" s="294"/>
      <c r="EH189" s="294"/>
      <c r="EI189" s="294"/>
      <c r="EJ189" s="294"/>
      <c r="EK189" s="294"/>
      <c r="EL189" s="294"/>
      <c r="EM189" s="294"/>
      <c r="EN189" s="294"/>
      <c r="EO189" s="294"/>
      <c r="EP189" s="294"/>
      <c r="EQ189" s="294"/>
      <c r="ER189" s="294"/>
      <c r="ES189" s="294"/>
      <c r="ET189" s="294"/>
      <c r="EU189" s="294"/>
      <c r="EV189" s="294"/>
      <c r="EW189" s="294"/>
      <c r="EX189" s="294"/>
      <c r="EY189" s="294"/>
      <c r="EZ189" s="294"/>
      <c r="FA189" s="294"/>
      <c r="FB189" s="294"/>
      <c r="FC189" s="294"/>
      <c r="FD189" s="294"/>
      <c r="FE189" s="294"/>
      <c r="FF189" s="294"/>
      <c r="FG189" s="294"/>
    </row>
    <row r="190" spans="1:163" customFormat="1" ht="14.4" x14ac:dyDescent="0.3">
      <c r="A190" s="296"/>
      <c r="B190" s="297" t="s">
        <v>24</v>
      </c>
      <c r="C190" s="298" t="str">
        <f>ST_A0100</f>
        <v>ST A0100</v>
      </c>
      <c r="D190" s="298" t="s">
        <v>51</v>
      </c>
      <c r="E190" s="298"/>
      <c r="F190" s="299" t="str">
        <f>'[1]ST A0100'!B3</f>
        <v xml:space="preserve">Steering Rack </v>
      </c>
      <c r="G190" s="298"/>
      <c r="H190" s="300">
        <f>SUM(J190:M190)</f>
        <v>38.421892753566674</v>
      </c>
      <c r="I190" s="301">
        <f>ST_A0100_q</f>
        <v>1</v>
      </c>
      <c r="J190" s="302">
        <f>ST_A0100_m</f>
        <v>19.602</v>
      </c>
      <c r="K190" s="302">
        <f>ST_A0100_p</f>
        <v>17.356999999999999</v>
      </c>
      <c r="L190" s="302">
        <f>ST_A0100_f</f>
        <v>0.79622608690000551</v>
      </c>
      <c r="M190" s="302">
        <f>ST_A0100_t</f>
        <v>0.66666666666666663</v>
      </c>
      <c r="N190" s="303">
        <f>H190*I190</f>
        <v>38.421892753566674</v>
      </c>
      <c r="O190" s="304">
        <v>300</v>
      </c>
    </row>
    <row r="191" spans="1:163" customFormat="1" ht="14.4" x14ac:dyDescent="0.3">
      <c r="A191" s="305"/>
      <c r="B191" s="306" t="s">
        <v>24</v>
      </c>
      <c r="C191" s="307" t="str">
        <f>ST_01001</f>
        <v>ST 01001</v>
      </c>
      <c r="D191" s="308" t="s">
        <v>51</v>
      </c>
      <c r="E191" s="308" t="s">
        <v>91</v>
      </c>
      <c r="F191" s="309" t="str">
        <f>'[1]ST 01001'!B5</f>
        <v>Rack pinion</v>
      </c>
      <c r="G191" s="308"/>
      <c r="H191" s="310">
        <f t="shared" ref="H191:H201" si="28">SUM(J191:K191)</f>
        <v>7.9694600588749998</v>
      </c>
      <c r="I191" s="311">
        <f>ST_01001_q*ST_A0100_q</f>
        <v>1</v>
      </c>
      <c r="J191" s="312">
        <f>ST_01001_m</f>
        <v>1.039297354875</v>
      </c>
      <c r="K191" s="312">
        <f>ST_01001_p</f>
        <v>6.9301627039999998</v>
      </c>
      <c r="L191" s="312">
        <v>0</v>
      </c>
      <c r="M191" s="312">
        <v>0</v>
      </c>
      <c r="N191" s="313">
        <f t="shared" ref="N191:N201" si="29">I191*H191</f>
        <v>7.9694600588749998</v>
      </c>
      <c r="O191" s="314">
        <v>302</v>
      </c>
    </row>
    <row r="192" spans="1:163" customFormat="1" ht="14.4" x14ac:dyDescent="0.3">
      <c r="A192" s="305"/>
      <c r="B192" s="306" t="s">
        <v>24</v>
      </c>
      <c r="C192" s="307" t="str">
        <f>ST_01002</f>
        <v>ST 01002</v>
      </c>
      <c r="D192" s="308" t="s">
        <v>51</v>
      </c>
      <c r="E192" s="308" t="s">
        <v>91</v>
      </c>
      <c r="F192" s="309" t="str">
        <f>'[1]ST 01002'!B5</f>
        <v>Rack</v>
      </c>
      <c r="G192" s="308"/>
      <c r="H192" s="310">
        <f t="shared" si="28"/>
        <v>6.0399419045000009</v>
      </c>
      <c r="I192" s="315">
        <f>ST_01002_q*ST_A0100_q</f>
        <v>1</v>
      </c>
      <c r="J192" s="312">
        <f>ST_01002_m</f>
        <v>1.2228985125</v>
      </c>
      <c r="K192" s="312">
        <f>ST_01002_p</f>
        <v>4.8170433920000004</v>
      </c>
      <c r="L192" s="312">
        <v>0</v>
      </c>
      <c r="M192" s="312">
        <v>0</v>
      </c>
      <c r="N192" s="313">
        <f t="shared" si="29"/>
        <v>6.0399419045000009</v>
      </c>
      <c r="O192" s="314">
        <v>303</v>
      </c>
    </row>
    <row r="193" spans="1:15" customFormat="1" ht="14.4" x14ac:dyDescent="0.3">
      <c r="A193" s="305"/>
      <c r="B193" s="306" t="s">
        <v>24</v>
      </c>
      <c r="C193" s="307" t="str">
        <f>ST_01003</f>
        <v>ST 01003</v>
      </c>
      <c r="D193" s="308" t="s">
        <v>51</v>
      </c>
      <c r="E193" s="308" t="s">
        <v>91</v>
      </c>
      <c r="F193" s="309" t="str">
        <f>'[1]ST 01003'!B5</f>
        <v>Upper Pinion housing</v>
      </c>
      <c r="G193" s="308"/>
      <c r="H193" s="310">
        <f t="shared" si="28"/>
        <v>2.5686556</v>
      </c>
      <c r="I193" s="315">
        <f>ST_01003_q*ST_A0100_q</f>
        <v>1</v>
      </c>
      <c r="J193" s="312">
        <f>ST_01003_m</f>
        <v>0.25865559999999999</v>
      </c>
      <c r="K193" s="312">
        <f>ST_01003_p</f>
        <v>2.31</v>
      </c>
      <c r="L193" s="312">
        <v>0</v>
      </c>
      <c r="M193" s="312">
        <v>0</v>
      </c>
      <c r="N193" s="313">
        <f t="shared" si="29"/>
        <v>2.5686556</v>
      </c>
      <c r="O193" s="314">
        <v>304</v>
      </c>
    </row>
    <row r="194" spans="1:15" customFormat="1" ht="14.4" x14ac:dyDescent="0.3">
      <c r="A194" s="305"/>
      <c r="B194" s="306" t="s">
        <v>24</v>
      </c>
      <c r="C194" s="307" t="str">
        <f>ST_01004</f>
        <v>ST 01004</v>
      </c>
      <c r="D194" s="308" t="s">
        <v>51</v>
      </c>
      <c r="E194" s="308" t="s">
        <v>91</v>
      </c>
      <c r="F194" s="309" t="str">
        <f>'[1]ST 01004'!B5</f>
        <v>Lower Pinion housing</v>
      </c>
      <c r="G194" s="308"/>
      <c r="H194" s="310">
        <f t="shared" si="28"/>
        <v>6.2552780440000006</v>
      </c>
      <c r="I194" s="315">
        <f>ST_01004_q*ST_A0100_q</f>
        <v>1</v>
      </c>
      <c r="J194" s="312">
        <f>ST_01004_m</f>
        <v>1.0518440000000002</v>
      </c>
      <c r="K194" s="312">
        <f>ST_01004_p</f>
        <v>5.2034340440000006</v>
      </c>
      <c r="L194" s="312">
        <v>0</v>
      </c>
      <c r="M194" s="312">
        <v>0</v>
      </c>
      <c r="N194" s="313">
        <f t="shared" si="29"/>
        <v>6.2552780440000006</v>
      </c>
      <c r="O194" s="314">
        <v>305</v>
      </c>
    </row>
    <row r="195" spans="1:15" customFormat="1" ht="14.4" x14ac:dyDescent="0.3">
      <c r="A195" s="305"/>
      <c r="B195" s="306" t="s">
        <v>24</v>
      </c>
      <c r="C195" s="307" t="str">
        <f>ST_01005</f>
        <v>ST 01005</v>
      </c>
      <c r="D195" s="308" t="s">
        <v>51</v>
      </c>
      <c r="E195" s="308" t="s">
        <v>91</v>
      </c>
      <c r="F195" s="309" t="str">
        <f>'[1]ST 01005'!B5</f>
        <v>Rack housing support</v>
      </c>
      <c r="G195" s="308"/>
      <c r="H195" s="310">
        <f t="shared" si="28"/>
        <v>2.3507623102611204</v>
      </c>
      <c r="I195" s="315">
        <f>ST_01005_q*ST_A0100_q</f>
        <v>2</v>
      </c>
      <c r="J195" s="312">
        <f>ST_01005_m</f>
        <v>0.41960420626112005</v>
      </c>
      <c r="K195" s="312">
        <f>ST_01005_p</f>
        <v>1.9311581040000001</v>
      </c>
      <c r="L195" s="312">
        <v>0</v>
      </c>
      <c r="M195" s="312">
        <v>0</v>
      </c>
      <c r="N195" s="313">
        <f t="shared" si="29"/>
        <v>4.7015246205222407</v>
      </c>
      <c r="O195" s="314">
        <v>306</v>
      </c>
    </row>
    <row r="196" spans="1:15" customFormat="1" ht="14.4" x14ac:dyDescent="0.3">
      <c r="A196" s="305"/>
      <c r="B196" s="306" t="s">
        <v>24</v>
      </c>
      <c r="C196" s="307" t="str">
        <f>ST_01006</f>
        <v>ST 01006</v>
      </c>
      <c r="D196" s="308" t="s">
        <v>51</v>
      </c>
      <c r="E196" s="308" t="s">
        <v>91</v>
      </c>
      <c r="F196" s="309" t="str">
        <f>'[1]ST 01006'!B5</f>
        <v>Tie rod Braces</v>
      </c>
      <c r="G196" s="308"/>
      <c r="H196" s="310">
        <f t="shared" si="28"/>
        <v>2.3883601172108797</v>
      </c>
      <c r="I196" s="315">
        <f>ST_01006_q*ST_A0100_q</f>
        <v>2</v>
      </c>
      <c r="J196" s="312">
        <f>ST_01006_m</f>
        <v>0.29664291401087994</v>
      </c>
      <c r="K196" s="312">
        <f>ST_01006_p</f>
        <v>2.0917172032</v>
      </c>
      <c r="L196" s="312">
        <v>0</v>
      </c>
      <c r="M196" s="312">
        <v>0</v>
      </c>
      <c r="N196" s="313">
        <f t="shared" si="29"/>
        <v>4.7767202344217594</v>
      </c>
      <c r="O196" s="314">
        <v>307</v>
      </c>
    </row>
    <row r="197" spans="1:15" customFormat="1" ht="14.4" x14ac:dyDescent="0.3">
      <c r="A197" s="305"/>
      <c r="B197" s="306" t="s">
        <v>24</v>
      </c>
      <c r="C197" s="307" t="str">
        <f>ST_01007</f>
        <v>ST 01007</v>
      </c>
      <c r="D197" s="308" t="s">
        <v>51</v>
      </c>
      <c r="E197" s="308" t="s">
        <v>91</v>
      </c>
      <c r="F197" s="309" t="str">
        <f>'[1]ST 01007'!B5</f>
        <v>Rack housing</v>
      </c>
      <c r="G197" s="308"/>
      <c r="H197" s="310">
        <f t="shared" si="28"/>
        <v>65.587604384969495</v>
      </c>
      <c r="I197" s="315">
        <f>ST_01007_q*ST_A0100_q</f>
        <v>1</v>
      </c>
      <c r="J197" s="312">
        <f>ST_01007_m</f>
        <v>55.073426119972893</v>
      </c>
      <c r="K197" s="312">
        <f>ST_01007_p</f>
        <v>10.514178264996609</v>
      </c>
      <c r="L197" s="312">
        <v>0</v>
      </c>
      <c r="M197" s="312">
        <v>0</v>
      </c>
      <c r="N197" s="313">
        <f t="shared" si="29"/>
        <v>65.587604384969495</v>
      </c>
      <c r="O197" s="314">
        <v>308</v>
      </c>
    </row>
    <row r="198" spans="1:15" customFormat="1" ht="14.4" x14ac:dyDescent="0.3">
      <c r="A198" s="305"/>
      <c r="B198" s="306" t="s">
        <v>24</v>
      </c>
      <c r="C198" s="307" t="str">
        <f>ST_01008</f>
        <v>ST 01008</v>
      </c>
      <c r="D198" s="308" t="s">
        <v>51</v>
      </c>
      <c r="E198" s="308" t="s">
        <v>91</v>
      </c>
      <c r="F198" s="309" t="str">
        <f>'[1]ST 01008'!B5</f>
        <v>Steering Brackets tie</v>
      </c>
      <c r="G198" s="316"/>
      <c r="H198" s="310">
        <f t="shared" si="28"/>
        <v>1.5846224319999997</v>
      </c>
      <c r="I198" s="315">
        <f>ST_01008_q*ST_A0100_q</f>
        <v>4</v>
      </c>
      <c r="J198" s="312">
        <f>ST_01008_m</f>
        <v>0.13121740800000004</v>
      </c>
      <c r="K198" s="312">
        <f>ST_01008_p</f>
        <v>1.4534050239999998</v>
      </c>
      <c r="L198" s="312">
        <v>0</v>
      </c>
      <c r="M198" s="312">
        <v>0</v>
      </c>
      <c r="N198" s="313">
        <f t="shared" si="29"/>
        <v>6.338489727999999</v>
      </c>
      <c r="O198" s="314">
        <v>309</v>
      </c>
    </row>
    <row r="199" spans="1:15" customFormat="1" ht="14.4" x14ac:dyDescent="0.3">
      <c r="A199" s="305"/>
      <c r="B199" s="306" t="s">
        <v>24</v>
      </c>
      <c r="C199" s="307" t="str">
        <f>ST_01009</f>
        <v>ST 01009</v>
      </c>
      <c r="D199" s="308" t="s">
        <v>51</v>
      </c>
      <c r="E199" s="308" t="s">
        <v>91</v>
      </c>
      <c r="F199" s="309" t="str">
        <f>'[1]ST 01009'!B5</f>
        <v>Steering Brackets</v>
      </c>
      <c r="G199" s="308"/>
      <c r="H199" s="310">
        <f t="shared" si="28"/>
        <v>1.5974687499999998</v>
      </c>
      <c r="I199" s="315">
        <f>ST_01009_q*ST_A0100_q</f>
        <v>2</v>
      </c>
      <c r="J199" s="312">
        <f>ST_01009_m</f>
        <v>0.17246875</v>
      </c>
      <c r="K199" s="312">
        <f>ST_01009_p</f>
        <v>1.4249999999999998</v>
      </c>
      <c r="L199" s="312">
        <v>0</v>
      </c>
      <c r="M199" s="312">
        <v>0</v>
      </c>
      <c r="N199" s="313">
        <f t="shared" si="29"/>
        <v>3.1949374999999995</v>
      </c>
      <c r="O199" s="314">
        <v>311</v>
      </c>
    </row>
    <row r="200" spans="1:15" customFormat="1" ht="14.4" x14ac:dyDescent="0.3">
      <c r="A200" s="305"/>
      <c r="B200" s="306" t="s">
        <v>24</v>
      </c>
      <c r="C200" s="307" t="str">
        <f>ST_01010</f>
        <v>ST 01010</v>
      </c>
      <c r="D200" s="308" t="s">
        <v>51</v>
      </c>
      <c r="E200" s="308" t="s">
        <v>91</v>
      </c>
      <c r="F200" s="309" t="str">
        <f>'[1]ST 01010'!B5</f>
        <v>Rack protection</v>
      </c>
      <c r="G200" s="308"/>
      <c r="H200" s="310">
        <f t="shared" si="28"/>
        <v>7.6222422399999994</v>
      </c>
      <c r="I200" s="315">
        <f>ST_01010_q*ST_A0100_q</f>
        <v>1</v>
      </c>
      <c r="J200" s="312">
        <f>ST_01010_m</f>
        <v>3.0822422399999994</v>
      </c>
      <c r="K200" s="312">
        <f>ST_01010_p</f>
        <v>4.54</v>
      </c>
      <c r="L200" s="312">
        <v>0</v>
      </c>
      <c r="M200" s="312">
        <v>0</v>
      </c>
      <c r="N200" s="313">
        <f t="shared" si="29"/>
        <v>7.6222422399999994</v>
      </c>
      <c r="O200" s="314">
        <v>313</v>
      </c>
    </row>
    <row r="201" spans="1:15" customFormat="1" ht="14.4" x14ac:dyDescent="0.3">
      <c r="A201" s="305"/>
      <c r="B201" s="306" t="s">
        <v>24</v>
      </c>
      <c r="C201" s="307" t="str">
        <f>ST_01011</f>
        <v>ST 01011</v>
      </c>
      <c r="D201" s="308" t="s">
        <v>51</v>
      </c>
      <c r="E201" s="308" t="s">
        <v>91</v>
      </c>
      <c r="F201" s="309" t="str">
        <f>'[1]ST 01011'!B5</f>
        <v>Rack protection Brackets</v>
      </c>
      <c r="G201" s="308"/>
      <c r="H201" s="310">
        <f t="shared" si="28"/>
        <v>0.37972487499999996</v>
      </c>
      <c r="I201" s="315">
        <f>ST_01011_q*ST_A0100_q</f>
        <v>4</v>
      </c>
      <c r="J201" s="312">
        <f>ST_01011_m</f>
        <v>8.3688749999999996E-3</v>
      </c>
      <c r="K201" s="312">
        <f>ST_01011_p</f>
        <v>0.37135599999999996</v>
      </c>
      <c r="L201" s="312">
        <v>0</v>
      </c>
      <c r="M201" s="312">
        <v>0</v>
      </c>
      <c r="N201" s="313">
        <f t="shared" si="29"/>
        <v>1.5188994999999998</v>
      </c>
      <c r="O201" s="314">
        <v>314</v>
      </c>
    </row>
    <row r="202" spans="1:15" customFormat="1" ht="14.4" x14ac:dyDescent="0.3">
      <c r="A202" s="296"/>
      <c r="B202" s="297" t="s">
        <v>24</v>
      </c>
      <c r="C202" s="298" t="str">
        <f>ST_A0200</f>
        <v>ST A0200</v>
      </c>
      <c r="D202" s="298" t="s">
        <v>51</v>
      </c>
      <c r="E202" s="298"/>
      <c r="F202" s="299" t="str">
        <f>'[1]ST A0200'!B4</f>
        <v>Steering Column assy</v>
      </c>
      <c r="G202" s="298"/>
      <c r="H202" s="300">
        <f>SUM(J202:M202)</f>
        <v>54.192063279609222</v>
      </c>
      <c r="I202" s="301">
        <f>ST_A0200_q</f>
        <v>1</v>
      </c>
      <c r="J202" s="302">
        <f>ST_A0200_m</f>
        <v>42.224311012942565</v>
      </c>
      <c r="K202" s="302">
        <f>ST_A0200_p</f>
        <v>9.1260855999999997</v>
      </c>
      <c r="L202" s="302">
        <f>ST_A0200_f</f>
        <v>0.17500000000000002</v>
      </c>
      <c r="M202" s="302">
        <f>ST_A0200_t</f>
        <v>2.6666666666666665</v>
      </c>
      <c r="N202" s="303">
        <f t="shared" ref="N202:N218" si="30">H202*I202</f>
        <v>54.192063279609222</v>
      </c>
      <c r="O202" s="304">
        <v>316</v>
      </c>
    </row>
    <row r="203" spans="1:15" customFormat="1" ht="14.4" x14ac:dyDescent="0.3">
      <c r="A203" s="305"/>
      <c r="B203" s="306" t="s">
        <v>24</v>
      </c>
      <c r="C203" s="307" t="str">
        <f>ST_02001</f>
        <v>ST 02001</v>
      </c>
      <c r="D203" s="308" t="s">
        <v>51</v>
      </c>
      <c r="E203" s="308" t="s">
        <v>92</v>
      </c>
      <c r="F203" s="309" t="str">
        <f>'[1]ST 02001'!B5</f>
        <v>Spline coupler</v>
      </c>
      <c r="G203" s="308"/>
      <c r="H203" s="310">
        <f>SUM(J203:K203)</f>
        <v>3.6317736866249999</v>
      </c>
      <c r="I203" s="315">
        <f>ST_02001_q*ST_A0200_q</f>
        <v>1</v>
      </c>
      <c r="J203" s="312">
        <f>ST_02001_m</f>
        <v>0.26010239062500001</v>
      </c>
      <c r="K203" s="312">
        <f>ST_02001_p</f>
        <v>3.3716712959999997</v>
      </c>
      <c r="L203" s="312">
        <v>0</v>
      </c>
      <c r="M203" s="312">
        <v>0</v>
      </c>
      <c r="N203" s="313">
        <f t="shared" si="30"/>
        <v>3.6317736866249999</v>
      </c>
      <c r="O203" s="314">
        <v>318</v>
      </c>
    </row>
    <row r="204" spans="1:15" customFormat="1" ht="14.4" x14ac:dyDescent="0.3">
      <c r="A204" s="305"/>
      <c r="B204" s="306" t="s">
        <v>24</v>
      </c>
      <c r="C204" s="307" t="str">
        <f>ST_02002</f>
        <v>ST 02002</v>
      </c>
      <c r="D204" s="308" t="s">
        <v>51</v>
      </c>
      <c r="E204" s="308" t="s">
        <v>92</v>
      </c>
      <c r="F204" s="309" t="str">
        <f>'[1]ST 02002'!B5</f>
        <v>Steering Column tube</v>
      </c>
      <c r="G204" s="308"/>
      <c r="H204" s="310">
        <f>SUM(J204:K204)</f>
        <v>2.1062500000000002</v>
      </c>
      <c r="I204" s="315">
        <f>ST_02002_q*ST_A0200_q</f>
        <v>1</v>
      </c>
      <c r="J204" s="312">
        <f>ST_02002_m</f>
        <v>0.50624999999999998</v>
      </c>
      <c r="K204" s="312">
        <f>ST_02002_p</f>
        <v>1.6</v>
      </c>
      <c r="L204" s="312">
        <v>0</v>
      </c>
      <c r="M204" s="312">
        <v>0</v>
      </c>
      <c r="N204" s="313">
        <f t="shared" si="30"/>
        <v>2.1062500000000002</v>
      </c>
      <c r="O204" s="314">
        <v>319</v>
      </c>
    </row>
    <row r="205" spans="1:15" customFormat="1" ht="14.4" x14ac:dyDescent="0.3">
      <c r="A205" s="305"/>
      <c r="B205" s="306" t="s">
        <v>24</v>
      </c>
      <c r="C205" s="307" t="str">
        <f>ST_02003</f>
        <v>ST 02003</v>
      </c>
      <c r="D205" s="308" t="s">
        <v>51</v>
      </c>
      <c r="E205" s="308" t="s">
        <v>92</v>
      </c>
      <c r="F205" s="309" t="str">
        <f>'[1]ST 02003'!B5</f>
        <v>Steering Upper Shaft Pivot</v>
      </c>
      <c r="G205" s="308"/>
      <c r="H205" s="310">
        <f>SUM(J205:K205)</f>
        <v>6.2856945139200011</v>
      </c>
      <c r="I205" s="315">
        <f>ST_02003_q*ST_A0200_q</f>
        <v>1</v>
      </c>
      <c r="J205" s="312">
        <f>ST_02003_m</f>
        <v>0.80968833791999995</v>
      </c>
      <c r="K205" s="312">
        <f>ST_02003_p</f>
        <v>5.4760061760000012</v>
      </c>
      <c r="L205" s="312">
        <v>0</v>
      </c>
      <c r="M205" s="312">
        <v>0</v>
      </c>
      <c r="N205" s="313">
        <f t="shared" si="30"/>
        <v>6.2856945139200011</v>
      </c>
      <c r="O205" s="314">
        <v>320</v>
      </c>
    </row>
    <row r="206" spans="1:15" customFormat="1" ht="14.4" x14ac:dyDescent="0.3">
      <c r="A206" s="305"/>
      <c r="B206" s="306" t="s">
        <v>24</v>
      </c>
      <c r="C206" s="307" t="str">
        <f>ST_02004</f>
        <v>ST 02004</v>
      </c>
      <c r="D206" s="308" t="s">
        <v>51</v>
      </c>
      <c r="E206" s="308" t="s">
        <v>92</v>
      </c>
      <c r="F206" s="309" t="str">
        <f>'[1]ST 02004'!B5</f>
        <v>Steering Bore</v>
      </c>
      <c r="G206" s="308"/>
      <c r="H206" s="310">
        <f>SUM(J206:K206)</f>
        <v>9.259956002880001</v>
      </c>
      <c r="I206" s="315">
        <f>ST_02004_q*ST_A0200_q</f>
        <v>1</v>
      </c>
      <c r="J206" s="312">
        <f>ST_02004_m</f>
        <v>1.2715325068800001</v>
      </c>
      <c r="K206" s="312">
        <f>ST_02004_p</f>
        <v>7.9884234960000011</v>
      </c>
      <c r="L206" s="312">
        <v>0</v>
      </c>
      <c r="M206" s="312">
        <v>0</v>
      </c>
      <c r="N206" s="313">
        <f t="shared" si="30"/>
        <v>9.259956002880001</v>
      </c>
      <c r="O206" s="314">
        <v>322</v>
      </c>
    </row>
    <row r="207" spans="1:15" customFormat="1" ht="14.4" x14ac:dyDescent="0.3">
      <c r="A207" s="305"/>
      <c r="B207" s="306" t="s">
        <v>24</v>
      </c>
      <c r="C207" s="307" t="str">
        <f>ST_02005</f>
        <v>ST 02005</v>
      </c>
      <c r="D207" s="308" t="s">
        <v>51</v>
      </c>
      <c r="E207" s="308" t="s">
        <v>92</v>
      </c>
      <c r="F207" s="309" t="str">
        <f>'[1]ST 02005'!B5</f>
        <v>Steering Bore Support</v>
      </c>
      <c r="G207" s="308"/>
      <c r="H207" s="310">
        <f>SUM(J207:K207)</f>
        <v>1.4644404506699999</v>
      </c>
      <c r="I207" s="315">
        <f>ST_02005_q*ST_A0200_q</f>
        <v>2</v>
      </c>
      <c r="J207" s="312">
        <f>ST_02005_m</f>
        <v>0.34619045066999998</v>
      </c>
      <c r="K207" s="312">
        <f>ST_02005_p</f>
        <v>1.11825</v>
      </c>
      <c r="L207" s="312">
        <v>0</v>
      </c>
      <c r="M207" s="312">
        <v>0</v>
      </c>
      <c r="N207" s="313">
        <f t="shared" si="30"/>
        <v>2.9288809013399999</v>
      </c>
      <c r="O207" s="314">
        <v>323</v>
      </c>
    </row>
    <row r="208" spans="1:15" customFormat="1" ht="14.4" x14ac:dyDescent="0.3">
      <c r="A208" s="296"/>
      <c r="B208" s="297" t="s">
        <v>24</v>
      </c>
      <c r="C208" s="298" t="str">
        <f>ST_A0300</f>
        <v>ST A0300</v>
      </c>
      <c r="D208" s="298" t="s">
        <v>51</v>
      </c>
      <c r="E208" s="298"/>
      <c r="F208" s="299" t="str">
        <f>'[1]ST A0300'!B4</f>
        <v xml:space="preserve">Quick Release </v>
      </c>
      <c r="G208" s="298"/>
      <c r="H208" s="300">
        <f>SUM(J208:M208)</f>
        <v>1.7350000000000001</v>
      </c>
      <c r="I208" s="301">
        <f>ST_A0300_q</f>
        <v>1</v>
      </c>
      <c r="J208" s="302">
        <f>ST_A0300_m</f>
        <v>1.24</v>
      </c>
      <c r="K208" s="302">
        <f>ST_A0300_p</f>
        <v>0.32</v>
      </c>
      <c r="L208" s="302">
        <f>ST_A0300_f</f>
        <v>0.17500000000000002</v>
      </c>
      <c r="M208" s="302">
        <v>0</v>
      </c>
      <c r="N208" s="303">
        <f t="shared" si="30"/>
        <v>1.7350000000000001</v>
      </c>
      <c r="O208" s="304">
        <v>325</v>
      </c>
    </row>
    <row r="209" spans="1:15" customFormat="1" ht="14.4" x14ac:dyDescent="0.3">
      <c r="A209" s="305"/>
      <c r="B209" s="306" t="s">
        <v>24</v>
      </c>
      <c r="C209" s="307" t="str">
        <f>ST_03001</f>
        <v>ST 03001</v>
      </c>
      <c r="D209" s="308" t="s">
        <v>51</v>
      </c>
      <c r="E209" s="308" t="s">
        <v>93</v>
      </c>
      <c r="F209" s="309" t="str">
        <f>'[1]ST 03001'!B5</f>
        <v>Quick Release Steel Sleeve</v>
      </c>
      <c r="G209" s="308"/>
      <c r="H209" s="310">
        <f>SUM(J209:K209)</f>
        <v>12.884957426641209</v>
      </c>
      <c r="I209" s="315">
        <f>ST_03001_q*ST_A0300_q</f>
        <v>1</v>
      </c>
      <c r="J209" s="312">
        <f>ST_03001_m</f>
        <v>1.0837574266412056</v>
      </c>
      <c r="K209" s="312">
        <f>ST_03001_p</f>
        <v>11.801200000000003</v>
      </c>
      <c r="L209" s="312">
        <v>0</v>
      </c>
      <c r="M209" s="312">
        <v>0</v>
      </c>
      <c r="N209" s="313">
        <f t="shared" si="30"/>
        <v>12.884957426641209</v>
      </c>
      <c r="O209" s="314">
        <v>326</v>
      </c>
    </row>
    <row r="210" spans="1:15" customFormat="1" ht="14.4" x14ac:dyDescent="0.3">
      <c r="A210" s="305"/>
      <c r="B210" s="306" t="s">
        <v>24</v>
      </c>
      <c r="C210" s="307" t="str">
        <f>ST_03002</f>
        <v>ST 03002</v>
      </c>
      <c r="D210" s="308" t="s">
        <v>51</v>
      </c>
      <c r="E210" s="308" t="s">
        <v>93</v>
      </c>
      <c r="F210" s="309" t="str">
        <f>'[1]ST 03002'!B5</f>
        <v>Quick Release Fixed Part</v>
      </c>
      <c r="G210" s="308"/>
      <c r="H210" s="310">
        <f>SUM(J210:K210)</f>
        <v>15.469065601320001</v>
      </c>
      <c r="I210" s="315">
        <f>ST_03002_q*ST_A0300_q</f>
        <v>1</v>
      </c>
      <c r="J210" s="312">
        <f>ST_03002_m</f>
        <v>2.4790656013199994</v>
      </c>
      <c r="K210" s="312">
        <f>ST_03002_p</f>
        <v>12.990000000000002</v>
      </c>
      <c r="L210" s="312">
        <v>0</v>
      </c>
      <c r="M210" s="312">
        <v>0</v>
      </c>
      <c r="N210" s="313">
        <f t="shared" si="30"/>
        <v>15.469065601320001</v>
      </c>
      <c r="O210" s="314">
        <v>327</v>
      </c>
    </row>
    <row r="211" spans="1:15" customFormat="1" ht="14.4" x14ac:dyDescent="0.3">
      <c r="A211" s="305"/>
      <c r="B211" s="306" t="s">
        <v>24</v>
      </c>
      <c r="C211" s="307" t="str">
        <f>ST_03003</f>
        <v>ST 03003</v>
      </c>
      <c r="D211" s="308" t="s">
        <v>51</v>
      </c>
      <c r="E211" s="308" t="s">
        <v>93</v>
      </c>
      <c r="F211" s="309" t="str">
        <f>'[1]ST 03003'!B5</f>
        <v>Quick Release Sliding Part</v>
      </c>
      <c r="G211" s="308"/>
      <c r="H211" s="310">
        <f>SUM(J211:K211)</f>
        <v>12.940409872</v>
      </c>
      <c r="I211" s="315">
        <f>ST_03003_q*ST_A0300_q</f>
        <v>1</v>
      </c>
      <c r="J211" s="312">
        <f>ST_03003_m</f>
        <v>1.7704098720000001</v>
      </c>
      <c r="K211" s="312">
        <f>ST_03003_p</f>
        <v>11.17</v>
      </c>
      <c r="L211" s="312">
        <v>0</v>
      </c>
      <c r="M211" s="312">
        <v>0</v>
      </c>
      <c r="N211" s="313">
        <f t="shared" si="30"/>
        <v>12.940409872</v>
      </c>
      <c r="O211" s="314">
        <v>328</v>
      </c>
    </row>
    <row r="212" spans="1:15" customFormat="1" ht="14.4" x14ac:dyDescent="0.3">
      <c r="A212" s="296"/>
      <c r="B212" s="297" t="s">
        <v>24</v>
      </c>
      <c r="C212" s="298" t="str">
        <f>ST_A0400</f>
        <v>ST A0400</v>
      </c>
      <c r="D212" s="298" t="s">
        <v>51</v>
      </c>
      <c r="E212" s="298"/>
      <c r="F212" s="299" t="str">
        <f>'[1]ST A0400'!B4</f>
        <v>Steering Wheel Assy</v>
      </c>
      <c r="G212" s="298"/>
      <c r="H212" s="300">
        <f>SUM(J212:M212)</f>
        <v>2.6911624234581666</v>
      </c>
      <c r="I212" s="301">
        <f>ST_A0400_q</f>
        <v>1</v>
      </c>
      <c r="J212" s="302">
        <v>0</v>
      </c>
      <c r="K212" s="302">
        <f>ST_A0400_p</f>
        <v>2.25</v>
      </c>
      <c r="L212" s="302">
        <f>ST_A0400_f</f>
        <v>0.44116242345816659</v>
      </c>
      <c r="M212" s="302">
        <v>0</v>
      </c>
      <c r="N212" s="303">
        <f t="shared" si="30"/>
        <v>2.6911624234581666</v>
      </c>
      <c r="O212" s="304">
        <v>329</v>
      </c>
    </row>
    <row r="213" spans="1:15" customFormat="1" ht="14.4" x14ac:dyDescent="0.3">
      <c r="A213" s="305"/>
      <c r="B213" s="306" t="s">
        <v>24</v>
      </c>
      <c r="C213" s="307" t="str">
        <f>ST_04001</f>
        <v>ST 04001</v>
      </c>
      <c r="D213" s="308" t="s">
        <v>51</v>
      </c>
      <c r="E213" s="308" t="s">
        <v>94</v>
      </c>
      <c r="F213" s="309" t="str">
        <f>'[1]ST 04001'!B5</f>
        <v>Steering Wheel</v>
      </c>
      <c r="G213" s="308"/>
      <c r="H213" s="310">
        <f>SUM(J213:K213)</f>
        <v>16.336187500000001</v>
      </c>
      <c r="I213" s="315">
        <f>ST_04001_q*ST_A0400_q</f>
        <v>1</v>
      </c>
      <c r="J213" s="312">
        <f>ST_04001_m</f>
        <v>3.7811875000000001</v>
      </c>
      <c r="K213" s="312">
        <f>ST_04001_p</f>
        <v>12.555000000000001</v>
      </c>
      <c r="L213" s="312">
        <v>0</v>
      </c>
      <c r="M213" s="312">
        <v>0</v>
      </c>
      <c r="N213" s="313">
        <f t="shared" si="30"/>
        <v>16.336187500000001</v>
      </c>
      <c r="O213" s="314">
        <v>330</v>
      </c>
    </row>
    <row r="214" spans="1:15" customFormat="1" ht="14.4" x14ac:dyDescent="0.3">
      <c r="A214" s="305"/>
      <c r="B214" s="306" t="s">
        <v>24</v>
      </c>
      <c r="C214" s="307" t="str">
        <f>ST_04002</f>
        <v>ST 04002</v>
      </c>
      <c r="D214" s="308" t="s">
        <v>51</v>
      </c>
      <c r="E214" s="308" t="s">
        <v>94</v>
      </c>
      <c r="F214" s="309" t="str">
        <f>'[1]ST 04002'!B5</f>
        <v>Aluminium spacer</v>
      </c>
      <c r="G214" s="308"/>
      <c r="H214" s="310">
        <f>SUM(J214:K214)</f>
        <v>3.0722072799999998</v>
      </c>
      <c r="I214" s="315">
        <f>ST_04001_q*ST_A0400_q</f>
        <v>1</v>
      </c>
      <c r="J214" s="312">
        <f>ST_04002_m</f>
        <v>0.62020728000000003</v>
      </c>
      <c r="K214" s="312">
        <f>ST_04002_p</f>
        <v>2.452</v>
      </c>
      <c r="L214" s="312">
        <v>0</v>
      </c>
      <c r="M214" s="312">
        <v>0</v>
      </c>
      <c r="N214" s="313">
        <f t="shared" si="30"/>
        <v>3.0722072799999998</v>
      </c>
      <c r="O214" s="314">
        <v>331</v>
      </c>
    </row>
    <row r="215" spans="1:15" customFormat="1" ht="14.4" x14ac:dyDescent="0.3">
      <c r="A215" s="296"/>
      <c r="B215" s="297" t="s">
        <v>24</v>
      </c>
      <c r="C215" s="298" t="str">
        <f>ST_A0500</f>
        <v>ST A0500</v>
      </c>
      <c r="D215" s="298" t="s">
        <v>51</v>
      </c>
      <c r="E215" s="298"/>
      <c r="F215" s="299" t="str">
        <f>'[1]ST A0500'!B4</f>
        <v>Steering rod</v>
      </c>
      <c r="G215" s="298"/>
      <c r="H215" s="300">
        <f>SUM(J215:M215)</f>
        <v>8.5517973221409793</v>
      </c>
      <c r="I215" s="301">
        <f>ST_A0500_q</f>
        <v>2</v>
      </c>
      <c r="J215" s="302">
        <f>ST_A0500_m</f>
        <v>3.88</v>
      </c>
      <c r="K215" s="302">
        <f>ST_A0500_p</f>
        <v>4.3660000000000005</v>
      </c>
      <c r="L215" s="302">
        <f>ST_A0500_f</f>
        <v>0.30579732214097893</v>
      </c>
      <c r="M215" s="302">
        <v>0</v>
      </c>
      <c r="N215" s="303">
        <f t="shared" si="30"/>
        <v>17.103594644281959</v>
      </c>
      <c r="O215" s="304">
        <v>333</v>
      </c>
    </row>
    <row r="216" spans="1:15" customFormat="1" ht="14.4" x14ac:dyDescent="0.3">
      <c r="A216" s="305"/>
      <c r="B216" s="306" t="s">
        <v>24</v>
      </c>
      <c r="C216" s="307" t="str">
        <f>ST_05001</f>
        <v>ST 05001</v>
      </c>
      <c r="D216" s="308" t="s">
        <v>51</v>
      </c>
      <c r="E216" s="308" t="str">
        <f>$F$215</f>
        <v>Steering rod</v>
      </c>
      <c r="F216" s="309" t="str">
        <f>'[1]ST 05001'!B5</f>
        <v>Steering rod tube</v>
      </c>
      <c r="G216" s="308"/>
      <c r="H216" s="310">
        <f>SUM(J216:K216)</f>
        <v>9.787952354709665</v>
      </c>
      <c r="I216" s="315">
        <f>ST_05001_q*ST_A0500_q</f>
        <v>2</v>
      </c>
      <c r="J216" s="312">
        <f>ST_05001_m</f>
        <v>8.7004020930752581</v>
      </c>
      <c r="K216" s="312">
        <f>ST_05001_p</f>
        <v>1.0875502616344073</v>
      </c>
      <c r="L216" s="312">
        <v>0</v>
      </c>
      <c r="M216" s="312">
        <v>0</v>
      </c>
      <c r="N216" s="313">
        <f t="shared" si="30"/>
        <v>19.57590470941933</v>
      </c>
      <c r="O216" s="314">
        <v>334</v>
      </c>
    </row>
    <row r="217" spans="1:15" customFormat="1" ht="14.4" x14ac:dyDescent="0.3">
      <c r="A217" s="305"/>
      <c r="B217" s="306" t="s">
        <v>24</v>
      </c>
      <c r="C217" s="307" t="str">
        <f>ST_05002</f>
        <v>ST 05002</v>
      </c>
      <c r="D217" s="308" t="s">
        <v>51</v>
      </c>
      <c r="E217" s="308" t="str">
        <f>$F$215</f>
        <v>Steering rod</v>
      </c>
      <c r="F217" s="309" t="str">
        <f>'[1]ST 05002'!B5</f>
        <v>Steering rod insert</v>
      </c>
      <c r="G217" s="308"/>
      <c r="H217" s="310">
        <f>SUM(J217:K217)</f>
        <v>2.3146445082514053</v>
      </c>
      <c r="I217" s="315">
        <f>ST_05002_q*ST_A0500_q</f>
        <v>2</v>
      </c>
      <c r="J217" s="312">
        <f>ST_05002_m</f>
        <v>0.29364450825140531</v>
      </c>
      <c r="K217" s="312">
        <f>ST_05002_p</f>
        <v>2.0209999999999999</v>
      </c>
      <c r="L217" s="312">
        <v>0</v>
      </c>
      <c r="M217" s="312">
        <v>0</v>
      </c>
      <c r="N217" s="313">
        <f t="shared" si="30"/>
        <v>4.6292890165028107</v>
      </c>
      <c r="O217" s="314">
        <v>335</v>
      </c>
    </row>
    <row r="218" spans="1:15" customFormat="1" ht="15" thickBot="1" x14ac:dyDescent="0.35">
      <c r="A218" s="305"/>
      <c r="B218" s="306" t="s">
        <v>24</v>
      </c>
      <c r="C218" s="307" t="str">
        <f>ST_05003</f>
        <v>ST 05003</v>
      </c>
      <c r="D218" s="308" t="s">
        <v>51</v>
      </c>
      <c r="E218" s="308" t="str">
        <f>$F$215</f>
        <v>Steering rod</v>
      </c>
      <c r="F218" s="309" t="str">
        <f>'[1]ST 05003'!B5</f>
        <v>Spacer</v>
      </c>
      <c r="G218" s="308"/>
      <c r="H218" s="310">
        <f>SUM(J218:K218)</f>
        <v>0.33667037599999999</v>
      </c>
      <c r="I218" s="315">
        <f>ST_05003_q*ST_A0500_q</f>
        <v>8</v>
      </c>
      <c r="J218" s="312">
        <f>ST_05003_m</f>
        <v>3.0170376000000002E-2</v>
      </c>
      <c r="K218" s="312">
        <f>ST_05003_p</f>
        <v>0.30649999999999999</v>
      </c>
      <c r="L218" s="312">
        <v>0</v>
      </c>
      <c r="M218" s="312">
        <v>0</v>
      </c>
      <c r="N218" s="313">
        <f t="shared" si="30"/>
        <v>2.6933630079999999</v>
      </c>
      <c r="O218" s="314">
        <v>337</v>
      </c>
    </row>
    <row r="219" spans="1:15" customFormat="1" ht="15.6" thickTop="1" thickBot="1" x14ac:dyDescent="0.35">
      <c r="A219" s="110"/>
      <c r="B219" s="111" t="str">
        <f>'[4]ST Assembly'!B3</f>
        <v>Steering System</v>
      </c>
      <c r="C219" s="112"/>
      <c r="D219" s="112"/>
      <c r="E219" s="112"/>
      <c r="F219" s="111" t="s">
        <v>52</v>
      </c>
      <c r="G219" s="112"/>
      <c r="H219" s="113"/>
      <c r="I219" s="114"/>
      <c r="J219" s="115">
        <f>SUMPRODUCT(I190:I218,J190:J218)</f>
        <v>166.39448974021391</v>
      </c>
      <c r="K219" s="115">
        <f>SUMPRODUCT(I190:I218,K190:K218)</f>
        <v>170.6046002066654</v>
      </c>
      <c r="L219" s="115">
        <f>SUMPRODUCT(I190:I218,L190:L218)</f>
        <v>2.1989831546401302</v>
      </c>
      <c r="M219" s="115">
        <f>SUMPRODUCT(I190:I218,M190:M218)</f>
        <v>3.333333333333333</v>
      </c>
      <c r="N219" s="115">
        <f>SUM(N190:N218)</f>
        <v>342.53140643485278</v>
      </c>
      <c r="O219" s="116"/>
    </row>
    <row r="220" spans="1:15" ht="15" thickTop="1" x14ac:dyDescent="0.3">
      <c r="A220" s="317"/>
      <c r="B220" s="318" t="s">
        <v>95</v>
      </c>
      <c r="C220" s="319" t="str">
        <f>SU_A0100</f>
        <v>SU A0100</v>
      </c>
      <c r="D220" s="319" t="s">
        <v>51</v>
      </c>
      <c r="E220" s="319"/>
      <c r="F220" s="320" t="str">
        <f>'[1]SU A0100'!B4</f>
        <v>Upper Front A-arm</v>
      </c>
      <c r="G220" s="319"/>
      <c r="H220" s="321">
        <f t="shared" ref="H220:H283" si="31">SUM(J220:M220)</f>
        <v>38.579540947087935</v>
      </c>
      <c r="I220" s="322">
        <f>SU_A0100_q</f>
        <v>2</v>
      </c>
      <c r="J220" s="323">
        <f>SU_A0100_m</f>
        <v>20.759999999999998</v>
      </c>
      <c r="K220" s="323">
        <f>SU_A0100_p</f>
        <v>16.033700000000003</v>
      </c>
      <c r="L220" s="323">
        <f>SU_A0100_f</f>
        <v>0.45250761375459631</v>
      </c>
      <c r="M220" s="323">
        <f>SU_A0100_t</f>
        <v>1.3333333333333333</v>
      </c>
      <c r="N220" s="324">
        <f t="shared" ref="N220:N283" si="32">H220*I220</f>
        <v>77.15908189417587</v>
      </c>
      <c r="O220" s="325">
        <v>340</v>
      </c>
    </row>
    <row r="221" spans="1:15" ht="14.4" x14ac:dyDescent="0.3">
      <c r="A221" s="326"/>
      <c r="B221" s="326" t="s">
        <v>95</v>
      </c>
      <c r="C221" s="327" t="str">
        <f>SU_01001</f>
        <v>SU_01001</v>
      </c>
      <c r="D221" s="328" t="s">
        <v>51</v>
      </c>
      <c r="E221" s="328" t="str">
        <f t="shared" ref="E221:E231" si="33">$F$220</f>
        <v>Upper Front A-arm</v>
      </c>
      <c r="F221" s="329" t="str">
        <f>'[1]SU 01001'!B5</f>
        <v>Upper Front Bearing Support</v>
      </c>
      <c r="G221" s="328"/>
      <c r="H221" s="330">
        <f t="shared" si="31"/>
        <v>15.090551905600002</v>
      </c>
      <c r="I221" s="331">
        <f>SU_A0100_q*SU_01001_q</f>
        <v>2</v>
      </c>
      <c r="J221" s="332">
        <f>SU_01001_m</f>
        <v>2.6965519055999998</v>
      </c>
      <c r="K221" s="332">
        <f>SU_01001_p</f>
        <v>12.394000000000002</v>
      </c>
      <c r="L221" s="332">
        <v>0</v>
      </c>
      <c r="M221" s="332">
        <v>0</v>
      </c>
      <c r="N221" s="333">
        <f t="shared" si="32"/>
        <v>30.181103811200003</v>
      </c>
      <c r="O221" s="334">
        <v>342</v>
      </c>
    </row>
    <row r="222" spans="1:15" ht="14.4" x14ac:dyDescent="0.3">
      <c r="A222" s="326"/>
      <c r="B222" s="326" t="s">
        <v>95</v>
      </c>
      <c r="C222" s="327" t="str">
        <f>SU_01002</f>
        <v>SU_01002</v>
      </c>
      <c r="D222" s="328" t="s">
        <v>51</v>
      </c>
      <c r="E222" s="328" t="str">
        <f t="shared" si="33"/>
        <v>Upper Front A-arm</v>
      </c>
      <c r="F222" s="329" t="str">
        <f>'[1]SU 01002'!B5</f>
        <v>Inner Bearing Support</v>
      </c>
      <c r="G222" s="328"/>
      <c r="H222" s="330">
        <f t="shared" si="31"/>
        <v>1.8728805440000003</v>
      </c>
      <c r="I222" s="331">
        <f>SU_A0100_q*SU_01002_q</f>
        <v>4</v>
      </c>
      <c r="J222" s="332">
        <f>SU_01002_m</f>
        <v>0.85838054400000008</v>
      </c>
      <c r="K222" s="332">
        <f>SU_01002_p</f>
        <v>1.0145000000000002</v>
      </c>
      <c r="L222" s="332">
        <v>0</v>
      </c>
      <c r="M222" s="332">
        <v>0</v>
      </c>
      <c r="N222" s="333">
        <f t="shared" si="32"/>
        <v>7.491522176000001</v>
      </c>
      <c r="O222" s="334">
        <v>344</v>
      </c>
    </row>
    <row r="223" spans="1:15" ht="14.4" x14ac:dyDescent="0.3">
      <c r="A223" s="326"/>
      <c r="B223" s="326" t="s">
        <v>95</v>
      </c>
      <c r="C223" s="327" t="str">
        <f>SU_01003</f>
        <v>SU_01003</v>
      </c>
      <c r="D223" s="328" t="s">
        <v>51</v>
      </c>
      <c r="E223" s="328" t="str">
        <f t="shared" si="33"/>
        <v>Upper Front A-arm</v>
      </c>
      <c r="F223" s="329" t="str">
        <f>'[1]SU 01003'!B5</f>
        <v>Upper Front A-arm tube (Front)  Carbon Fiber Tube</v>
      </c>
      <c r="G223" s="328"/>
      <c r="H223" s="330">
        <f t="shared" si="31"/>
        <v>8.8765790399999975</v>
      </c>
      <c r="I223" s="331">
        <f>SU_A0100_q*SU_01003_q</f>
        <v>2</v>
      </c>
      <c r="J223" s="332">
        <f>SU_01003_m</f>
        <v>7.8902924799999985</v>
      </c>
      <c r="K223" s="332">
        <f>SU_01003_p</f>
        <v>0.98628655999999981</v>
      </c>
      <c r="L223" s="332">
        <v>0</v>
      </c>
      <c r="M223" s="332">
        <v>0</v>
      </c>
      <c r="N223" s="333">
        <f t="shared" si="32"/>
        <v>17.753158079999995</v>
      </c>
      <c r="O223" s="334">
        <v>346</v>
      </c>
    </row>
    <row r="224" spans="1:15" ht="14.4" x14ac:dyDescent="0.3">
      <c r="A224" s="326"/>
      <c r="B224" s="326" t="s">
        <v>95</v>
      </c>
      <c r="C224" s="327" t="str">
        <f>SU_01004</f>
        <v>SU_01004</v>
      </c>
      <c r="D224" s="328" t="s">
        <v>51</v>
      </c>
      <c r="E224" s="328" t="str">
        <f t="shared" si="33"/>
        <v>Upper Front A-arm</v>
      </c>
      <c r="F224" s="329" t="str">
        <f>'[1]SU 01004'!B5</f>
        <v>Upper Front A-arm tube (Back)  Carbon Fiber Tube</v>
      </c>
      <c r="G224" s="328"/>
      <c r="H224" s="330">
        <f t="shared" si="31"/>
        <v>7.1887787999999988</v>
      </c>
      <c r="I224" s="331">
        <f>SU_A0100_q*SU_01004_q</f>
        <v>2</v>
      </c>
      <c r="J224" s="332">
        <f>SU_01004_m</f>
        <v>6.3900255999999986</v>
      </c>
      <c r="K224" s="332">
        <f>SU_01004_p</f>
        <v>0.79875319999999983</v>
      </c>
      <c r="L224" s="332">
        <v>0</v>
      </c>
      <c r="M224" s="332">
        <v>0</v>
      </c>
      <c r="N224" s="333">
        <f t="shared" si="32"/>
        <v>14.377557599999998</v>
      </c>
      <c r="O224" s="334">
        <v>347</v>
      </c>
    </row>
    <row r="225" spans="1:15" ht="14.4" x14ac:dyDescent="0.3">
      <c r="A225" s="326"/>
      <c r="B225" s="326" t="s">
        <v>95</v>
      </c>
      <c r="C225" s="327" t="str">
        <f>SU_01005</f>
        <v>SU_01005</v>
      </c>
      <c r="D225" s="328" t="s">
        <v>51</v>
      </c>
      <c r="E225" s="328" t="str">
        <f t="shared" si="33"/>
        <v>Upper Front A-arm</v>
      </c>
      <c r="F225" s="329" t="str">
        <f>'[1]SU 01005'!B5</f>
        <v>Spacer 1</v>
      </c>
      <c r="G225" s="328"/>
      <c r="H225" s="330">
        <f t="shared" si="31"/>
        <v>0.98904401600000003</v>
      </c>
      <c r="I225" s="331">
        <f>SU_A0100_q*SU_01005_q</f>
        <v>4</v>
      </c>
      <c r="J225" s="332">
        <f>SU_01005_m</f>
        <v>3.9044016000000001E-2</v>
      </c>
      <c r="K225" s="332">
        <f>SU_01005_p</f>
        <v>0.95000000000000007</v>
      </c>
      <c r="L225" s="332">
        <v>0</v>
      </c>
      <c r="M225" s="332">
        <v>0</v>
      </c>
      <c r="N225" s="333">
        <f t="shared" si="32"/>
        <v>3.9561760640000001</v>
      </c>
      <c r="O225" s="334">
        <v>348</v>
      </c>
    </row>
    <row r="226" spans="1:15" ht="14.4" x14ac:dyDescent="0.3">
      <c r="A226" s="326"/>
      <c r="B226" s="326" t="s">
        <v>95</v>
      </c>
      <c r="C226" s="327" t="str">
        <f>SU_01006</f>
        <v>SU_01006</v>
      </c>
      <c r="D226" s="328" t="s">
        <v>51</v>
      </c>
      <c r="E226" s="328" t="str">
        <f t="shared" si="33"/>
        <v>Upper Front A-arm</v>
      </c>
      <c r="F226" s="329" t="str">
        <f>'[1]SU 01006'!B5</f>
        <v>Spacer 2</v>
      </c>
      <c r="G226" s="328"/>
      <c r="H226" s="330">
        <f t="shared" si="31"/>
        <v>0.32421353411764708</v>
      </c>
      <c r="I226" s="331">
        <f>SU_A0100_q*SU_01006_q</f>
        <v>8</v>
      </c>
      <c r="J226" s="332">
        <f>SU_01006_m</f>
        <v>0.14197824000000003</v>
      </c>
      <c r="K226" s="332">
        <f>SU_01006_p</f>
        <v>0.18223529411764708</v>
      </c>
      <c r="L226" s="332">
        <v>0</v>
      </c>
      <c r="M226" s="332">
        <v>0</v>
      </c>
      <c r="N226" s="333">
        <f t="shared" si="32"/>
        <v>2.5937082729411767</v>
      </c>
      <c r="O226" s="334">
        <v>350</v>
      </c>
    </row>
    <row r="227" spans="1:15" ht="14.4" x14ac:dyDescent="0.3">
      <c r="A227" s="326"/>
      <c r="B227" s="326" t="s">
        <v>95</v>
      </c>
      <c r="C227" s="327" t="str">
        <f>SU_01007</f>
        <v>SU_01007</v>
      </c>
      <c r="D227" s="328" t="s">
        <v>51</v>
      </c>
      <c r="E227" s="328" t="str">
        <f t="shared" si="33"/>
        <v>Upper Front A-arm</v>
      </c>
      <c r="F227" s="329" t="str">
        <f>'[1]SU 01007'!$B$5</f>
        <v>Outboard A-arm Insert</v>
      </c>
      <c r="G227" s="328"/>
      <c r="H227" s="330">
        <f t="shared" si="31"/>
        <v>0.47719727680000001</v>
      </c>
      <c r="I227" s="331">
        <f>SU_A0100_q*SU_01007_q</f>
        <v>4</v>
      </c>
      <c r="J227" s="332">
        <f>SU_01007_m</f>
        <v>7.7197276800000006E-2</v>
      </c>
      <c r="K227" s="332">
        <f>SU_01007_p</f>
        <v>0.4</v>
      </c>
      <c r="L227" s="332">
        <v>0</v>
      </c>
      <c r="M227" s="332">
        <v>0</v>
      </c>
      <c r="N227" s="333">
        <f t="shared" si="32"/>
        <v>1.9087891072000001</v>
      </c>
      <c r="O227" s="334">
        <v>352</v>
      </c>
    </row>
    <row r="228" spans="1:15" ht="14.4" x14ac:dyDescent="0.3">
      <c r="A228" s="326"/>
      <c r="B228" s="326" t="s">
        <v>95</v>
      </c>
      <c r="C228" s="327" t="str">
        <f>SU_01008</f>
        <v>SU_01008</v>
      </c>
      <c r="D228" s="328" t="s">
        <v>51</v>
      </c>
      <c r="E228" s="328" t="str">
        <f t="shared" si="33"/>
        <v>Upper Front A-arm</v>
      </c>
      <c r="F228" s="329" t="str">
        <f>'[1]SU 01008'!$B$5</f>
        <v>Front up bracket</v>
      </c>
      <c r="G228" s="328"/>
      <c r="H228" s="330">
        <f t="shared" si="31"/>
        <v>1.3930602499999998</v>
      </c>
      <c r="I228" s="331">
        <f>SU_A0100_q*SU_01008_q</f>
        <v>2</v>
      </c>
      <c r="J228" s="332">
        <f>SU_01008_m</f>
        <v>0.14773825000000002</v>
      </c>
      <c r="K228" s="332">
        <f>SU_01008_p</f>
        <v>1.2453219999999998</v>
      </c>
      <c r="L228" s="332">
        <v>0</v>
      </c>
      <c r="M228" s="332">
        <v>0</v>
      </c>
      <c r="N228" s="333">
        <f t="shared" si="32"/>
        <v>2.7861204999999996</v>
      </c>
      <c r="O228" s="334">
        <v>355</v>
      </c>
    </row>
    <row r="229" spans="1:15" ht="14.4" x14ac:dyDescent="0.3">
      <c r="A229" s="326"/>
      <c r="B229" s="326" t="s">
        <v>95</v>
      </c>
      <c r="C229" s="327" t="str">
        <f>SU_01009</f>
        <v>SU_01009</v>
      </c>
      <c r="D229" s="328" t="s">
        <v>51</v>
      </c>
      <c r="E229" s="328" t="str">
        <f t="shared" si="33"/>
        <v>Upper Front A-arm</v>
      </c>
      <c r="F229" s="329" t="str">
        <f>'[1]SU 01009'!$B$5</f>
        <v>Front down bracket</v>
      </c>
      <c r="G229" s="328"/>
      <c r="H229" s="330">
        <f t="shared" si="31"/>
        <v>1.3590899374999998</v>
      </c>
      <c r="I229" s="331">
        <f>SU_A0100_q*SU_01009_q</f>
        <v>2</v>
      </c>
      <c r="J229" s="332">
        <f>SU_01009_m</f>
        <v>0.1450304375</v>
      </c>
      <c r="K229" s="332">
        <f>SU_01009_p</f>
        <v>1.2140594999999998</v>
      </c>
      <c r="L229" s="332">
        <v>0</v>
      </c>
      <c r="M229" s="332">
        <v>0</v>
      </c>
      <c r="N229" s="333">
        <f t="shared" si="32"/>
        <v>2.7181798749999997</v>
      </c>
      <c r="O229" s="334">
        <v>357</v>
      </c>
    </row>
    <row r="230" spans="1:15" ht="14.4" x14ac:dyDescent="0.3">
      <c r="A230" s="326"/>
      <c r="B230" s="326" t="s">
        <v>95</v>
      </c>
      <c r="C230" s="327" t="str">
        <f>SU_01010</f>
        <v>SU_01010</v>
      </c>
      <c r="D230" s="328" t="s">
        <v>51</v>
      </c>
      <c r="E230" s="328" t="str">
        <f t="shared" si="33"/>
        <v>Upper Front A-arm</v>
      </c>
      <c r="F230" s="329" t="str">
        <f>'[1]SU 01010'!$B$5</f>
        <v>Rear up bracket</v>
      </c>
      <c r="G230" s="328"/>
      <c r="H230" s="330">
        <f t="shared" si="31"/>
        <v>1.3143274375</v>
      </c>
      <c r="I230" s="331">
        <f>SU_A0100_q*SU_01010_q</f>
        <v>2</v>
      </c>
      <c r="J230" s="332">
        <f>SU_01010_m</f>
        <v>0.1233679375</v>
      </c>
      <c r="K230" s="332">
        <f>SU_01010_p</f>
        <v>1.1909594999999999</v>
      </c>
      <c r="L230" s="332">
        <v>0</v>
      </c>
      <c r="M230" s="332">
        <v>0</v>
      </c>
      <c r="N230" s="333">
        <f t="shared" si="32"/>
        <v>2.6286548750000001</v>
      </c>
      <c r="O230" s="334">
        <v>359</v>
      </c>
    </row>
    <row r="231" spans="1:15" ht="14.4" x14ac:dyDescent="0.3">
      <c r="A231" s="326"/>
      <c r="B231" s="326" t="s">
        <v>95</v>
      </c>
      <c r="C231" s="327" t="str">
        <f>SU_01011</f>
        <v>SU_01011</v>
      </c>
      <c r="D231" s="328" t="s">
        <v>51</v>
      </c>
      <c r="E231" s="328" t="str">
        <f t="shared" si="33"/>
        <v>Upper Front A-arm</v>
      </c>
      <c r="F231" s="329" t="str">
        <f>'[1]SU 01011'!$B$5</f>
        <v>Rear down bracket</v>
      </c>
      <c r="G231" s="328"/>
      <c r="H231" s="330">
        <f t="shared" si="31"/>
        <v>1.3278918750000002</v>
      </c>
      <c r="I231" s="331">
        <f>SU_A0100_q*SU_01011_q</f>
        <v>2</v>
      </c>
      <c r="J231" s="332">
        <f>SU_01011_m</f>
        <v>0.13755687500000002</v>
      </c>
      <c r="K231" s="332">
        <f>SU_01011_p</f>
        <v>1.1903350000000001</v>
      </c>
      <c r="L231" s="332">
        <v>0</v>
      </c>
      <c r="M231" s="332">
        <v>0</v>
      </c>
      <c r="N231" s="333">
        <f t="shared" si="32"/>
        <v>2.6557837500000003</v>
      </c>
      <c r="O231" s="334">
        <v>361</v>
      </c>
    </row>
    <row r="232" spans="1:15" ht="14.4" x14ac:dyDescent="0.3">
      <c r="A232" s="317"/>
      <c r="B232" s="318" t="s">
        <v>95</v>
      </c>
      <c r="C232" s="319" t="str">
        <f>SU_A0200</f>
        <v>SU A0200</v>
      </c>
      <c r="D232" s="319" t="s">
        <v>51</v>
      </c>
      <c r="E232" s="319"/>
      <c r="F232" s="320" t="str">
        <f>'[1]SU A0200'!B4</f>
        <v>Lower Front A-arm</v>
      </c>
      <c r="G232" s="319"/>
      <c r="H232" s="321">
        <f t="shared" si="31"/>
        <v>38.579540947087935</v>
      </c>
      <c r="I232" s="322">
        <f>SU_A0200_q</f>
        <v>2</v>
      </c>
      <c r="J232" s="323">
        <f>SU_A0200_m</f>
        <v>20.759999999999998</v>
      </c>
      <c r="K232" s="323">
        <f>SU_A0200_p</f>
        <v>16.033700000000003</v>
      </c>
      <c r="L232" s="323">
        <f>SU_A0200_f</f>
        <v>0.45250761375459631</v>
      </c>
      <c r="M232" s="323">
        <f>SU_A0200_t</f>
        <v>1.3333333333333333</v>
      </c>
      <c r="N232" s="324">
        <f t="shared" si="32"/>
        <v>77.15908189417587</v>
      </c>
      <c r="O232" s="325">
        <v>363</v>
      </c>
    </row>
    <row r="233" spans="1:15" ht="14.4" x14ac:dyDescent="0.3">
      <c r="A233" s="326"/>
      <c r="B233" s="326" t="s">
        <v>95</v>
      </c>
      <c r="C233" s="327" t="str">
        <f>SU_02001</f>
        <v>SU 02001</v>
      </c>
      <c r="D233" s="328" t="s">
        <v>51</v>
      </c>
      <c r="E233" s="328" t="str">
        <f t="shared" ref="E233:E243" si="34">$F$232</f>
        <v>Lower Front A-arm</v>
      </c>
      <c r="F233" s="329" t="str">
        <f>'[1]SU 02001'!B5</f>
        <v>Lower Front Bearing Support</v>
      </c>
      <c r="G233" s="328"/>
      <c r="H233" s="330">
        <f t="shared" si="31"/>
        <v>9.1140000000000008</v>
      </c>
      <c r="I233" s="331">
        <f>SU_A0200_q*SU_02001_q</f>
        <v>2</v>
      </c>
      <c r="J233" s="332">
        <f>SU_02001_m</f>
        <v>4.2</v>
      </c>
      <c r="K233" s="332">
        <f>SU_02001_p</f>
        <v>4.9140000000000006</v>
      </c>
      <c r="L233" s="332">
        <v>0</v>
      </c>
      <c r="M233" s="332">
        <v>0</v>
      </c>
      <c r="N233" s="333">
        <f t="shared" si="32"/>
        <v>18.228000000000002</v>
      </c>
      <c r="O233" s="334">
        <v>365</v>
      </c>
    </row>
    <row r="234" spans="1:15" ht="14.4" x14ac:dyDescent="0.3">
      <c r="A234" s="326"/>
      <c r="B234" s="326" t="s">
        <v>95</v>
      </c>
      <c r="C234" s="327" t="str">
        <f>SU_02002</f>
        <v>SU 02002</v>
      </c>
      <c r="D234" s="328" t="s">
        <v>51</v>
      </c>
      <c r="E234" s="328" t="str">
        <f t="shared" si="34"/>
        <v>Lower Front A-arm</v>
      </c>
      <c r="F234" s="329" t="str">
        <f>'[1]SU 02002'!B5</f>
        <v>Inner Bearing Support</v>
      </c>
      <c r="G234" s="328"/>
      <c r="H234" s="330">
        <f t="shared" si="31"/>
        <v>1.8728805440000003</v>
      </c>
      <c r="I234" s="331">
        <f>SU_A0200_q*SU_02002_q</f>
        <v>4</v>
      </c>
      <c r="J234" s="332">
        <f>SU_02002_m</f>
        <v>0.85838054400000008</v>
      </c>
      <c r="K234" s="332">
        <f>SU_02002_p</f>
        <v>1.0145000000000002</v>
      </c>
      <c r="L234" s="332">
        <v>0</v>
      </c>
      <c r="M234" s="332">
        <v>0</v>
      </c>
      <c r="N234" s="333">
        <f t="shared" si="32"/>
        <v>7.491522176000001</v>
      </c>
      <c r="O234" s="334">
        <v>367</v>
      </c>
    </row>
    <row r="235" spans="1:15" ht="14.4" x14ac:dyDescent="0.3">
      <c r="A235" s="326"/>
      <c r="B235" s="326" t="s">
        <v>95</v>
      </c>
      <c r="C235" s="327" t="str">
        <f>SU_02003</f>
        <v>SU_02003</v>
      </c>
      <c r="D235" s="328" t="s">
        <v>51</v>
      </c>
      <c r="E235" s="328" t="str">
        <f t="shared" si="34"/>
        <v>Lower Front A-arm</v>
      </c>
      <c r="F235" s="329" t="str">
        <f>'[1]SU 02003'!B5</f>
        <v>Lower Front A-arm tube (Front)  Carbon Fiber Tube</v>
      </c>
      <c r="G235" s="328"/>
      <c r="H235" s="330">
        <f t="shared" si="31"/>
        <v>11.220746039999998</v>
      </c>
      <c r="I235" s="331">
        <f>SU_A0200_q*SU_02003_q</f>
        <v>2</v>
      </c>
      <c r="J235" s="332">
        <f>SU_02003_m</f>
        <v>9.9739964799999985</v>
      </c>
      <c r="K235" s="332">
        <f>SU_02003_p</f>
        <v>1.2467495599999998</v>
      </c>
      <c r="L235" s="332">
        <v>0</v>
      </c>
      <c r="M235" s="332">
        <v>0</v>
      </c>
      <c r="N235" s="333">
        <f t="shared" si="32"/>
        <v>22.441492079999996</v>
      </c>
      <c r="O235" s="334">
        <v>369</v>
      </c>
    </row>
    <row r="236" spans="1:15" ht="14.4" x14ac:dyDescent="0.3">
      <c r="A236" s="326"/>
      <c r="B236" s="326" t="s">
        <v>95</v>
      </c>
      <c r="C236" s="327" t="str">
        <f>SU_02004</f>
        <v>SU_02004</v>
      </c>
      <c r="D236" s="328" t="s">
        <v>51</v>
      </c>
      <c r="E236" s="328" t="str">
        <f t="shared" si="34"/>
        <v>Lower Front A-arm</v>
      </c>
      <c r="F236" s="329" t="str">
        <f>'[1]SU 02004'!B5</f>
        <v>Lower Front A-arm tube (Back)  Carbon Fiber Tube</v>
      </c>
      <c r="G236" s="328"/>
      <c r="H236" s="330">
        <f t="shared" si="31"/>
        <v>10.001779199999998</v>
      </c>
      <c r="I236" s="331">
        <f>SU_A0200_q*SU_02004_q</f>
        <v>2</v>
      </c>
      <c r="J236" s="332">
        <f>SU_02004_m</f>
        <v>8.8904703999999981</v>
      </c>
      <c r="K236" s="332">
        <f>SU_02004_p</f>
        <v>1.1113087999999998</v>
      </c>
      <c r="L236" s="332">
        <v>0</v>
      </c>
      <c r="M236" s="332">
        <v>0</v>
      </c>
      <c r="N236" s="333">
        <f t="shared" si="32"/>
        <v>20.003558399999996</v>
      </c>
      <c r="O236" s="334">
        <v>370</v>
      </c>
    </row>
    <row r="237" spans="1:15" ht="14.4" x14ac:dyDescent="0.3">
      <c r="A237" s="326"/>
      <c r="B237" s="326" t="s">
        <v>95</v>
      </c>
      <c r="C237" s="327" t="str">
        <f>SU_02005</f>
        <v>SU_02005</v>
      </c>
      <c r="D237" s="328" t="s">
        <v>51</v>
      </c>
      <c r="E237" s="328" t="str">
        <f t="shared" si="34"/>
        <v>Lower Front A-arm</v>
      </c>
      <c r="F237" s="329" t="str">
        <f>'[1]SU 02005'!B5</f>
        <v>Spacer 1</v>
      </c>
      <c r="G237" s="328"/>
      <c r="H237" s="330">
        <f t="shared" si="31"/>
        <v>0.90817037600000006</v>
      </c>
      <c r="I237" s="331">
        <f>SU_A0200_q*SU_02005_q</f>
        <v>4</v>
      </c>
      <c r="J237" s="332">
        <f>SU_02005_m</f>
        <v>3.0170376000000002E-2</v>
      </c>
      <c r="K237" s="332">
        <f>SU_02005_p</f>
        <v>0.878</v>
      </c>
      <c r="L237" s="332">
        <v>0</v>
      </c>
      <c r="M237" s="332">
        <v>0</v>
      </c>
      <c r="N237" s="333">
        <f t="shared" si="32"/>
        <v>3.6326815040000002</v>
      </c>
      <c r="O237" s="334">
        <v>371</v>
      </c>
    </row>
    <row r="238" spans="1:15" ht="14.4" x14ac:dyDescent="0.3">
      <c r="A238" s="326"/>
      <c r="B238" s="326" t="s">
        <v>95</v>
      </c>
      <c r="C238" s="327" t="str">
        <f>SU_02006</f>
        <v>SU_02006</v>
      </c>
      <c r="D238" s="328" t="s">
        <v>51</v>
      </c>
      <c r="E238" s="328" t="str">
        <f t="shared" si="34"/>
        <v>Lower Front A-arm</v>
      </c>
      <c r="F238" s="329" t="str">
        <f>'[1]SU 02006'!B5</f>
        <v>Spacer 2</v>
      </c>
      <c r="G238" s="328"/>
      <c r="H238" s="330">
        <f t="shared" si="31"/>
        <v>0.32421353411764708</v>
      </c>
      <c r="I238" s="331">
        <f>SU_A0200_q*SU_02006_q</f>
        <v>8</v>
      </c>
      <c r="J238" s="332">
        <f>SU_02006_m</f>
        <v>0.14197824000000003</v>
      </c>
      <c r="K238" s="332">
        <f>SU_02006_p</f>
        <v>0.18223529411764708</v>
      </c>
      <c r="L238" s="332">
        <v>0</v>
      </c>
      <c r="M238" s="332">
        <v>0</v>
      </c>
      <c r="N238" s="333">
        <f t="shared" si="32"/>
        <v>2.5937082729411767</v>
      </c>
      <c r="O238" s="334">
        <v>373</v>
      </c>
    </row>
    <row r="239" spans="1:15" ht="14.4" x14ac:dyDescent="0.3">
      <c r="A239" s="326"/>
      <c r="B239" s="326" t="s">
        <v>95</v>
      </c>
      <c r="C239" s="327" t="str">
        <f>SU_02007</f>
        <v>SU_02007</v>
      </c>
      <c r="D239" s="328" t="s">
        <v>51</v>
      </c>
      <c r="E239" s="328" t="str">
        <f t="shared" si="34"/>
        <v>Lower Front A-arm</v>
      </c>
      <c r="F239" s="329" t="str">
        <f>'[1]SU 02007'!B5</f>
        <v>Outboard A-arm Insert</v>
      </c>
      <c r="G239" s="328"/>
      <c r="H239" s="330">
        <f t="shared" si="31"/>
        <v>0.47719727680000001</v>
      </c>
      <c r="I239" s="331">
        <f>SU_A0200_q*SU_02007_q</f>
        <v>4</v>
      </c>
      <c r="J239" s="332">
        <f>SU_02007_m</f>
        <v>7.7197276800000006E-2</v>
      </c>
      <c r="K239" s="332">
        <f>SU_02007_p</f>
        <v>0.4</v>
      </c>
      <c r="L239" s="332">
        <v>0</v>
      </c>
      <c r="M239" s="332">
        <v>0</v>
      </c>
      <c r="N239" s="333">
        <f t="shared" si="32"/>
        <v>1.9087891072000001</v>
      </c>
      <c r="O239" s="334">
        <v>375</v>
      </c>
    </row>
    <row r="240" spans="1:15" ht="14.4" x14ac:dyDescent="0.3">
      <c r="A240" s="326"/>
      <c r="B240" s="326" t="s">
        <v>95</v>
      </c>
      <c r="C240" s="327" t="str">
        <f>SU_02008</f>
        <v>SU_02008</v>
      </c>
      <c r="D240" s="328" t="s">
        <v>51</v>
      </c>
      <c r="E240" s="328" t="str">
        <f t="shared" si="34"/>
        <v>Lower Front A-arm</v>
      </c>
      <c r="F240" s="329" t="str">
        <f>'[1]SU 02008'!B5</f>
        <v>Front up bracket</v>
      </c>
      <c r="G240" s="328"/>
      <c r="H240" s="330">
        <f t="shared" si="31"/>
        <v>1.3868720000000001</v>
      </c>
      <c r="I240" s="331">
        <f>SU_A0200_q*SU_02008_q</f>
        <v>2</v>
      </c>
      <c r="J240" s="332">
        <f>SU_02008_m</f>
        <v>0.12477600000000001</v>
      </c>
      <c r="K240" s="332">
        <f>SU_02008_p</f>
        <v>1.2620960000000001</v>
      </c>
      <c r="L240" s="332">
        <v>0</v>
      </c>
      <c r="M240" s="332">
        <v>0</v>
      </c>
      <c r="N240" s="333">
        <f t="shared" si="32"/>
        <v>2.7737440000000002</v>
      </c>
      <c r="O240" s="334">
        <v>377</v>
      </c>
    </row>
    <row r="241" spans="1:15" ht="14.4" x14ac:dyDescent="0.3">
      <c r="A241" s="326"/>
      <c r="B241" s="326" t="s">
        <v>95</v>
      </c>
      <c r="C241" s="327" t="str">
        <f>SU_02009</f>
        <v>SU_02009</v>
      </c>
      <c r="D241" s="328" t="s">
        <v>51</v>
      </c>
      <c r="E241" s="328" t="str">
        <f t="shared" si="34"/>
        <v>Lower Front A-arm</v>
      </c>
      <c r="F241" s="329" t="str">
        <f>'[1]SU 02009'!B5</f>
        <v>Front down bracket</v>
      </c>
      <c r="G241" s="328"/>
      <c r="H241" s="330">
        <f t="shared" si="31"/>
        <v>1.4357435000000001</v>
      </c>
      <c r="I241" s="331">
        <f>SU_A0200_q*SU_02009_q</f>
        <v>2</v>
      </c>
      <c r="J241" s="332">
        <f>SU_02009_m</f>
        <v>0.1620355</v>
      </c>
      <c r="K241" s="332">
        <f>SU_02009_p</f>
        <v>1.2737080000000001</v>
      </c>
      <c r="L241" s="332">
        <v>0</v>
      </c>
      <c r="M241" s="332">
        <v>0</v>
      </c>
      <c r="N241" s="333">
        <f t="shared" si="32"/>
        <v>2.8714870000000001</v>
      </c>
      <c r="O241" s="334">
        <v>379</v>
      </c>
    </row>
    <row r="242" spans="1:15" ht="14.4" x14ac:dyDescent="0.3">
      <c r="A242" s="326"/>
      <c r="B242" s="326" t="s">
        <v>95</v>
      </c>
      <c r="C242" s="327" t="str">
        <f>SU_02010</f>
        <v>SU_02010</v>
      </c>
      <c r="D242" s="328" t="s">
        <v>51</v>
      </c>
      <c r="E242" s="328" t="str">
        <f t="shared" si="34"/>
        <v>Lower Front A-arm</v>
      </c>
      <c r="F242" s="329" t="str">
        <f>'[1]SU 02010'!B5</f>
        <v>Rear Up bracket</v>
      </c>
      <c r="G242" s="328"/>
      <c r="H242" s="330">
        <f t="shared" si="31"/>
        <v>1.3315549999999998</v>
      </c>
      <c r="I242" s="331">
        <f>SU_A0200_q*SU_02010_q</f>
        <v>2</v>
      </c>
      <c r="J242" s="332">
        <f>SU_02010_m</f>
        <v>9.5315000000000011E-2</v>
      </c>
      <c r="K242" s="332">
        <f>SU_02010_p</f>
        <v>1.2362399999999998</v>
      </c>
      <c r="L242" s="332">
        <v>0</v>
      </c>
      <c r="M242" s="332">
        <v>0</v>
      </c>
      <c r="N242" s="333">
        <f t="shared" si="32"/>
        <v>2.6631099999999996</v>
      </c>
      <c r="O242" s="334">
        <v>381</v>
      </c>
    </row>
    <row r="243" spans="1:15" ht="14.4" x14ac:dyDescent="0.3">
      <c r="A243" s="326"/>
      <c r="B243" s="326" t="s">
        <v>95</v>
      </c>
      <c r="C243" s="327" t="str">
        <f>SU_02011</f>
        <v>SU_02011</v>
      </c>
      <c r="D243" s="328" t="s">
        <v>51</v>
      </c>
      <c r="E243" s="328" t="str">
        <f t="shared" si="34"/>
        <v>Lower Front A-arm</v>
      </c>
      <c r="F243" s="329" t="str">
        <f>'[1]SU 02011'!B5</f>
        <v>Rear down bracket</v>
      </c>
      <c r="G243" s="328"/>
      <c r="H243" s="330">
        <f t="shared" si="31"/>
        <v>1.41506025</v>
      </c>
      <c r="I243" s="331">
        <f>SU_A0200_q*SU_02011_q</f>
        <v>2</v>
      </c>
      <c r="J243" s="332">
        <f>SU_02011_m</f>
        <v>0.14773825000000002</v>
      </c>
      <c r="K243" s="332">
        <f>SU_02011_p</f>
        <v>1.2673220000000001</v>
      </c>
      <c r="L243" s="332">
        <v>0</v>
      </c>
      <c r="M243" s="332">
        <v>0</v>
      </c>
      <c r="N243" s="333">
        <f t="shared" si="32"/>
        <v>2.8301205</v>
      </c>
      <c r="O243" s="334">
        <v>383</v>
      </c>
    </row>
    <row r="244" spans="1:15" ht="14.4" x14ac:dyDescent="0.3">
      <c r="A244" s="317"/>
      <c r="B244" s="318" t="s">
        <v>95</v>
      </c>
      <c r="C244" s="319" t="str">
        <f>SU_A0300</f>
        <v>SU A0300</v>
      </c>
      <c r="D244" s="319" t="s">
        <v>51</v>
      </c>
      <c r="E244" s="319"/>
      <c r="F244" s="320" t="str">
        <f>'[1]SU A0300'!B4</f>
        <v>Upper Back A-arm</v>
      </c>
      <c r="G244" s="319"/>
      <c r="H244" s="321">
        <f t="shared" si="31"/>
        <v>38.579540947087935</v>
      </c>
      <c r="I244" s="322">
        <f>SU_A0300_q</f>
        <v>2</v>
      </c>
      <c r="J244" s="323">
        <f>SU_A0300_m</f>
        <v>20.759999999999998</v>
      </c>
      <c r="K244" s="323">
        <f>SU_A0300_p</f>
        <v>16.033700000000003</v>
      </c>
      <c r="L244" s="323">
        <f>SU_A0300_f</f>
        <v>0.45250761375459631</v>
      </c>
      <c r="M244" s="323">
        <f>SU_A0300_t</f>
        <v>1.3333333333333333</v>
      </c>
      <c r="N244" s="324">
        <f t="shared" si="32"/>
        <v>77.15908189417587</v>
      </c>
      <c r="O244" s="325">
        <v>385</v>
      </c>
    </row>
    <row r="245" spans="1:15" ht="14.4" x14ac:dyDescent="0.3">
      <c r="A245" s="326"/>
      <c r="B245" s="326" t="s">
        <v>95</v>
      </c>
      <c r="C245" s="327" t="str">
        <f>SU_03001</f>
        <v>SU 03001</v>
      </c>
      <c r="D245" s="328" t="s">
        <v>51</v>
      </c>
      <c r="E245" s="328" t="str">
        <f t="shared" ref="E245:E255" si="35">$F$244</f>
        <v>Upper Back A-arm</v>
      </c>
      <c r="F245" s="329" t="str">
        <f>'[1]SU 03001'!$B$5</f>
        <v>Upper Back Bearing Support</v>
      </c>
      <c r="G245" s="328"/>
      <c r="H245" s="330">
        <f t="shared" si="31"/>
        <v>16.4854905344</v>
      </c>
      <c r="I245" s="331">
        <f>SU_A0300_q*SU_03001_q</f>
        <v>2</v>
      </c>
      <c r="J245" s="332">
        <f>SU_03001_m</f>
        <v>2.4914905344</v>
      </c>
      <c r="K245" s="332">
        <f>SU_03001_p</f>
        <v>13.994000000000002</v>
      </c>
      <c r="L245" s="332">
        <v>0</v>
      </c>
      <c r="M245" s="332">
        <v>0</v>
      </c>
      <c r="N245" s="333">
        <f t="shared" si="32"/>
        <v>32.9709810688</v>
      </c>
      <c r="O245" s="334">
        <v>387</v>
      </c>
    </row>
    <row r="246" spans="1:15" ht="14.4" x14ac:dyDescent="0.3">
      <c r="A246" s="326"/>
      <c r="B246" s="326" t="s">
        <v>95</v>
      </c>
      <c r="C246" s="327" t="str">
        <f>SU_03002</f>
        <v>SU 03002</v>
      </c>
      <c r="D246" s="328" t="s">
        <v>51</v>
      </c>
      <c r="E246" s="328" t="str">
        <f t="shared" si="35"/>
        <v>Upper Back A-arm</v>
      </c>
      <c r="F246" s="329" t="str">
        <f>'[1]SU 03002'!$B$5</f>
        <v>Inner Bearing Support</v>
      </c>
      <c r="G246" s="328"/>
      <c r="H246" s="330">
        <f t="shared" si="31"/>
        <v>1.8728805440000003</v>
      </c>
      <c r="I246" s="331">
        <f>SU_A0300_q*SU_03002_q</f>
        <v>4</v>
      </c>
      <c r="J246" s="332">
        <f>SU_03002_m</f>
        <v>0.85838054400000008</v>
      </c>
      <c r="K246" s="332">
        <f>SU_03002_p</f>
        <v>1.0145000000000002</v>
      </c>
      <c r="L246" s="332">
        <v>0</v>
      </c>
      <c r="M246" s="332">
        <v>0</v>
      </c>
      <c r="N246" s="333">
        <f t="shared" si="32"/>
        <v>7.491522176000001</v>
      </c>
      <c r="O246" s="334">
        <v>389</v>
      </c>
    </row>
    <row r="247" spans="1:15" ht="14.4" x14ac:dyDescent="0.3">
      <c r="A247" s="326"/>
      <c r="B247" s="326" t="s">
        <v>95</v>
      </c>
      <c r="C247" s="327" t="str">
        <f>SU_03003</f>
        <v>SU 03003</v>
      </c>
      <c r="D247" s="328" t="s">
        <v>51</v>
      </c>
      <c r="E247" s="328" t="str">
        <f t="shared" si="35"/>
        <v>Upper Back A-arm</v>
      </c>
      <c r="F247" s="329" t="str">
        <f>'[1]SU 03003'!$B$5</f>
        <v>Upper Back A-arm tube (Front)  Carbon Fiber Tube</v>
      </c>
      <c r="G247" s="328"/>
      <c r="H247" s="330">
        <f t="shared" si="31"/>
        <v>10.876934879999999</v>
      </c>
      <c r="I247" s="331">
        <f>SU_A0300_q*SU_03003_q</f>
        <v>2</v>
      </c>
      <c r="J247" s="332">
        <f>SU_03003_m</f>
        <v>9.6683865599999983</v>
      </c>
      <c r="K247" s="332">
        <f>SU_03003_p</f>
        <v>1.2085483199999998</v>
      </c>
      <c r="L247" s="332">
        <v>0</v>
      </c>
      <c r="M247" s="332">
        <v>0</v>
      </c>
      <c r="N247" s="333">
        <f t="shared" si="32"/>
        <v>21.753869759999997</v>
      </c>
      <c r="O247" s="334">
        <v>391</v>
      </c>
    </row>
    <row r="248" spans="1:15" ht="14.4" x14ac:dyDescent="0.3">
      <c r="A248" s="326"/>
      <c r="B248" s="326" t="s">
        <v>95</v>
      </c>
      <c r="C248" s="327" t="str">
        <f>SU_03004</f>
        <v>SU 03004</v>
      </c>
      <c r="D248" s="328" t="s">
        <v>51</v>
      </c>
      <c r="E248" s="328" t="str">
        <f t="shared" si="35"/>
        <v>Upper Back A-arm</v>
      </c>
      <c r="F248" s="329" t="str">
        <f>'[1]SU 03004'!$B$5</f>
        <v>Upper Back A-arm tube (Back)  Carbon Fiber Tube</v>
      </c>
      <c r="G248" s="328"/>
      <c r="H248" s="330">
        <f t="shared" si="31"/>
        <v>4.3445228399999989</v>
      </c>
      <c r="I248" s="331">
        <f>SU_A0300_q*SU_03004_q</f>
        <v>2</v>
      </c>
      <c r="J248" s="332">
        <f>SU_03004_m</f>
        <v>3.8617980799999994</v>
      </c>
      <c r="K248" s="332">
        <f>SU_03004_p</f>
        <v>0.48272475999999992</v>
      </c>
      <c r="L248" s="332">
        <v>0</v>
      </c>
      <c r="M248" s="332">
        <v>0</v>
      </c>
      <c r="N248" s="333">
        <f t="shared" si="32"/>
        <v>8.6890456799999978</v>
      </c>
      <c r="O248" s="334">
        <v>392</v>
      </c>
    </row>
    <row r="249" spans="1:15" ht="14.4" x14ac:dyDescent="0.3">
      <c r="A249" s="326"/>
      <c r="B249" s="326" t="s">
        <v>95</v>
      </c>
      <c r="C249" s="327" t="str">
        <f>SU_03005</f>
        <v>SU 03005</v>
      </c>
      <c r="D249" s="328" t="s">
        <v>51</v>
      </c>
      <c r="E249" s="328" t="str">
        <f t="shared" si="35"/>
        <v>Upper Back A-arm</v>
      </c>
      <c r="F249" s="329" t="str">
        <f>'[1]SU 03005'!$B$5</f>
        <v>Spacer 1</v>
      </c>
      <c r="G249" s="328"/>
      <c r="H249" s="330">
        <f t="shared" si="31"/>
        <v>0.7197472800000001</v>
      </c>
      <c r="I249" s="331">
        <f>SU_A0300_q*SU_03005_q</f>
        <v>4</v>
      </c>
      <c r="J249" s="332">
        <f>SU_03005_m</f>
        <v>1.7747280000000004E-2</v>
      </c>
      <c r="K249" s="332">
        <f>SU_03005_p</f>
        <v>0.70200000000000007</v>
      </c>
      <c r="L249" s="332">
        <v>0</v>
      </c>
      <c r="M249" s="332">
        <v>0</v>
      </c>
      <c r="N249" s="333">
        <f t="shared" si="32"/>
        <v>2.8789891200000004</v>
      </c>
      <c r="O249" s="334">
        <v>393</v>
      </c>
    </row>
    <row r="250" spans="1:15" ht="14.4" x14ac:dyDescent="0.3">
      <c r="A250" s="326"/>
      <c r="B250" s="326" t="s">
        <v>95</v>
      </c>
      <c r="C250" s="327" t="str">
        <f>SU_03006</f>
        <v>SU 03006</v>
      </c>
      <c r="D250" s="328" t="s">
        <v>51</v>
      </c>
      <c r="E250" s="328" t="str">
        <f t="shared" si="35"/>
        <v>Upper Back A-arm</v>
      </c>
      <c r="F250" s="329" t="str">
        <f>'[1]SU 03006'!$B$5</f>
        <v>Spacer 2</v>
      </c>
      <c r="G250" s="328"/>
      <c r="H250" s="330">
        <f t="shared" si="31"/>
        <v>0.32421353411764708</v>
      </c>
      <c r="I250" s="331">
        <f>SU_A0300_q*SU_03006_q</f>
        <v>8</v>
      </c>
      <c r="J250" s="332">
        <f>SU_03006_m</f>
        <v>0.14197824000000003</v>
      </c>
      <c r="K250" s="332">
        <f>SU_03006_p</f>
        <v>0.18223529411764708</v>
      </c>
      <c r="L250" s="332">
        <v>0</v>
      </c>
      <c r="M250" s="332">
        <v>0</v>
      </c>
      <c r="N250" s="333">
        <f t="shared" si="32"/>
        <v>2.5937082729411767</v>
      </c>
      <c r="O250" s="334">
        <v>395</v>
      </c>
    </row>
    <row r="251" spans="1:15" ht="14.4" x14ac:dyDescent="0.3">
      <c r="A251" s="326"/>
      <c r="B251" s="326" t="s">
        <v>95</v>
      </c>
      <c r="C251" s="327" t="str">
        <f>SU_03007</f>
        <v>SU 03007</v>
      </c>
      <c r="D251" s="328" t="s">
        <v>51</v>
      </c>
      <c r="E251" s="328" t="str">
        <f t="shared" si="35"/>
        <v>Upper Back A-arm</v>
      </c>
      <c r="F251" s="329" t="str">
        <f>'[1]SU 03007'!$B$5</f>
        <v>Outboard A-arm Insert</v>
      </c>
      <c r="G251" s="328"/>
      <c r="H251" s="330">
        <f t="shared" si="31"/>
        <v>0.47719727680000001</v>
      </c>
      <c r="I251" s="331">
        <f>SU_A0300_q*SU_03007_q</f>
        <v>4</v>
      </c>
      <c r="J251" s="332">
        <f>SU_03007_m</f>
        <v>7.7197276800000006E-2</v>
      </c>
      <c r="K251" s="332">
        <f>SU_03007_p</f>
        <v>0.4</v>
      </c>
      <c r="L251" s="332">
        <v>0</v>
      </c>
      <c r="M251" s="332">
        <v>0</v>
      </c>
      <c r="N251" s="333">
        <f t="shared" si="32"/>
        <v>1.9087891072000001</v>
      </c>
      <c r="O251" s="334">
        <v>397</v>
      </c>
    </row>
    <row r="252" spans="1:15" ht="14.4" x14ac:dyDescent="0.3">
      <c r="A252" s="326"/>
      <c r="B252" s="326" t="s">
        <v>95</v>
      </c>
      <c r="C252" s="327" t="str">
        <f>SU_03008</f>
        <v>SU 03008</v>
      </c>
      <c r="D252" s="328" t="s">
        <v>51</v>
      </c>
      <c r="E252" s="328" t="str">
        <f t="shared" si="35"/>
        <v>Upper Back A-arm</v>
      </c>
      <c r="F252" s="329" t="str">
        <f>'[1]SU 03008'!$B$5</f>
        <v>Front up bracket</v>
      </c>
      <c r="G252" s="328"/>
      <c r="H252" s="330">
        <f t="shared" si="31"/>
        <v>1.4969516249999999</v>
      </c>
      <c r="I252" s="331">
        <f>SU_A0300_q*SU_03008_q</f>
        <v>2</v>
      </c>
      <c r="J252" s="332">
        <f>SU_03008_m</f>
        <v>0.19777862500000001</v>
      </c>
      <c r="K252" s="332">
        <f>SU_03008_p</f>
        <v>1.2991729999999999</v>
      </c>
      <c r="L252" s="332">
        <v>0</v>
      </c>
      <c r="M252" s="332">
        <v>0</v>
      </c>
      <c r="N252" s="333">
        <f t="shared" si="32"/>
        <v>2.9939032499999998</v>
      </c>
      <c r="O252" s="334">
        <v>399</v>
      </c>
    </row>
    <row r="253" spans="1:15" ht="14.4" x14ac:dyDescent="0.3">
      <c r="A253" s="326"/>
      <c r="B253" s="326" t="s">
        <v>95</v>
      </c>
      <c r="C253" s="327" t="str">
        <f>SU_03009</f>
        <v>SU 03009</v>
      </c>
      <c r="D253" s="328" t="s">
        <v>51</v>
      </c>
      <c r="E253" s="328" t="str">
        <f t="shared" si="35"/>
        <v>Upper Back A-arm</v>
      </c>
      <c r="F253" s="329" t="str">
        <f>'[1]SU 03009'!$B$5</f>
        <v>Front down bracket</v>
      </c>
      <c r="G253" s="328"/>
      <c r="H253" s="330">
        <f t="shared" si="31"/>
        <v>1.49211</v>
      </c>
      <c r="I253" s="331">
        <f>SU_A0300_q*SU_03009_q</f>
        <v>2</v>
      </c>
      <c r="J253" s="332">
        <f>SU_03009_m</f>
        <v>0.19063000000000002</v>
      </c>
      <c r="K253" s="332">
        <f>SU_03009_p</f>
        <v>1.30148</v>
      </c>
      <c r="L253" s="332">
        <v>0</v>
      </c>
      <c r="M253" s="332">
        <v>0</v>
      </c>
      <c r="N253" s="333">
        <f t="shared" si="32"/>
        <v>2.9842200000000001</v>
      </c>
      <c r="O253" s="334">
        <v>401</v>
      </c>
    </row>
    <row r="254" spans="1:15" ht="14.4" x14ac:dyDescent="0.3">
      <c r="A254" s="326"/>
      <c r="B254" s="326" t="s">
        <v>95</v>
      </c>
      <c r="C254" s="327" t="str">
        <f>SU_03010</f>
        <v>SU 03010</v>
      </c>
      <c r="D254" s="328" t="s">
        <v>51</v>
      </c>
      <c r="E254" s="328" t="str">
        <f t="shared" si="35"/>
        <v>Upper Back A-arm</v>
      </c>
      <c r="F254" s="329" t="str">
        <f>'[1]SU 03010'!$B$5</f>
        <v>Rear up bracket</v>
      </c>
      <c r="G254" s="328"/>
      <c r="H254" s="330">
        <f t="shared" si="31"/>
        <v>1.2680301249999999</v>
      </c>
      <c r="I254" s="331">
        <f>SU_A0300_q*SU_03010_q</f>
        <v>2</v>
      </c>
      <c r="J254" s="332">
        <f>SU_03010_m</f>
        <v>7.3869125000000008E-2</v>
      </c>
      <c r="K254" s="332">
        <f>SU_03010_p</f>
        <v>1.1941609999999998</v>
      </c>
      <c r="L254" s="332">
        <v>0</v>
      </c>
      <c r="M254" s="332">
        <v>0</v>
      </c>
      <c r="N254" s="333">
        <f t="shared" si="32"/>
        <v>2.5360602499999998</v>
      </c>
      <c r="O254" s="334">
        <v>403</v>
      </c>
    </row>
    <row r="255" spans="1:15" ht="14.4" x14ac:dyDescent="0.3">
      <c r="A255" s="326"/>
      <c r="B255" s="326" t="s">
        <v>95</v>
      </c>
      <c r="C255" s="327" t="str">
        <f>SU_03011</f>
        <v>SU 03011</v>
      </c>
      <c r="D255" s="328" t="s">
        <v>51</v>
      </c>
      <c r="E255" s="328" t="str">
        <f t="shared" si="35"/>
        <v>Upper Back A-arm</v>
      </c>
      <c r="F255" s="329" t="str">
        <f>'[1]SU 03011'!$B$5</f>
        <v>Rear down bracket</v>
      </c>
      <c r="G255" s="328"/>
      <c r="H255" s="330">
        <f t="shared" si="31"/>
        <v>1.3787631249999999</v>
      </c>
      <c r="I255" s="331">
        <f>SU_A0300_q*SU_03011_q</f>
        <v>2</v>
      </c>
      <c r="J255" s="332">
        <f>SU_03011_m</f>
        <v>0.13105812499999997</v>
      </c>
      <c r="K255" s="332">
        <f>SU_03011_p</f>
        <v>1.2477049999999998</v>
      </c>
      <c r="L255" s="332">
        <v>0</v>
      </c>
      <c r="M255" s="332">
        <v>0</v>
      </c>
      <c r="N255" s="333">
        <f t="shared" si="32"/>
        <v>2.7575262499999997</v>
      </c>
      <c r="O255" s="334">
        <v>405</v>
      </c>
    </row>
    <row r="256" spans="1:15" ht="14.4" x14ac:dyDescent="0.3">
      <c r="A256" s="317"/>
      <c r="B256" s="318" t="s">
        <v>95</v>
      </c>
      <c r="C256" s="319" t="str">
        <f>SU_A0400</f>
        <v>SU A0400</v>
      </c>
      <c r="D256" s="319" t="s">
        <v>51</v>
      </c>
      <c r="E256" s="319"/>
      <c r="F256" s="320" t="str">
        <f>'[1]SU A0400'!B4</f>
        <v>Lower Back A-arm</v>
      </c>
      <c r="G256" s="319"/>
      <c r="H256" s="321">
        <f t="shared" si="31"/>
        <v>38.579540947087935</v>
      </c>
      <c r="I256" s="322">
        <f>SU_A0400_q</f>
        <v>2</v>
      </c>
      <c r="J256" s="323">
        <f>SU_A0400_m</f>
        <v>20.759999999999998</v>
      </c>
      <c r="K256" s="323">
        <f>SU_A0400_p</f>
        <v>16.033700000000003</v>
      </c>
      <c r="L256" s="323">
        <f>SU_A0400_f</f>
        <v>0.45250761375459631</v>
      </c>
      <c r="M256" s="323">
        <f>SU_A0400_t</f>
        <v>1.3333333333333333</v>
      </c>
      <c r="N256" s="324">
        <f t="shared" si="32"/>
        <v>77.15908189417587</v>
      </c>
      <c r="O256" s="325">
        <v>407</v>
      </c>
    </row>
    <row r="257" spans="1:15" ht="14.4" x14ac:dyDescent="0.3">
      <c r="A257" s="326"/>
      <c r="B257" s="326" t="s">
        <v>95</v>
      </c>
      <c r="C257" s="327" t="str">
        <f>SU_04001</f>
        <v>SU 04001</v>
      </c>
      <c r="D257" s="328" t="s">
        <v>51</v>
      </c>
      <c r="E257" s="328" t="str">
        <f t="shared" ref="E257:E267" si="36">$F$256</f>
        <v>Lower Back A-arm</v>
      </c>
      <c r="F257" s="329" t="str">
        <f>'[1]SU 04001'!$B$5</f>
        <v>Lower Back Bearing Support</v>
      </c>
      <c r="G257" s="328"/>
      <c r="H257" s="330">
        <f t="shared" si="31"/>
        <v>8.9540000000000006</v>
      </c>
      <c r="I257" s="331">
        <f>SU_A0400_q*SU_04001_q</f>
        <v>2</v>
      </c>
      <c r="J257" s="332">
        <f>SU_04001_m</f>
        <v>4.2</v>
      </c>
      <c r="K257" s="332">
        <f>SU_04001_p</f>
        <v>4.7540000000000004</v>
      </c>
      <c r="L257" s="332">
        <v>0</v>
      </c>
      <c r="M257" s="332">
        <v>0</v>
      </c>
      <c r="N257" s="333">
        <f t="shared" si="32"/>
        <v>17.908000000000001</v>
      </c>
      <c r="O257" s="334">
        <v>409</v>
      </c>
    </row>
    <row r="258" spans="1:15" ht="14.4" x14ac:dyDescent="0.3">
      <c r="A258" s="326"/>
      <c r="B258" s="326" t="s">
        <v>95</v>
      </c>
      <c r="C258" s="327" t="str">
        <f>SU_04002</f>
        <v>SU_04002</v>
      </c>
      <c r="D258" s="328" t="s">
        <v>51</v>
      </c>
      <c r="E258" s="328" t="str">
        <f t="shared" si="36"/>
        <v>Lower Back A-arm</v>
      </c>
      <c r="F258" s="329" t="str">
        <f>'[1]SU 04002'!$B$5</f>
        <v>Inner Bearing Support</v>
      </c>
      <c r="G258" s="328"/>
      <c r="H258" s="330">
        <f t="shared" si="31"/>
        <v>1.8728805440000003</v>
      </c>
      <c r="I258" s="331">
        <f>SU_A0400_q*SU_04002_q</f>
        <v>4</v>
      </c>
      <c r="J258" s="332">
        <f>SU_04002_m</f>
        <v>0.85838054400000008</v>
      </c>
      <c r="K258" s="332">
        <f>SU_04002_p</f>
        <v>1.0145000000000002</v>
      </c>
      <c r="L258" s="332">
        <v>0</v>
      </c>
      <c r="M258" s="332">
        <v>0</v>
      </c>
      <c r="N258" s="333">
        <f t="shared" si="32"/>
        <v>7.491522176000001</v>
      </c>
      <c r="O258" s="334">
        <v>411</v>
      </c>
    </row>
    <row r="259" spans="1:15" ht="14.4" x14ac:dyDescent="0.3">
      <c r="A259" s="326"/>
      <c r="B259" s="326" t="s">
        <v>95</v>
      </c>
      <c r="C259" s="327" t="str">
        <f>SU_04003</f>
        <v>SU_04003</v>
      </c>
      <c r="D259" s="328" t="s">
        <v>51</v>
      </c>
      <c r="E259" s="328" t="str">
        <f t="shared" si="36"/>
        <v>Lower Back A-arm</v>
      </c>
      <c r="F259" s="329" t="str">
        <f>'[1]SU 04003'!$B$5</f>
        <v>Lower Back A-arm tube (Front)  Carbon Fiber Tube</v>
      </c>
      <c r="G259" s="328"/>
      <c r="H259" s="330">
        <f t="shared" si="31"/>
        <v>12.033390599999997</v>
      </c>
      <c r="I259" s="331">
        <f>SU_A0400_q*SU_04003_q</f>
        <v>2</v>
      </c>
      <c r="J259" s="332">
        <f>SU_04003_m</f>
        <v>10.696347199999998</v>
      </c>
      <c r="K259" s="332">
        <f>SU_04003_p</f>
        <v>1.3370433999999998</v>
      </c>
      <c r="L259" s="332">
        <v>0</v>
      </c>
      <c r="M259" s="332">
        <v>0</v>
      </c>
      <c r="N259" s="333">
        <f t="shared" si="32"/>
        <v>24.066781199999994</v>
      </c>
      <c r="O259" s="334">
        <v>413</v>
      </c>
    </row>
    <row r="260" spans="1:15" ht="14.4" x14ac:dyDescent="0.3">
      <c r="A260" s="326"/>
      <c r="B260" s="326" t="s">
        <v>95</v>
      </c>
      <c r="C260" s="327" t="str">
        <f>SU_04004</f>
        <v>SU_04004</v>
      </c>
      <c r="D260" s="328" t="s">
        <v>51</v>
      </c>
      <c r="E260" s="328" t="str">
        <f t="shared" si="36"/>
        <v>Lower Back A-arm</v>
      </c>
      <c r="F260" s="329" t="str">
        <f>'[1]SU 04004'!$B$5</f>
        <v>Lower Back A-arm tube (Back)  Carbon Fiber Tube</v>
      </c>
      <c r="G260" s="328"/>
      <c r="H260" s="330">
        <f t="shared" si="31"/>
        <v>7.4075677199999985</v>
      </c>
      <c r="I260" s="331">
        <f>SU_A0400_q*SU_04004_q</f>
        <v>2</v>
      </c>
      <c r="J260" s="332">
        <f>SU_04004_m</f>
        <v>6.5845046399999987</v>
      </c>
      <c r="K260" s="332">
        <f>SU_04004_p</f>
        <v>0.82306307999999995</v>
      </c>
      <c r="L260" s="332">
        <v>0</v>
      </c>
      <c r="M260" s="332">
        <v>0</v>
      </c>
      <c r="N260" s="333">
        <f t="shared" si="32"/>
        <v>14.815135439999997</v>
      </c>
      <c r="O260" s="334">
        <v>414</v>
      </c>
    </row>
    <row r="261" spans="1:15" ht="14.4" x14ac:dyDescent="0.3">
      <c r="A261" s="326"/>
      <c r="B261" s="326" t="s">
        <v>95</v>
      </c>
      <c r="C261" s="327" t="str">
        <f>SU_04005</f>
        <v>SU_04005</v>
      </c>
      <c r="D261" s="328" t="s">
        <v>51</v>
      </c>
      <c r="E261" s="328" t="str">
        <f t="shared" si="36"/>
        <v>Lower Back A-arm</v>
      </c>
      <c r="F261" s="329" t="str">
        <f>'[1]SU 04005'!$B$5</f>
        <v>Spacer 1</v>
      </c>
      <c r="G261" s="328"/>
      <c r="H261" s="330">
        <f t="shared" si="31"/>
        <v>1.6276857568</v>
      </c>
      <c r="I261" s="331">
        <f>SU_A0400_q*SU_04005_q</f>
        <v>4</v>
      </c>
      <c r="J261" s="332">
        <f>SU_04005_m</f>
        <v>2.7685756800000003E-2</v>
      </c>
      <c r="K261" s="332">
        <f>SU_04005_p</f>
        <v>1.6</v>
      </c>
      <c r="L261" s="332">
        <v>0</v>
      </c>
      <c r="M261" s="332">
        <v>0</v>
      </c>
      <c r="N261" s="333">
        <f t="shared" si="32"/>
        <v>6.5107430272000002</v>
      </c>
      <c r="O261" s="334">
        <v>415</v>
      </c>
    </row>
    <row r="262" spans="1:15" ht="14.4" x14ac:dyDescent="0.3">
      <c r="A262" s="326"/>
      <c r="B262" s="326" t="s">
        <v>95</v>
      </c>
      <c r="C262" s="327" t="str">
        <f>SU_04006</f>
        <v>SU_04006</v>
      </c>
      <c r="D262" s="328" t="s">
        <v>51</v>
      </c>
      <c r="E262" s="328" t="str">
        <f t="shared" si="36"/>
        <v>Lower Back A-arm</v>
      </c>
      <c r="F262" s="329" t="str">
        <f>'[1]SU 04006'!$B$5</f>
        <v>Spacer 2</v>
      </c>
      <c r="G262" s="328"/>
      <c r="H262" s="330">
        <f t="shared" si="31"/>
        <v>0.80517824000000005</v>
      </c>
      <c r="I262" s="331">
        <f>SU_A0400_q*SU_04006_q</f>
        <v>8</v>
      </c>
      <c r="J262" s="332">
        <f>SU_04006_m</f>
        <v>0.14197824000000003</v>
      </c>
      <c r="K262" s="332">
        <f>SU_04006_p</f>
        <v>0.66320000000000001</v>
      </c>
      <c r="L262" s="332">
        <v>0</v>
      </c>
      <c r="M262" s="332">
        <v>0</v>
      </c>
      <c r="N262" s="333">
        <f t="shared" si="32"/>
        <v>6.4414259200000004</v>
      </c>
      <c r="O262" s="334">
        <v>417</v>
      </c>
    </row>
    <row r="263" spans="1:15" ht="14.4" x14ac:dyDescent="0.3">
      <c r="A263" s="326"/>
      <c r="B263" s="326" t="s">
        <v>95</v>
      </c>
      <c r="C263" s="327" t="str">
        <f>SU_04007</f>
        <v>SU_04007</v>
      </c>
      <c r="D263" s="328" t="s">
        <v>51</v>
      </c>
      <c r="E263" s="328" t="str">
        <f t="shared" si="36"/>
        <v>Lower Back A-arm</v>
      </c>
      <c r="F263" s="329" t="str">
        <f>'[1]SU 04007'!$B$5</f>
        <v>Outboard A-arm Insert</v>
      </c>
      <c r="G263" s="328"/>
      <c r="H263" s="330">
        <f t="shared" si="31"/>
        <v>0.47719727680000001</v>
      </c>
      <c r="I263" s="331">
        <f>SU_A0400_q*SU_04007_q</f>
        <v>4</v>
      </c>
      <c r="J263" s="332">
        <f>SU_04007_m</f>
        <v>7.7197276800000006E-2</v>
      </c>
      <c r="K263" s="332">
        <f>SU_04007_p</f>
        <v>0.4</v>
      </c>
      <c r="L263" s="332">
        <v>0</v>
      </c>
      <c r="M263" s="332">
        <v>0</v>
      </c>
      <c r="N263" s="333">
        <f t="shared" si="32"/>
        <v>1.9087891072000001</v>
      </c>
      <c r="O263" s="334">
        <v>419</v>
      </c>
    </row>
    <row r="264" spans="1:15" ht="14.4" x14ac:dyDescent="0.3">
      <c r="A264" s="326"/>
      <c r="B264" s="326" t="s">
        <v>95</v>
      </c>
      <c r="C264" s="327" t="str">
        <f>SU_04008</f>
        <v>SU 04008</v>
      </c>
      <c r="D264" s="328" t="s">
        <v>51</v>
      </c>
      <c r="E264" s="328" t="str">
        <f t="shared" si="36"/>
        <v>Lower Back A-arm</v>
      </c>
      <c r="F264" s="329" t="str">
        <f>'[1]SU 04008'!$B$5</f>
        <v>Front up bracket</v>
      </c>
      <c r="G264" s="328"/>
      <c r="H264" s="330">
        <f t="shared" si="31"/>
        <v>1.3905750000000001</v>
      </c>
      <c r="I264" s="331">
        <f>SU_A0400_q*SU_04008_q</f>
        <v>2</v>
      </c>
      <c r="J264" s="332">
        <f>SU_04008_m</f>
        <v>0.12997500000000001</v>
      </c>
      <c r="K264" s="332">
        <f>SU_04008_p</f>
        <v>1.2606000000000002</v>
      </c>
      <c r="L264" s="332">
        <v>0</v>
      </c>
      <c r="M264" s="332">
        <v>0</v>
      </c>
      <c r="N264" s="333">
        <f t="shared" si="32"/>
        <v>2.7811500000000002</v>
      </c>
      <c r="O264" s="334">
        <v>421</v>
      </c>
    </row>
    <row r="265" spans="1:15" ht="14.4" x14ac:dyDescent="0.3">
      <c r="A265" s="326"/>
      <c r="B265" s="326" t="s">
        <v>95</v>
      </c>
      <c r="C265" s="327" t="str">
        <f>SU_04009</f>
        <v>SU 04009</v>
      </c>
      <c r="D265" s="328" t="s">
        <v>51</v>
      </c>
      <c r="E265" s="328" t="str">
        <f t="shared" si="36"/>
        <v>Lower Back A-arm</v>
      </c>
      <c r="F265" s="329" t="str">
        <f>'[1]SU 04009'!$B$5</f>
        <v>Front down bracket</v>
      </c>
      <c r="G265" s="328"/>
      <c r="H265" s="330">
        <f t="shared" si="31"/>
        <v>1.3814265000000003</v>
      </c>
      <c r="I265" s="331">
        <f>SU_A0400_q*SU_04009_q</f>
        <v>2</v>
      </c>
      <c r="J265" s="332">
        <f>SU_04009_m</f>
        <v>0.13257449999999998</v>
      </c>
      <c r="K265" s="332">
        <f>SU_04009_p</f>
        <v>1.2488520000000003</v>
      </c>
      <c r="L265" s="332">
        <v>0</v>
      </c>
      <c r="M265" s="332">
        <v>0</v>
      </c>
      <c r="N265" s="333">
        <f t="shared" si="32"/>
        <v>2.7628530000000007</v>
      </c>
      <c r="O265" s="334">
        <v>423</v>
      </c>
    </row>
    <row r="266" spans="1:15" ht="14.4" x14ac:dyDescent="0.3">
      <c r="A266" s="326"/>
      <c r="B266" s="326" t="s">
        <v>95</v>
      </c>
      <c r="C266" s="327" t="str">
        <f>SU_04010</f>
        <v>SU 04010</v>
      </c>
      <c r="D266" s="328" t="s">
        <v>51</v>
      </c>
      <c r="E266" s="328" t="str">
        <f t="shared" si="36"/>
        <v>Lower Back A-arm</v>
      </c>
      <c r="F266" s="329" t="str">
        <f>'[1]SU 04010'!$B$5</f>
        <v>Rear up bracket</v>
      </c>
      <c r="G266" s="328"/>
      <c r="H266" s="330">
        <f t="shared" si="31"/>
        <v>1.8130709999999999</v>
      </c>
      <c r="I266" s="331">
        <f>SU_A0400_q*SU_04010_q</f>
        <v>2</v>
      </c>
      <c r="J266" s="332">
        <f>SU_04010_m</f>
        <v>0.29634299999999991</v>
      </c>
      <c r="K266" s="332">
        <f>SU_04010_p</f>
        <v>1.5167280000000001</v>
      </c>
      <c r="L266" s="332">
        <v>0</v>
      </c>
      <c r="M266" s="332">
        <v>0</v>
      </c>
      <c r="N266" s="333">
        <f t="shared" si="32"/>
        <v>3.6261419999999998</v>
      </c>
      <c r="O266" s="334">
        <v>425</v>
      </c>
    </row>
    <row r="267" spans="1:15" ht="14.4" x14ac:dyDescent="0.3">
      <c r="A267" s="326"/>
      <c r="B267" s="326" t="s">
        <v>95</v>
      </c>
      <c r="C267" s="327" t="str">
        <f>SU_04011</f>
        <v>SU 04011</v>
      </c>
      <c r="D267" s="328" t="s">
        <v>51</v>
      </c>
      <c r="E267" s="328" t="str">
        <f t="shared" si="36"/>
        <v>Lower Back A-arm</v>
      </c>
      <c r="F267" s="329" t="str">
        <f>'[1]SU 04011'!$B$5</f>
        <v>Rear down bracket</v>
      </c>
      <c r="G267" s="328"/>
      <c r="H267" s="330">
        <f t="shared" si="31"/>
        <v>1.9015070000000001</v>
      </c>
      <c r="I267" s="331">
        <f>SU_A0400_q*SU_04011_q</f>
        <v>2</v>
      </c>
      <c r="J267" s="332">
        <f>SU_04011_m</f>
        <v>0.35873100000000002</v>
      </c>
      <c r="K267" s="332">
        <f>SU_04011_p</f>
        <v>1.5427759999999999</v>
      </c>
      <c r="L267" s="332">
        <v>0</v>
      </c>
      <c r="M267" s="332">
        <v>0</v>
      </c>
      <c r="N267" s="333">
        <f t="shared" si="32"/>
        <v>3.8030140000000001</v>
      </c>
      <c r="O267" s="334">
        <v>427</v>
      </c>
    </row>
    <row r="268" spans="1:15" ht="14.4" x14ac:dyDescent="0.3">
      <c r="A268" s="317"/>
      <c r="B268" s="317" t="s">
        <v>95</v>
      </c>
      <c r="C268" s="319" t="s">
        <v>96</v>
      </c>
      <c r="D268" s="319" t="s">
        <v>51</v>
      </c>
      <c r="E268" s="319"/>
      <c r="F268" s="335" t="str">
        <f>'[1]SU A0500'!B4</f>
        <v>Front suspension</v>
      </c>
      <c r="G268" s="319"/>
      <c r="H268" s="321">
        <f t="shared" si="31"/>
        <v>332.69722874847344</v>
      </c>
      <c r="I268" s="336">
        <f>SU_A0500_q</f>
        <v>2</v>
      </c>
      <c r="J268" s="323">
        <f>SU_A0500_m</f>
        <v>330.04</v>
      </c>
      <c r="K268" s="323">
        <f>SU_A0500_p</f>
        <v>2.12</v>
      </c>
      <c r="L268" s="323">
        <f>SU_A0500_f</f>
        <v>0.20389541514008255</v>
      </c>
      <c r="M268" s="323">
        <f>SU_A0500_t</f>
        <v>0.33333333333333331</v>
      </c>
      <c r="N268" s="324">
        <f t="shared" si="32"/>
        <v>665.39445749694687</v>
      </c>
      <c r="O268" s="325">
        <v>429</v>
      </c>
    </row>
    <row r="269" spans="1:15" ht="14.4" x14ac:dyDescent="0.3">
      <c r="A269" s="326"/>
      <c r="B269" s="326" t="s">
        <v>95</v>
      </c>
      <c r="C269" s="327" t="str">
        <f>SU_05001</f>
        <v>SU 05001</v>
      </c>
      <c r="D269" s="328" t="s">
        <v>51</v>
      </c>
      <c r="E269" s="328" t="str">
        <f>F268</f>
        <v>Front suspension</v>
      </c>
      <c r="F269" s="329" t="str">
        <f>'[1]SU 05001'!B5</f>
        <v>Shock Front Bracket</v>
      </c>
      <c r="G269" s="328"/>
      <c r="H269" s="330">
        <f t="shared" si="31"/>
        <v>5.9234014172552163</v>
      </c>
      <c r="I269" s="337">
        <f>SU_05001_q*SU_A0500_q</f>
        <v>2</v>
      </c>
      <c r="J269" s="332">
        <f>SU_05001_m</f>
        <v>0.38660141725521602</v>
      </c>
      <c r="K269" s="332">
        <f>SU_05001_p</f>
        <v>5.5368000000000004</v>
      </c>
      <c r="L269" s="332">
        <v>0</v>
      </c>
      <c r="M269" s="332">
        <v>0</v>
      </c>
      <c r="N269" s="333">
        <f t="shared" si="32"/>
        <v>11.846802834510433</v>
      </c>
      <c r="O269" s="334">
        <v>430</v>
      </c>
    </row>
    <row r="270" spans="1:15" ht="14.4" x14ac:dyDescent="0.3">
      <c r="A270" s="317"/>
      <c r="B270" s="317" t="s">
        <v>95</v>
      </c>
      <c r="C270" s="319" t="str">
        <f>SU_A0600</f>
        <v>SU A0600</v>
      </c>
      <c r="D270" s="319" t="s">
        <v>51</v>
      </c>
      <c r="E270" s="319"/>
      <c r="F270" s="335" t="str">
        <f>'[1]SU A0600'!B4</f>
        <v>Front Bell Crank</v>
      </c>
      <c r="G270" s="319"/>
      <c r="H270" s="321">
        <f t="shared" si="31"/>
        <v>2.2678904435983189</v>
      </c>
      <c r="I270" s="336">
        <f>SU_A0600_q</f>
        <v>2</v>
      </c>
      <c r="J270" s="323">
        <f>SU_A0600_m</f>
        <v>0.09</v>
      </c>
      <c r="K270" s="323">
        <f>SU_A0600_p</f>
        <v>1.5945</v>
      </c>
      <c r="L270" s="323">
        <f>SU_A0600_f</f>
        <v>0.25005711026498539</v>
      </c>
      <c r="M270" s="323">
        <f>SU_A0600_t</f>
        <v>0.33333333333333331</v>
      </c>
      <c r="N270" s="324">
        <f t="shared" si="32"/>
        <v>4.5357808871966379</v>
      </c>
      <c r="O270" s="325">
        <v>432</v>
      </c>
    </row>
    <row r="271" spans="1:15" ht="14.4" x14ac:dyDescent="0.3">
      <c r="A271" s="326"/>
      <c r="B271" s="326" t="s">
        <v>95</v>
      </c>
      <c r="C271" s="327" t="str">
        <f>SU_06001</f>
        <v>SU 06001</v>
      </c>
      <c r="D271" s="328" t="s">
        <v>51</v>
      </c>
      <c r="E271" s="328" t="s">
        <v>97</v>
      </c>
      <c r="F271" s="329" t="s">
        <v>98</v>
      </c>
      <c r="G271" s="328"/>
      <c r="H271" s="330">
        <f t="shared" si="31"/>
        <v>1.3710986506763019</v>
      </c>
      <c r="I271" s="337">
        <f>SU_06001_q*SU_A0600_q</f>
        <v>4</v>
      </c>
      <c r="J271" s="332">
        <f>SU_06001_m</f>
        <v>4.6098650676301943E-2</v>
      </c>
      <c r="K271" s="332">
        <f>SU_06001_p</f>
        <v>1.325</v>
      </c>
      <c r="L271" s="332">
        <v>0</v>
      </c>
      <c r="M271" s="332">
        <v>0</v>
      </c>
      <c r="N271" s="333">
        <f t="shared" si="32"/>
        <v>5.4843946027052075</v>
      </c>
      <c r="O271" s="334">
        <v>433</v>
      </c>
    </row>
    <row r="272" spans="1:15" ht="14.4" x14ac:dyDescent="0.3">
      <c r="A272" s="326"/>
      <c r="B272" s="338" t="str">
        <f>'[1]SU A0600'!$B$3</f>
        <v>Suspension &amp; Shocks</v>
      </c>
      <c r="C272" s="327" t="str">
        <f>SU_06002</f>
        <v>SU 06002</v>
      </c>
      <c r="D272" s="328" t="s">
        <v>51</v>
      </c>
      <c r="E272" s="328" t="s">
        <v>97</v>
      </c>
      <c r="F272" s="329" t="s">
        <v>99</v>
      </c>
      <c r="G272" s="328"/>
      <c r="H272" s="330">
        <f t="shared" si="31"/>
        <v>1.5427786126391492</v>
      </c>
      <c r="I272" s="331">
        <f>SU_06002_q*SU_A0600_q</f>
        <v>2</v>
      </c>
      <c r="J272" s="332">
        <f>SU_06002_m</f>
        <v>5.4378612639149136E-2</v>
      </c>
      <c r="K272" s="332">
        <f>SU_06002_p</f>
        <v>1.4883999999999999</v>
      </c>
      <c r="L272" s="332">
        <v>0</v>
      </c>
      <c r="M272" s="332">
        <v>0</v>
      </c>
      <c r="N272" s="333">
        <f t="shared" si="32"/>
        <v>3.0855572252782983</v>
      </c>
      <c r="O272" s="334">
        <v>434</v>
      </c>
    </row>
    <row r="273" spans="1:15" ht="14.4" x14ac:dyDescent="0.3">
      <c r="A273" s="326"/>
      <c r="B273" s="338" t="str">
        <f>'[1]SU A0600'!$B$3</f>
        <v>Suspension &amp; Shocks</v>
      </c>
      <c r="C273" s="327" t="str">
        <f>SU_06003</f>
        <v>SU 06003</v>
      </c>
      <c r="D273" s="328" t="s">
        <v>51</v>
      </c>
      <c r="E273" s="328" t="s">
        <v>97</v>
      </c>
      <c r="F273" s="329" t="s">
        <v>100</v>
      </c>
      <c r="G273" s="328"/>
      <c r="H273" s="330">
        <f t="shared" si="31"/>
        <v>0.88140624999999995</v>
      </c>
      <c r="I273" s="331">
        <f>SU_06003_q*SU_A0600_q</f>
        <v>4</v>
      </c>
      <c r="J273" s="332">
        <f>SU_06003_m</f>
        <v>0.39740625000000002</v>
      </c>
      <c r="K273" s="332">
        <f>SU_06003_p</f>
        <v>0.48399999999999999</v>
      </c>
      <c r="L273" s="332">
        <v>0</v>
      </c>
      <c r="M273" s="332">
        <v>0</v>
      </c>
      <c r="N273" s="333">
        <f t="shared" si="32"/>
        <v>3.5256249999999998</v>
      </c>
      <c r="O273" s="334">
        <v>435</v>
      </c>
    </row>
    <row r="274" spans="1:15" ht="14.4" x14ac:dyDescent="0.3">
      <c r="A274" s="326"/>
      <c r="B274" s="338" t="str">
        <f>'[1]SU A0600'!$B$3</f>
        <v>Suspension &amp; Shocks</v>
      </c>
      <c r="C274" s="327" t="str">
        <f>SU_06004</f>
        <v>SU 06004</v>
      </c>
      <c r="D274" s="328" t="s">
        <v>51</v>
      </c>
      <c r="E274" s="328" t="s">
        <v>97</v>
      </c>
      <c r="F274" s="329" t="s">
        <v>101</v>
      </c>
      <c r="G274" s="328"/>
      <c r="H274" s="330">
        <f t="shared" si="31"/>
        <v>2.2702062500000002</v>
      </c>
      <c r="I274" s="331">
        <f>SU_06003_q*SU_A0600_q</f>
        <v>4</v>
      </c>
      <c r="J274" s="332">
        <f>SU_06004_m</f>
        <v>0.11480624999999998</v>
      </c>
      <c r="K274" s="332">
        <f>SU_06004_p</f>
        <v>2.1554000000000002</v>
      </c>
      <c r="L274" s="332">
        <v>0</v>
      </c>
      <c r="M274" s="332">
        <v>0</v>
      </c>
      <c r="N274" s="333">
        <f t="shared" si="32"/>
        <v>9.0808250000000008</v>
      </c>
      <c r="O274" s="334">
        <v>437</v>
      </c>
    </row>
    <row r="275" spans="1:15" ht="14.4" x14ac:dyDescent="0.3">
      <c r="A275" s="317"/>
      <c r="B275" s="318" t="str">
        <f>'[1]SU A0600'!$B$3</f>
        <v>Suspension &amp; Shocks</v>
      </c>
      <c r="C275" s="319" t="str">
        <f>SU_A0700</f>
        <v>SU A0700</v>
      </c>
      <c r="D275" s="319" t="s">
        <v>51</v>
      </c>
      <c r="E275" s="319"/>
      <c r="F275" s="335" t="str">
        <f>'[1]SU A0700'!B4</f>
        <v>Rear suspension</v>
      </c>
      <c r="G275" s="319"/>
      <c r="H275" s="321">
        <f t="shared" si="31"/>
        <v>335.02112416361354</v>
      </c>
      <c r="I275" s="336">
        <f>SU_A0700_q</f>
        <v>2</v>
      </c>
      <c r="J275" s="323">
        <f>SU_A0700_m</f>
        <v>330.04</v>
      </c>
      <c r="K275" s="323">
        <f>SU_A0700_p</f>
        <v>4.24</v>
      </c>
      <c r="L275" s="323">
        <f>SU_A0700_f</f>
        <v>0.40779083028016511</v>
      </c>
      <c r="M275" s="323">
        <f>SU_A0700_t</f>
        <v>0.33333333333333331</v>
      </c>
      <c r="N275" s="324">
        <f t="shared" si="32"/>
        <v>670.04224832722707</v>
      </c>
      <c r="O275" s="325">
        <v>439</v>
      </c>
    </row>
    <row r="276" spans="1:15" ht="14.4" x14ac:dyDescent="0.3">
      <c r="A276" s="326"/>
      <c r="B276" s="338" t="str">
        <f>'[1]SU A0600'!$B$3</f>
        <v>Suspension &amp; Shocks</v>
      </c>
      <c r="C276" s="327" t="str">
        <f>SU_07001</f>
        <v>SU 07001</v>
      </c>
      <c r="D276" s="328" t="s">
        <v>51</v>
      </c>
      <c r="E276" s="328" t="str">
        <f>F275</f>
        <v>Rear suspension</v>
      </c>
      <c r="F276" s="329" t="str">
        <f>'[1]SU 07001'!B5</f>
        <v>Shock rear Bracket</v>
      </c>
      <c r="G276" s="328"/>
      <c r="H276" s="330">
        <f t="shared" si="31"/>
        <v>5.9234014172552163</v>
      </c>
      <c r="I276" s="337">
        <f>SU_07001_q*SU_A0700_q</f>
        <v>2</v>
      </c>
      <c r="J276" s="332">
        <f>SU_07001_m</f>
        <v>0.38660141725521602</v>
      </c>
      <c r="K276" s="332">
        <f>SU_07001_p</f>
        <v>5.5368000000000004</v>
      </c>
      <c r="L276" s="332">
        <v>0</v>
      </c>
      <c r="M276" s="332">
        <v>0</v>
      </c>
      <c r="N276" s="333">
        <f t="shared" si="32"/>
        <v>11.846802834510433</v>
      </c>
      <c r="O276" s="334">
        <v>441</v>
      </c>
    </row>
    <row r="277" spans="1:15" ht="14.4" x14ac:dyDescent="0.3">
      <c r="A277" s="317"/>
      <c r="B277" s="318" t="str">
        <f>'[1]SU A0600'!$B$3</f>
        <v>Suspension &amp; Shocks</v>
      </c>
      <c r="C277" s="319" t="str">
        <f>SU_A0800</f>
        <v>SU A0800</v>
      </c>
      <c r="D277" s="319" t="s">
        <v>51</v>
      </c>
      <c r="E277" s="319"/>
      <c r="F277" s="335" t="s">
        <v>102</v>
      </c>
      <c r="G277" s="319"/>
      <c r="H277" s="321">
        <f t="shared" si="31"/>
        <v>4.8177252544509166</v>
      </c>
      <c r="I277" s="336">
        <f>SU_A0800_q</f>
        <v>2</v>
      </c>
      <c r="J277" s="323">
        <f>SU_A0800_m</f>
        <v>0.2</v>
      </c>
      <c r="K277" s="323">
        <f>SU_A0800_p</f>
        <v>3.5024999999999999</v>
      </c>
      <c r="L277" s="323">
        <f>SU_A0800_f</f>
        <v>0.11522525445091675</v>
      </c>
      <c r="M277" s="323">
        <f>SU_A0800_t</f>
        <v>1</v>
      </c>
      <c r="N277" s="324">
        <f t="shared" si="32"/>
        <v>9.6354505089018332</v>
      </c>
      <c r="O277" s="325">
        <v>441</v>
      </c>
    </row>
    <row r="278" spans="1:15" ht="14.4" x14ac:dyDescent="0.3">
      <c r="A278" s="326"/>
      <c r="B278" s="338" t="str">
        <f>'[1]SU A0600'!$B$3</f>
        <v>Suspension &amp; Shocks</v>
      </c>
      <c r="C278" s="327" t="str">
        <f>SU_08001</f>
        <v>SU 08001</v>
      </c>
      <c r="D278" s="328" t="s">
        <v>51</v>
      </c>
      <c r="E278" s="328" t="str">
        <f>$F$277</f>
        <v>Rear Bell Cranck</v>
      </c>
      <c r="F278" s="329" t="s">
        <v>98</v>
      </c>
      <c r="G278" s="328"/>
      <c r="H278" s="330">
        <f t="shared" si="31"/>
        <v>1.3710986506763019</v>
      </c>
      <c r="I278" s="337">
        <f>SU_08001_q*SU_A0800_q</f>
        <v>4</v>
      </c>
      <c r="J278" s="332">
        <f>SU_08001_m</f>
        <v>4.6098650676301943E-2</v>
      </c>
      <c r="K278" s="332">
        <f>SU_08001_p</f>
        <v>1.325</v>
      </c>
      <c r="L278" s="332">
        <v>0</v>
      </c>
      <c r="M278" s="332">
        <v>0</v>
      </c>
      <c r="N278" s="333">
        <f t="shared" si="32"/>
        <v>5.4843946027052075</v>
      </c>
      <c r="O278" s="334">
        <v>442</v>
      </c>
    </row>
    <row r="279" spans="1:15" ht="14.4" x14ac:dyDescent="0.3">
      <c r="A279" s="326"/>
      <c r="B279" s="338" t="str">
        <f>'[1]SU A0800'!$B$3</f>
        <v>Suspension &amp; Shocks</v>
      </c>
      <c r="C279" s="327" t="str">
        <f>SU_08002</f>
        <v>SU 08002</v>
      </c>
      <c r="D279" s="328" t="s">
        <v>51</v>
      </c>
      <c r="E279" s="328" t="str">
        <f>$F$277</f>
        <v>Rear Bell Cranck</v>
      </c>
      <c r="F279" s="329" t="s">
        <v>100</v>
      </c>
      <c r="G279" s="328"/>
      <c r="H279" s="330">
        <f t="shared" si="31"/>
        <v>2.0644187499999997</v>
      </c>
      <c r="I279" s="331">
        <f>SU_08002_q*SU_A0800_q</f>
        <v>4</v>
      </c>
      <c r="J279" s="332">
        <f>SU_08002_m</f>
        <v>0.34441874999999994</v>
      </c>
      <c r="K279" s="332">
        <f>SU_08002_p</f>
        <v>1.72</v>
      </c>
      <c r="L279" s="332">
        <v>0</v>
      </c>
      <c r="M279" s="332">
        <v>0</v>
      </c>
      <c r="N279" s="333">
        <f t="shared" si="32"/>
        <v>8.257674999999999</v>
      </c>
      <c r="O279" s="334">
        <v>443</v>
      </c>
    </row>
    <row r="280" spans="1:15" ht="14.4" x14ac:dyDescent="0.3">
      <c r="A280" s="326"/>
      <c r="B280" s="338" t="str">
        <f>'[1]SU A0800'!$B$3</f>
        <v>Suspension &amp; Shocks</v>
      </c>
      <c r="C280" s="327" t="str">
        <f>SU_08003</f>
        <v>SU 08003</v>
      </c>
      <c r="D280" s="328" t="s">
        <v>51</v>
      </c>
      <c r="E280" s="328" t="str">
        <f>$F$277</f>
        <v>Rear Bell Cranck</v>
      </c>
      <c r="F280" s="329" t="s">
        <v>103</v>
      </c>
      <c r="G280" s="328"/>
      <c r="H280" s="330">
        <f t="shared" si="31"/>
        <v>3.3779399999999997</v>
      </c>
      <c r="I280" s="331">
        <f>SU_08003_q*SU_A0800_q</f>
        <v>2</v>
      </c>
      <c r="J280" s="332">
        <f>SU_08003_m</f>
        <v>0.81953999999999994</v>
      </c>
      <c r="K280" s="332">
        <f>SU_08003_p</f>
        <v>2.5583999999999998</v>
      </c>
      <c r="L280" s="332">
        <v>0</v>
      </c>
      <c r="M280" s="332">
        <v>0</v>
      </c>
      <c r="N280" s="333">
        <f t="shared" si="32"/>
        <v>6.7558799999999994</v>
      </c>
      <c r="O280" s="334">
        <v>444</v>
      </c>
    </row>
    <row r="281" spans="1:15" ht="14.4" x14ac:dyDescent="0.3">
      <c r="A281" s="317"/>
      <c r="B281" s="318" t="str">
        <f>'[1]SU A0600'!$B$3</f>
        <v>Suspension &amp; Shocks</v>
      </c>
      <c r="C281" s="319" t="str">
        <f>SU_A0900</f>
        <v>SU A0900</v>
      </c>
      <c r="D281" s="319" t="s">
        <v>51</v>
      </c>
      <c r="E281" s="319"/>
      <c r="F281" s="335" t="str">
        <f>'[1]SU A0900'!B4</f>
        <v xml:space="preserve">Rear Tie rod  </v>
      </c>
      <c r="G281" s="319"/>
      <c r="H281" s="321">
        <f t="shared" si="31"/>
        <v>13.655876325139229</v>
      </c>
      <c r="I281" s="336">
        <f>SU_A0900_q</f>
        <v>2</v>
      </c>
      <c r="J281" s="323">
        <f>SU_A0900_m</f>
        <v>5</v>
      </c>
      <c r="K281" s="323">
        <f>SU_A0900_p</f>
        <v>8.0960000000000001</v>
      </c>
      <c r="L281" s="323">
        <f>SU_A0900_f</f>
        <v>0.55987632513922869</v>
      </c>
      <c r="M281" s="323">
        <v>0</v>
      </c>
      <c r="N281" s="324">
        <f t="shared" si="32"/>
        <v>27.311752650278457</v>
      </c>
      <c r="O281" s="325">
        <v>446</v>
      </c>
    </row>
    <row r="282" spans="1:15" ht="14.4" x14ac:dyDescent="0.3">
      <c r="A282" s="326"/>
      <c r="B282" s="338" t="str">
        <f>'[1]SU A0600'!$B$3</f>
        <v>Suspension &amp; Shocks</v>
      </c>
      <c r="C282" s="327" t="str">
        <f>SU_09001</f>
        <v>SU 09001</v>
      </c>
      <c r="D282" s="328" t="s">
        <v>51</v>
      </c>
      <c r="E282" s="328" t="str">
        <f>$F$281</f>
        <v xml:space="preserve">Rear Tie rod  </v>
      </c>
      <c r="F282" s="329" t="str">
        <f>'[1]SU 09001'!B5</f>
        <v>Tie rod tube</v>
      </c>
      <c r="G282" s="328"/>
      <c r="H282" s="330">
        <f t="shared" si="31"/>
        <v>9.0687098494115101</v>
      </c>
      <c r="I282" s="337">
        <f>SU_09001_q*SU_A0900_q</f>
        <v>2</v>
      </c>
      <c r="J282" s="332">
        <f>SU_09001_m</f>
        <v>8.0610754216991207</v>
      </c>
      <c r="K282" s="332">
        <f>SU_09001_p</f>
        <v>1.0076344277123901</v>
      </c>
      <c r="L282" s="332">
        <v>0</v>
      </c>
      <c r="M282" s="332">
        <v>0</v>
      </c>
      <c r="N282" s="333">
        <f t="shared" si="32"/>
        <v>18.13741969882302</v>
      </c>
      <c r="O282" s="334">
        <v>447</v>
      </c>
    </row>
    <row r="283" spans="1:15" ht="14.4" x14ac:dyDescent="0.3">
      <c r="A283" s="326"/>
      <c r="B283" s="338" t="str">
        <f>'[1]SU A0800'!$B$3</f>
        <v>Suspension &amp; Shocks</v>
      </c>
      <c r="C283" s="327" t="str">
        <f>SU_09002</f>
        <v>SU 09002</v>
      </c>
      <c r="D283" s="328" t="s">
        <v>51</v>
      </c>
      <c r="E283" s="328" t="str">
        <f>$F$281</f>
        <v xml:space="preserve">Rear Tie rod  </v>
      </c>
      <c r="F283" s="329" t="str">
        <f>'[1]SU 09002'!B5</f>
        <v>Tie rod insert</v>
      </c>
      <c r="G283" s="328"/>
      <c r="H283" s="330">
        <f t="shared" si="31"/>
        <v>1.5833945082514056</v>
      </c>
      <c r="I283" s="331">
        <f>SU_09002_q*SU_A0900_q</f>
        <v>4</v>
      </c>
      <c r="J283" s="332">
        <f>SU_09002_m</f>
        <v>0.29364450825140537</v>
      </c>
      <c r="K283" s="332">
        <f>SU_09002_p</f>
        <v>1.2897500000000002</v>
      </c>
      <c r="L283" s="332">
        <v>0</v>
      </c>
      <c r="M283" s="332">
        <v>0</v>
      </c>
      <c r="N283" s="333">
        <f t="shared" si="32"/>
        <v>6.3335780330056224</v>
      </c>
      <c r="O283" s="334">
        <v>448</v>
      </c>
    </row>
    <row r="284" spans="1:15" ht="14.4" x14ac:dyDescent="0.3">
      <c r="A284" s="326"/>
      <c r="B284" s="338" t="str">
        <f>'[1]SU A0800'!$B$3</f>
        <v>Suspension &amp; Shocks</v>
      </c>
      <c r="C284" s="327" t="str">
        <f>SU_09003</f>
        <v>SU 09003</v>
      </c>
      <c r="D284" s="328" t="s">
        <v>51</v>
      </c>
      <c r="E284" s="328" t="str">
        <f>$F$281</f>
        <v xml:space="preserve">Rear Tie rod  </v>
      </c>
      <c r="F284" s="339" t="str">
        <f>'[1]SU 09003'!B5</f>
        <v>Spacer 1</v>
      </c>
      <c r="G284" s="328"/>
      <c r="H284" s="330">
        <f t="shared" ref="H284:H304" si="37">SUM(J284:M284)</f>
        <v>0.23905539548753352</v>
      </c>
      <c r="I284" s="331">
        <f>SU_09003_q*SU_A0900_q</f>
        <v>4</v>
      </c>
      <c r="J284" s="332">
        <f>SU_09003_m</f>
        <v>5.6820101369886439E-2</v>
      </c>
      <c r="K284" s="332">
        <f>SU_09003_p</f>
        <v>0.18223529411764708</v>
      </c>
      <c r="L284" s="332">
        <v>0</v>
      </c>
      <c r="M284" s="332">
        <v>0</v>
      </c>
      <c r="N284" s="333">
        <f t="shared" ref="N284:N304" si="38">H284*I284</f>
        <v>0.95622158195013407</v>
      </c>
      <c r="O284" s="334">
        <v>450</v>
      </c>
    </row>
    <row r="285" spans="1:15" ht="14.4" x14ac:dyDescent="0.3">
      <c r="A285" s="326"/>
      <c r="B285" s="338" t="str">
        <f>'[1]SU A0800'!$B$3</f>
        <v>Suspension &amp; Shocks</v>
      </c>
      <c r="C285" s="327" t="str">
        <f>SU_09004</f>
        <v>SU 09004</v>
      </c>
      <c r="D285" s="328" t="s">
        <v>51</v>
      </c>
      <c r="E285" s="328" t="str">
        <f>$F$281</f>
        <v xml:space="preserve">Rear Tie rod  </v>
      </c>
      <c r="F285" s="339" t="str">
        <f>'[1]SU 09004'!B5</f>
        <v>Spacer 2</v>
      </c>
      <c r="G285" s="328"/>
      <c r="H285" s="330">
        <f t="shared" si="37"/>
        <v>1.0636402027397729</v>
      </c>
      <c r="I285" s="331">
        <f>SU_09004_q*SU_A0900_q</f>
        <v>4</v>
      </c>
      <c r="J285" s="332">
        <f>SU_09004_m</f>
        <v>0.11364020273977288</v>
      </c>
      <c r="K285" s="332">
        <f>SU_09004_p</f>
        <v>0.95000000000000007</v>
      </c>
      <c r="L285" s="332">
        <v>0</v>
      </c>
      <c r="M285" s="332">
        <v>0</v>
      </c>
      <c r="N285" s="333">
        <f t="shared" si="38"/>
        <v>4.2545608109590916</v>
      </c>
      <c r="O285" s="334">
        <v>452</v>
      </c>
    </row>
    <row r="286" spans="1:15" ht="14.4" x14ac:dyDescent="0.3">
      <c r="A286" s="317"/>
      <c r="B286" s="318" t="str">
        <f>'[1]SU A0600'!$B$3</f>
        <v>Suspension &amp; Shocks</v>
      </c>
      <c r="C286" s="319" t="str">
        <f>SU_A1000</f>
        <v>SU A1000</v>
      </c>
      <c r="D286" s="319" t="s">
        <v>51</v>
      </c>
      <c r="E286" s="319"/>
      <c r="F286" s="335" t="str">
        <f>'[1]SU A1000'!B4</f>
        <v>Front Uprights</v>
      </c>
      <c r="G286" s="319"/>
      <c r="H286" s="321">
        <f t="shared" si="37"/>
        <v>16.481887142858277</v>
      </c>
      <c r="I286" s="336">
        <f>SU_A1000_q</f>
        <v>2</v>
      </c>
      <c r="J286" s="323">
        <v>0</v>
      </c>
      <c r="K286" s="323">
        <f>SU_A1000_p</f>
        <v>15.46</v>
      </c>
      <c r="L286" s="323">
        <f>SU_A1000_f</f>
        <v>1.0218871428582772</v>
      </c>
      <c r="M286" s="323">
        <v>0</v>
      </c>
      <c r="N286" s="324">
        <f t="shared" si="38"/>
        <v>32.963774285716553</v>
      </c>
      <c r="O286" s="325">
        <v>454</v>
      </c>
    </row>
    <row r="287" spans="1:15" ht="14.4" x14ac:dyDescent="0.3">
      <c r="A287" s="326"/>
      <c r="B287" s="338" t="str">
        <f>'[1]SU A0600'!$B$3</f>
        <v>Suspension &amp; Shocks</v>
      </c>
      <c r="C287" s="327" t="str">
        <f>SU_10001</f>
        <v>SU 10001</v>
      </c>
      <c r="D287" s="328" t="s">
        <v>51</v>
      </c>
      <c r="E287" s="328" t="str">
        <f>$F$286</f>
        <v>Front Uprights</v>
      </c>
      <c r="F287" s="329" t="str">
        <f>'[1]SU 10001'!B5</f>
        <v>Front Upright</v>
      </c>
      <c r="G287" s="328"/>
      <c r="H287" s="330">
        <f t="shared" si="37"/>
        <v>106.18580800000001</v>
      </c>
      <c r="I287" s="337">
        <f>SU_10001_q*SU_A1000_q</f>
        <v>2</v>
      </c>
      <c r="J287" s="332">
        <f>SU_10001_m</f>
        <v>28.703808000000002</v>
      </c>
      <c r="K287" s="332">
        <f>SU_10001_p</f>
        <v>77.482000000000014</v>
      </c>
      <c r="L287" s="332">
        <v>0</v>
      </c>
      <c r="M287" s="332">
        <v>0</v>
      </c>
      <c r="N287" s="333">
        <f t="shared" si="38"/>
        <v>212.37161600000002</v>
      </c>
      <c r="O287" s="334">
        <v>455</v>
      </c>
    </row>
    <row r="288" spans="1:15" ht="14.4" x14ac:dyDescent="0.3">
      <c r="A288" s="326"/>
      <c r="B288" s="338" t="str">
        <f>'[1]SU A0800'!$B$3</f>
        <v>Suspension &amp; Shocks</v>
      </c>
      <c r="C288" s="327" t="str">
        <f>SU_10002</f>
        <v>SU 10002</v>
      </c>
      <c r="D288" s="328" t="s">
        <v>51</v>
      </c>
      <c r="E288" s="328" t="str">
        <f>$F$286</f>
        <v>Front Uprights</v>
      </c>
      <c r="F288" s="329" t="str">
        <f>'[1]SU 10002'!B5</f>
        <v>Upper Arm Wedge</v>
      </c>
      <c r="G288" s="328"/>
      <c r="H288" s="330">
        <f t="shared" si="37"/>
        <v>2.5052785600000003</v>
      </c>
      <c r="I288" s="331">
        <f>SU_10002_q*SU_A1000_q</f>
        <v>2</v>
      </c>
      <c r="J288" s="332">
        <f>SU_10002_m</f>
        <v>0.21527856000000004</v>
      </c>
      <c r="K288" s="332">
        <f>SU_10002_p</f>
        <v>2.29</v>
      </c>
      <c r="L288" s="332">
        <v>0</v>
      </c>
      <c r="M288" s="332">
        <v>0</v>
      </c>
      <c r="N288" s="333">
        <f t="shared" si="38"/>
        <v>5.0105571200000005</v>
      </c>
      <c r="O288" s="334">
        <v>457</v>
      </c>
    </row>
    <row r="289" spans="1:15" ht="14.4" x14ac:dyDescent="0.3">
      <c r="A289" s="326"/>
      <c r="B289" s="338" t="str">
        <f>'[1]SU A0800'!$B$3</f>
        <v>Suspension &amp; Shocks</v>
      </c>
      <c r="C289" s="327" t="str">
        <f>SU_10003</f>
        <v>SU 10003</v>
      </c>
      <c r="D289" s="328" t="s">
        <v>51</v>
      </c>
      <c r="E289" s="328" t="str">
        <f>$F$286</f>
        <v>Front Uprights</v>
      </c>
      <c r="F289" s="340" t="str">
        <f>'[1]SU 10003'!B5</f>
        <v>Upper Arm Bracket</v>
      </c>
      <c r="G289" s="328"/>
      <c r="H289" s="330">
        <f t="shared" si="37"/>
        <v>18.677843750000001</v>
      </c>
      <c r="I289" s="331">
        <f>SU_10003_q*SU_A1000_q</f>
        <v>2</v>
      </c>
      <c r="J289" s="332">
        <f>SU_10003_m</f>
        <v>2.7818437500000002</v>
      </c>
      <c r="K289" s="332">
        <f>SU_10003_p</f>
        <v>15.896000000000001</v>
      </c>
      <c r="L289" s="332">
        <v>0</v>
      </c>
      <c r="M289" s="332">
        <v>0</v>
      </c>
      <c r="N289" s="333">
        <f t="shared" si="38"/>
        <v>37.355687500000002</v>
      </c>
      <c r="O289" s="334">
        <v>459</v>
      </c>
    </row>
    <row r="290" spans="1:15" ht="14.4" x14ac:dyDescent="0.3">
      <c r="A290" s="326"/>
      <c r="B290" s="338" t="str">
        <f>'[1]SU A0800'!$B$3</f>
        <v>Suspension &amp; Shocks</v>
      </c>
      <c r="C290" s="327" t="str">
        <f>SU_10004</f>
        <v>SU 10004</v>
      </c>
      <c r="D290" s="328" t="s">
        <v>51</v>
      </c>
      <c r="E290" s="328" t="str">
        <f>$F$286</f>
        <v>Front Uprights</v>
      </c>
      <c r="F290" s="340" t="str">
        <f>'[1]SU 10004'!B5</f>
        <v>Speed Sensor Bracket</v>
      </c>
      <c r="G290" s="328"/>
      <c r="H290" s="330">
        <f t="shared" si="37"/>
        <v>0.83572750000000007</v>
      </c>
      <c r="I290" s="331">
        <f>SU_10004_q*SU_A1000_q</f>
        <v>2</v>
      </c>
      <c r="J290" s="332">
        <f>SU_10004_m</f>
        <v>2.4727499999999999E-2</v>
      </c>
      <c r="K290" s="332">
        <f>SU_10004_p</f>
        <v>0.81100000000000005</v>
      </c>
      <c r="L290" s="332">
        <v>0</v>
      </c>
      <c r="M290" s="332">
        <v>0</v>
      </c>
      <c r="N290" s="333">
        <f t="shared" si="38"/>
        <v>1.6714550000000001</v>
      </c>
      <c r="O290" s="334">
        <v>461</v>
      </c>
    </row>
    <row r="291" spans="1:15" ht="14.4" x14ac:dyDescent="0.3">
      <c r="A291" s="326"/>
      <c r="B291" s="338" t="str">
        <f>'[1]SU A0800'!$B$3</f>
        <v>Suspension &amp; Shocks</v>
      </c>
      <c r="C291" s="327" t="str">
        <f>SU_10005</f>
        <v>SU 10005</v>
      </c>
      <c r="D291" s="328" t="s">
        <v>51</v>
      </c>
      <c r="E291" s="328" t="str">
        <f>$F$286</f>
        <v>Front Uprights</v>
      </c>
      <c r="F291" s="340" t="str">
        <f>'[1]SU 10005'!B5</f>
        <v>Camber adjustment shim</v>
      </c>
      <c r="G291" s="328"/>
      <c r="H291" s="330">
        <f t="shared" si="37"/>
        <v>0.42691833333333334</v>
      </c>
      <c r="I291" s="331">
        <f>SU_10005_q*SU_A1000_q</f>
        <v>30</v>
      </c>
      <c r="J291" s="332">
        <f>SU_10005_m</f>
        <v>6.3585000000000003E-2</v>
      </c>
      <c r="K291" s="332">
        <f>SU_10005_p</f>
        <v>0.36333333333333334</v>
      </c>
      <c r="L291" s="332">
        <v>0</v>
      </c>
      <c r="M291" s="332">
        <v>0</v>
      </c>
      <c r="N291" s="333">
        <f t="shared" si="38"/>
        <v>12.807550000000001</v>
      </c>
      <c r="O291" s="334">
        <v>463</v>
      </c>
    </row>
    <row r="292" spans="1:15" ht="14.4" x14ac:dyDescent="0.3">
      <c r="A292" s="317"/>
      <c r="B292" s="318" t="str">
        <f>'[1]SU A0600'!$B$3</f>
        <v>Suspension &amp; Shocks</v>
      </c>
      <c r="C292" s="319" t="str">
        <f>SU_A1100</f>
        <v>SU A1100</v>
      </c>
      <c r="D292" s="319" t="s">
        <v>51</v>
      </c>
      <c r="E292" s="319"/>
      <c r="F292" s="335" t="str">
        <f>'[1]SU A1100 '!B4</f>
        <v>Rear Uprights</v>
      </c>
      <c r="G292" s="319"/>
      <c r="H292" s="321">
        <f t="shared" si="37"/>
        <v>17.410454335645525</v>
      </c>
      <c r="I292" s="336">
        <f>SU_A1100_q</f>
        <v>2</v>
      </c>
      <c r="J292" s="323">
        <v>0</v>
      </c>
      <c r="K292" s="323">
        <f>SU_A1100_p</f>
        <v>16.329999999999998</v>
      </c>
      <c r="L292" s="323">
        <f>SU_A1100_f</f>
        <v>1.0804543356455256</v>
      </c>
      <c r="M292" s="323">
        <v>0</v>
      </c>
      <c r="N292" s="324">
        <f t="shared" si="38"/>
        <v>34.82090867129105</v>
      </c>
      <c r="O292" s="325">
        <v>465</v>
      </c>
    </row>
    <row r="293" spans="1:15" ht="14.4" x14ac:dyDescent="0.3">
      <c r="A293" s="326"/>
      <c r="B293" s="338" t="str">
        <f>'[1]SU A0600'!$B$3</f>
        <v>Suspension &amp; Shocks</v>
      </c>
      <c r="C293" s="327" t="str">
        <f>SU_11001</f>
        <v>SU 11001</v>
      </c>
      <c r="D293" s="328" t="s">
        <v>51</v>
      </c>
      <c r="E293" s="328" t="str">
        <f>$F$292</f>
        <v>Rear Uprights</v>
      </c>
      <c r="F293" s="329" t="str">
        <f>'[1]SU 11001'!B5</f>
        <v>Rear Upright</v>
      </c>
      <c r="G293" s="328"/>
      <c r="H293" s="330">
        <f t="shared" si="37"/>
        <v>106.51997000000001</v>
      </c>
      <c r="I293" s="337">
        <f>SU_11001_q*SU_A1100_q</f>
        <v>2</v>
      </c>
      <c r="J293" s="332">
        <f>SU_11001_m</f>
        <v>25.84197</v>
      </c>
      <c r="K293" s="332">
        <f>SU_11001_p</f>
        <v>80.678000000000011</v>
      </c>
      <c r="L293" s="332">
        <v>0</v>
      </c>
      <c r="M293" s="332">
        <v>0</v>
      </c>
      <c r="N293" s="333">
        <f t="shared" si="38"/>
        <v>213.03994000000003</v>
      </c>
      <c r="O293" s="334">
        <v>466</v>
      </c>
    </row>
    <row r="294" spans="1:15" ht="14.4" x14ac:dyDescent="0.3">
      <c r="A294" s="326"/>
      <c r="B294" s="338" t="str">
        <f>'[1]SU A0800'!$B$3</f>
        <v>Suspension &amp; Shocks</v>
      </c>
      <c r="C294" s="327" t="str">
        <f>SU_11002</f>
        <v>SU 11002</v>
      </c>
      <c r="D294" s="328" t="s">
        <v>51</v>
      </c>
      <c r="E294" s="328" t="str">
        <f>$F$292</f>
        <v>Rear Uprights</v>
      </c>
      <c r="F294" s="329" t="str">
        <f>'[1]SU 11002'!B5</f>
        <v>Upper Arm Bracket</v>
      </c>
      <c r="G294" s="328"/>
      <c r="H294" s="330">
        <f t="shared" si="37"/>
        <v>21.194420000000001</v>
      </c>
      <c r="I294" s="331">
        <f>SU_11002_q*SU_A1100_q</f>
        <v>2</v>
      </c>
      <c r="J294" s="332">
        <f>SU_11002_m</f>
        <v>3.3064199999999997</v>
      </c>
      <c r="K294" s="332">
        <f>SU_11002_p</f>
        <v>17.888000000000002</v>
      </c>
      <c r="L294" s="332">
        <v>0</v>
      </c>
      <c r="M294" s="332">
        <v>0</v>
      </c>
      <c r="N294" s="333">
        <f t="shared" si="38"/>
        <v>42.388840000000002</v>
      </c>
      <c r="O294" s="334">
        <v>469</v>
      </c>
    </row>
    <row r="295" spans="1:15" ht="14.4" x14ac:dyDescent="0.3">
      <c r="A295" s="326"/>
      <c r="B295" s="338" t="str">
        <f>'[1]SU A0800'!$B$3</f>
        <v>Suspension &amp; Shocks</v>
      </c>
      <c r="C295" s="327" t="str">
        <f>SU_11003</f>
        <v>SU 11003</v>
      </c>
      <c r="D295" s="328" t="s">
        <v>51</v>
      </c>
      <c r="E295" s="328" t="str">
        <f>$F$292</f>
        <v>Rear Uprights</v>
      </c>
      <c r="F295" s="340" t="str">
        <f>'[1]SU 11003'!B5</f>
        <v>Speed Sensor Bracket</v>
      </c>
      <c r="G295" s="328"/>
      <c r="H295" s="330">
        <f t="shared" si="37"/>
        <v>0.82576020000000006</v>
      </c>
      <c r="I295" s="331">
        <f>SU_11003_q*SU_A1100_q</f>
        <v>2</v>
      </c>
      <c r="J295" s="332">
        <f>SU_11003_m</f>
        <v>2.17602E-2</v>
      </c>
      <c r="K295" s="332">
        <f>SU_11003_p</f>
        <v>0.80400000000000005</v>
      </c>
      <c r="L295" s="332">
        <v>0</v>
      </c>
      <c r="M295" s="332">
        <v>0</v>
      </c>
      <c r="N295" s="333">
        <f t="shared" si="38"/>
        <v>1.6515204000000001</v>
      </c>
      <c r="O295" s="334">
        <v>471</v>
      </c>
    </row>
    <row r="296" spans="1:15" ht="14.4" x14ac:dyDescent="0.3">
      <c r="A296" s="326"/>
      <c r="B296" s="338" t="str">
        <f>'[1]SU A0800'!$B$3</f>
        <v>Suspension &amp; Shocks</v>
      </c>
      <c r="C296" s="327" t="str">
        <f>SU_11004</f>
        <v>SU 11004</v>
      </c>
      <c r="D296" s="328" t="s">
        <v>51</v>
      </c>
      <c r="E296" s="328" t="str">
        <f>$F$292</f>
        <v>Rear Uprights</v>
      </c>
      <c r="F296" s="340" t="str">
        <f>'[1]SU 11004'!B5</f>
        <v>Camber adjustment shim</v>
      </c>
      <c r="G296" s="328"/>
      <c r="H296" s="330">
        <f t="shared" si="37"/>
        <v>0.42454853333333331</v>
      </c>
      <c r="I296" s="331">
        <f>SU_11004_q*SU_A1100_q</f>
        <v>30</v>
      </c>
      <c r="J296" s="332">
        <f>SU_11004_m</f>
        <v>7.1215199999999992E-2</v>
      </c>
      <c r="K296" s="332">
        <f>SU_11004_p</f>
        <v>0.35333333333333333</v>
      </c>
      <c r="L296" s="332">
        <v>0</v>
      </c>
      <c r="M296" s="332">
        <v>0</v>
      </c>
      <c r="N296" s="333">
        <f t="shared" si="38"/>
        <v>12.736455999999999</v>
      </c>
      <c r="O296" s="334">
        <v>473</v>
      </c>
    </row>
    <row r="297" spans="1:15" ht="14.4" x14ac:dyDescent="0.3">
      <c r="A297" s="317"/>
      <c r="B297" s="318" t="str">
        <f>'[1]SU A0800'!$B$3</f>
        <v>Suspension &amp; Shocks</v>
      </c>
      <c r="C297" s="319" t="str">
        <f>SU_A1200</f>
        <v>SU A1200</v>
      </c>
      <c r="D297" s="319" t="s">
        <v>51</v>
      </c>
      <c r="E297" s="319"/>
      <c r="F297" s="335" t="str">
        <f>'[1]SU A1200'!B4</f>
        <v>Front Pullrod</v>
      </c>
      <c r="G297" s="319"/>
      <c r="H297" s="321">
        <f t="shared" si="37"/>
        <v>9.8514179810150431</v>
      </c>
      <c r="I297" s="336">
        <f>SU_A1200_q</f>
        <v>2</v>
      </c>
      <c r="J297" s="323">
        <f>SU_A1200_m</f>
        <v>5</v>
      </c>
      <c r="K297" s="323">
        <f>SU_A1200_p</f>
        <v>4.3660000000000005</v>
      </c>
      <c r="L297" s="323">
        <f>SU_A1200_f</f>
        <v>0.48541798101504374</v>
      </c>
      <c r="M297" s="323">
        <v>0</v>
      </c>
      <c r="N297" s="324">
        <f t="shared" si="38"/>
        <v>19.702835962030086</v>
      </c>
      <c r="O297" s="325">
        <v>475</v>
      </c>
    </row>
    <row r="298" spans="1:15" ht="14.4" x14ac:dyDescent="0.3">
      <c r="A298" s="326"/>
      <c r="B298" s="338" t="str">
        <f>'[1]SU A0800'!$B$3</f>
        <v>Suspension &amp; Shocks</v>
      </c>
      <c r="C298" s="327" t="str">
        <f>SU_12001</f>
        <v>SU 12001</v>
      </c>
      <c r="D298" s="328" t="s">
        <v>51</v>
      </c>
      <c r="E298" s="328" t="str">
        <f>$F$297</f>
        <v>Front Pullrod</v>
      </c>
      <c r="F298" s="329" t="str">
        <f>'[1]SU 12001'!B5</f>
        <v>Pullrod tube</v>
      </c>
      <c r="G298" s="328"/>
      <c r="H298" s="330">
        <f t="shared" si="37"/>
        <v>9.0687098494115101</v>
      </c>
      <c r="I298" s="337">
        <f>SU_12001_q*SU_A1200_q</f>
        <v>2</v>
      </c>
      <c r="J298" s="332">
        <f>SU_12001_m</f>
        <v>8.0610754216991207</v>
      </c>
      <c r="K298" s="332">
        <f>SU_12001_p</f>
        <v>1.0076344277123901</v>
      </c>
      <c r="L298" s="332">
        <v>0</v>
      </c>
      <c r="M298" s="332">
        <v>0</v>
      </c>
      <c r="N298" s="333">
        <f t="shared" si="38"/>
        <v>18.13741969882302</v>
      </c>
      <c r="O298" s="334">
        <v>476</v>
      </c>
    </row>
    <row r="299" spans="1:15" ht="14.4" x14ac:dyDescent="0.3">
      <c r="A299" s="326"/>
      <c r="B299" s="338" t="str">
        <f>'[1]SU A0800'!$B$3</f>
        <v>Suspension &amp; Shocks</v>
      </c>
      <c r="C299" s="327" t="str">
        <f>SU_12002</f>
        <v>SU 12002</v>
      </c>
      <c r="D299" s="328" t="s">
        <v>51</v>
      </c>
      <c r="E299" s="328" t="str">
        <f>$F$297</f>
        <v>Front Pullrod</v>
      </c>
      <c r="F299" s="329" t="str">
        <f>'[1]SU 12002'!B5</f>
        <v>Pullrod insert</v>
      </c>
      <c r="G299" s="328"/>
      <c r="H299" s="330">
        <f t="shared" si="37"/>
        <v>1.5833945082514056</v>
      </c>
      <c r="I299" s="331">
        <f>SU_12002_q*SU_A1200_q</f>
        <v>4</v>
      </c>
      <c r="J299" s="332">
        <f>SU_12002_m</f>
        <v>0.29364450825140531</v>
      </c>
      <c r="K299" s="332">
        <f>SU_12002_p</f>
        <v>1.2897500000000002</v>
      </c>
      <c r="L299" s="332">
        <v>0</v>
      </c>
      <c r="M299" s="332">
        <v>0</v>
      </c>
      <c r="N299" s="333">
        <f t="shared" si="38"/>
        <v>6.3335780330056224</v>
      </c>
      <c r="O299" s="334">
        <v>477</v>
      </c>
    </row>
    <row r="300" spans="1:15" ht="14.4" x14ac:dyDescent="0.3">
      <c r="A300" s="341"/>
      <c r="B300" s="338" t="str">
        <f>'[1]SU A0800'!$B$3</f>
        <v>Suspension &amp; Shocks</v>
      </c>
      <c r="C300" s="327" t="str">
        <f>SU_12003</f>
        <v>SU 12003</v>
      </c>
      <c r="D300" s="342" t="s">
        <v>51</v>
      </c>
      <c r="E300" s="328" t="str">
        <f>$F$297</f>
        <v>Front Pullrod</v>
      </c>
      <c r="F300" s="339" t="str">
        <f>'[1]SU 12003'!B5</f>
        <v>Spacer 1</v>
      </c>
      <c r="G300" s="342"/>
      <c r="H300" s="330">
        <f t="shared" si="37"/>
        <v>0.34825628167808953</v>
      </c>
      <c r="I300" s="331">
        <f>SU_12003_q*SU_A1200_q</f>
        <v>4</v>
      </c>
      <c r="J300" s="332">
        <f>SU_12003_m</f>
        <v>1.7756281678089514E-2</v>
      </c>
      <c r="K300" s="332">
        <f>SU_12003_p</f>
        <v>0.33050000000000002</v>
      </c>
      <c r="L300" s="332">
        <v>0</v>
      </c>
      <c r="M300" s="332">
        <v>0</v>
      </c>
      <c r="N300" s="333">
        <f t="shared" si="38"/>
        <v>1.3930251267123581</v>
      </c>
      <c r="O300" s="343">
        <v>479</v>
      </c>
    </row>
    <row r="301" spans="1:15" ht="14.4" x14ac:dyDescent="0.3">
      <c r="A301" s="326"/>
      <c r="B301" s="338" t="str">
        <f>'[1]SU A0800'!$B$3</f>
        <v>Suspension &amp; Shocks</v>
      </c>
      <c r="C301" s="327" t="str">
        <f>SU_12004</f>
        <v>SU 12004</v>
      </c>
      <c r="D301" s="342" t="s">
        <v>51</v>
      </c>
      <c r="E301" s="328" t="str">
        <f>$F$297</f>
        <v>Front Pullrod</v>
      </c>
      <c r="F301" s="339" t="str">
        <f>'[1]SU 12004'!B5</f>
        <v>Spacer 2</v>
      </c>
      <c r="G301" s="328"/>
      <c r="H301" s="330">
        <f t="shared" si="37"/>
        <v>0.36380753801370747</v>
      </c>
      <c r="I301" s="331">
        <f>SU_12004_q*SU_A1200_q</f>
        <v>4</v>
      </c>
      <c r="J301" s="332">
        <f>SU_12004_M</f>
        <v>2.1307538013707415E-2</v>
      </c>
      <c r="K301" s="332">
        <f>SU_12004_P</f>
        <v>0.34250000000000003</v>
      </c>
      <c r="L301" s="332">
        <v>0</v>
      </c>
      <c r="M301" s="332">
        <v>0</v>
      </c>
      <c r="N301" s="333">
        <f t="shared" si="38"/>
        <v>1.4552301520548299</v>
      </c>
      <c r="O301" s="334">
        <v>481</v>
      </c>
    </row>
    <row r="302" spans="1:15" ht="14.4" x14ac:dyDescent="0.3">
      <c r="A302" s="317"/>
      <c r="B302" s="318" t="str">
        <f>'[1]SU A0800'!$B$3</f>
        <v>Suspension &amp; Shocks</v>
      </c>
      <c r="C302" s="319" t="str">
        <f>SU_A1300</f>
        <v>SU A1300</v>
      </c>
      <c r="D302" s="319" t="s">
        <v>51</v>
      </c>
      <c r="E302" s="319"/>
      <c r="F302" s="335" t="str">
        <f>'[1]SU A1300'!B4</f>
        <v>Rear Pushrod</v>
      </c>
      <c r="G302" s="319"/>
      <c r="H302" s="321">
        <f t="shared" si="37"/>
        <v>9.455417981015044</v>
      </c>
      <c r="I302" s="336">
        <f>SU_A1300_q</f>
        <v>2</v>
      </c>
      <c r="J302" s="323">
        <f>SU_A1300_m</f>
        <v>5</v>
      </c>
      <c r="K302" s="323">
        <f>SU_A1300_p</f>
        <v>3.9700000000000006</v>
      </c>
      <c r="L302" s="323">
        <f>SU_A1300_f</f>
        <v>0.48541798101504374</v>
      </c>
      <c r="M302" s="323">
        <v>0</v>
      </c>
      <c r="N302" s="324">
        <f t="shared" si="38"/>
        <v>18.910835962030088</v>
      </c>
      <c r="O302" s="325">
        <v>483</v>
      </c>
    </row>
    <row r="303" spans="1:15" ht="14.4" x14ac:dyDescent="0.3">
      <c r="A303" s="326"/>
      <c r="B303" s="338" t="str">
        <f>'[1]SU A0800'!$B$3</f>
        <v>Suspension &amp; Shocks</v>
      </c>
      <c r="C303" s="327" t="str">
        <f>SU_13001</f>
        <v>SU 13001</v>
      </c>
      <c r="D303" s="328" t="s">
        <v>51</v>
      </c>
      <c r="E303" s="328" t="s">
        <v>104</v>
      </c>
      <c r="F303" s="329" t="str">
        <f>'[1]SU 13001'!B5</f>
        <v>Steel cylinder for pushrod</v>
      </c>
      <c r="G303" s="328"/>
      <c r="H303" s="330">
        <f t="shared" si="37"/>
        <v>1.4513899941560895</v>
      </c>
      <c r="I303" s="337">
        <f>SU_13001_q*SU_A1300_q</f>
        <v>2</v>
      </c>
      <c r="J303" s="332">
        <f>SU_13001_m</f>
        <v>0.10138999415608932</v>
      </c>
      <c r="K303" s="332">
        <f>SU_13001_p</f>
        <v>1.35</v>
      </c>
      <c r="L303" s="332">
        <v>0</v>
      </c>
      <c r="M303" s="332">
        <v>0</v>
      </c>
      <c r="N303" s="333">
        <f t="shared" si="38"/>
        <v>2.902779988312179</v>
      </c>
      <c r="O303" s="334">
        <v>484</v>
      </c>
    </row>
    <row r="304" spans="1:15" ht="15" thickBot="1" x14ac:dyDescent="0.35">
      <c r="A304" s="326"/>
      <c r="B304" s="338" t="str">
        <f>'[5]SU A1300'!$B$3</f>
        <v>Suspension &amp; Shocks</v>
      </c>
      <c r="C304" s="327" t="str">
        <f>SU_13002</f>
        <v>SU 13002</v>
      </c>
      <c r="D304" s="328" t="s">
        <v>51</v>
      </c>
      <c r="E304" s="328" t="s">
        <v>104</v>
      </c>
      <c r="F304" s="344" t="str">
        <f>'[1]SU 13002'!B5</f>
        <v>Spacer</v>
      </c>
      <c r="G304" s="328"/>
      <c r="H304" s="330">
        <f t="shared" si="37"/>
        <v>0.36380753801370747</v>
      </c>
      <c r="I304" s="331">
        <f>SU_13002_q*SU_A1300_q</f>
        <v>8</v>
      </c>
      <c r="J304" s="332">
        <f>SU_13002_m</f>
        <v>2.1307538013707415E-2</v>
      </c>
      <c r="K304" s="332">
        <f>SU_13002_p</f>
        <v>0.34250000000000003</v>
      </c>
      <c r="L304" s="332">
        <v>0</v>
      </c>
      <c r="M304" s="332">
        <v>0</v>
      </c>
      <c r="N304" s="333">
        <f t="shared" si="38"/>
        <v>2.9104603041096597</v>
      </c>
      <c r="O304" s="334">
        <v>486</v>
      </c>
    </row>
    <row r="305" spans="1:15" s="117" customFormat="1" ht="15" thickTop="1" thickBot="1" x14ac:dyDescent="0.3">
      <c r="A305" s="110"/>
      <c r="B305" s="111" t="str">
        <f>[6]SU_A0200!B3</f>
        <v>Suspension &amp; Shocks</v>
      </c>
      <c r="C305" s="112"/>
      <c r="D305" s="112"/>
      <c r="E305" s="112"/>
      <c r="F305" s="111" t="s">
        <v>52</v>
      </c>
      <c r="G305" s="112"/>
      <c r="H305" s="113"/>
      <c r="I305" s="114"/>
      <c r="J305" s="115">
        <f>SUMPRODUCT($I220:$I304,J220:J304)</f>
        <v>1865.7978751981448</v>
      </c>
      <c r="K305" s="115">
        <f>SUMPRODUCT($I220:$I304,K220:K304)</f>
        <v>924.02871530614379</v>
      </c>
      <c r="L305" s="115">
        <f>SUMPRODUCT($I220:$I304,L220:L304)</f>
        <v>12.840105661655308</v>
      </c>
      <c r="M305" s="115">
        <f>SUMPRODUCT($I220:$I304,M220:M304)</f>
        <v>14.666666666666664</v>
      </c>
      <c r="N305" s="115">
        <f>SUM(N220:N304)</f>
        <v>2817.3333628326109</v>
      </c>
      <c r="O305" s="116"/>
    </row>
    <row r="306" spans="1:15" ht="15" thickTop="1" x14ac:dyDescent="0.3">
      <c r="A306" s="345"/>
      <c r="B306" s="346" t="s">
        <v>105</v>
      </c>
      <c r="C306" s="347" t="str">
        <f>WT_A0100</f>
        <v>WT A0100</v>
      </c>
      <c r="D306" s="347" t="s">
        <v>51</v>
      </c>
      <c r="E306" s="347"/>
      <c r="F306" s="348" t="str">
        <f>'[1]WT A0100'!B4</f>
        <v>Wheel Assembly</v>
      </c>
      <c r="G306" s="347"/>
      <c r="H306" s="349">
        <f t="shared" ref="H306:H318" si="39">SUM(J306:M306)</f>
        <v>175.23</v>
      </c>
      <c r="I306" s="350">
        <f>WT_A0100_q</f>
        <v>4</v>
      </c>
      <c r="J306" s="351">
        <f>WT_A0100_m</f>
        <v>170</v>
      </c>
      <c r="K306" s="351">
        <f>WT_A0100_p</f>
        <v>3.63</v>
      </c>
      <c r="L306" s="351">
        <f>WT_A0100_f</f>
        <v>1.6</v>
      </c>
      <c r="M306" s="351">
        <v>0</v>
      </c>
      <c r="N306" s="352">
        <f t="shared" ref="N306:N318" si="40">H306*I306</f>
        <v>700.92</v>
      </c>
      <c r="O306" s="353">
        <v>489</v>
      </c>
    </row>
    <row r="307" spans="1:15" ht="14.4" x14ac:dyDescent="0.3">
      <c r="A307" s="354"/>
      <c r="B307" s="346" t="s">
        <v>105</v>
      </c>
      <c r="C307" s="355" t="s">
        <v>106</v>
      </c>
      <c r="D307" s="347" t="s">
        <v>51</v>
      </c>
      <c r="E307" s="347"/>
      <c r="F307" s="348" t="str">
        <f>'[1]WT A0200'!B4</f>
        <v>Front Hubs</v>
      </c>
      <c r="G307" s="347"/>
      <c r="H307" s="349">
        <f t="shared" si="39"/>
        <v>249.36436975382847</v>
      </c>
      <c r="I307" s="350">
        <f>WT_A0200_q</f>
        <v>2</v>
      </c>
      <c r="J307" s="351">
        <f>WT_A0200_m</f>
        <v>243.47088403557726</v>
      </c>
      <c r="K307" s="351">
        <f>WT_A0200_p</f>
        <v>1.6314000000000002</v>
      </c>
      <c r="L307" s="351">
        <f>WT_A0200_f</f>
        <v>4.2620857182511926</v>
      </c>
      <c r="M307" s="351">
        <v>0</v>
      </c>
      <c r="N307" s="352">
        <f t="shared" si="40"/>
        <v>498.72873950765694</v>
      </c>
      <c r="O307" s="353">
        <v>490</v>
      </c>
    </row>
    <row r="308" spans="1:15" ht="14.4" x14ac:dyDescent="0.3">
      <c r="A308" s="356"/>
      <c r="B308" s="357" t="s">
        <v>105</v>
      </c>
      <c r="C308" s="358" t="s">
        <v>107</v>
      </c>
      <c r="D308" s="359" t="s">
        <v>51</v>
      </c>
      <c r="E308" s="359" t="str">
        <f>F$307</f>
        <v>Front Hubs</v>
      </c>
      <c r="F308" s="360" t="str">
        <f>'[1]WT 02001'!B5</f>
        <v>Front Hub</v>
      </c>
      <c r="G308" s="359"/>
      <c r="H308" s="361">
        <f t="shared" si="39"/>
        <v>64.158517485600001</v>
      </c>
      <c r="I308" s="362">
        <f>WT_A0200_q*WT_02001_q</f>
        <v>2</v>
      </c>
      <c r="J308" s="363">
        <f>WT_02001_m</f>
        <v>13.751077485600002</v>
      </c>
      <c r="K308" s="363">
        <f>WT_02001_p</f>
        <v>50.407440000000001</v>
      </c>
      <c r="L308" s="363">
        <v>0</v>
      </c>
      <c r="M308" s="363">
        <v>0</v>
      </c>
      <c r="N308" s="364">
        <f t="shared" si="40"/>
        <v>128.3170349712</v>
      </c>
      <c r="O308" s="365">
        <v>491</v>
      </c>
    </row>
    <row r="309" spans="1:15" ht="14.4" x14ac:dyDescent="0.3">
      <c r="A309" s="356"/>
      <c r="B309" s="357" t="s">
        <v>105</v>
      </c>
      <c r="C309" s="358" t="s">
        <v>108</v>
      </c>
      <c r="D309" s="359" t="s">
        <v>51</v>
      </c>
      <c r="E309" s="359" t="str">
        <f>F$307</f>
        <v>Front Hubs</v>
      </c>
      <c r="F309" s="360" t="str">
        <f>'[1]WT 02002'!B5</f>
        <v>Wheel bearing spacer</v>
      </c>
      <c r="G309" s="359"/>
      <c r="H309" s="361">
        <f t="shared" si="39"/>
        <v>2.6214313574000001</v>
      </c>
      <c r="I309" s="362">
        <f>WT_A0200_q*WT_02002_q</f>
        <v>2</v>
      </c>
      <c r="J309" s="363">
        <f>WT_02002_m</f>
        <v>0.24343135739999999</v>
      </c>
      <c r="K309" s="363">
        <f>WT_02002_p</f>
        <v>2.3780000000000001</v>
      </c>
      <c r="L309" s="363">
        <v>0</v>
      </c>
      <c r="M309" s="363">
        <v>0</v>
      </c>
      <c r="N309" s="364">
        <f t="shared" si="40"/>
        <v>5.2428627148000002</v>
      </c>
      <c r="O309" s="365">
        <v>493</v>
      </c>
    </row>
    <row r="310" spans="1:15" ht="14.4" x14ac:dyDescent="0.3">
      <c r="A310" s="356"/>
      <c r="B310" s="357" t="s">
        <v>105</v>
      </c>
      <c r="C310" s="358" t="s">
        <v>109</v>
      </c>
      <c r="D310" s="359" t="s">
        <v>51</v>
      </c>
      <c r="E310" s="359" t="str">
        <f>F$307</f>
        <v>Front Hubs</v>
      </c>
      <c r="F310" s="360" t="str">
        <f>'[1]WT 02003'!B5</f>
        <v>Front Wheel Spacer</v>
      </c>
      <c r="G310" s="359"/>
      <c r="H310" s="361">
        <f t="shared" si="39"/>
        <v>20.676657798400001</v>
      </c>
      <c r="I310" s="362">
        <f>WT_A0200_q*WT_02003_q</f>
        <v>2</v>
      </c>
      <c r="J310" s="363">
        <f>WT_02003_m</f>
        <v>3.626657798400001</v>
      </c>
      <c r="K310" s="363">
        <f>WT_02003_p</f>
        <v>17.05</v>
      </c>
      <c r="L310" s="363">
        <v>0</v>
      </c>
      <c r="M310" s="363">
        <v>0</v>
      </c>
      <c r="N310" s="364">
        <f t="shared" si="40"/>
        <v>41.353315596800002</v>
      </c>
      <c r="O310" s="365">
        <v>495</v>
      </c>
    </row>
    <row r="311" spans="1:15" ht="14.4" x14ac:dyDescent="0.3">
      <c r="A311" s="356"/>
      <c r="B311" s="357" t="s">
        <v>105</v>
      </c>
      <c r="C311" s="358" t="s">
        <v>110</v>
      </c>
      <c r="D311" s="359" t="s">
        <v>51</v>
      </c>
      <c r="E311" s="359" t="str">
        <f>F$307</f>
        <v>Front Hubs</v>
      </c>
      <c r="F311" s="360" t="str">
        <f>'[1]WT 02004'!B5</f>
        <v>Speed sensor spacer</v>
      </c>
      <c r="G311" s="359"/>
      <c r="H311" s="361">
        <f t="shared" si="39"/>
        <v>0.95013112</v>
      </c>
      <c r="I311" s="362">
        <f>WT_A0200_q*WT_02004_q</f>
        <v>2</v>
      </c>
      <c r="J311" s="363">
        <f>WT_02004_m</f>
        <v>4.6131120000000005E-2</v>
      </c>
      <c r="K311" s="363">
        <f>WT_02004_p</f>
        <v>0.90400000000000003</v>
      </c>
      <c r="L311" s="363">
        <v>0</v>
      </c>
      <c r="M311" s="363">
        <v>0</v>
      </c>
      <c r="N311" s="364">
        <f t="shared" si="40"/>
        <v>1.90026224</v>
      </c>
      <c r="O311" s="365">
        <v>497</v>
      </c>
    </row>
    <row r="312" spans="1:15" ht="14.4" x14ac:dyDescent="0.3">
      <c r="A312" s="356"/>
      <c r="B312" s="357" t="s">
        <v>105</v>
      </c>
      <c r="C312" s="358" t="s">
        <v>111</v>
      </c>
      <c r="D312" s="359" t="s">
        <v>51</v>
      </c>
      <c r="E312" s="359" t="str">
        <f>F$307</f>
        <v>Front Hubs</v>
      </c>
      <c r="F312" s="360" t="str">
        <f>'[1]WT 02005'!B5</f>
        <v>Speed Sensor Disc</v>
      </c>
      <c r="G312" s="359"/>
      <c r="H312" s="361">
        <f t="shared" si="39"/>
        <v>3.9701600000000004</v>
      </c>
      <c r="I312" s="362">
        <f>WT_A0200_q*WT_02005_q</f>
        <v>2</v>
      </c>
      <c r="J312" s="363">
        <f>WT_02005_m</f>
        <v>0.45216000000000006</v>
      </c>
      <c r="K312" s="363">
        <f>WT_02005_p</f>
        <v>3.5180000000000002</v>
      </c>
      <c r="L312" s="363">
        <v>0</v>
      </c>
      <c r="M312" s="363">
        <v>0</v>
      </c>
      <c r="N312" s="364">
        <f t="shared" si="40"/>
        <v>7.9403200000000007</v>
      </c>
      <c r="O312" s="365">
        <v>499</v>
      </c>
    </row>
    <row r="313" spans="1:15" ht="14.4" x14ac:dyDescent="0.3">
      <c r="A313" s="354"/>
      <c r="B313" s="346" t="s">
        <v>105</v>
      </c>
      <c r="C313" s="347" t="s">
        <v>112</v>
      </c>
      <c r="D313" s="347" t="s">
        <v>51</v>
      </c>
      <c r="E313" s="347"/>
      <c r="F313" s="348" t="str">
        <f>'[1]WT A0300'!B4</f>
        <v>Rear Hubs</v>
      </c>
      <c r="G313" s="366"/>
      <c r="H313" s="349">
        <f t="shared" si="39"/>
        <v>205.23573875018587</v>
      </c>
      <c r="I313" s="367">
        <f>WT_A0300_q</f>
        <v>2</v>
      </c>
      <c r="J313" s="351">
        <f>WT_A0300_m</f>
        <v>199.53225303193469</v>
      </c>
      <c r="K313" s="351">
        <f>WT_A0300_p</f>
        <v>1.4414000000000002</v>
      </c>
      <c r="L313" s="351">
        <f>WT_A0300_f</f>
        <v>4.2620857182511926</v>
      </c>
      <c r="M313" s="351">
        <v>0</v>
      </c>
      <c r="N313" s="352">
        <f t="shared" si="40"/>
        <v>410.47147750037175</v>
      </c>
      <c r="O313" s="353">
        <v>501</v>
      </c>
    </row>
    <row r="314" spans="1:15" ht="14.4" x14ac:dyDescent="0.3">
      <c r="A314" s="356"/>
      <c r="B314" s="357" t="s">
        <v>105</v>
      </c>
      <c r="C314" s="358" t="str">
        <f>WT_03001</f>
        <v>WT 03001</v>
      </c>
      <c r="D314" s="359" t="s">
        <v>51</v>
      </c>
      <c r="E314" s="359" t="str">
        <f>F$313</f>
        <v>Rear Hubs</v>
      </c>
      <c r="F314" s="360" t="str">
        <f>'[1]WT 03001'!B5</f>
        <v>Rear Hub</v>
      </c>
      <c r="G314" s="359"/>
      <c r="H314" s="361">
        <f t="shared" si="39"/>
        <v>52.730637179680002</v>
      </c>
      <c r="I314" s="362">
        <f>WT_A0300_q*WT_03001_q</f>
        <v>2</v>
      </c>
      <c r="J314" s="363">
        <f>WT_03001_m</f>
        <v>12.058637179680003</v>
      </c>
      <c r="K314" s="363">
        <f>WT_03001_p</f>
        <v>40.671999999999997</v>
      </c>
      <c r="L314" s="363">
        <v>0</v>
      </c>
      <c r="M314" s="363">
        <v>0</v>
      </c>
      <c r="N314" s="364">
        <f t="shared" si="40"/>
        <v>105.46127435936</v>
      </c>
      <c r="O314" s="365">
        <v>502</v>
      </c>
    </row>
    <row r="315" spans="1:15" ht="14.4" x14ac:dyDescent="0.3">
      <c r="A315" s="356"/>
      <c r="B315" s="357" t="s">
        <v>105</v>
      </c>
      <c r="C315" s="358" t="str">
        <f>WT_03002</f>
        <v>WT 03002</v>
      </c>
      <c r="D315" s="359" t="s">
        <v>51</v>
      </c>
      <c r="E315" s="359" t="str">
        <f>F$313</f>
        <v>Rear Hubs</v>
      </c>
      <c r="F315" s="360" t="str">
        <f>'[1]WT 03002'!B5</f>
        <v>Wheel bearing spacer</v>
      </c>
      <c r="G315" s="359"/>
      <c r="H315" s="361">
        <f t="shared" si="39"/>
        <v>3.9690868631840006</v>
      </c>
      <c r="I315" s="362">
        <f>WT_A0300_q*WT_03002_q</f>
        <v>2</v>
      </c>
      <c r="J315" s="363">
        <f>WT_03002_m</f>
        <v>0.66708686318400001</v>
      </c>
      <c r="K315" s="363">
        <f>WT_03002_p</f>
        <v>3.3020000000000005</v>
      </c>
      <c r="L315" s="363">
        <v>0</v>
      </c>
      <c r="M315" s="363">
        <v>0</v>
      </c>
      <c r="N315" s="364">
        <f t="shared" si="40"/>
        <v>7.9381737263680012</v>
      </c>
      <c r="O315" s="365">
        <v>504</v>
      </c>
    </row>
    <row r="316" spans="1:15" ht="14.4" x14ac:dyDescent="0.3">
      <c r="A316" s="356"/>
      <c r="B316" s="357" t="s">
        <v>105</v>
      </c>
      <c r="C316" s="358" t="str">
        <f>WT_03003</f>
        <v>WT 03003</v>
      </c>
      <c r="D316" s="359" t="s">
        <v>51</v>
      </c>
      <c r="E316" s="359" t="str">
        <f>F$313</f>
        <v>Rear Hubs</v>
      </c>
      <c r="F316" s="360" t="str">
        <f>'[1]WT 03003'!B5</f>
        <v>Rear Wheel Spacer</v>
      </c>
      <c r="G316" s="359"/>
      <c r="H316" s="361">
        <f t="shared" si="39"/>
        <v>22.316657798400001</v>
      </c>
      <c r="I316" s="362">
        <f>WT_A0300_q*WT_03003_q</f>
        <v>2</v>
      </c>
      <c r="J316" s="363">
        <f>WT_03003_m</f>
        <v>3.626657798400001</v>
      </c>
      <c r="K316" s="363">
        <f>WT_03003_p</f>
        <v>18.690000000000001</v>
      </c>
      <c r="L316" s="363">
        <v>0</v>
      </c>
      <c r="M316" s="363">
        <v>0</v>
      </c>
      <c r="N316" s="364">
        <f t="shared" si="40"/>
        <v>44.633315596800003</v>
      </c>
      <c r="O316" s="365">
        <v>506</v>
      </c>
    </row>
    <row r="317" spans="1:15" ht="14.4" x14ac:dyDescent="0.3">
      <c r="A317" s="356"/>
      <c r="B317" s="357" t="s">
        <v>105</v>
      </c>
      <c r="C317" s="358" t="str">
        <f>WT_03004</f>
        <v>WT 03004</v>
      </c>
      <c r="D317" s="359" t="s">
        <v>51</v>
      </c>
      <c r="E317" s="359" t="str">
        <f>F$313</f>
        <v>Rear Hubs</v>
      </c>
      <c r="F317" s="360" t="str">
        <f>'[1]WT 03004'!B5</f>
        <v>Tripod housing spacer</v>
      </c>
      <c r="G317" s="359"/>
      <c r="H317" s="361">
        <f t="shared" si="39"/>
        <v>3.9037398677120008</v>
      </c>
      <c r="I317" s="362">
        <f>WT_A0300_q*WT_03004_q</f>
        <v>2</v>
      </c>
      <c r="J317" s="363">
        <f>WT_03004_m</f>
        <v>0.66173986771200011</v>
      </c>
      <c r="K317" s="363">
        <f>WT_03004_p</f>
        <v>3.2420000000000004</v>
      </c>
      <c r="L317" s="363">
        <v>0</v>
      </c>
      <c r="M317" s="363">
        <v>0</v>
      </c>
      <c r="N317" s="364">
        <f t="shared" si="40"/>
        <v>7.8074797354240015</v>
      </c>
      <c r="O317" s="365">
        <v>508</v>
      </c>
    </row>
    <row r="318" spans="1:15" ht="15.6" customHeight="1" thickBot="1" x14ac:dyDescent="0.35">
      <c r="A318" s="356"/>
      <c r="B318" s="357" t="s">
        <v>105</v>
      </c>
      <c r="C318" s="358" t="str">
        <f>WT_03005</f>
        <v>WT 03005</v>
      </c>
      <c r="D318" s="359" t="s">
        <v>51</v>
      </c>
      <c r="E318" s="359" t="str">
        <f>F$313</f>
        <v>Rear Hubs</v>
      </c>
      <c r="F318" s="360" t="str">
        <f>'[1]WT 03005'!B5</f>
        <v>Speed Sensor Disc</v>
      </c>
      <c r="G318" s="359"/>
      <c r="H318" s="361">
        <f t="shared" si="39"/>
        <v>3.2261850000000001</v>
      </c>
      <c r="I318" s="362">
        <f>WT_A0300_q*WT_03005_q</f>
        <v>2</v>
      </c>
      <c r="J318" s="363">
        <f>WT_03005_m</f>
        <v>0.34618500000000008</v>
      </c>
      <c r="K318" s="363">
        <f>WT_03005_p</f>
        <v>2.88</v>
      </c>
      <c r="L318" s="363">
        <v>0</v>
      </c>
      <c r="M318" s="363">
        <v>0</v>
      </c>
      <c r="N318" s="364">
        <f t="shared" si="40"/>
        <v>6.4523700000000002</v>
      </c>
      <c r="O318" s="365">
        <v>510</v>
      </c>
    </row>
    <row r="319" spans="1:15" s="117" customFormat="1" ht="15" thickTop="1" thickBot="1" x14ac:dyDescent="0.3">
      <c r="A319" s="110"/>
      <c r="B319" s="111" t="str">
        <f>B317</f>
        <v>Wheels, Wheel Bearings and Tires</v>
      </c>
      <c r="C319" s="112"/>
      <c r="D319" s="112"/>
      <c r="E319" s="112"/>
      <c r="F319" s="111" t="s">
        <v>52</v>
      </c>
      <c r="G319" s="112"/>
      <c r="H319" s="113"/>
      <c r="I319" s="114"/>
      <c r="J319" s="115">
        <f>SUMPRODUCT($I306:$I318,J306:J318)</f>
        <v>1636.9658030757757</v>
      </c>
      <c r="K319" s="115">
        <f>SUMPRODUCT($I306:$I318,K306:K318)</f>
        <v>306.75247999999993</v>
      </c>
      <c r="L319" s="115">
        <f>SUMPRODUCT($I306:$I318,L306:L318)</f>
        <v>23.448342873004769</v>
      </c>
      <c r="M319" s="115">
        <f>SUMPRODUCT($I306:$I318,M306:M318)</f>
        <v>0</v>
      </c>
      <c r="N319" s="115">
        <f>SUM(N306:N318)</f>
        <v>1967.1666259487806</v>
      </c>
      <c r="O319" s="116"/>
    </row>
    <row r="320" spans="1:15" s="117" customFormat="1" ht="14.4" thickTop="1" x14ac:dyDescent="0.25">
      <c r="A320" s="368"/>
      <c r="B320" s="369"/>
      <c r="C320" s="370"/>
      <c r="D320" s="370"/>
      <c r="E320" s="370"/>
      <c r="F320" s="369"/>
      <c r="G320" s="370"/>
      <c r="H320" s="371"/>
      <c r="I320" s="372"/>
      <c r="J320" s="373"/>
      <c r="K320" s="373"/>
      <c r="L320" s="373"/>
      <c r="M320" s="373"/>
      <c r="N320" s="373"/>
      <c r="O320" s="374"/>
    </row>
    <row r="321" spans="1:14" x14ac:dyDescent="0.25">
      <c r="A321" s="375"/>
      <c r="B321" s="63"/>
      <c r="C321" s="68"/>
      <c r="D321" s="68"/>
      <c r="E321" s="68"/>
      <c r="F321" s="68"/>
      <c r="G321" s="68"/>
      <c r="H321" s="376"/>
      <c r="I321" s="68"/>
      <c r="J321" s="68"/>
      <c r="K321" s="68"/>
      <c r="L321" s="68"/>
      <c r="M321" s="68"/>
      <c r="N321" s="68"/>
    </row>
    <row r="322" spans="1:14" x14ac:dyDescent="0.25">
      <c r="A322" s="375"/>
      <c r="B322" s="63"/>
      <c r="C322" s="68"/>
      <c r="D322" s="68"/>
      <c r="E322" s="68"/>
      <c r="F322" s="68"/>
      <c r="G322" s="68"/>
      <c r="H322" s="376"/>
      <c r="I322" s="68"/>
      <c r="J322" s="68"/>
      <c r="K322" s="68"/>
      <c r="L322" s="68"/>
      <c r="M322" s="68"/>
      <c r="N322" s="68"/>
    </row>
    <row r="323" spans="1:14" x14ac:dyDescent="0.25">
      <c r="A323" s="375"/>
      <c r="B323" s="375"/>
      <c r="D323" s="68"/>
      <c r="E323" s="68"/>
      <c r="G323" s="68"/>
      <c r="H323" s="68"/>
      <c r="I323" s="376"/>
      <c r="J323" s="376"/>
      <c r="K323" s="376"/>
      <c r="L323" s="376"/>
      <c r="M323" s="376"/>
      <c r="N323" s="68"/>
    </row>
    <row r="324" spans="1:14" x14ac:dyDescent="0.25">
      <c r="A324" s="375"/>
      <c r="B324" s="375"/>
      <c r="D324" s="68"/>
      <c r="E324" s="68"/>
      <c r="G324" s="68"/>
      <c r="H324" s="68"/>
      <c r="I324" s="376"/>
      <c r="J324" s="376"/>
      <c r="K324" s="376"/>
      <c r="L324" s="376"/>
      <c r="M324" s="376"/>
      <c r="N324" s="377"/>
    </row>
    <row r="325" spans="1:14" x14ac:dyDescent="0.25">
      <c r="A325" s="375"/>
      <c r="B325" s="375"/>
      <c r="D325" s="68"/>
      <c r="E325" s="68"/>
      <c r="G325" s="68"/>
      <c r="H325" s="68"/>
      <c r="I325" s="376"/>
      <c r="J325" s="376"/>
      <c r="K325" s="376"/>
      <c r="L325" s="376"/>
      <c r="M325" s="376"/>
      <c r="N325" s="68"/>
    </row>
    <row r="326" spans="1:14" x14ac:dyDescent="0.25">
      <c r="A326" s="375"/>
      <c r="B326" s="375"/>
      <c r="D326" s="68"/>
      <c r="E326" s="68"/>
      <c r="G326" s="68"/>
      <c r="H326" s="68"/>
      <c r="I326" s="376"/>
      <c r="J326" s="376"/>
      <c r="K326" s="376"/>
      <c r="L326" s="376"/>
      <c r="M326" s="376"/>
      <c r="N326" s="377"/>
    </row>
    <row r="327" spans="1:14" x14ac:dyDescent="0.25">
      <c r="A327" s="375"/>
      <c r="B327" s="375"/>
      <c r="D327" s="68"/>
      <c r="E327" s="68"/>
      <c r="G327" s="68"/>
      <c r="H327" s="68"/>
      <c r="I327" s="376"/>
      <c r="J327" s="376"/>
      <c r="K327" s="376"/>
      <c r="L327" s="376"/>
      <c r="M327" s="376"/>
      <c r="N327" s="68"/>
    </row>
    <row r="328" spans="1:14" x14ac:dyDescent="0.25">
      <c r="A328" s="375"/>
      <c r="B328" s="375"/>
      <c r="D328" s="68"/>
      <c r="E328" s="68"/>
      <c r="G328" s="68"/>
      <c r="H328" s="68"/>
      <c r="I328" s="376"/>
      <c r="J328" s="376"/>
      <c r="K328" s="376"/>
      <c r="L328" s="376"/>
      <c r="M328" s="376"/>
      <c r="N328" s="68"/>
    </row>
    <row r="329" spans="1:14" x14ac:dyDescent="0.25">
      <c r="A329" s="375"/>
      <c r="B329" s="375"/>
      <c r="D329" s="68"/>
      <c r="E329" s="68"/>
      <c r="G329" s="68"/>
      <c r="H329" s="68"/>
      <c r="I329" s="376"/>
      <c r="J329" s="376"/>
      <c r="K329" s="376"/>
      <c r="L329" s="376"/>
      <c r="M329" s="376"/>
      <c r="N329" s="68"/>
    </row>
    <row r="330" spans="1:14" x14ac:dyDescent="0.25">
      <c r="A330" s="375"/>
      <c r="B330" s="375"/>
      <c r="D330" s="68"/>
      <c r="E330" s="68"/>
      <c r="G330" s="68"/>
      <c r="H330" s="68"/>
      <c r="I330" s="376"/>
      <c r="J330" s="376"/>
      <c r="K330" s="376"/>
      <c r="L330" s="376"/>
      <c r="M330" s="376"/>
      <c r="N330" s="68"/>
    </row>
    <row r="331" spans="1:14" x14ac:dyDescent="0.25">
      <c r="A331" s="375"/>
      <c r="B331" s="375"/>
      <c r="D331" s="68"/>
      <c r="E331" s="68"/>
      <c r="G331" s="68"/>
      <c r="H331" s="68"/>
      <c r="I331" s="376"/>
      <c r="J331" s="376"/>
      <c r="K331" s="376"/>
      <c r="L331" s="376"/>
      <c r="M331" s="376"/>
      <c r="N331" s="68"/>
    </row>
    <row r="332" spans="1:14" x14ac:dyDescent="0.25">
      <c r="A332" s="375"/>
      <c r="B332" s="375"/>
      <c r="D332" s="68"/>
      <c r="E332" s="68"/>
      <c r="G332" s="68"/>
      <c r="H332" s="68"/>
      <c r="I332" s="376"/>
      <c r="J332" s="376"/>
      <c r="K332" s="376"/>
      <c r="L332" s="376"/>
      <c r="M332" s="376"/>
      <c r="N332" s="68"/>
    </row>
    <row r="333" spans="1:14" x14ac:dyDescent="0.25">
      <c r="A333" s="375"/>
      <c r="B333" s="375"/>
      <c r="D333" s="68"/>
      <c r="E333" s="68"/>
      <c r="G333" s="68"/>
      <c r="H333" s="68"/>
      <c r="I333" s="376"/>
      <c r="J333" s="376"/>
      <c r="K333" s="376"/>
      <c r="L333" s="376"/>
      <c r="M333" s="376"/>
      <c r="N333" s="68"/>
    </row>
    <row r="334" spans="1:14" x14ac:dyDescent="0.25">
      <c r="A334" s="375"/>
      <c r="B334" s="375"/>
      <c r="D334" s="68"/>
      <c r="E334" s="68"/>
      <c r="G334" s="68"/>
      <c r="H334" s="68"/>
      <c r="I334" s="376"/>
      <c r="J334" s="376"/>
      <c r="K334" s="376"/>
      <c r="L334" s="376"/>
      <c r="M334" s="376"/>
      <c r="N334" s="68"/>
    </row>
    <row r="335" spans="1:14" x14ac:dyDescent="0.25">
      <c r="A335" s="375"/>
      <c r="B335" s="375"/>
      <c r="D335" s="68"/>
      <c r="E335" s="68"/>
      <c r="G335" s="68"/>
      <c r="H335" s="68"/>
      <c r="I335" s="376"/>
      <c r="J335" s="376"/>
      <c r="K335" s="376"/>
      <c r="L335" s="376"/>
      <c r="M335" s="376"/>
      <c r="N335" s="68"/>
    </row>
    <row r="336" spans="1:14" x14ac:dyDescent="0.25">
      <c r="A336" s="375"/>
      <c r="B336" s="375"/>
      <c r="D336" s="68"/>
      <c r="E336" s="68"/>
      <c r="G336" s="68"/>
      <c r="H336" s="68"/>
      <c r="I336" s="376"/>
      <c r="J336" s="376"/>
      <c r="K336" s="376"/>
      <c r="L336" s="376"/>
      <c r="M336" s="376"/>
      <c r="N336" s="68"/>
    </row>
    <row r="337" spans="1:15" x14ac:dyDescent="0.25">
      <c r="A337" s="375"/>
      <c r="B337" s="375"/>
      <c r="D337" s="68"/>
      <c r="E337" s="68"/>
      <c r="G337" s="68"/>
      <c r="H337" s="68"/>
      <c r="I337" s="376"/>
      <c r="J337" s="376"/>
      <c r="K337" s="376"/>
      <c r="L337" s="376"/>
      <c r="M337" s="376"/>
      <c r="N337" s="68"/>
    </row>
    <row r="338" spans="1:15" x14ac:dyDescent="0.25">
      <c r="A338" s="375"/>
      <c r="B338" s="375"/>
      <c r="D338" s="68"/>
      <c r="E338" s="68"/>
      <c r="G338" s="68"/>
      <c r="H338" s="68"/>
      <c r="I338" s="376"/>
      <c r="J338" s="376"/>
      <c r="K338" s="376"/>
      <c r="L338" s="376"/>
      <c r="M338" s="376"/>
      <c r="N338" s="68"/>
    </row>
    <row r="339" spans="1:15" x14ac:dyDescent="0.25">
      <c r="A339" s="375"/>
      <c r="B339" s="375"/>
      <c r="D339" s="68"/>
      <c r="E339" s="68"/>
      <c r="G339" s="68"/>
      <c r="H339" s="68"/>
      <c r="I339" s="376"/>
      <c r="J339" s="376"/>
      <c r="K339" s="376"/>
      <c r="L339" s="376"/>
      <c r="M339" s="376"/>
      <c r="N339" s="68"/>
    </row>
    <row r="340" spans="1:15" x14ac:dyDescent="0.25">
      <c r="A340" s="375"/>
      <c r="B340" s="375"/>
      <c r="D340" s="68"/>
      <c r="E340" s="68"/>
      <c r="G340" s="68"/>
      <c r="H340" s="68"/>
      <c r="I340" s="376"/>
      <c r="J340" s="376"/>
      <c r="K340" s="376"/>
      <c r="L340" s="376"/>
      <c r="M340" s="376"/>
      <c r="N340" s="68"/>
    </row>
    <row r="341" spans="1:15" x14ac:dyDescent="0.25">
      <c r="A341" s="375"/>
      <c r="B341" s="375"/>
      <c r="D341" s="68"/>
      <c r="E341" s="68"/>
      <c r="G341" s="68"/>
      <c r="H341" s="68"/>
      <c r="I341" s="376"/>
      <c r="J341" s="376"/>
      <c r="K341" s="376"/>
      <c r="L341" s="376"/>
      <c r="M341" s="376"/>
      <c r="N341" s="68"/>
    </row>
    <row r="342" spans="1:15" x14ac:dyDescent="0.25">
      <c r="A342" s="375"/>
      <c r="B342" s="375"/>
      <c r="D342" s="68"/>
      <c r="E342" s="68"/>
      <c r="G342" s="68"/>
      <c r="H342" s="68"/>
      <c r="I342" s="376"/>
      <c r="J342" s="376"/>
      <c r="K342" s="376"/>
      <c r="L342" s="376"/>
      <c r="M342" s="376"/>
      <c r="N342" s="68"/>
    </row>
    <row r="343" spans="1:15" x14ac:dyDescent="0.25">
      <c r="A343" s="375"/>
      <c r="B343" s="375"/>
      <c r="D343" s="68"/>
      <c r="E343" s="68"/>
      <c r="G343" s="68"/>
      <c r="H343" s="68"/>
      <c r="I343" s="376"/>
      <c r="J343" s="376"/>
      <c r="K343" s="376"/>
      <c r="L343" s="376"/>
      <c r="M343" s="376"/>
      <c r="N343" s="68"/>
    </row>
    <row r="344" spans="1:15" x14ac:dyDescent="0.25">
      <c r="A344" s="375"/>
      <c r="B344" s="375"/>
      <c r="D344" s="68"/>
      <c r="E344" s="68"/>
      <c r="G344" s="68"/>
      <c r="H344" s="68"/>
      <c r="I344" s="376"/>
      <c r="J344" s="376"/>
      <c r="K344" s="376"/>
      <c r="L344" s="376"/>
      <c r="M344" s="376"/>
      <c r="N344" s="68"/>
    </row>
    <row r="345" spans="1:15" x14ac:dyDescent="0.25">
      <c r="A345" s="375"/>
      <c r="B345" s="375"/>
      <c r="D345" s="68"/>
      <c r="E345" s="68"/>
      <c r="G345" s="68"/>
      <c r="H345" s="68"/>
      <c r="I345" s="376"/>
      <c r="J345" s="376"/>
      <c r="K345" s="376"/>
      <c r="L345" s="376"/>
      <c r="M345" s="376"/>
      <c r="N345" s="68"/>
    </row>
    <row r="346" spans="1:15" x14ac:dyDescent="0.25">
      <c r="A346" s="375"/>
      <c r="B346" s="375"/>
      <c r="D346" s="68"/>
      <c r="E346" s="68"/>
      <c r="G346" s="68"/>
      <c r="H346" s="68"/>
      <c r="I346" s="376"/>
      <c r="J346" s="376"/>
      <c r="K346" s="376"/>
      <c r="L346" s="376"/>
      <c r="M346" s="376"/>
      <c r="N346" s="68"/>
    </row>
    <row r="347" spans="1:15" s="61" customFormat="1" x14ac:dyDescent="0.25">
      <c r="A347" s="375"/>
      <c r="B347" s="375"/>
      <c r="D347" s="68"/>
      <c r="E347" s="68"/>
      <c r="F347" s="63"/>
      <c r="G347" s="68"/>
      <c r="H347" s="68"/>
      <c r="I347" s="376"/>
      <c r="J347" s="376"/>
      <c r="K347" s="376"/>
      <c r="L347" s="376"/>
      <c r="M347" s="376"/>
      <c r="N347" s="68"/>
      <c r="O347" s="68"/>
    </row>
    <row r="348" spans="1:15" s="61" customFormat="1" x14ac:dyDescent="0.25">
      <c r="A348" s="375"/>
      <c r="B348" s="375"/>
      <c r="D348" s="68"/>
      <c r="E348" s="68"/>
      <c r="F348" s="63"/>
      <c r="G348" s="68"/>
      <c r="H348" s="68"/>
      <c r="I348" s="376"/>
      <c r="J348" s="376"/>
      <c r="K348" s="376"/>
      <c r="L348" s="376"/>
      <c r="M348" s="376"/>
      <c r="N348" s="68"/>
      <c r="O348" s="68"/>
    </row>
    <row r="349" spans="1:15" s="61" customFormat="1" x14ac:dyDescent="0.25">
      <c r="A349" s="375"/>
      <c r="B349" s="375"/>
      <c r="D349" s="68"/>
      <c r="E349" s="68"/>
      <c r="F349" s="63"/>
      <c r="G349" s="68"/>
      <c r="H349" s="68"/>
      <c r="I349" s="376"/>
      <c r="J349" s="376"/>
      <c r="K349" s="376"/>
      <c r="L349" s="376"/>
      <c r="M349" s="376"/>
      <c r="N349" s="68"/>
      <c r="O349" s="68"/>
    </row>
    <row r="350" spans="1:15" s="61" customFormat="1" x14ac:dyDescent="0.25">
      <c r="A350" s="375"/>
      <c r="B350" s="375"/>
      <c r="D350" s="68"/>
      <c r="E350" s="68"/>
      <c r="F350" s="63"/>
      <c r="G350" s="68"/>
      <c r="H350" s="68"/>
      <c r="I350" s="376"/>
      <c r="J350" s="376"/>
      <c r="K350" s="376"/>
      <c r="L350" s="376"/>
      <c r="M350" s="376"/>
      <c r="N350" s="68"/>
      <c r="O350" s="68"/>
    </row>
    <row r="351" spans="1:15" s="61" customFormat="1" x14ac:dyDescent="0.25">
      <c r="A351" s="378"/>
      <c r="B351" s="375"/>
      <c r="F351" s="63"/>
      <c r="I351" s="64"/>
      <c r="J351" s="64"/>
      <c r="K351" s="64"/>
      <c r="L351" s="64"/>
      <c r="M351" s="64"/>
    </row>
    <row r="352" spans="1:15" s="61" customFormat="1" x14ac:dyDescent="0.25">
      <c r="A352" s="378"/>
      <c r="B352" s="375"/>
      <c r="F352" s="63"/>
      <c r="I352" s="64"/>
      <c r="J352" s="64"/>
      <c r="K352" s="64"/>
      <c r="L352" s="64"/>
      <c r="M352" s="64"/>
    </row>
    <row r="353" spans="1:15" s="61" customFormat="1" x14ac:dyDescent="0.25">
      <c r="A353" s="378"/>
      <c r="B353" s="375"/>
      <c r="F353" s="63"/>
      <c r="I353" s="64"/>
      <c r="J353" s="64"/>
      <c r="K353" s="64"/>
      <c r="L353" s="64"/>
      <c r="M353" s="64"/>
    </row>
    <row r="354" spans="1:15" s="61" customFormat="1" x14ac:dyDescent="0.25">
      <c r="A354" s="378"/>
      <c r="B354" s="375"/>
      <c r="F354" s="63"/>
      <c r="I354" s="64"/>
      <c r="J354" s="64"/>
      <c r="K354" s="64"/>
      <c r="L354" s="64"/>
      <c r="M354" s="64"/>
    </row>
    <row r="355" spans="1:15" s="61" customFormat="1" x14ac:dyDescent="0.25">
      <c r="A355" s="378"/>
      <c r="B355" s="375"/>
      <c r="F355" s="63"/>
      <c r="I355" s="64"/>
      <c r="J355" s="64"/>
      <c r="K355" s="64"/>
      <c r="L355" s="64"/>
      <c r="M355" s="64"/>
    </row>
    <row r="356" spans="1:15" s="61" customFormat="1" x14ac:dyDescent="0.25">
      <c r="A356" s="378"/>
      <c r="B356" s="375"/>
      <c r="F356" s="63"/>
      <c r="I356" s="64"/>
      <c r="J356" s="64"/>
      <c r="K356" s="64"/>
      <c r="L356" s="64"/>
      <c r="M356" s="64"/>
    </row>
    <row r="357" spans="1:15" s="379" customFormat="1" x14ac:dyDescent="0.25">
      <c r="A357" s="378"/>
      <c r="B357" s="375"/>
      <c r="C357" s="61"/>
      <c r="D357" s="61"/>
      <c r="E357" s="61"/>
      <c r="F357" s="63"/>
      <c r="G357" s="61"/>
      <c r="H357" s="61"/>
      <c r="I357" s="64"/>
      <c r="J357" s="64"/>
      <c r="K357" s="64"/>
      <c r="L357" s="64"/>
      <c r="M357" s="64"/>
      <c r="N357" s="61"/>
      <c r="O357" s="61"/>
    </row>
    <row r="358" spans="1:15" s="379" customFormat="1" x14ac:dyDescent="0.25">
      <c r="A358" s="378"/>
      <c r="B358" s="375"/>
      <c r="C358" s="61"/>
      <c r="D358" s="61"/>
      <c r="E358" s="61"/>
      <c r="F358" s="63"/>
      <c r="G358" s="61"/>
      <c r="H358" s="61"/>
      <c r="I358" s="64"/>
      <c r="J358" s="64"/>
      <c r="K358" s="64"/>
      <c r="L358" s="64"/>
      <c r="M358" s="64"/>
      <c r="N358" s="61"/>
      <c r="O358" s="61"/>
    </row>
    <row r="359" spans="1:15" s="379" customFormat="1" x14ac:dyDescent="0.25">
      <c r="A359" s="378"/>
      <c r="B359" s="375"/>
      <c r="C359" s="61"/>
      <c r="D359" s="61"/>
      <c r="E359" s="61"/>
      <c r="F359" s="63"/>
      <c r="G359" s="61"/>
      <c r="H359" s="61"/>
      <c r="I359" s="64"/>
      <c r="J359" s="64"/>
      <c r="K359" s="64"/>
      <c r="L359" s="64"/>
      <c r="M359" s="64"/>
      <c r="N359" s="61"/>
      <c r="O359" s="61"/>
    </row>
    <row r="360" spans="1:15" s="379" customFormat="1" x14ac:dyDescent="0.25">
      <c r="A360" s="378"/>
      <c r="B360" s="375"/>
      <c r="C360" s="61"/>
      <c r="D360" s="61"/>
      <c r="E360" s="61"/>
      <c r="F360" s="63"/>
      <c r="G360" s="61"/>
      <c r="H360" s="61"/>
      <c r="I360" s="64"/>
      <c r="J360" s="64"/>
      <c r="K360" s="64"/>
      <c r="L360" s="64"/>
      <c r="M360" s="64"/>
      <c r="N360" s="61"/>
      <c r="O360" s="61"/>
    </row>
    <row r="361" spans="1:15" s="379" customFormat="1" x14ac:dyDescent="0.25">
      <c r="A361" s="378"/>
      <c r="B361" s="375"/>
      <c r="C361" s="61"/>
      <c r="D361" s="61"/>
      <c r="E361" s="61"/>
      <c r="F361" s="63"/>
      <c r="G361" s="61"/>
      <c r="H361" s="61"/>
      <c r="I361" s="64"/>
      <c r="J361" s="64"/>
      <c r="K361" s="64"/>
      <c r="L361" s="64"/>
      <c r="M361" s="64"/>
      <c r="N361" s="61"/>
    </row>
    <row r="362" spans="1:15" s="379" customFormat="1" x14ac:dyDescent="0.25">
      <c r="A362" s="378"/>
      <c r="B362" s="375"/>
      <c r="C362" s="61"/>
      <c r="D362" s="61"/>
      <c r="E362" s="61"/>
      <c r="F362" s="63"/>
      <c r="G362" s="61"/>
      <c r="H362" s="61"/>
      <c r="I362" s="64"/>
      <c r="J362" s="64"/>
      <c r="K362" s="64"/>
      <c r="L362" s="64"/>
      <c r="M362" s="64"/>
      <c r="N362" s="61"/>
    </row>
    <row r="363" spans="1:15" s="379" customFormat="1" x14ac:dyDescent="0.25">
      <c r="A363" s="378"/>
      <c r="B363" s="375"/>
      <c r="C363" s="61"/>
      <c r="D363" s="61"/>
      <c r="E363" s="61"/>
      <c r="F363" s="63"/>
      <c r="G363" s="61"/>
      <c r="H363" s="61"/>
      <c r="I363" s="64"/>
      <c r="J363" s="64"/>
      <c r="K363" s="64"/>
      <c r="L363" s="64"/>
      <c r="M363" s="64"/>
      <c r="N363" s="61"/>
    </row>
    <row r="364" spans="1:15" s="379" customFormat="1" x14ac:dyDescent="0.25">
      <c r="A364" s="378"/>
      <c r="B364" s="375"/>
      <c r="C364" s="61"/>
      <c r="D364" s="61"/>
      <c r="E364" s="61"/>
      <c r="F364" s="63"/>
      <c r="G364" s="61"/>
      <c r="H364" s="61"/>
      <c r="I364" s="64"/>
      <c r="J364" s="64"/>
      <c r="K364" s="64"/>
      <c r="L364" s="64"/>
      <c r="M364" s="64"/>
      <c r="N364" s="61"/>
    </row>
    <row r="365" spans="1:15" s="379" customFormat="1" x14ac:dyDescent="0.25">
      <c r="A365" s="378"/>
      <c r="B365" s="375"/>
      <c r="C365" s="61"/>
      <c r="D365" s="61"/>
      <c r="E365" s="61"/>
      <c r="F365" s="63"/>
      <c r="G365" s="61"/>
      <c r="H365" s="61"/>
      <c r="I365" s="64"/>
      <c r="J365" s="64"/>
      <c r="K365" s="64"/>
      <c r="L365" s="64"/>
      <c r="M365" s="64"/>
      <c r="N365" s="61"/>
    </row>
    <row r="366" spans="1:15" s="379" customFormat="1" x14ac:dyDescent="0.25">
      <c r="A366" s="378"/>
      <c r="B366" s="375"/>
      <c r="C366" s="61"/>
      <c r="D366" s="61"/>
      <c r="E366" s="61"/>
      <c r="F366" s="63"/>
      <c r="G366" s="61"/>
      <c r="H366" s="61"/>
      <c r="I366" s="64"/>
      <c r="J366" s="64"/>
      <c r="K366" s="64"/>
      <c r="L366" s="64"/>
      <c r="M366" s="64"/>
      <c r="N366" s="61"/>
    </row>
    <row r="367" spans="1:15" s="379" customFormat="1" x14ac:dyDescent="0.25">
      <c r="A367" s="378"/>
      <c r="B367" s="375"/>
      <c r="C367" s="61"/>
      <c r="D367" s="61"/>
      <c r="E367" s="61"/>
      <c r="F367" s="63"/>
      <c r="G367" s="61"/>
      <c r="H367" s="61"/>
      <c r="I367" s="64"/>
      <c r="J367" s="64"/>
      <c r="K367" s="64"/>
      <c r="L367" s="64"/>
      <c r="M367" s="64"/>
      <c r="N367" s="61"/>
    </row>
    <row r="368" spans="1:15" s="379" customFormat="1" x14ac:dyDescent="0.25">
      <c r="A368" s="378"/>
      <c r="B368" s="375"/>
      <c r="C368" s="61"/>
      <c r="D368" s="61"/>
      <c r="E368" s="61"/>
      <c r="F368" s="63"/>
      <c r="G368" s="61"/>
      <c r="H368" s="61"/>
      <c r="I368" s="64"/>
      <c r="J368" s="64"/>
      <c r="K368" s="64"/>
      <c r="L368" s="64"/>
      <c r="M368" s="64"/>
      <c r="N368" s="61"/>
    </row>
    <row r="369" spans="1:14" s="379" customFormat="1" x14ac:dyDescent="0.25">
      <c r="A369" s="378"/>
      <c r="B369" s="375"/>
      <c r="C369" s="61"/>
      <c r="D369" s="61"/>
      <c r="E369" s="61"/>
      <c r="F369" s="63"/>
      <c r="G369" s="61"/>
      <c r="H369" s="61"/>
      <c r="I369" s="64"/>
      <c r="J369" s="64"/>
      <c r="K369" s="64"/>
      <c r="L369" s="64"/>
      <c r="M369" s="64"/>
      <c r="N369" s="61"/>
    </row>
    <row r="370" spans="1:14" s="379" customFormat="1" x14ac:dyDescent="0.25">
      <c r="A370" s="378"/>
      <c r="B370" s="375"/>
      <c r="C370" s="61"/>
      <c r="D370" s="61"/>
      <c r="E370" s="61"/>
      <c r="F370" s="63"/>
      <c r="G370" s="61"/>
      <c r="H370" s="61"/>
      <c r="I370" s="64"/>
      <c r="J370" s="64"/>
      <c r="K370" s="64"/>
      <c r="L370" s="64"/>
      <c r="M370" s="64"/>
      <c r="N370" s="61"/>
    </row>
    <row r="371" spans="1:14" s="379" customFormat="1" x14ac:dyDescent="0.25">
      <c r="A371" s="378"/>
      <c r="B371" s="375"/>
      <c r="C371" s="61"/>
      <c r="D371" s="61"/>
      <c r="E371" s="61"/>
      <c r="F371" s="63"/>
      <c r="G371" s="61"/>
      <c r="H371" s="61"/>
      <c r="I371" s="64"/>
      <c r="J371" s="64"/>
      <c r="K371" s="64"/>
      <c r="L371" s="64"/>
      <c r="M371" s="64"/>
      <c r="N371" s="61"/>
    </row>
    <row r="372" spans="1:14" s="379" customFormat="1" x14ac:dyDescent="0.25">
      <c r="A372" s="378"/>
      <c r="B372" s="375"/>
      <c r="C372" s="61"/>
      <c r="D372" s="61"/>
      <c r="E372" s="61"/>
      <c r="F372" s="63"/>
      <c r="G372" s="61"/>
      <c r="H372" s="61"/>
      <c r="I372" s="64"/>
      <c r="J372" s="64"/>
      <c r="K372" s="64"/>
      <c r="L372" s="64"/>
      <c r="M372" s="64"/>
      <c r="N372" s="61"/>
    </row>
    <row r="373" spans="1:14" s="379" customFormat="1" x14ac:dyDescent="0.25">
      <c r="A373" s="378"/>
      <c r="B373" s="375"/>
      <c r="C373" s="61"/>
      <c r="D373" s="61"/>
      <c r="E373" s="61"/>
      <c r="F373" s="63"/>
      <c r="G373" s="61"/>
      <c r="H373" s="61"/>
      <c r="I373" s="64"/>
      <c r="J373" s="64"/>
      <c r="K373" s="64"/>
      <c r="L373" s="64"/>
      <c r="M373" s="64"/>
      <c r="N373" s="61"/>
    </row>
    <row r="374" spans="1:14" s="379" customFormat="1" x14ac:dyDescent="0.25">
      <c r="A374" s="378"/>
      <c r="B374" s="375"/>
      <c r="C374" s="61"/>
      <c r="D374" s="61"/>
      <c r="E374" s="61"/>
      <c r="F374" s="63"/>
      <c r="G374" s="61"/>
      <c r="H374" s="61"/>
      <c r="I374" s="64"/>
      <c r="J374" s="64"/>
      <c r="K374" s="64"/>
      <c r="L374" s="64"/>
      <c r="M374" s="64"/>
      <c r="N374" s="61"/>
    </row>
    <row r="375" spans="1:14" s="379" customFormat="1" x14ac:dyDescent="0.25">
      <c r="A375" s="378"/>
      <c r="B375" s="375"/>
      <c r="C375" s="61"/>
      <c r="D375" s="61"/>
      <c r="E375" s="61"/>
      <c r="F375" s="63"/>
      <c r="G375" s="61"/>
      <c r="H375" s="61"/>
      <c r="I375" s="64"/>
      <c r="J375" s="64"/>
      <c r="K375" s="64"/>
      <c r="L375" s="64"/>
      <c r="M375" s="64"/>
      <c r="N375" s="61"/>
    </row>
    <row r="376" spans="1:14" s="379" customFormat="1" x14ac:dyDescent="0.25">
      <c r="A376" s="378"/>
      <c r="B376" s="375"/>
      <c r="C376" s="61"/>
      <c r="D376" s="61"/>
      <c r="E376" s="61"/>
      <c r="F376" s="63"/>
      <c r="G376" s="61"/>
      <c r="H376" s="61"/>
      <c r="I376" s="64"/>
      <c r="J376" s="64"/>
      <c r="K376" s="64"/>
      <c r="L376" s="64"/>
      <c r="M376" s="64"/>
      <c r="N376" s="61"/>
    </row>
    <row r="377" spans="1:14" s="379" customFormat="1" x14ac:dyDescent="0.25">
      <c r="A377" s="378"/>
      <c r="B377" s="375"/>
      <c r="C377" s="61"/>
      <c r="D377" s="61"/>
      <c r="E377" s="61"/>
      <c r="F377" s="63"/>
      <c r="G377" s="61"/>
      <c r="H377" s="61"/>
      <c r="I377" s="64"/>
      <c r="J377" s="64"/>
      <c r="K377" s="64"/>
      <c r="L377" s="64"/>
      <c r="M377" s="64"/>
      <c r="N377" s="61"/>
    </row>
    <row r="378" spans="1:14" s="379" customFormat="1" x14ac:dyDescent="0.25">
      <c r="A378" s="378"/>
      <c r="B378" s="375"/>
      <c r="C378" s="61"/>
      <c r="D378" s="61"/>
      <c r="E378" s="61"/>
      <c r="F378" s="63"/>
      <c r="G378" s="61"/>
      <c r="H378" s="61"/>
      <c r="I378" s="64"/>
      <c r="J378" s="64"/>
      <c r="K378" s="64"/>
      <c r="L378" s="64"/>
      <c r="M378" s="64"/>
      <c r="N378" s="61"/>
    </row>
    <row r="379" spans="1:14" s="379" customFormat="1" x14ac:dyDescent="0.25">
      <c r="A379" s="378"/>
      <c r="B379" s="375"/>
      <c r="C379" s="61"/>
      <c r="D379" s="61"/>
      <c r="E379" s="61"/>
      <c r="F379" s="63"/>
      <c r="G379" s="61"/>
      <c r="H379" s="61"/>
      <c r="I379" s="64"/>
      <c r="J379" s="64"/>
      <c r="K379" s="64"/>
      <c r="L379" s="64"/>
      <c r="M379" s="64"/>
      <c r="N379" s="61"/>
    </row>
    <row r="380" spans="1:14" s="379" customFormat="1" x14ac:dyDescent="0.25">
      <c r="A380" s="378"/>
      <c r="B380" s="375"/>
      <c r="C380" s="61"/>
      <c r="D380" s="61"/>
      <c r="E380" s="61"/>
      <c r="F380" s="63"/>
      <c r="G380" s="61"/>
      <c r="H380" s="61"/>
      <c r="I380" s="64"/>
      <c r="J380" s="64"/>
      <c r="K380" s="64"/>
      <c r="L380" s="64"/>
      <c r="M380" s="64"/>
      <c r="N380" s="61"/>
    </row>
    <row r="381" spans="1:14" s="379" customFormat="1" x14ac:dyDescent="0.25">
      <c r="A381" s="378"/>
      <c r="B381" s="375"/>
      <c r="C381" s="61"/>
      <c r="D381" s="61"/>
      <c r="E381" s="61"/>
      <c r="F381" s="63"/>
      <c r="G381" s="61"/>
      <c r="H381" s="61"/>
      <c r="I381" s="64"/>
      <c r="J381" s="64"/>
      <c r="K381" s="64"/>
      <c r="L381" s="64"/>
      <c r="M381" s="64"/>
      <c r="N381" s="61"/>
    </row>
    <row r="382" spans="1:14" s="379" customFormat="1" x14ac:dyDescent="0.25">
      <c r="A382" s="378"/>
      <c r="B382" s="375"/>
      <c r="C382" s="61"/>
      <c r="D382" s="61"/>
      <c r="E382" s="61"/>
      <c r="F382" s="63"/>
      <c r="G382" s="61"/>
      <c r="H382" s="61"/>
      <c r="I382" s="64"/>
      <c r="J382" s="64"/>
      <c r="K382" s="64"/>
      <c r="L382" s="64"/>
      <c r="M382" s="64"/>
      <c r="N382" s="61"/>
    </row>
    <row r="383" spans="1:14" s="379" customFormat="1" x14ac:dyDescent="0.25">
      <c r="A383" s="378"/>
      <c r="B383" s="375"/>
      <c r="C383" s="61"/>
      <c r="D383" s="61"/>
      <c r="E383" s="61"/>
      <c r="F383" s="63"/>
      <c r="G383" s="61"/>
      <c r="H383" s="61"/>
      <c r="I383" s="64"/>
      <c r="J383" s="64"/>
      <c r="K383" s="64"/>
      <c r="L383" s="64"/>
      <c r="M383" s="64"/>
      <c r="N383" s="61"/>
    </row>
    <row r="384" spans="1:14" s="379" customFormat="1" x14ac:dyDescent="0.25">
      <c r="A384" s="378"/>
      <c r="B384" s="375"/>
      <c r="C384" s="61"/>
      <c r="D384" s="61"/>
      <c r="E384" s="61"/>
      <c r="F384" s="63"/>
      <c r="G384" s="61"/>
      <c r="H384" s="61"/>
      <c r="I384" s="64"/>
      <c r="J384" s="64"/>
      <c r="K384" s="64"/>
      <c r="L384" s="64"/>
      <c r="M384" s="64"/>
      <c r="N384" s="61"/>
    </row>
    <row r="385" spans="1:14" s="379" customFormat="1" x14ac:dyDescent="0.25">
      <c r="A385" s="378"/>
      <c r="B385" s="375"/>
      <c r="C385" s="61"/>
      <c r="D385" s="61"/>
      <c r="E385" s="61"/>
      <c r="F385" s="63"/>
      <c r="G385" s="61"/>
      <c r="H385" s="61"/>
      <c r="I385" s="64"/>
      <c r="J385" s="64"/>
      <c r="K385" s="64"/>
      <c r="L385" s="64"/>
      <c r="M385" s="64"/>
      <c r="N385" s="61"/>
    </row>
    <row r="386" spans="1:14" s="379" customFormat="1" x14ac:dyDescent="0.25">
      <c r="A386" s="378"/>
      <c r="B386" s="375"/>
      <c r="C386" s="61"/>
      <c r="D386" s="61"/>
      <c r="E386" s="61"/>
      <c r="F386" s="63"/>
      <c r="G386" s="61"/>
      <c r="H386" s="61"/>
      <c r="I386" s="64"/>
      <c r="J386" s="64"/>
      <c r="K386" s="64"/>
      <c r="L386" s="64"/>
      <c r="M386" s="64"/>
      <c r="N386" s="61"/>
    </row>
    <row r="387" spans="1:14" s="379" customFormat="1" x14ac:dyDescent="0.25">
      <c r="A387" s="378"/>
      <c r="B387" s="375"/>
      <c r="C387" s="61"/>
      <c r="D387" s="61"/>
      <c r="E387" s="61"/>
      <c r="F387" s="63"/>
      <c r="G387" s="61"/>
      <c r="H387" s="61"/>
      <c r="I387" s="64"/>
      <c r="J387" s="64"/>
      <c r="K387" s="64"/>
      <c r="L387" s="64"/>
      <c r="M387" s="64"/>
      <c r="N387" s="61"/>
    </row>
    <row r="388" spans="1:14" s="379" customFormat="1" x14ac:dyDescent="0.25">
      <c r="A388" s="378"/>
      <c r="B388" s="375"/>
      <c r="C388" s="61"/>
      <c r="D388" s="61"/>
      <c r="E388" s="61"/>
      <c r="F388" s="63"/>
      <c r="G388" s="61"/>
      <c r="H388" s="61"/>
      <c r="I388" s="64"/>
      <c r="J388" s="64"/>
      <c r="K388" s="64"/>
      <c r="L388" s="64"/>
      <c r="M388" s="64"/>
      <c r="N388" s="61"/>
    </row>
    <row r="389" spans="1:14" s="379" customFormat="1" x14ac:dyDescent="0.25">
      <c r="A389" s="378"/>
      <c r="B389" s="375"/>
      <c r="C389" s="61"/>
      <c r="D389" s="61"/>
      <c r="E389" s="61"/>
      <c r="F389" s="63"/>
      <c r="G389" s="61"/>
      <c r="H389" s="61"/>
      <c r="I389" s="64"/>
      <c r="J389" s="64"/>
      <c r="K389" s="64"/>
      <c r="L389" s="64"/>
      <c r="M389" s="64"/>
      <c r="N389" s="61"/>
    </row>
    <row r="390" spans="1:14" s="379" customFormat="1" x14ac:dyDescent="0.25">
      <c r="A390" s="378"/>
      <c r="B390" s="375"/>
      <c r="C390" s="61"/>
      <c r="D390" s="61"/>
      <c r="E390" s="61"/>
      <c r="F390" s="63"/>
      <c r="G390" s="61"/>
      <c r="H390" s="61"/>
      <c r="I390" s="64"/>
      <c r="J390" s="64"/>
      <c r="K390" s="64"/>
      <c r="L390" s="64"/>
      <c r="M390" s="64"/>
      <c r="N390" s="61"/>
    </row>
    <row r="391" spans="1:14" s="379" customFormat="1" x14ac:dyDescent="0.25">
      <c r="A391" s="378"/>
      <c r="B391" s="375"/>
      <c r="C391" s="61"/>
      <c r="D391" s="61"/>
      <c r="E391" s="61"/>
      <c r="F391" s="63"/>
      <c r="G391" s="61"/>
      <c r="H391" s="61"/>
      <c r="I391" s="64"/>
      <c r="J391" s="64"/>
      <c r="K391" s="64"/>
      <c r="L391" s="64"/>
      <c r="M391" s="64"/>
      <c r="N391" s="61"/>
    </row>
    <row r="392" spans="1:14" s="379" customFormat="1" x14ac:dyDescent="0.25">
      <c r="A392" s="378"/>
      <c r="B392" s="375"/>
      <c r="C392" s="61"/>
      <c r="D392" s="61"/>
      <c r="E392" s="61"/>
      <c r="F392" s="63"/>
      <c r="G392" s="61"/>
      <c r="H392" s="61"/>
      <c r="I392" s="64"/>
      <c r="J392" s="64"/>
      <c r="K392" s="64"/>
      <c r="L392" s="64"/>
      <c r="M392" s="64"/>
      <c r="N392" s="61"/>
    </row>
    <row r="393" spans="1:14" s="379" customFormat="1" x14ac:dyDescent="0.25">
      <c r="A393" s="378"/>
      <c r="B393" s="375"/>
      <c r="C393" s="61"/>
      <c r="D393" s="61"/>
      <c r="E393" s="61"/>
      <c r="F393" s="63"/>
      <c r="G393" s="61"/>
      <c r="H393" s="61"/>
      <c r="I393" s="64"/>
      <c r="J393" s="64"/>
      <c r="K393" s="64"/>
      <c r="L393" s="64"/>
      <c r="M393" s="64"/>
      <c r="N393" s="61"/>
    </row>
    <row r="394" spans="1:14" s="379" customFormat="1" x14ac:dyDescent="0.25">
      <c r="A394" s="378"/>
      <c r="B394" s="375"/>
      <c r="C394" s="61"/>
      <c r="D394" s="61"/>
      <c r="E394" s="61"/>
      <c r="F394" s="63"/>
      <c r="G394" s="61"/>
      <c r="H394" s="61"/>
      <c r="I394" s="64"/>
      <c r="J394" s="64"/>
      <c r="K394" s="64"/>
      <c r="L394" s="64"/>
      <c r="M394" s="64"/>
      <c r="N394" s="61"/>
    </row>
    <row r="395" spans="1:14" s="379" customFormat="1" x14ac:dyDescent="0.25">
      <c r="A395" s="378"/>
      <c r="B395" s="375"/>
      <c r="C395" s="61"/>
      <c r="D395" s="61"/>
      <c r="E395" s="61"/>
      <c r="F395" s="63"/>
      <c r="G395" s="61"/>
      <c r="H395" s="61"/>
      <c r="I395" s="64"/>
      <c r="J395" s="64"/>
      <c r="K395" s="64"/>
      <c r="L395" s="64"/>
      <c r="M395" s="64"/>
      <c r="N395" s="61"/>
    </row>
    <row r="396" spans="1:14" s="379" customFormat="1" x14ac:dyDescent="0.25">
      <c r="A396" s="378"/>
      <c r="B396" s="375"/>
      <c r="C396" s="61"/>
      <c r="D396" s="61"/>
      <c r="E396" s="61"/>
      <c r="F396" s="63"/>
      <c r="G396" s="61"/>
      <c r="H396" s="61"/>
      <c r="I396" s="64"/>
      <c r="J396" s="64"/>
      <c r="K396" s="64"/>
      <c r="L396" s="64"/>
      <c r="M396" s="64"/>
      <c r="N396" s="61"/>
    </row>
    <row r="397" spans="1:14" s="379" customFormat="1" x14ac:dyDescent="0.25">
      <c r="A397" s="378"/>
      <c r="B397" s="375"/>
      <c r="C397" s="61"/>
      <c r="D397" s="61"/>
      <c r="E397" s="61"/>
      <c r="F397" s="63"/>
      <c r="G397" s="61"/>
      <c r="H397" s="61"/>
      <c r="I397" s="64"/>
      <c r="J397" s="64"/>
      <c r="K397" s="64"/>
      <c r="L397" s="64"/>
      <c r="M397" s="64"/>
      <c r="N397" s="61"/>
    </row>
    <row r="398" spans="1:14" s="379" customFormat="1" x14ac:dyDescent="0.25">
      <c r="A398" s="378"/>
      <c r="B398" s="375"/>
      <c r="C398" s="61"/>
      <c r="D398" s="61"/>
      <c r="E398" s="61"/>
      <c r="F398" s="63"/>
      <c r="G398" s="61"/>
      <c r="H398" s="61"/>
      <c r="I398" s="64"/>
      <c r="J398" s="64"/>
      <c r="K398" s="64"/>
      <c r="L398" s="64"/>
      <c r="M398" s="64"/>
      <c r="N398" s="61"/>
    </row>
    <row r="399" spans="1:14" s="379" customFormat="1" x14ac:dyDescent="0.25">
      <c r="A399" s="378"/>
      <c r="B399" s="375"/>
      <c r="C399" s="61"/>
      <c r="D399" s="61"/>
      <c r="E399" s="61"/>
      <c r="F399" s="63"/>
      <c r="G399" s="61"/>
      <c r="H399" s="61"/>
      <c r="I399" s="64"/>
      <c r="J399" s="64"/>
      <c r="K399" s="64"/>
      <c r="L399" s="64"/>
      <c r="M399" s="64"/>
      <c r="N399" s="61"/>
    </row>
    <row r="400" spans="1:14" s="379" customFormat="1" x14ac:dyDescent="0.25">
      <c r="A400" s="378"/>
      <c r="B400" s="375"/>
      <c r="C400" s="61"/>
      <c r="D400" s="61"/>
      <c r="E400" s="61"/>
      <c r="F400" s="63"/>
      <c r="G400" s="61"/>
      <c r="H400" s="61"/>
      <c r="I400" s="64"/>
      <c r="J400" s="64"/>
      <c r="K400" s="64"/>
      <c r="L400" s="64"/>
      <c r="M400" s="64"/>
      <c r="N400" s="61"/>
    </row>
    <row r="401" spans="1:14" s="379" customFormat="1" x14ac:dyDescent="0.25">
      <c r="A401" s="378"/>
      <c r="B401" s="375"/>
      <c r="C401" s="61"/>
      <c r="D401" s="61"/>
      <c r="E401" s="61"/>
      <c r="F401" s="63"/>
      <c r="G401" s="61"/>
      <c r="H401" s="61"/>
      <c r="I401" s="64"/>
      <c r="J401" s="64"/>
      <c r="K401" s="64"/>
      <c r="L401" s="64"/>
      <c r="M401" s="64"/>
      <c r="N401" s="61"/>
    </row>
    <row r="402" spans="1:14" s="379" customFormat="1" x14ac:dyDescent="0.25">
      <c r="A402" s="378"/>
      <c r="B402" s="375"/>
      <c r="C402" s="61"/>
      <c r="D402" s="61"/>
      <c r="E402" s="61"/>
      <c r="F402" s="63"/>
      <c r="G402" s="61"/>
      <c r="H402" s="61"/>
      <c r="I402" s="64"/>
      <c r="J402" s="64"/>
      <c r="K402" s="64"/>
      <c r="L402" s="64"/>
      <c r="M402" s="64"/>
      <c r="N402" s="61"/>
    </row>
    <row r="403" spans="1:14" s="379" customFormat="1" x14ac:dyDescent="0.25">
      <c r="A403" s="378"/>
      <c r="B403" s="375"/>
      <c r="C403" s="61"/>
      <c r="D403" s="61"/>
      <c r="E403" s="61"/>
      <c r="F403" s="63"/>
      <c r="G403" s="61"/>
      <c r="H403" s="61"/>
      <c r="I403" s="64"/>
      <c r="J403" s="64"/>
      <c r="K403" s="64"/>
      <c r="L403" s="64"/>
      <c r="M403" s="64"/>
      <c r="N403" s="61"/>
    </row>
    <row r="404" spans="1:14" s="379" customFormat="1" x14ac:dyDescent="0.25">
      <c r="A404" s="378"/>
      <c r="B404" s="375"/>
      <c r="C404" s="61"/>
      <c r="D404" s="61"/>
      <c r="E404" s="61"/>
      <c r="F404" s="63"/>
      <c r="G404" s="61"/>
      <c r="H404" s="61"/>
      <c r="I404" s="64"/>
      <c r="J404" s="64"/>
      <c r="K404" s="64"/>
      <c r="L404" s="64"/>
      <c r="M404" s="64"/>
      <c r="N404" s="61"/>
    </row>
    <row r="405" spans="1:14" s="379" customFormat="1" x14ac:dyDescent="0.25">
      <c r="A405" s="378"/>
      <c r="B405" s="375"/>
      <c r="C405" s="61"/>
      <c r="D405" s="61"/>
      <c r="E405" s="61"/>
      <c r="F405" s="63"/>
      <c r="G405" s="61"/>
      <c r="H405" s="61"/>
      <c r="I405" s="64"/>
      <c r="J405" s="64"/>
      <c r="K405" s="64"/>
      <c r="L405" s="64"/>
      <c r="M405" s="64"/>
      <c r="N405" s="61"/>
    </row>
    <row r="406" spans="1:14" s="379" customFormat="1" x14ac:dyDescent="0.25">
      <c r="A406" s="378"/>
      <c r="B406" s="375"/>
      <c r="C406" s="61"/>
      <c r="D406" s="61"/>
      <c r="E406" s="61"/>
      <c r="F406" s="63"/>
      <c r="G406" s="61"/>
      <c r="H406" s="61"/>
      <c r="I406" s="64"/>
      <c r="J406" s="64"/>
      <c r="K406" s="64"/>
      <c r="L406" s="64"/>
      <c r="M406" s="64"/>
      <c r="N406" s="61"/>
    </row>
    <row r="407" spans="1:14" s="379" customFormat="1" x14ac:dyDescent="0.25">
      <c r="A407" s="378"/>
      <c r="B407" s="375"/>
      <c r="C407" s="61"/>
      <c r="D407" s="61"/>
      <c r="E407" s="61"/>
      <c r="F407" s="63"/>
      <c r="G407" s="61"/>
      <c r="H407" s="61"/>
      <c r="I407" s="64"/>
      <c r="J407" s="64"/>
      <c r="K407" s="64"/>
      <c r="L407" s="64"/>
      <c r="M407" s="64"/>
      <c r="N407" s="61"/>
    </row>
    <row r="408" spans="1:14" s="379" customFormat="1" x14ac:dyDescent="0.25">
      <c r="A408" s="378"/>
      <c r="B408" s="375"/>
      <c r="C408" s="61"/>
      <c r="D408" s="61"/>
      <c r="E408" s="61"/>
      <c r="F408" s="63"/>
      <c r="G408" s="61"/>
      <c r="H408" s="61"/>
      <c r="I408" s="64"/>
      <c r="J408" s="64"/>
      <c r="K408" s="64"/>
      <c r="L408" s="64"/>
      <c r="M408" s="64"/>
      <c r="N408" s="61"/>
    </row>
    <row r="409" spans="1:14" s="379" customFormat="1" x14ac:dyDescent="0.25">
      <c r="A409" s="378"/>
      <c r="B409" s="375"/>
      <c r="C409" s="61"/>
      <c r="D409" s="61"/>
      <c r="E409" s="61"/>
      <c r="F409" s="63"/>
      <c r="G409" s="61"/>
      <c r="H409" s="61"/>
      <c r="I409" s="64"/>
      <c r="J409" s="64"/>
      <c r="K409" s="64"/>
      <c r="L409" s="64"/>
      <c r="M409" s="64"/>
      <c r="N409" s="61"/>
    </row>
    <row r="410" spans="1:14" s="379" customFormat="1" x14ac:dyDescent="0.25">
      <c r="A410" s="378"/>
      <c r="B410" s="375"/>
      <c r="C410" s="61"/>
      <c r="D410" s="61"/>
      <c r="E410" s="61"/>
      <c r="F410" s="63"/>
      <c r="G410" s="61"/>
      <c r="H410" s="61"/>
      <c r="I410" s="64"/>
      <c r="J410" s="64"/>
      <c r="K410" s="64"/>
      <c r="L410" s="64"/>
      <c r="M410" s="64"/>
      <c r="N410" s="61"/>
    </row>
    <row r="411" spans="1:14" s="379" customFormat="1" x14ac:dyDescent="0.25">
      <c r="A411" s="378"/>
      <c r="B411" s="375"/>
      <c r="C411" s="61"/>
      <c r="D411" s="61"/>
      <c r="E411" s="61"/>
      <c r="F411" s="63"/>
      <c r="G411" s="61"/>
      <c r="H411" s="61"/>
      <c r="I411" s="64"/>
      <c r="J411" s="64"/>
      <c r="K411" s="64"/>
      <c r="L411" s="64"/>
      <c r="M411" s="64"/>
      <c r="N411" s="61"/>
    </row>
    <row r="412" spans="1:14" s="379" customFormat="1" x14ac:dyDescent="0.25">
      <c r="A412" s="378"/>
      <c r="B412" s="375"/>
      <c r="C412" s="61"/>
      <c r="D412" s="61"/>
      <c r="E412" s="61"/>
      <c r="F412" s="63"/>
      <c r="G412" s="61"/>
      <c r="H412" s="61"/>
      <c r="I412" s="64"/>
      <c r="J412" s="64"/>
      <c r="K412" s="64"/>
      <c r="L412" s="64"/>
      <c r="M412" s="64"/>
      <c r="N412" s="61"/>
    </row>
    <row r="413" spans="1:14" s="379" customFormat="1" x14ac:dyDescent="0.25">
      <c r="A413" s="378"/>
      <c r="B413" s="375"/>
      <c r="C413" s="61"/>
      <c r="D413" s="61"/>
      <c r="E413" s="61"/>
      <c r="F413" s="63"/>
      <c r="G413" s="61"/>
      <c r="H413" s="61"/>
      <c r="I413" s="64"/>
      <c r="J413" s="64"/>
      <c r="K413" s="64"/>
      <c r="L413" s="64"/>
      <c r="M413" s="64"/>
      <c r="N413" s="61"/>
    </row>
    <row r="414" spans="1:14" s="379" customFormat="1" x14ac:dyDescent="0.25">
      <c r="A414" s="378"/>
      <c r="B414" s="375"/>
      <c r="C414" s="61"/>
      <c r="D414" s="61"/>
      <c r="E414" s="61"/>
      <c r="F414" s="63"/>
      <c r="G414" s="61"/>
      <c r="H414" s="61"/>
      <c r="I414" s="64"/>
      <c r="J414" s="64"/>
      <c r="K414" s="64"/>
      <c r="L414" s="64"/>
      <c r="M414" s="64"/>
      <c r="N414" s="61"/>
    </row>
    <row r="415" spans="1:14" s="379" customFormat="1" x14ac:dyDescent="0.25">
      <c r="A415" s="378"/>
      <c r="B415" s="375"/>
      <c r="C415" s="61"/>
      <c r="D415" s="61"/>
      <c r="E415" s="61"/>
      <c r="F415" s="63"/>
      <c r="G415" s="61"/>
      <c r="H415" s="61"/>
      <c r="I415" s="64"/>
      <c r="J415" s="64"/>
      <c r="K415" s="64"/>
      <c r="L415" s="64"/>
      <c r="M415" s="64"/>
      <c r="N415" s="61"/>
    </row>
    <row r="416" spans="1:14" s="379" customFormat="1" x14ac:dyDescent="0.25">
      <c r="A416" s="378"/>
      <c r="B416" s="375"/>
      <c r="C416" s="61"/>
      <c r="D416" s="61"/>
      <c r="E416" s="61"/>
      <c r="F416" s="63"/>
      <c r="G416" s="61"/>
      <c r="H416" s="61"/>
      <c r="I416" s="64"/>
      <c r="J416" s="64"/>
      <c r="K416" s="64"/>
      <c r="L416" s="64"/>
      <c r="M416" s="64"/>
      <c r="N416" s="61"/>
    </row>
    <row r="417" spans="1:14" s="379" customFormat="1" x14ac:dyDescent="0.25">
      <c r="A417" s="378"/>
      <c r="B417" s="375"/>
      <c r="C417" s="61"/>
      <c r="D417" s="61"/>
      <c r="E417" s="61"/>
      <c r="F417" s="63"/>
      <c r="G417" s="61"/>
      <c r="H417" s="61"/>
      <c r="I417" s="64"/>
      <c r="J417" s="64"/>
      <c r="K417" s="64"/>
      <c r="L417" s="64"/>
      <c r="M417" s="64"/>
      <c r="N417" s="61"/>
    </row>
    <row r="418" spans="1:14" s="379" customFormat="1" x14ac:dyDescent="0.25">
      <c r="A418" s="378"/>
      <c r="B418" s="375"/>
      <c r="C418" s="61"/>
      <c r="D418" s="61"/>
      <c r="E418" s="61"/>
      <c r="F418" s="63"/>
      <c r="G418" s="61"/>
      <c r="H418" s="61"/>
      <c r="I418" s="64"/>
      <c r="J418" s="64"/>
      <c r="K418" s="64"/>
      <c r="L418" s="64"/>
      <c r="M418" s="64"/>
      <c r="N418" s="61"/>
    </row>
    <row r="419" spans="1:14" s="379" customFormat="1" x14ac:dyDescent="0.25">
      <c r="A419" s="378"/>
      <c r="B419" s="375"/>
      <c r="C419" s="61"/>
      <c r="D419" s="61"/>
      <c r="E419" s="61"/>
      <c r="F419" s="63"/>
      <c r="G419" s="61"/>
      <c r="H419" s="61"/>
      <c r="I419" s="64"/>
      <c r="J419" s="64"/>
      <c r="K419" s="64"/>
      <c r="L419" s="64"/>
      <c r="M419" s="64"/>
      <c r="N419" s="61"/>
    </row>
    <row r="420" spans="1:14" s="379" customFormat="1" x14ac:dyDescent="0.25">
      <c r="A420" s="378"/>
      <c r="B420" s="375"/>
      <c r="C420" s="61"/>
      <c r="D420" s="61"/>
      <c r="E420" s="61"/>
      <c r="F420" s="63"/>
      <c r="G420" s="61"/>
      <c r="H420" s="61"/>
      <c r="I420" s="64"/>
      <c r="J420" s="64"/>
      <c r="K420" s="64"/>
      <c r="L420" s="64"/>
      <c r="M420" s="64"/>
      <c r="N420" s="61"/>
    </row>
    <row r="421" spans="1:14" s="379" customFormat="1" x14ac:dyDescent="0.25">
      <c r="A421" s="378"/>
      <c r="B421" s="375"/>
      <c r="C421" s="61"/>
      <c r="D421" s="61"/>
      <c r="E421" s="61"/>
      <c r="F421" s="63"/>
      <c r="G421" s="61"/>
      <c r="H421" s="61"/>
      <c r="I421" s="64"/>
      <c r="J421" s="64"/>
      <c r="K421" s="64"/>
      <c r="L421" s="64"/>
      <c r="M421" s="64"/>
      <c r="N421" s="61"/>
    </row>
    <row r="422" spans="1:14" s="379" customFormat="1" x14ac:dyDescent="0.25">
      <c r="A422" s="378"/>
      <c r="B422" s="375"/>
      <c r="C422" s="61"/>
      <c r="D422" s="61"/>
      <c r="E422" s="61"/>
      <c r="F422" s="63"/>
      <c r="G422" s="61"/>
      <c r="H422" s="61"/>
      <c r="I422" s="64"/>
      <c r="J422" s="64"/>
      <c r="K422" s="64"/>
      <c r="L422" s="64"/>
      <c r="M422" s="64"/>
      <c r="N422" s="61"/>
    </row>
    <row r="423" spans="1:14" s="379" customFormat="1" x14ac:dyDescent="0.25">
      <c r="A423" s="378"/>
      <c r="B423" s="375"/>
      <c r="C423" s="61"/>
      <c r="D423" s="61"/>
      <c r="E423" s="61"/>
      <c r="F423" s="63"/>
      <c r="G423" s="61"/>
      <c r="H423" s="61"/>
      <c r="I423" s="64"/>
      <c r="J423" s="64"/>
      <c r="K423" s="64"/>
      <c r="L423" s="64"/>
      <c r="M423" s="64"/>
      <c r="N423" s="61"/>
    </row>
    <row r="424" spans="1:14" s="379" customFormat="1" x14ac:dyDescent="0.25">
      <c r="A424" s="378"/>
      <c r="B424" s="375"/>
      <c r="C424" s="61"/>
      <c r="D424" s="61"/>
      <c r="E424" s="61"/>
      <c r="F424" s="63"/>
      <c r="G424" s="61"/>
      <c r="H424" s="61"/>
      <c r="I424" s="64"/>
      <c r="J424" s="64"/>
      <c r="K424" s="64"/>
      <c r="L424" s="64"/>
      <c r="M424" s="64"/>
      <c r="N424" s="61"/>
    </row>
    <row r="425" spans="1:14" s="379" customFormat="1" x14ac:dyDescent="0.25">
      <c r="A425" s="378"/>
      <c r="B425" s="375"/>
      <c r="C425" s="61"/>
      <c r="D425" s="61"/>
      <c r="E425" s="61"/>
      <c r="F425" s="63"/>
      <c r="G425" s="61"/>
      <c r="H425" s="61"/>
      <c r="I425" s="64"/>
      <c r="J425" s="64"/>
      <c r="K425" s="64"/>
      <c r="L425" s="64"/>
      <c r="M425" s="64"/>
      <c r="N425" s="61"/>
    </row>
    <row r="426" spans="1:14" s="379" customFormat="1" x14ac:dyDescent="0.25">
      <c r="A426" s="378"/>
      <c r="B426" s="375"/>
      <c r="C426" s="61"/>
      <c r="D426" s="61"/>
      <c r="E426" s="61"/>
      <c r="F426" s="63"/>
      <c r="G426" s="61"/>
      <c r="H426" s="61"/>
      <c r="I426" s="64"/>
      <c r="J426" s="64"/>
      <c r="K426" s="64"/>
      <c r="L426" s="64"/>
      <c r="M426" s="64"/>
      <c r="N426" s="61"/>
    </row>
    <row r="427" spans="1:14" s="379" customFormat="1" x14ac:dyDescent="0.25">
      <c r="A427" s="378"/>
      <c r="B427" s="375"/>
      <c r="C427" s="61"/>
      <c r="D427" s="61"/>
      <c r="E427" s="61"/>
      <c r="F427" s="63"/>
      <c r="G427" s="61"/>
      <c r="H427" s="61"/>
      <c r="I427" s="64"/>
      <c r="J427" s="64"/>
      <c r="K427" s="64"/>
      <c r="L427" s="64"/>
      <c r="M427" s="64"/>
      <c r="N427" s="61"/>
    </row>
    <row r="428" spans="1:14" s="379" customFormat="1" x14ac:dyDescent="0.25">
      <c r="A428" s="378"/>
      <c r="B428" s="375"/>
      <c r="C428" s="61"/>
      <c r="D428" s="61"/>
      <c r="E428" s="61"/>
      <c r="F428" s="63"/>
      <c r="G428" s="61"/>
      <c r="H428" s="61"/>
      <c r="I428" s="64"/>
      <c r="J428" s="64"/>
      <c r="K428" s="64"/>
      <c r="L428" s="64"/>
      <c r="M428" s="64"/>
      <c r="N428" s="61"/>
    </row>
    <row r="429" spans="1:14" s="379" customFormat="1" x14ac:dyDescent="0.25">
      <c r="A429" s="378"/>
      <c r="B429" s="375"/>
      <c r="C429" s="61"/>
      <c r="D429" s="61"/>
      <c r="E429" s="61"/>
      <c r="F429" s="63"/>
      <c r="G429" s="61"/>
      <c r="H429" s="61"/>
      <c r="I429" s="64"/>
      <c r="J429" s="64"/>
      <c r="K429" s="64"/>
      <c r="L429" s="64"/>
      <c r="M429" s="64"/>
      <c r="N429" s="61"/>
    </row>
    <row r="430" spans="1:14" s="379" customFormat="1" x14ac:dyDescent="0.25">
      <c r="A430" s="378"/>
      <c r="B430" s="375"/>
      <c r="C430" s="61"/>
      <c r="D430" s="61"/>
      <c r="E430" s="61"/>
      <c r="F430" s="63"/>
      <c r="G430" s="61"/>
      <c r="H430" s="61"/>
      <c r="I430" s="64"/>
      <c r="J430" s="64"/>
      <c r="K430" s="64"/>
      <c r="L430" s="64"/>
      <c r="M430" s="64"/>
      <c r="N430" s="61"/>
    </row>
    <row r="431" spans="1:14" s="379" customFormat="1" x14ac:dyDescent="0.25">
      <c r="A431" s="378"/>
      <c r="B431" s="375"/>
      <c r="C431" s="61"/>
      <c r="D431" s="61"/>
      <c r="E431" s="61"/>
      <c r="F431" s="63"/>
      <c r="G431" s="61"/>
      <c r="H431" s="61"/>
      <c r="I431" s="64"/>
      <c r="J431" s="64"/>
      <c r="K431" s="64"/>
      <c r="L431" s="64"/>
      <c r="M431" s="64"/>
      <c r="N431" s="61"/>
    </row>
    <row r="432" spans="1:14" s="379" customFormat="1" x14ac:dyDescent="0.25">
      <c r="A432" s="378"/>
      <c r="B432" s="375"/>
      <c r="C432" s="61"/>
      <c r="D432" s="61"/>
      <c r="E432" s="61"/>
      <c r="F432" s="63"/>
      <c r="G432" s="61"/>
      <c r="H432" s="61"/>
      <c r="I432" s="64"/>
      <c r="J432" s="64"/>
      <c r="K432" s="64"/>
      <c r="L432" s="64"/>
      <c r="M432" s="64"/>
      <c r="N432" s="61"/>
    </row>
    <row r="433" spans="1:14" s="379" customFormat="1" x14ac:dyDescent="0.25">
      <c r="A433" s="378"/>
      <c r="B433" s="375"/>
      <c r="C433" s="61"/>
      <c r="D433" s="61"/>
      <c r="E433" s="61"/>
      <c r="F433" s="63"/>
      <c r="G433" s="61"/>
      <c r="H433" s="61"/>
      <c r="I433" s="64"/>
      <c r="J433" s="64"/>
      <c r="K433" s="64"/>
      <c r="L433" s="64"/>
      <c r="M433" s="64"/>
      <c r="N433" s="61"/>
    </row>
    <row r="434" spans="1:14" s="379" customFormat="1" x14ac:dyDescent="0.25">
      <c r="A434" s="378"/>
      <c r="B434" s="375"/>
      <c r="C434" s="61"/>
      <c r="D434" s="61"/>
      <c r="E434" s="61"/>
      <c r="F434" s="63"/>
      <c r="G434" s="61"/>
      <c r="H434" s="61"/>
      <c r="I434" s="64"/>
      <c r="J434" s="64"/>
      <c r="K434" s="64"/>
      <c r="L434" s="64"/>
      <c r="M434" s="64"/>
      <c r="N434" s="61"/>
    </row>
    <row r="435" spans="1:14" s="379" customFormat="1" x14ac:dyDescent="0.25">
      <c r="A435" s="378"/>
      <c r="B435" s="375"/>
      <c r="C435" s="61"/>
      <c r="D435" s="61"/>
      <c r="E435" s="61"/>
      <c r="F435" s="63"/>
      <c r="G435" s="61"/>
      <c r="H435" s="61"/>
      <c r="I435" s="64"/>
      <c r="J435" s="64"/>
      <c r="K435" s="64"/>
      <c r="L435" s="64"/>
      <c r="M435" s="64"/>
      <c r="N435" s="61"/>
    </row>
    <row r="436" spans="1:14" s="379" customFormat="1" x14ac:dyDescent="0.25">
      <c r="A436" s="378"/>
      <c r="B436" s="375"/>
      <c r="C436" s="61"/>
      <c r="D436" s="61"/>
      <c r="E436" s="61"/>
      <c r="F436" s="63"/>
      <c r="G436" s="61"/>
      <c r="H436" s="61"/>
      <c r="I436" s="64"/>
      <c r="J436" s="64"/>
      <c r="K436" s="64"/>
      <c r="L436" s="64"/>
      <c r="M436" s="64"/>
      <c r="N436" s="61"/>
    </row>
    <row r="437" spans="1:14" s="379" customFormat="1" x14ac:dyDescent="0.25">
      <c r="A437" s="378"/>
      <c r="B437" s="375"/>
      <c r="C437" s="61"/>
      <c r="D437" s="61"/>
      <c r="E437" s="61"/>
      <c r="F437" s="63"/>
      <c r="G437" s="61"/>
      <c r="H437" s="61"/>
      <c r="I437" s="64"/>
      <c r="J437" s="64"/>
      <c r="K437" s="64"/>
      <c r="L437" s="64"/>
      <c r="M437" s="64"/>
      <c r="N437" s="61"/>
    </row>
    <row r="438" spans="1:14" s="379" customFormat="1" x14ac:dyDescent="0.25">
      <c r="A438" s="378"/>
      <c r="B438" s="375"/>
      <c r="C438" s="61"/>
      <c r="D438" s="61"/>
      <c r="E438" s="61"/>
      <c r="F438" s="63"/>
      <c r="G438" s="61"/>
      <c r="H438" s="61"/>
      <c r="I438" s="64"/>
      <c r="J438" s="64"/>
      <c r="K438" s="64"/>
      <c r="L438" s="64"/>
      <c r="M438" s="64"/>
      <c r="N438" s="61"/>
    </row>
    <row r="439" spans="1:14" s="379" customFormat="1" x14ac:dyDescent="0.25">
      <c r="A439" s="378"/>
      <c r="B439" s="375"/>
      <c r="C439" s="61"/>
      <c r="D439" s="61"/>
      <c r="E439" s="61"/>
      <c r="F439" s="63"/>
      <c r="G439" s="61"/>
      <c r="H439" s="61"/>
      <c r="I439" s="64"/>
      <c r="J439" s="64"/>
      <c r="K439" s="64"/>
      <c r="L439" s="64"/>
      <c r="M439" s="64"/>
      <c r="N439" s="61"/>
    </row>
    <row r="440" spans="1:14" s="379" customFormat="1" x14ac:dyDescent="0.25">
      <c r="A440" s="378"/>
      <c r="B440" s="375"/>
      <c r="C440" s="61"/>
      <c r="D440" s="61"/>
      <c r="E440" s="61"/>
      <c r="F440" s="63"/>
      <c r="G440" s="61"/>
      <c r="H440" s="61"/>
      <c r="I440" s="64"/>
      <c r="J440" s="64"/>
      <c r="K440" s="64"/>
      <c r="L440" s="64"/>
      <c r="M440" s="64"/>
      <c r="N440" s="61"/>
    </row>
    <row r="441" spans="1:14" s="379" customFormat="1" x14ac:dyDescent="0.25">
      <c r="A441" s="378"/>
      <c r="B441" s="375"/>
      <c r="C441" s="61"/>
      <c r="D441" s="61"/>
      <c r="E441" s="61"/>
      <c r="F441" s="63"/>
      <c r="G441" s="61"/>
      <c r="H441" s="61"/>
      <c r="I441" s="64"/>
      <c r="J441" s="64"/>
      <c r="K441" s="64"/>
      <c r="L441" s="64"/>
      <c r="M441" s="64"/>
      <c r="N441" s="61"/>
    </row>
    <row r="442" spans="1:14" s="379" customFormat="1" x14ac:dyDescent="0.25">
      <c r="A442" s="378"/>
      <c r="B442" s="375"/>
      <c r="C442" s="61"/>
      <c r="D442" s="61"/>
      <c r="E442" s="61"/>
      <c r="F442" s="63"/>
      <c r="G442" s="61"/>
      <c r="H442" s="61"/>
      <c r="I442" s="64"/>
      <c r="J442" s="64"/>
      <c r="K442" s="64"/>
      <c r="L442" s="64"/>
      <c r="M442" s="64"/>
      <c r="N442" s="61"/>
    </row>
    <row r="443" spans="1:14" s="379" customFormat="1" x14ac:dyDescent="0.25">
      <c r="A443" s="378"/>
      <c r="B443" s="375"/>
      <c r="C443" s="61"/>
      <c r="D443" s="61"/>
      <c r="E443" s="61"/>
      <c r="F443" s="63"/>
      <c r="G443" s="61"/>
      <c r="H443" s="61"/>
      <c r="I443" s="64"/>
      <c r="J443" s="64"/>
      <c r="K443" s="64"/>
      <c r="L443" s="64"/>
      <c r="M443" s="64"/>
      <c r="N443" s="61"/>
    </row>
    <row r="444" spans="1:14" s="379" customFormat="1" x14ac:dyDescent="0.25">
      <c r="A444" s="378"/>
      <c r="B444" s="375"/>
      <c r="C444" s="61"/>
      <c r="D444" s="61"/>
      <c r="E444" s="61"/>
      <c r="F444" s="63"/>
      <c r="G444" s="61"/>
      <c r="H444" s="61"/>
      <c r="I444" s="64"/>
      <c r="J444" s="64"/>
      <c r="K444" s="64"/>
      <c r="L444" s="64"/>
      <c r="M444" s="64"/>
      <c r="N444" s="61"/>
    </row>
    <row r="445" spans="1:14" s="379" customFormat="1" x14ac:dyDescent="0.25">
      <c r="A445" s="378"/>
      <c r="B445" s="375"/>
      <c r="C445" s="61"/>
      <c r="D445" s="61"/>
      <c r="E445" s="61"/>
      <c r="F445" s="63"/>
      <c r="G445" s="61"/>
      <c r="H445" s="61"/>
      <c r="I445" s="64"/>
      <c r="J445" s="64"/>
      <c r="K445" s="64"/>
      <c r="L445" s="64"/>
      <c r="M445" s="64"/>
      <c r="N445" s="61"/>
    </row>
    <row r="446" spans="1:14" s="379" customFormat="1" x14ac:dyDescent="0.25">
      <c r="A446" s="378"/>
      <c r="B446" s="375"/>
      <c r="C446" s="61"/>
      <c r="D446" s="61"/>
      <c r="E446" s="61"/>
      <c r="F446" s="63"/>
      <c r="G446" s="61"/>
      <c r="H446" s="61"/>
      <c r="I446" s="64"/>
      <c r="J446" s="64"/>
      <c r="K446" s="64"/>
      <c r="L446" s="64"/>
      <c r="M446" s="64"/>
      <c r="N446" s="61"/>
    </row>
    <row r="447" spans="1:14" s="379" customFormat="1" x14ac:dyDescent="0.25">
      <c r="A447" s="378"/>
      <c r="B447" s="375"/>
      <c r="C447" s="61"/>
      <c r="D447" s="61"/>
      <c r="E447" s="61"/>
      <c r="F447" s="63"/>
      <c r="G447" s="61"/>
      <c r="H447" s="61"/>
      <c r="I447" s="64"/>
      <c r="J447" s="64"/>
      <c r="K447" s="64"/>
      <c r="L447" s="64"/>
      <c r="M447" s="64"/>
      <c r="N447" s="61"/>
    </row>
    <row r="448" spans="1:14" s="379" customFormat="1" x14ac:dyDescent="0.25">
      <c r="A448" s="378"/>
      <c r="B448" s="375"/>
      <c r="C448" s="61"/>
      <c r="D448" s="61"/>
      <c r="E448" s="61"/>
      <c r="F448" s="63"/>
      <c r="G448" s="61"/>
      <c r="H448" s="61"/>
      <c r="I448" s="64"/>
      <c r="J448" s="64"/>
      <c r="K448" s="64"/>
      <c r="L448" s="64"/>
      <c r="M448" s="64"/>
      <c r="N448" s="61"/>
    </row>
    <row r="449" spans="1:15" s="379" customFormat="1" x14ac:dyDescent="0.25">
      <c r="A449" s="378"/>
      <c r="B449" s="375"/>
      <c r="C449" s="61"/>
      <c r="D449" s="61"/>
      <c r="E449" s="61"/>
      <c r="F449" s="63"/>
      <c r="G449" s="61"/>
      <c r="H449" s="61"/>
      <c r="I449" s="64"/>
      <c r="J449" s="64"/>
      <c r="K449" s="64"/>
      <c r="L449" s="64"/>
      <c r="M449" s="64"/>
      <c r="N449" s="61"/>
    </row>
    <row r="450" spans="1:15" s="379" customFormat="1" x14ac:dyDescent="0.25">
      <c r="A450" s="378"/>
      <c r="B450" s="375"/>
      <c r="C450" s="61"/>
      <c r="D450" s="61"/>
      <c r="E450" s="61"/>
      <c r="F450" s="63"/>
      <c r="G450" s="61"/>
      <c r="H450" s="61"/>
      <c r="I450" s="64"/>
      <c r="J450" s="64"/>
      <c r="K450" s="64"/>
      <c r="L450" s="64"/>
      <c r="M450" s="64"/>
      <c r="N450" s="61"/>
    </row>
    <row r="451" spans="1:15" s="379" customFormat="1" x14ac:dyDescent="0.25">
      <c r="A451" s="378"/>
      <c r="B451" s="375"/>
      <c r="C451" s="61"/>
      <c r="D451" s="61"/>
      <c r="E451" s="61"/>
      <c r="F451" s="63"/>
      <c r="G451" s="61"/>
      <c r="H451" s="61"/>
      <c r="I451" s="64"/>
      <c r="J451" s="64"/>
      <c r="K451" s="64"/>
      <c r="L451" s="64"/>
      <c r="M451" s="64"/>
      <c r="N451" s="61"/>
    </row>
    <row r="452" spans="1:15" s="379" customFormat="1" x14ac:dyDescent="0.25">
      <c r="A452" s="378"/>
      <c r="B452" s="375"/>
      <c r="C452" s="61"/>
      <c r="D452" s="61"/>
      <c r="E452" s="61"/>
      <c r="F452" s="63"/>
      <c r="G452" s="61"/>
      <c r="H452" s="61"/>
      <c r="I452" s="64"/>
      <c r="J452" s="64"/>
      <c r="K452" s="64"/>
      <c r="L452" s="64"/>
      <c r="M452" s="64"/>
      <c r="N452" s="61"/>
    </row>
    <row r="453" spans="1:15" s="379" customFormat="1" x14ac:dyDescent="0.25">
      <c r="A453" s="378"/>
      <c r="B453" s="375"/>
      <c r="C453" s="61"/>
      <c r="D453" s="61"/>
      <c r="E453" s="61"/>
      <c r="F453" s="63"/>
      <c r="G453" s="61"/>
      <c r="H453" s="61"/>
      <c r="I453" s="64"/>
      <c r="J453" s="64"/>
      <c r="K453" s="64"/>
      <c r="L453" s="64"/>
      <c r="M453" s="64"/>
      <c r="N453" s="61"/>
    </row>
    <row r="454" spans="1:15" s="379" customFormat="1" x14ac:dyDescent="0.25">
      <c r="A454" s="378"/>
      <c r="B454" s="375"/>
      <c r="C454" s="61"/>
      <c r="D454" s="61"/>
      <c r="E454" s="61"/>
      <c r="F454" s="63"/>
      <c r="G454" s="61"/>
      <c r="H454" s="61"/>
      <c r="I454" s="64"/>
      <c r="J454" s="64"/>
      <c r="K454" s="64"/>
      <c r="L454" s="64"/>
      <c r="M454" s="64"/>
      <c r="N454" s="61"/>
    </row>
    <row r="455" spans="1:15" s="379" customFormat="1" x14ac:dyDescent="0.25">
      <c r="A455" s="378"/>
      <c r="B455" s="375"/>
      <c r="C455" s="61"/>
      <c r="D455" s="61"/>
      <c r="E455" s="61"/>
      <c r="F455" s="63"/>
      <c r="G455" s="61"/>
      <c r="H455" s="61"/>
      <c r="I455" s="64"/>
      <c r="J455" s="64"/>
      <c r="K455" s="64"/>
      <c r="L455" s="64"/>
      <c r="M455" s="64"/>
      <c r="N455" s="61"/>
    </row>
    <row r="456" spans="1:15" s="379" customFormat="1" x14ac:dyDescent="0.25">
      <c r="A456" s="378"/>
      <c r="B456" s="375"/>
      <c r="C456" s="61"/>
      <c r="D456" s="61"/>
      <c r="E456" s="61"/>
      <c r="F456" s="63"/>
      <c r="G456" s="61"/>
      <c r="H456" s="61"/>
      <c r="I456" s="64"/>
      <c r="J456" s="64"/>
      <c r="K456" s="64"/>
      <c r="L456" s="64"/>
      <c r="M456" s="64"/>
      <c r="N456" s="61"/>
    </row>
    <row r="457" spans="1:15" s="379" customFormat="1" x14ac:dyDescent="0.25">
      <c r="A457" s="378"/>
      <c r="B457" s="375"/>
      <c r="C457" s="61"/>
      <c r="D457" s="61"/>
      <c r="E457" s="61"/>
      <c r="F457" s="63"/>
      <c r="G457" s="61"/>
      <c r="H457" s="61"/>
      <c r="I457" s="64"/>
      <c r="J457" s="64"/>
      <c r="K457" s="64"/>
      <c r="L457" s="64"/>
      <c r="M457" s="64"/>
      <c r="N457" s="61"/>
    </row>
    <row r="458" spans="1:15" s="379" customFormat="1" x14ac:dyDescent="0.25">
      <c r="A458" s="378"/>
      <c r="B458" s="375"/>
      <c r="C458" s="61"/>
      <c r="D458" s="61"/>
      <c r="E458" s="61"/>
      <c r="F458" s="63"/>
      <c r="G458" s="61"/>
      <c r="H458" s="61"/>
      <c r="I458" s="64"/>
      <c r="J458" s="64"/>
      <c r="K458" s="64"/>
      <c r="L458" s="64"/>
      <c r="M458" s="64"/>
      <c r="N458" s="61"/>
    </row>
    <row r="459" spans="1:15" s="379" customFormat="1" x14ac:dyDescent="0.25">
      <c r="A459" s="378"/>
      <c r="B459" s="375"/>
      <c r="C459" s="61"/>
      <c r="D459" s="61"/>
      <c r="E459" s="61"/>
      <c r="F459" s="63"/>
      <c r="G459" s="61"/>
      <c r="H459" s="61"/>
      <c r="I459" s="64"/>
      <c r="J459" s="64"/>
      <c r="K459" s="64"/>
      <c r="L459" s="64"/>
      <c r="M459" s="64"/>
      <c r="N459" s="61"/>
    </row>
    <row r="460" spans="1:15" s="379" customFormat="1" x14ac:dyDescent="0.25">
      <c r="A460" s="378"/>
      <c r="B460" s="375"/>
      <c r="C460" s="61"/>
      <c r="D460" s="61"/>
      <c r="E460" s="61"/>
      <c r="F460" s="63"/>
      <c r="G460" s="61"/>
      <c r="H460" s="61"/>
      <c r="I460" s="64"/>
      <c r="J460" s="64"/>
      <c r="K460" s="64"/>
      <c r="L460" s="64"/>
      <c r="M460" s="64"/>
      <c r="N460" s="61"/>
    </row>
    <row r="461" spans="1:15" s="379" customFormat="1" x14ac:dyDescent="0.25">
      <c r="A461" s="378"/>
      <c r="B461" s="375"/>
      <c r="C461" s="61"/>
      <c r="D461" s="61"/>
      <c r="E461" s="61"/>
      <c r="F461" s="63"/>
      <c r="G461" s="61"/>
      <c r="H461" s="61"/>
      <c r="I461" s="64"/>
      <c r="J461" s="64"/>
      <c r="K461" s="64"/>
      <c r="L461" s="64"/>
      <c r="M461" s="64"/>
      <c r="N461" s="61"/>
    </row>
    <row r="462" spans="1:15" s="379" customFormat="1" x14ac:dyDescent="0.25">
      <c r="A462" s="378"/>
      <c r="B462" s="375"/>
      <c r="C462" s="61"/>
      <c r="D462" s="61"/>
      <c r="E462" s="61"/>
      <c r="F462" s="63"/>
      <c r="G462" s="61"/>
      <c r="H462" s="61"/>
      <c r="I462" s="64"/>
      <c r="J462" s="64"/>
      <c r="K462" s="64"/>
      <c r="L462" s="64"/>
      <c r="M462" s="64"/>
      <c r="N462" s="61"/>
    </row>
    <row r="463" spans="1:15" x14ac:dyDescent="0.25">
      <c r="A463" s="378"/>
      <c r="B463" s="375"/>
      <c r="O463" s="379"/>
    </row>
    <row r="464" spans="1:15" x14ac:dyDescent="0.25">
      <c r="A464" s="378"/>
      <c r="B464" s="375"/>
      <c r="O464" s="379"/>
    </row>
    <row r="465" spans="1:15" x14ac:dyDescent="0.25">
      <c r="A465" s="378"/>
      <c r="B465" s="375"/>
      <c r="O465" s="379"/>
    </row>
    <row r="466" spans="1:15" x14ac:dyDescent="0.25">
      <c r="A466" s="378"/>
      <c r="B466" s="375"/>
      <c r="O466" s="379"/>
    </row>
  </sheetData>
  <hyperlinks>
    <hyperlink ref="F103" location="FR_A0001" display="FR_A0001"/>
    <hyperlink ref="F104" location="FR_01001" display="FR_01001"/>
    <hyperlink ref="F105" location="FR_01002" display="FR_01002"/>
    <hyperlink ref="F106" location="FR_01003" display="FR_01003"/>
    <hyperlink ref="F107" location="FR_01004" display="FR_01004"/>
    <hyperlink ref="F108" location="FR_A0200" display="FR_A0200"/>
    <hyperlink ref="F109" location="FR_02001" display="FR_02001"/>
    <hyperlink ref="F110" location="FR_A0300" display="FR_A0300"/>
    <hyperlink ref="F111" location="FR_03001" display="FR_03001"/>
    <hyperlink ref="F112" location="FR_03002" display="FR_03002"/>
    <hyperlink ref="F113" location="FR_03003" display="FR_03003"/>
    <hyperlink ref="F114" location="FR_03004" display="FR_03004"/>
    <hyperlink ref="F115" location="FR_03005" display="FR_03005"/>
    <hyperlink ref="F116" location="FR_03006" display="FR_03006"/>
    <hyperlink ref="F117" location="FR_03007" display="FR_03007"/>
    <hyperlink ref="F118" location="FR_03008" display="FR_03008"/>
    <hyperlink ref="F119" location="FR_03009" display="FR_03009"/>
    <hyperlink ref="F120" location="FR_03012" display="FR_03012"/>
    <hyperlink ref="F121" location="FR_03013" display="FR_03013"/>
    <hyperlink ref="F122" location="FR_03014" display="FR_03014"/>
    <hyperlink ref="F123" location="'FR A0400'!A1" display="'FR A0400'!A1"/>
    <hyperlink ref="F124" location="FR_04001" display="FR_04001"/>
    <hyperlink ref="F125" location="FR_04002" display="FR_04002"/>
    <hyperlink ref="F126" location="FR_04003" display="FR_04003"/>
    <hyperlink ref="F127" location="FR_A0500" display="FR_A0500"/>
    <hyperlink ref="F128" location="FR_05001" display="FR_05001"/>
    <hyperlink ref="F129:F132" location="BR_01001" display="BR_01001"/>
    <hyperlink ref="F129" location="FR_05002" display="FR_05002"/>
    <hyperlink ref="F130" location="FR_05003" display="FR_05003"/>
    <hyperlink ref="F131" location="FR_05004" display="FR_05004"/>
    <hyperlink ref="F132" location="FR_05005" display="FR_05005"/>
    <hyperlink ref="F133" location="FR_A0600" display="FR_A0600"/>
    <hyperlink ref="F134" location="FR_06001" display="Engine gear boxx drum gear"/>
    <hyperlink ref="F135" location="FR_06002" display="Enngine gear box shifting pinion shaft"/>
    <hyperlink ref="F136" location="FR_06003" display="Engine gear box actator tab"/>
    <hyperlink ref="F137" location="FR_06004" display="Front engine gearbox actuator mount"/>
    <hyperlink ref="F138" location="FR_06005" display="Rear engine gearbox actuator mount"/>
    <hyperlink ref="F139" location="FR_06006" display="Engine gearbox actuator coupling"/>
    <hyperlink ref="F140" location="'FR A0700'!A1" display="'FR A0700'!A1"/>
    <hyperlink ref="F141" location="FR_07001" display="FR_07001"/>
    <hyperlink ref="F142" location="FR_07002" display="FR_07002"/>
    <hyperlink ref="F143" location="FR_07003" display="FR_07003"/>
    <hyperlink ref="F144" location="FR_07004" display="FR_07004"/>
    <hyperlink ref="F145" location="FR_07005" display="FR_07005"/>
    <hyperlink ref="F146" location="FR_07006" display="FR_07006"/>
    <hyperlink ref="F147" location="FR_07007" display="FR_07007"/>
    <hyperlink ref="F148" location="FR_07008" display="FR_07008"/>
    <hyperlink ref="F171" location="MS_A0100" display="MS_A0100"/>
    <hyperlink ref="F172" location="MS_0100_001" display="MS_0100_001"/>
    <hyperlink ref="F173" location="MS_0100_002" display="MS_0100_002"/>
    <hyperlink ref="F174" location="MS_0100_003" display="MS_0100_003"/>
    <hyperlink ref="F175" location="MS_0100_004" display="MS_0100_004"/>
    <hyperlink ref="F176" location="MS_0100_005" display="MS_0100_005"/>
    <hyperlink ref="F177" location="MS_0100_006" display="MS_0100_006"/>
    <hyperlink ref="F178" location="MS_0100_007" display="MS_0100_007"/>
    <hyperlink ref="F179" location="MS_0100_008" display="MS_0100_008"/>
    <hyperlink ref="F180" location="MS_A0200" display="MS_A0200"/>
    <hyperlink ref="F181" location="MS_02001" display="MS_02001"/>
    <hyperlink ref="F183" location="MS_A0400" display="MS_A0400"/>
    <hyperlink ref="F184" location="MS_04001" display="MS_04001"/>
    <hyperlink ref="F185" location="MS_04002" display="MS_04002"/>
    <hyperlink ref="F182" location="MS_A0300" display="MS_A0300"/>
    <hyperlink ref="F186" location="MS_04003" display="MS_04003"/>
    <hyperlink ref="F187" location="MS_A0500" display="MS_A0500"/>
    <hyperlink ref="F188" location="MS_05001" display="MS_05001"/>
    <hyperlink ref="F7" location="'BR A0001'!A1" display="'BR A0001'!A1"/>
    <hyperlink ref="F8" location="'BR 01001'!A1" display="'BR 01001'!A1"/>
    <hyperlink ref="F9" location="'BR 01002'!A1" display="'BR 01002'!A1"/>
    <hyperlink ref="F10" location="'BR 01003'!A1" display="'BR 01003'!A1"/>
    <hyperlink ref="F11" location="'BR 01004'!A1" display="'BR 01004'!A1"/>
    <hyperlink ref="F14" location="'BR 02002'!A1" display="'BR 02002'!A1"/>
    <hyperlink ref="F15" location="'BR 02003'!A1" display="'BR 02003'!A1"/>
    <hyperlink ref="F16" location="'BR 02004'!A1" display="'BR 02004'!A1"/>
    <hyperlink ref="F12" location="'BR A0002'!A1" display="'BR A0002'!A1"/>
    <hyperlink ref="F18" location="'BR 03001'!A1" display="'BR 03001'!A1"/>
    <hyperlink ref="F19" location="'BR 03002'!A1" display="'BR 03002'!A1"/>
    <hyperlink ref="F20" location="'BR 03003'!A1" display="'BR 03003'!A1"/>
    <hyperlink ref="F21" location="'BR 03004'!A1" display="'BR 03004'!A1"/>
    <hyperlink ref="F17" location="'BR A0003'!A1" display="'BR A0003'!A1"/>
    <hyperlink ref="F13" location="BR_02001" display="BR_02001"/>
    <hyperlink ref="F190" location="'ST A0100'!A1" display="'ST A0100'!A1"/>
    <hyperlink ref="F191" location="'ST 01001'!A1" display="'ST 01001'!A1"/>
    <hyperlink ref="F192" location="'ST 01002'!A1" display="'ST 01002'!A1"/>
    <hyperlink ref="F193" location="'ST 01003'!A1" display="'ST 01003'!A1"/>
    <hyperlink ref="F194" location="'ST 01004'!A1" display="'ST 01004'!A1"/>
    <hyperlink ref="F196" location="'ST 01006'!A1" display="'ST 01006'!A1"/>
    <hyperlink ref="F197" location="'ST 01007'!A1" display="'ST 01007'!A1"/>
    <hyperlink ref="F198" location="'ST 01008'!A1" display="'ST 01008'!A1"/>
    <hyperlink ref="F199" location="'ST 01009'!A1" display="'ST 01009'!A1"/>
    <hyperlink ref="F200" location="'ST 01010'!A1" display="'ST 01010'!A1"/>
    <hyperlink ref="F201" location="'ST 01011'!A1" display="'ST 01011'!A1"/>
    <hyperlink ref="F202" location="'ST A0200'!A1" display="'ST A0200'!A1"/>
    <hyperlink ref="F203" location="'ST 02001'!A1" display="'ST 02001'!A1"/>
    <hyperlink ref="F204" location="'ST 02002'!A1" display="'ST 02002'!A1"/>
    <hyperlink ref="F205" location="'ST 02003'!A1" display="'ST 02003'!A1"/>
    <hyperlink ref="F206" location="'ST 02004'!A1" display="'ST 02004'!A1"/>
    <hyperlink ref="F207" location="'ST 02005'!A1" display="'ST 02005'!A1"/>
    <hyperlink ref="F208" location="'ST A0300'!A1" display="'ST A0300'!A1"/>
    <hyperlink ref="F209" location="'ST 03001'!A1" display="'ST 03001'!A1"/>
    <hyperlink ref="F210" location="'ST 03002'!A1" display="'ST 03002'!A1"/>
    <hyperlink ref="F211" location="ST_03003" display="ST_03003"/>
    <hyperlink ref="F213" location="'ST A0400'!A1" display="'ST A0400'!A1"/>
    <hyperlink ref="F214" location="'ST 04002'!A1" display="'ST 04002'!A1"/>
    <hyperlink ref="F215" location="ST_A0500" display="ST_A0500"/>
    <hyperlink ref="F216" location="ST_05001" display="ST_05001"/>
    <hyperlink ref="F217" location="ST_05002" display="ST_05002"/>
    <hyperlink ref="F218" location="ST_05003" display="ST_05003"/>
    <hyperlink ref="F212" location="ST_A0400" display="ST_A0400"/>
    <hyperlink ref="F195" location="'ST 01005'!A1" display="'ST 01005'!A1"/>
    <hyperlink ref="F154" location="EL_A0001" display="EL_A0001"/>
    <hyperlink ref="F155" location="EL_01001" display="EL_01001"/>
    <hyperlink ref="F156" location="EL_01002" display="EL_01002"/>
    <hyperlink ref="F157" location="EL_01003" display="EL_01003"/>
    <hyperlink ref="F158" location="EL_01004" display="EL_01004"/>
    <hyperlink ref="F159" location="EL_01005" display="EL_01005"/>
    <hyperlink ref="F160" location="EL_01006" display="EL_01006"/>
    <hyperlink ref="F161" location="EL_A0002" display="EL_A0002"/>
    <hyperlink ref="F166" location="EL_A0003" display="EL_A0003"/>
    <hyperlink ref="F162" location="EL_02001" display="EL_02001"/>
    <hyperlink ref="F163" location="EL_02002" display="EL_02002"/>
    <hyperlink ref="F164" location="EL_02003" display="EL_02003"/>
    <hyperlink ref="F165" location="EL_02004" display="EL_02004"/>
    <hyperlink ref="F167" location="EL_03001" display="EL_03001"/>
    <hyperlink ref="F168" location="EL_03002" display="EL_03002"/>
    <hyperlink ref="F169" location="EL_03003" display="EL_03003"/>
    <hyperlink ref="F27" location="EN_A0200" display="EN_A0200"/>
    <hyperlink ref="F28" location="EN_02001" display="EN_02001"/>
    <hyperlink ref="F33" location="EN_02006" display="EN_02006"/>
    <hyperlink ref="F31" location="EN_02004" display="EN_02004"/>
    <hyperlink ref="F29" location="EN_02002" display="EN_02002"/>
    <hyperlink ref="F30" location="EN_02003" display="EN_02003"/>
    <hyperlink ref="F32" location="EN_02005" display="EN_02005"/>
    <hyperlink ref="F34" location="EN_02007" display="EN_02007"/>
    <hyperlink ref="F35" location="EN_02008" display="EN_02008"/>
    <hyperlink ref="F36" location="EN_02009" display="EN_02009"/>
    <hyperlink ref="F37" location="EN_02010" display="EN_02010"/>
    <hyperlink ref="F38" location="EN_A0300" display="EN_A0300"/>
    <hyperlink ref="F39" location="EN_0300_001" display="EN_0300_001"/>
    <hyperlink ref="F40" location="EN_0300_002" display="EN_0300_002"/>
    <hyperlink ref="F41" location="EN_0300_003" display="EN_0300_003"/>
    <hyperlink ref="F42" location="EN_0300_004" display="EN_0300_004"/>
    <hyperlink ref="F43" location="EN_0300_005" display="EN_0300_005"/>
    <hyperlink ref="F44" location="EN_0300_006" display="EN_0300_006"/>
    <hyperlink ref="F45" location="EN_0300_007" display="EN_0300_007"/>
    <hyperlink ref="F46" location="EN_0300_008" display="EN_0300_008"/>
    <hyperlink ref="F47" location="EN_A0400" display="EN_A0400"/>
    <hyperlink ref="F48" location="EN_0400_001" display="EN_0400_001"/>
    <hyperlink ref="F49:F56" location="BR_01001" display="BR_01001"/>
    <hyperlink ref="F49" location="EN_0400_002" display="EN_0400_002"/>
    <hyperlink ref="F50" location="EN_0400_003" display="EN_0400_003"/>
    <hyperlink ref="F51" location="EN_0400_004" display="EN_0400_004"/>
    <hyperlink ref="F52" location="EN_0400_005" display="EN_0400_005"/>
    <hyperlink ref="F54" location="EN_0400_007" display="EN_0400_007"/>
    <hyperlink ref="F55" location="EN_0400_008" display="EN_0400_008"/>
    <hyperlink ref="F56" location="EN_0400_009" display="EN_0400_009"/>
    <hyperlink ref="F53" location="EN_0400_006" display="EN_0400_006"/>
    <hyperlink ref="F80" location="EN_A0900" display="EN_A0900"/>
    <hyperlink ref="F81" location="EN_0900_001" display="EN_0900_001"/>
    <hyperlink ref="F82" location="EN_0900_002" display="EN_0900_002"/>
    <hyperlink ref="F83" location="EN_0900_003" display="EN_0900_003"/>
    <hyperlink ref="F84" location="EN_0900_004" display="EN_0900_004"/>
    <hyperlink ref="F85" location="EN_0900_005" display="EN_0900_005"/>
    <hyperlink ref="F86" location="EN_0900_006" display="EN_0900_006"/>
    <hyperlink ref="F87" location="EN_0900_007" display="EN_0900_007"/>
    <hyperlink ref="F88" location="EN_0900_008" display="EN_0900_008"/>
    <hyperlink ref="F89" location="EN_0900_009" display="EN_0900_009"/>
    <hyperlink ref="F90" location="EN_A1000" display="EN_A1000"/>
    <hyperlink ref="F91" location="EN_1000_001" display="EN_1000_001"/>
    <hyperlink ref="F92" location="EN_1000_002" display="EN_1000_002"/>
    <hyperlink ref="F93" location="EN_1000_003" display="EN_1000_003"/>
    <hyperlink ref="F94" location="EN_1000_004" display="EN_1000_004"/>
    <hyperlink ref="F95" location="EN_A1100" display="EN_A1100"/>
    <hyperlink ref="F96" location="EN_1100_001" display="EN_1100_001"/>
    <hyperlink ref="F98" location="EN_1100_003" display="EN_1100_003"/>
    <hyperlink ref="F99" location="EN_1100_004" display="EN_1100_004"/>
    <hyperlink ref="F97" location="EN_1100_002" display="EN_1100_002"/>
    <hyperlink ref="F100" location="EN_1100_005" display="EN_1100_005"/>
    <hyperlink ref="F101" location="EN_1100_006" display="EN_1100_006"/>
    <hyperlink ref="F23" location="EN_A0100" display="EN_A0100"/>
    <hyperlink ref="F24" location="EN_01001" display="EN_01001"/>
    <hyperlink ref="F25" location="EN_01002" display="EN_01002"/>
    <hyperlink ref="F26" location="EN_01003" display="EN_01003"/>
    <hyperlink ref="F57" location="EN_A0500" display="EN_A0500"/>
    <hyperlink ref="F58" location="EN_05001" display="EN_05001"/>
    <hyperlink ref="F59" location="EN_05002" display="EN_05002"/>
    <hyperlink ref="F60" location="EN_05003" display="EN_05003"/>
    <hyperlink ref="F61" location="EN_05004" display="EN_05004"/>
    <hyperlink ref="F62" location="EN_05005" display="EN_05005"/>
    <hyperlink ref="F63" location="EN_A0600" display="EN_A0600"/>
    <hyperlink ref="F64" location="EN_06001" display="EN_06001"/>
    <hyperlink ref="F65" location="EN_06002" display="EN_06002"/>
    <hyperlink ref="F66" location="EN_06003" display="EN_06003"/>
    <hyperlink ref="F67" location="EN_06004" display="EN_06004"/>
    <hyperlink ref="F68" location="EN_A0700" display="EN_A0700"/>
    <hyperlink ref="F69" location="EN_A0800" display="EN_A0800"/>
    <hyperlink ref="F70" location="EN_08001" display="EN_08001"/>
    <hyperlink ref="F71" location="EN_08002" display="EN_08002"/>
    <hyperlink ref="F72" location="EN_08003" display="EN_08003"/>
    <hyperlink ref="F73" location="EN_08004" display="EN_08004"/>
    <hyperlink ref="F74" location="EN_08005" display="EN_08005"/>
    <hyperlink ref="F75" location="EN_08006" display="EN_08006"/>
    <hyperlink ref="F76" location="EN_08007" display="EN_08007"/>
    <hyperlink ref="F77" location="EN_08008" display="EN_08008"/>
    <hyperlink ref="F78" location="EN_08009" display="EN_08009"/>
    <hyperlink ref="F79" location="EN_08010" display="EN_08010"/>
    <hyperlink ref="F306" location="WT_A0100" display="WT_A0100"/>
    <hyperlink ref="F307" location="WT_A0200" display="WT_A0200"/>
    <hyperlink ref="F308" location="WT_02001" display="WT_02001"/>
    <hyperlink ref="F309" location="WT_02002" display="WT_02002"/>
    <hyperlink ref="F310" location="WT_02003" display="WT_02003"/>
    <hyperlink ref="F311" location="WT_02004" display="WT_02004"/>
    <hyperlink ref="F312" location="WT_02005" display="WT_02005"/>
    <hyperlink ref="F313" location="WT_A0300" display="WT_A0300"/>
    <hyperlink ref="F314" location="WT_03001" display="WT_03001"/>
    <hyperlink ref="F315" location="WT_03002" display="WT_03002"/>
    <hyperlink ref="F316" location="WT_03003" display="WT_03003"/>
    <hyperlink ref="F317" location="WT_03004" display="WT_03004"/>
    <hyperlink ref="F318" location="WT_03005" display="WT_03005"/>
    <hyperlink ref="F220" location="'SU A0100'!A1" display="'SU A0100'!A1"/>
    <hyperlink ref="F221" location="SU_01001" display="SU_01001"/>
    <hyperlink ref="F222" location="SU_01002" display="SU_01002"/>
    <hyperlink ref="F223" location="SU_01003" display="SU_01003"/>
    <hyperlink ref="F224" location="SU_01004" display="SU_01004"/>
    <hyperlink ref="F225" location="SU_01005" display="SU_01005"/>
    <hyperlink ref="F227" location="SU_01007" display="SU_01007"/>
    <hyperlink ref="F232" location="SU_A0200" display="SU_A0200"/>
    <hyperlink ref="F233" location="SU_02001" display="SU_02001"/>
    <hyperlink ref="F234:F239" location="SU_01001" display="SU_01001"/>
    <hyperlink ref="F234" location="SU_02002" display="SU_02002"/>
    <hyperlink ref="F235" location="SU_02003" display="SU_02003"/>
    <hyperlink ref="F236" location="SU_02004" display="SU_02004"/>
    <hyperlink ref="F237" location="SU_02005" display="SU_02005"/>
    <hyperlink ref="F239" location="SU_02007" display="SU_02007"/>
    <hyperlink ref="F226" location="SU_01006" display="SU_01006"/>
    <hyperlink ref="F238" location="SU_02006" display="SU_02006"/>
    <hyperlink ref="F244" location="SU_A0300" display="SU_A0300"/>
    <hyperlink ref="F245" location="SU_03001" display="SU_03001"/>
    <hyperlink ref="F246:F251" location="SU_03001" display="SU_03001"/>
    <hyperlink ref="F246" location="SU_03002" display="SU_03002"/>
    <hyperlink ref="F247" location="SU_03003" display="SU_03003"/>
    <hyperlink ref="F248" location="SU_03004" display="SU_03004"/>
    <hyperlink ref="F249" location="SU_03005" display="SU_03005"/>
    <hyperlink ref="F250" location="SU_03006" display="SU_03006"/>
    <hyperlink ref="F251" location="SU_03007" display="SU_03007"/>
    <hyperlink ref="F228:F230" location="SU_01007" display="SU_01007"/>
    <hyperlink ref="F231" location="SU_01011" display="SU_01011"/>
    <hyperlink ref="F228" location="SU_01008" display="SU_01008"/>
    <hyperlink ref="F229" location="SU_01009" display="SU_01009"/>
    <hyperlink ref="F230" location="SU_01010" display="SU_01010"/>
    <hyperlink ref="F240" location="SU_02008" display="SU_02008"/>
    <hyperlink ref="F241" location="SU_02009" display="SU_02009"/>
    <hyperlink ref="F242" location="SU_02010" display="SU_02010"/>
    <hyperlink ref="F243" location="SU_02011" display="SU_02011"/>
    <hyperlink ref="F252" location="SU_03008" display="SU_03008"/>
    <hyperlink ref="F253" location="SU_03009" display="SU_03009"/>
    <hyperlink ref="F254" location="SU_03010" display="SU_03010"/>
    <hyperlink ref="F255" location="SU_03011" display="SU_03011"/>
    <hyperlink ref="F256" location="SU_A0400" display="SU_A0400"/>
    <hyperlink ref="F257" location="SU_04001" display="SU_04001"/>
    <hyperlink ref="F258:F263" location="SU_03001" display="SU_03001"/>
    <hyperlink ref="F258" location="SU_04002" display="SU_04002"/>
    <hyperlink ref="F259" location="SU_04003" display="SU_04003"/>
    <hyperlink ref="F260" location="SU_04004" display="SU_04004"/>
    <hyperlink ref="F261" location="SU_04005" display="SU_04005"/>
    <hyperlink ref="F262" location="SU_03006" display="SU_03006"/>
    <hyperlink ref="F263" location="SU_04007" display="SU_04007"/>
    <hyperlink ref="F265" location="SU_03009" display="SU_03009"/>
    <hyperlink ref="F266" location="SU_03010" display="SU_03010"/>
    <hyperlink ref="F267" location="SU_03011" display="SU_03011"/>
    <hyperlink ref="F264" location="SU_04008" display="SU_04008"/>
    <hyperlink ref="F268" location="'SU A0500'!A1" display="'SU A0500'!A1"/>
    <hyperlink ref="F269" location="SU_05001" display="SU_05001"/>
    <hyperlink ref="F271" location="SU_06001" display="Rocker bushing"/>
    <hyperlink ref="F272" location="SU_06002" display="Rocker spacer"/>
    <hyperlink ref="F273" location="SU_06003" display="Sheets of metal for rocker"/>
    <hyperlink ref="F274" location="SU_06004" display="Front rocker mount"/>
    <hyperlink ref="F276" location="SU_07001" display="SU_07001"/>
    <hyperlink ref="F275" location="SU_A0700" display="SU_A0700"/>
    <hyperlink ref="F278" location="SU_08001" display="Rocker bushing"/>
    <hyperlink ref="F279" location="SU_08002" display="Sheets of metal for rocker"/>
    <hyperlink ref="F280" location="SU_08003" display="Rear rocker mount"/>
    <hyperlink ref="F277" location="SU_A0800" display="Rear Bell Cranck"/>
    <hyperlink ref="F270" location="SU_A0600" display="SU_A0600"/>
    <hyperlink ref="F282" location="SU_09001" display="SU_09001"/>
    <hyperlink ref="F283" location="SU_09002" display="SU_09002"/>
    <hyperlink ref="F281" location="SU_A0900" display="SU_A0900"/>
    <hyperlink ref="F284" location="SU_09003" display="SU_09003"/>
    <hyperlink ref="F285" location="SU_09004" display="SU_09004"/>
    <hyperlink ref="F287" location="SU_10001" display="SU_10001"/>
    <hyperlink ref="F288" location="SU_10002" display="SU_10002"/>
    <hyperlink ref="F286" location="SU_A1000" display="SU_A1000"/>
    <hyperlink ref="F289" location="SU_10003" display="SU_10003"/>
    <hyperlink ref="F290" location="SU_10004" display="SU_10004"/>
    <hyperlink ref="F291" location="SU_10005" display="SU_10005"/>
    <hyperlink ref="F293" location="SU_11001" display="SU_11001"/>
    <hyperlink ref="F294" location="SU_11002" display="SU_11002"/>
    <hyperlink ref="F292" location="SU_A1100" display="SU_A1100"/>
    <hyperlink ref="F295" location="SU_11003" display="SU_11003"/>
    <hyperlink ref="F296" location="SU_11004" display="SU_11004"/>
    <hyperlink ref="F297" location="SU_A1200" display="SU_A1200"/>
    <hyperlink ref="F298" location="SU_12001" display="SU_12001"/>
    <hyperlink ref="F299" location="SU_12002" display="SU_12002"/>
    <hyperlink ref="F300" location="SU_12003" display="SU_12003"/>
    <hyperlink ref="F301" location="SU_12004" display="SU_12004"/>
    <hyperlink ref="F302" location="SU_A1300" display="SU_A1300"/>
    <hyperlink ref="F303" location="SU_13001" display="SU_13001"/>
    <hyperlink ref="F304" location="SU_13002" display="SU_13002"/>
  </hyperlinks>
  <pageMargins left="0.31496062992125984" right="0.31496062992125984" top="0.31496062992125984" bottom="0.39370078740157483" header="0.51181102362204722" footer="0.31496062992125984"/>
  <pageSetup paperSize="9" scale="64" fitToHeight="99" orientation="landscape" horizontalDpi="1200" verticalDpi="1200" r:id="rId1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66</vt:i4>
      </vt:variant>
    </vt:vector>
  </HeadingPairs>
  <TitlesOfParts>
    <vt:vector size="70" baseType="lpstr">
      <vt:lpstr>Cover</vt:lpstr>
      <vt:lpstr>Table of Contents</vt:lpstr>
      <vt:lpstr>Cost Summary</vt:lpstr>
      <vt:lpstr>BOM</vt:lpstr>
      <vt:lpstr>BR_A0001_BOM</vt:lpstr>
      <vt:lpstr>BR_A0002_BOM</vt:lpstr>
      <vt:lpstr>BR_A0003_BOM</vt:lpstr>
      <vt:lpstr>Cout_total</vt:lpstr>
      <vt:lpstr>EL_A0001_BOM</vt:lpstr>
      <vt:lpstr>EL_A0002_BOM</vt:lpstr>
      <vt:lpstr>EL_A0003_BOM</vt:lpstr>
      <vt:lpstr>EN_A0100_BOM</vt:lpstr>
      <vt:lpstr>EN_A0200_BOM</vt:lpstr>
      <vt:lpstr>EN_A0300_BOM</vt:lpstr>
      <vt:lpstr>EN_A0400_BOM</vt:lpstr>
      <vt:lpstr>EN_A0500_BOM</vt:lpstr>
      <vt:lpstr>EN_A0600_BOM</vt:lpstr>
      <vt:lpstr>EN_A0700_BOM</vt:lpstr>
      <vt:lpstr>EN_A0800_BOM</vt:lpstr>
      <vt:lpstr>EN_A0900_BOM</vt:lpstr>
      <vt:lpstr>EN_A1000_BOM</vt:lpstr>
      <vt:lpstr>EN_A1100_BOM</vt:lpstr>
      <vt:lpstr>FR_A0001_BOM</vt:lpstr>
      <vt:lpstr>FR_A0200_BOM</vt:lpstr>
      <vt:lpstr>FR_A0300_BOM</vt:lpstr>
      <vt:lpstr>FR_A0400_BOM</vt:lpstr>
      <vt:lpstr>FR_A0500_BOM</vt:lpstr>
      <vt:lpstr>FR_A0600_BOM</vt:lpstr>
      <vt:lpstr>FR_A0700_BOM</vt:lpstr>
      <vt:lpstr>MS_0100_001_BOM</vt:lpstr>
      <vt:lpstr>MS_0100_002_BOM</vt:lpstr>
      <vt:lpstr>MS_0100_003_BOM</vt:lpstr>
      <vt:lpstr>MS_0100_004_BOM</vt:lpstr>
      <vt:lpstr>MS_0100_005_BOM</vt:lpstr>
      <vt:lpstr>MS_0100_006_BOM</vt:lpstr>
      <vt:lpstr>MS_0100_007_BOM</vt:lpstr>
      <vt:lpstr>MS_0100_008_BOM</vt:lpstr>
      <vt:lpstr>MS_02001_BOM</vt:lpstr>
      <vt:lpstr>MS_04001_BOM</vt:lpstr>
      <vt:lpstr>MS_04002_BOM</vt:lpstr>
      <vt:lpstr>MS_04003_BOM</vt:lpstr>
      <vt:lpstr>MS_05001_BOM</vt:lpstr>
      <vt:lpstr>MS_A0100_BOM</vt:lpstr>
      <vt:lpstr>MS_A0200_BOM</vt:lpstr>
      <vt:lpstr>MS_A0300_BOM</vt:lpstr>
      <vt:lpstr>MS_A0400_BOM</vt:lpstr>
      <vt:lpstr>MS_A0500_BOM</vt:lpstr>
      <vt:lpstr>ST_A0100_BOM</vt:lpstr>
      <vt:lpstr>ST_A0200_BOM</vt:lpstr>
      <vt:lpstr>ST_A0300_BOM</vt:lpstr>
      <vt:lpstr>ST_A0400_BOM</vt:lpstr>
      <vt:lpstr>ST_A0500_BOM</vt:lpstr>
      <vt:lpstr>SU_A0100_BOM</vt:lpstr>
      <vt:lpstr>SU_A0200_BOM</vt:lpstr>
      <vt:lpstr>SU_A0300_BOM</vt:lpstr>
      <vt:lpstr>SU_A0400_BOM</vt:lpstr>
      <vt:lpstr>SU_A0500_BOM</vt:lpstr>
      <vt:lpstr>SU_A0600_BOM</vt:lpstr>
      <vt:lpstr>SU_A0700_BOM</vt:lpstr>
      <vt:lpstr>SU_A0800_BOM</vt:lpstr>
      <vt:lpstr>SU_A0900_BOM</vt:lpstr>
      <vt:lpstr>SU_A1000_BOM</vt:lpstr>
      <vt:lpstr>SU_A1100_BOM</vt:lpstr>
      <vt:lpstr>SU_A1200_BOM</vt:lpstr>
      <vt:lpstr>SU_A1300_BOM</vt:lpstr>
      <vt:lpstr>WT_A0100_BOM</vt:lpstr>
      <vt:lpstr>WT_A0200_BOM</vt:lpstr>
      <vt:lpstr>WT_A0300_BOM</vt:lpstr>
      <vt:lpstr>Cover!Zone_d_impression</vt:lpstr>
      <vt:lpstr>'Table of Contents'!Zone_d_impression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2018-05-04T21:48:37Z</dcterms:created>
  <dcterms:modified xsi:type="dcterms:W3CDTF">2018-05-04T21:48:50Z</dcterms:modified>
</cp:coreProperties>
</file>