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7A8971BD-4DF2-4D2A-B61E-11E9EBCF00B4}" xr6:coauthVersionLast="28" xr6:coauthVersionMax="28" xr10:uidLastSave="{00000000-0000-0000-0000-000000000000}"/>
  <bookViews>
    <workbookView xWindow="4740" yWindow="60" windowWidth="16380" windowHeight="8190" firstSheet="21" activeTab="24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  <sheet name="EN_1000_002" sheetId="32" r:id="rId23"/>
    <sheet name="EN_1000_003" sheetId="34" r:id="rId24"/>
    <sheet name="EN_1000_003 Drawing" sheetId="37" r:id="rId25"/>
    <sheet name="EN_1000_004" sheetId="33" r:id="rId26"/>
    <sheet name="EN_1000_004 Drawing" sheetId="38" r:id="rId27"/>
  </sheets>
  <externalReferences>
    <externalReference r:id="rId28"/>
    <externalReference r:id="rId29"/>
    <externalReference r:id="rId3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EN_1000_004!$N$13</definedName>
    <definedName name="EN_1000_004_p">EN_1000_004!$I$21</definedName>
    <definedName name="EN_1000_004_q">EN_1000_004!$N$3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F20" i="33" l="1"/>
  <c r="F18" i="33"/>
  <c r="F16" i="33"/>
  <c r="F20" i="34"/>
  <c r="F18" i="34"/>
  <c r="F16" i="34"/>
  <c r="I18" i="33" l="1"/>
  <c r="I20" i="33"/>
  <c r="I19" i="33"/>
  <c r="I17" i="33"/>
  <c r="I18" i="34"/>
  <c r="I19" i="34"/>
  <c r="I15" i="33"/>
  <c r="J11" i="33"/>
  <c r="N11" i="33" s="1"/>
  <c r="N12" i="33" s="1"/>
  <c r="N2" i="33"/>
  <c r="N5" i="33" s="1"/>
  <c r="I20" i="34"/>
  <c r="I17" i="34"/>
  <c r="I15" i="34"/>
  <c r="J11" i="34"/>
  <c r="N11" i="34" s="1"/>
  <c r="N12" i="34" s="1"/>
  <c r="I22" i="32"/>
  <c r="I21" i="32"/>
  <c r="C11" i="29"/>
  <c r="D13" i="29"/>
  <c r="D12" i="29"/>
  <c r="D11" i="29"/>
  <c r="I20" i="32"/>
  <c r="I19" i="32"/>
  <c r="I18" i="32"/>
  <c r="I17" i="32"/>
  <c r="I16" i="32"/>
  <c r="I15" i="32"/>
  <c r="J11" i="32"/>
  <c r="N11" i="32" s="1"/>
  <c r="N12" i="32" s="1"/>
  <c r="I20" i="30"/>
  <c r="I21" i="30"/>
  <c r="I22" i="30" s="1"/>
  <c r="I17" i="30"/>
  <c r="I18" i="30"/>
  <c r="I19" i="30"/>
  <c r="I16" i="34" l="1"/>
  <c r="I21" i="34" s="1"/>
  <c r="E11" i="33"/>
  <c r="I16" i="33"/>
  <c r="N2" i="34"/>
  <c r="N5" i="34" s="1"/>
  <c r="N2" i="32"/>
  <c r="N5" i="32" s="1"/>
  <c r="E11" i="34"/>
  <c r="I23" i="32"/>
  <c r="E11" i="32"/>
  <c r="I21" i="33" l="1"/>
  <c r="J42" i="29" l="1"/>
  <c r="N19" i="29"/>
  <c r="C13" i="29"/>
  <c r="E13" i="29" s="1"/>
  <c r="C12" i="29"/>
  <c r="D10" i="29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2" i="29"/>
  <c r="N5" i="29" s="1"/>
  <c r="E12" i="29" l="1"/>
  <c r="E11" i="29"/>
  <c r="N13" i="30"/>
  <c r="N2" i="30" s="1"/>
  <c r="E14" i="29"/>
  <c r="I34" i="29"/>
  <c r="N5" i="30" l="1"/>
  <c r="C10" i="29"/>
  <c r="E10" i="29" s="1"/>
  <c r="D18" i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<sst xmlns="http://schemas.openxmlformats.org/spreadsheetml/2006/main" count="1332" uniqueCount="308">
  <si>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</si>
  <si>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</si>
  <si>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</si>
  <si>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</si>
  <si>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</si>
  <si>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</si>
  <si>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</si>
  <si>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</si>
  <si>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</si>
  <si>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</si>
  <si>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</si>
  <si>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</si>
  <si>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</si>
  <si>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</si>
  <si>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</si>
  <si>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</si>
  <si>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</si>
  <si>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</si>
  <si>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</si>
  <si>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</si>
  <si>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</si>
  <si>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</si>
  <si>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</si>
  <si>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</si>
  <si>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</si>
  <si>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</si>
  <si>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</si>
  <si>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</si>
  <si>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</si>
  <si>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</si>
  <si>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</si>
  <si>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</si>
  <si>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</si>
  <si>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</si>
  <si>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</si>
  <si>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</si>
  <si>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</si>
  <si>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</si>
  <si>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</si>
  <si>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</si>
  <si>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</si>
  <si>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</si>
  <si>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</si>
  <si>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</si>
  <si>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</si>
  <si>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</si>
  <si>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</si>
  <si>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</si>
  <si>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</si>
  <si>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</si>
  <si>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</si>
  <si>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</si>
  <si>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</si>
  <si>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</si>
  <si>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</si>
  <si>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</si>
  <si>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</si>
  <si>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</si>
  <si>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</si>
  <si>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</si>
  <si>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</si>
  <si>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</si>
  <si>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</si>
  <si>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</si>
  <si>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</si>
  <si>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</si>
  <si>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</si>
  <si>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</si>
  <si>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</si>
  <si>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</si>
  <si>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</si>
  <si>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</si>
  <si>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</si>
  <si>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</si>
  <si>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</si>
  <si>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</si>
  <si>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</si>
  <si>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</si>
  <si>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</si>
  <si>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</si>
  <si>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</si>
  <si>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</si>
  <si>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</si>
  <si>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</si>
  <si>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</si>
  <si>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</si>
  <si>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</si>
  <si>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</si>
  <si>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</si>
  <si>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</si>
  <si>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</si>
  <si>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</si>
  <si>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</si>
  <si>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</si>
  <si>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</si>
  <si>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</si>
  <si>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</si>
  <si>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</si>
  <si>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</si>
  <si>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</si>
  <si>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</si>
  <si>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</si>
  <si>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</si>
  <si>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</si>
  <si>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</si>
  <si>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</si>
  <si>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</si>
  <si>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</si>
  <si>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</si>
  <si>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</si>
  <si>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</si>
  <si>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</si>
  <si>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</si>
  <si>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</si>
  <si>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</si>
  <si>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</si>
  <si>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</si>
  <si>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</si>
  <si>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</si>
  <si>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</si>
  <si>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</si>
  <si>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</si>
  <si>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</si>
  <si>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</si>
  <si>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</si>
  <si>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</si>
  <si>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</si>
  <si>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</si>
  <si>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</si>
  <si>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</si>
  <si>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</si>
  <si>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</si>
  <si>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</si>
  <si>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</si>
  <si>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</si>
  <si>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</si>
  <si>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</si>
  <si>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</si>
  <si>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</si>
  <si>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</si>
  <si>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</si>
  <si>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</si>
  <si>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</si>
  <si>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</si>
  <si>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</si>
  <si>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</si>
  <si>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</si>
  <si>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</si>
  <si>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</si>
  <si>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</si>
  <si>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</si>
  <si>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</si>
  <si>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</si>
  <si>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</si>
  <si>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</si>
  <si>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</si>
  <si>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</si>
  <si>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</si>
  <si>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</si>
  <si>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</si>
  <si>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</si>
  <si>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</si>
  <si>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</si>
  <si>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</si>
  <si>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</si>
  <si>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</si>
  <si>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</si>
  <si>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</si>
  <si>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</si>
  <si>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</si>
  <si>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</si>
  <si>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</si>
  <si>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</si>
  <si>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</si>
  <si>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</si>
  <si>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</si>
  <si>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</si>
  <si>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</si>
  <si>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</si>
  <si>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</si>
  <si>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</si>
  <si>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</si>
  <si>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</si>
  <si>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</si>
  <si>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</si>
  <si>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</si>
  <si>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</si>
  <si>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</si>
  <si>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</si>
  <si>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</si>
  <si>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</si>
  <si>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</si>
  <si>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</si>
  <si>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</si>
  <si>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</si>
  <si>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</si>
  <si>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</si>
  <si>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</si>
  <si>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</si>
  <si>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</si>
  <si>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</si>
  <si>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</si>
  <si>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</si>
  <si>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</si>
  <si>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</si>
  <si>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</si>
  <si>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</si>
  <si>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</si>
  <si>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</si>
  <si>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</si>
  <si>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</si>
  <si>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</si>
  <si>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</si>
  <si>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</si>
  <si>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</si>
  <si>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</si>
  <si>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</si>
  <si>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</si>
  <si>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</si>
  <si>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</si>
  <si>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</si>
  <si>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</si>
  <si>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</si>
  <si>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</si>
  <si>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</si>
  <si>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</si>
  <si>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</si>
  <si>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</si>
  <si>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</si>
  <si>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</si>
  <si>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</si>
  <si>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</si>
  <si>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</si>
  <si>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</si>
  <si>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</si>
  <si>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</si>
  <si>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</si>
  <si>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</si>
  <si>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</si>
  <si>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</si>
  <si>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</si>
  <si>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</si>
  <si>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</si>
  <si>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</si>
  <si>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</si>
  <si>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</si>
  <si>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</si>
  <si>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</si>
  <si>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</si>
  <si>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</si>
  <si>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</si>
  <si>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</si>
  <si>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</si>
  <si>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</si>
  <si>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</si>
  <si>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</si>
  <si>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</si>
  <si>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</si>
  <si>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</si>
  <si>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</si>
  <si>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</si>
  <si>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</si>
  <si>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</si>
  <si>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</si>
  <si>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</si>
  <si>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</si>
  <si>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</si>
  <si>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</si>
  <si>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</si>
  <si>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</si>
  <si>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</si>
  <si>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</si>
  <si>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</si>
  <si>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</si>
  <si>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</si>
  <si>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</si>
  <si>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</si>
  <si>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</si>
  <si>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</si>
  <si>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</si>
  <si>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</si>
  <si>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</si>
  <si>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</si>
  <si>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</si>
  <si>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Material-Steel</t>
  </si>
  <si>
    <t>Machining Setup, Change</t>
  </si>
  <si>
    <t>Broach of the tripod housing</t>
  </si>
  <si>
    <t>Machining the ext shape of the tripod housing (turning)</t>
  </si>
  <si>
    <t>Material - Steel</t>
  </si>
  <si>
    <t>Machining the int shape of the tripod housing (milling)</t>
  </si>
  <si>
    <t>Changing of the machining of the tripod housing</t>
  </si>
  <si>
    <t>Changing of the broach of the tripod housing</t>
  </si>
  <si>
    <t>EN_1000_002</t>
  </si>
  <si>
    <t>EN_1000_003</t>
  </si>
  <si>
    <t>Left Axle</t>
  </si>
  <si>
    <t>Right Axle</t>
  </si>
  <si>
    <t>EN_1000_004</t>
  </si>
  <si>
    <t>Setup and removal of the threading of the tripod housing</t>
  </si>
  <si>
    <t>Threading, External (machining)</t>
  </si>
  <si>
    <t>Threading of the tripod housing</t>
  </si>
  <si>
    <t>Round 22,1 mm diam.</t>
  </si>
  <si>
    <t>Material for driveshaft</t>
  </si>
  <si>
    <t>Setup and removal of the machining of the axle</t>
  </si>
  <si>
    <t>Setup and removal of the broach of the axle</t>
  </si>
  <si>
    <t>Broach of the axle</t>
  </si>
  <si>
    <t>Cut of the edge of the axle</t>
  </si>
  <si>
    <t>Shaping of the int of the axle</t>
  </si>
  <si>
    <t>Drawing of the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</si>
</sst>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  <numFmt numFmtId="177" formatCode="0.0"/>
    <numFmt numFmtId="178" formatCode="0.00000E+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5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29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0" fontId="3" fillId="9" borderId="48" xfId="0" applyFont="1" applyFill="1" applyBorder="1"/>
    <xf numFmtId="0" fontId="3" fillId="9" borderId="49" xfId="0" applyFont="1" applyFill="1" applyBorder="1"/>
    <xf numFmtId="168" fontId="24" fillId="0" borderId="50" xfId="12" applyFont="1" applyFill="1" applyBorder="1"/>
    <xf numFmtId="0" fontId="24" fillId="0" borderId="51" xfId="0" applyFont="1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3" fillId="9" borderId="52" xfId="0" applyFont="1" applyFill="1" applyBorder="1"/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10" borderId="53" xfId="0" applyFont="1" applyFill="1" applyBorder="1"/>
    <xf numFmtId="0" fontId="18" fillId="0" borderId="0" xfId="8" applyFill="1" applyBorder="1"/>
    <xf numFmtId="0" fontId="3" fillId="10" borderId="52" xfId="0" applyFont="1" applyFill="1" applyBorder="1"/>
    <xf numFmtId="2" fontId="4" fillId="0" borderId="52" xfId="7" applyNumberFormat="1" applyFont="1" applyBorder="1" applyAlignment="1" applyProtection="1"/>
    <xf numFmtId="0" fontId="3" fillId="10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  <xf numFmtId="174" fontId="0" fillId="0" borderId="0" xfId="0" applyNumberFormat="1"/>
    <xf numFmtId="11" fontId="0" fillId="0" borderId="0" xfId="0" applyNumberFormat="1"/>
    <xf numFmtId="0" fontId="15" fillId="0" borderId="47" xfId="10" applyFont="1" applyFill="1" applyBorder="1" applyAlignment="1">
      <alignment wrapText="1"/>
    </xf>
    <xf numFmtId="175" fontId="0" fillId="0" borderId="0" xfId="0" applyNumberFormat="1"/>
    <xf numFmtId="0" fontId="15" fillId="0" borderId="0" xfId="10" applyFont="1" applyFill="1" applyBorder="1" applyAlignment="1">
      <alignment wrapText="1"/>
    </xf>
    <xf numFmtId="0" fontId="0" fillId="0" borderId="47" xfId="0" applyBorder="1"/>
    <xf numFmtId="0" fontId="24" fillId="0" borderId="0" xfId="11" applyNumberFormat="1" applyFont="1" applyFill="1" applyBorder="1" applyAlignment="1">
      <alignment horizontal="left" wrapText="1"/>
    </xf>
    <xf numFmtId="0" fontId="24" fillId="0" borderId="55" xfId="11" applyFont="1" applyFill="1" applyBorder="1"/>
    <xf numFmtId="0" fontId="24" fillId="0" borderId="8" xfId="11" applyNumberFormat="1" applyFont="1" applyFill="1" applyBorder="1" applyAlignment="1">
      <alignment horizontal="left" wrapText="1"/>
    </xf>
    <xf numFmtId="0" fontId="15" fillId="0" borderId="56" xfId="10" applyFont="1" applyFill="1" applyBorder="1" applyAlignment="1">
      <alignment wrapText="1"/>
    </xf>
    <xf numFmtId="0" fontId="0" fillId="0" borderId="56" xfId="0" applyBorder="1"/>
    <xf numFmtId="165" fontId="24" fillId="0" borderId="57" xfId="7" applyNumberFormat="1" applyFont="1" applyBorder="1" applyAlignment="1" applyProtection="1"/>
    <xf numFmtId="0" fontId="24" fillId="0" borderId="54" xfId="11" applyFont="1" applyFill="1" applyBorder="1"/>
    <xf numFmtId="0" fontId="24" fillId="0" borderId="54" xfId="11" applyNumberFormat="1" applyFont="1" applyFill="1" applyBorder="1" applyAlignment="1">
      <alignment horizontal="left" wrapText="1"/>
    </xf>
    <xf numFmtId="0" fontId="15" fillId="0" borderId="54" xfId="10" applyFont="1" applyFill="1" applyBorder="1" applyAlignment="1">
      <alignment wrapText="1"/>
    </xf>
    <xf numFmtId="0" fontId="0" fillId="0" borderId="54" xfId="0" applyBorder="1"/>
    <xf numFmtId="165" fontId="24" fillId="0" borderId="54" xfId="7" applyNumberFormat="1" applyFont="1" applyBorder="1" applyAlignment="1" applyProtection="1"/>
    <xf numFmtId="2" fontId="24" fillId="0" borderId="57" xfId="11" applyNumberFormat="1" applyFont="1" applyFill="1" applyBorder="1"/>
    <xf numFmtId="2" fontId="24" fillId="0" borderId="54" xfId="11" applyNumberFormat="1" applyFont="1" applyFill="1" applyBorder="1"/>
    <xf numFmtId="165" fontId="3" fillId="10" borderId="54" xfId="0" applyNumberFormat="1" applyFont="1" applyFill="1" applyBorder="1"/>
    <xf numFmtId="0" fontId="24" fillId="0" borderId="54" xfId="11" applyFont="1" applyFill="1" applyBorder="1" applyAlignment="1">
      <alignment wrapText="1"/>
    </xf>
    <xf numFmtId="170" fontId="24" fillId="0" borderId="54" xfId="13" applyNumberFormat="1" applyFont="1" applyFill="1" applyBorder="1" applyAlignment="1">
      <alignment horizontal="center" wrapText="1"/>
    </xf>
    <xf numFmtId="0" fontId="24" fillId="0" borderId="54" xfId="11" applyFont="1" applyFill="1" applyBorder="1" applyAlignment="1">
      <alignment horizontal="left" wrapText="1" indent="1"/>
    </xf>
    <xf numFmtId="0" fontId="24" fillId="0" borderId="54" xfId="11" applyFont="1" applyFill="1" applyBorder="1" applyAlignment="1">
      <alignment horizontal="right" wrapText="1" indent="1"/>
    </xf>
    <xf numFmtId="0" fontId="24" fillId="0" borderId="54" xfId="11" applyFont="1" applyFill="1" applyBorder="1" applyAlignment="1">
      <alignment horizontal="center" wrapText="1"/>
    </xf>
    <xf numFmtId="0" fontId="18" fillId="0" borderId="0" xfId="8" applyFill="1"/>
    <xf numFmtId="178" fontId="0" fillId="0" borderId="0" xfId="0" applyNumberFormat="1" applyBorder="1"/>
    <xf numFmtId="177" fontId="24" fillId="0" borderId="54" xfId="11" applyNumberFormat="1" applyFont="1" applyFill="1" applyBorder="1" applyAlignment="1">
      <alignment horizontal="right" wrapText="1" indent="1"/>
    </xf>
    <xf numFmtId="177" fontId="24" fillId="0" borderId="54" xfId="11" applyNumberFormat="1" applyFont="1" applyFill="1" applyBorder="1" applyAlignment="1">
      <alignment wrapText="1"/>
    </xf>
    <xf numFmtId="0" fontId="3" fillId="10" borderId="58" xfId="0" applyFont="1" applyFill="1" applyBorder="1"/>
    <xf numFmtId="0" fontId="3" fillId="10" borderId="54" xfId="0" applyFont="1" applyFill="1" applyBorder="1"/>
    <xf numFmtId="0" fontId="24" fillId="0" borderId="54" xfId="0" applyFont="1" applyFill="1" applyBorder="1" applyAlignment="1" applyProtection="1">
      <alignment vertical="center" wrapText="1"/>
    </xf>
    <xf numFmtId="0" fontId="3" fillId="10" borderId="54" xfId="0" applyFont="1" applyFill="1" applyBorder="1" applyAlignment="1">
      <alignment horizontal="right"/>
    </xf>
    <xf numFmtId="0" fontId="24" fillId="0" borderId="58" xfId="11" applyFont="1" applyFill="1" applyBorder="1" applyAlignment="1">
      <alignment wrapText="1"/>
    </xf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458372</xdr:colOff>
      <xdr:row>14</xdr:row>
      <xdr:rowOff>0</xdr:rowOff>
    </xdr:from>
    <xdr:to>
      <xdr:col>14</xdr:col>
      <xdr:colOff>131763</xdr:colOff>
      <xdr:row>28</xdr:row>
      <xdr:rowOff>55790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E1E7AE-3F3C-465D-BFDA-0E7C034E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460" y="2667000"/>
          <a:ext cx="3483391" cy="2722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591792</xdr:colOff>
      <xdr:row>13</xdr:row>
      <xdr:rowOff>180975</xdr:rowOff>
    </xdr:from>
    <xdr:to>
      <xdr:col>13</xdr:col>
      <xdr:colOff>589559</xdr:colOff>
      <xdr:row>27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0DB1D4-A93F-47DC-B712-02714B82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8042" y="2657475"/>
          <a:ext cx="3121967" cy="253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584864</xdr:colOff>
      <xdr:row>12</xdr:row>
      <xdr:rowOff>142875</xdr:rowOff>
    </xdr:from>
    <xdr:to>
      <xdr:col>13</xdr:col>
      <xdr:colOff>579917</xdr:colOff>
      <xdr:row>23</xdr:row>
      <xdr:rowOff>18332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7E2411-C110-464B-8EC9-80A06A75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5314" y="2428875"/>
          <a:ext cx="3043053" cy="19709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12</xdr:col>
      <xdr:colOff>732190</xdr:colOff>
      <xdr:row>38</xdr:row>
      <xdr:rowOff>65803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56D1C9-02FC-480B-AA3F-3D20FD8E1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13</xdr:row>
      <xdr:rowOff>152400</xdr:rowOff>
    </xdr:from>
    <xdr:to>
      <xdr:col>14</xdr:col>
      <xdr:colOff>18476</xdr:colOff>
      <xdr:row>24</xdr:row>
      <xdr:rowOff>46926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B2ADF5-BFF8-4D8A-9C36-723CED20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2628900"/>
          <a:ext cx="3342701" cy="199002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133350</xdr:rowOff>
    </xdr:from>
    <xdr:to>
      <xdr:col>13</xdr:col>
      <xdr:colOff>84489</xdr:colOff>
      <xdr:row>38</xdr:row>
      <xdr:rowOff>56278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690046-51DF-4C9D-9928-1667E8FC9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23850"/>
          <a:ext cx="9885714" cy="69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4" workbookViewId="0">
      <selection activeCell="C82" sqref="C82"/>
    </sheetView>
  </sheetViews>
  <sheetFormatPr baseColWidth="10" defaultRowHeight="15" x14ac:dyDescent="0.25"/>
  <sheetData>
    <row r="1" spans="1:2" x14ac:dyDescent="0.25">
      <c r="A1" s="68" t="s">
        <v>120</v>
      </c>
    </row>
    <row r="3" spans="1:2" x14ac:dyDescent="0.25">
      <c r="A3" s="67" t="s">
        <v>65</v>
      </c>
      <c r="B3" s="65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5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7" t="s">
        <v>69</v>
      </c>
      <c r="B18" s="65" t="s">
        <v>100</v>
      </c>
      <c r="C18" s="65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7" t="s">
        <v>71</v>
      </c>
      <c r="B23" s="65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5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7" t="s">
        <v>75</v>
      </c>
      <c r="B39" s="65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7" t="s">
        <v>76</v>
      </c>
      <c r="B45" s="65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7" t="s">
        <v>80</v>
      </c>
      <c r="B57" s="65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7" t="s">
        <v>91</v>
      </c>
      <c r="B63" s="6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5" t="s">
        <v>96</v>
      </c>
    </row>
    <row r="82" spans="1:1" x14ac:dyDescent="0.25">
      <c r="A82" s="6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EN_0900_005_m+EN_0900_005_p</f>
        <v>17.198412672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230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17.198412672</v>
      </c>
      <c r="O5" s="163"/>
    </row>
    <row r="6" spans="1:15" x14ac:dyDescent="0.25">
      <c r="A6" s="182" t="s">
        <v>7</v>
      </c>
      <c r="B6" s="175" t="s">
        <v>231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1.3388601600000001</v>
      </c>
      <c r="F11" s="197" t="s">
        <v>155</v>
      </c>
      <c r="G11" s="197"/>
      <c r="H11" s="210"/>
      <c r="I11" s="211" t="s">
        <v>232</v>
      </c>
      <c r="J11" s="212">
        <f>374*120/1000000</f>
        <v>4.4880000000000003E-2</v>
      </c>
      <c r="K11" s="213">
        <f>11/1000</f>
        <v>1.0999999999999999E-2</v>
      </c>
      <c r="L11" s="214">
        <v>2712</v>
      </c>
      <c r="M11" s="214">
        <v>1</v>
      </c>
      <c r="N11" s="215">
        <f>IF(J11="",D11*M11,D11*J11*K11*L11*M11)</f>
        <v>5.6232126720000002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5.6232126720000002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256.88</v>
      </c>
      <c r="G17" s="194" t="s">
        <v>229</v>
      </c>
      <c r="H17" s="204">
        <v>1</v>
      </c>
      <c r="I17" s="215">
        <f>IF(H17="",D17*F17,D17*F17*H17)</f>
        <v>10.2752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11.575200000000001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177"/>
      <c r="F22" s="218"/>
      <c r="G22" s="218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218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ht="15.75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6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EN_0900_006_m+EN_0900_006_p</f>
        <v>0.83337245000000004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3.3334898000000002</v>
      </c>
      <c r="O5" s="163"/>
    </row>
    <row r="6" spans="1:15" x14ac:dyDescent="0.25">
      <c r="A6" s="182" t="s">
        <v>7</v>
      </c>
      <c r="B6" s="175" t="s">
        <v>233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3.6832200000000002E-2</v>
      </c>
      <c r="F11" s="139" t="s">
        <v>155</v>
      </c>
      <c r="G11" s="139"/>
      <c r="H11" s="142"/>
      <c r="I11" s="143" t="s">
        <v>236</v>
      </c>
      <c r="J11" s="143">
        <f>46*34/1000000</f>
        <v>1.5640000000000001E-3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8.287245E-2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8.287245E-2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19.600000000000001</v>
      </c>
      <c r="G17" s="197" t="s">
        <v>238</v>
      </c>
      <c r="H17" s="197">
        <v>3</v>
      </c>
      <c r="I17" s="140">
        <f>IF(H17="",D17*F17,D17*F17*H17)</f>
        <v>0.58800000000000008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0.75050000000000006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177"/>
      <c r="D22" s="177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EN_0900_007_m+EN_0900_007_p</f>
        <v>0.806785325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3.2271413</v>
      </c>
      <c r="O5" s="163"/>
    </row>
    <row r="6" spans="1:15" x14ac:dyDescent="0.25">
      <c r="A6" s="182" t="s">
        <v>7</v>
      </c>
      <c r="B6" s="175" t="s">
        <v>240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3.1415699999999998E-2</v>
      </c>
      <c r="F11" s="139" t="s">
        <v>155</v>
      </c>
      <c r="G11" s="139"/>
      <c r="H11" s="142"/>
      <c r="I11" s="143" t="s">
        <v>241</v>
      </c>
      <c r="J11" s="143">
        <f>46*29/1000000</f>
        <v>1.3339999999999999E-3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7.0685324999999993E-2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7.0685324999999993E-2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19.12</v>
      </c>
      <c r="G17" s="197" t="s">
        <v>238</v>
      </c>
      <c r="H17" s="197">
        <v>3</v>
      </c>
      <c r="I17" s="140">
        <f>IF(H17="",D17*F17,D17*F17*H17)</f>
        <v>0.5736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0.73609999999999998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240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EN_0900_008_m+EN_0900_008_p</f>
        <v>1.5521247499999999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152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1.5521247499999999</v>
      </c>
      <c r="O5" s="163"/>
    </row>
    <row r="6" spans="1:15" x14ac:dyDescent="0.25">
      <c r="A6" s="182" t="s">
        <v>7</v>
      </c>
      <c r="B6" s="175" t="s">
        <v>242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6.6410999999999998E-2</v>
      </c>
      <c r="F11" s="139" t="s">
        <v>155</v>
      </c>
      <c r="G11" s="139"/>
      <c r="H11" s="142"/>
      <c r="I11" s="143" t="s">
        <v>243</v>
      </c>
      <c r="J11" s="143">
        <f>60*47/1000000</f>
        <v>2.82E-3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0.14942475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0.14942475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25.09</v>
      </c>
      <c r="G17" s="197" t="s">
        <v>238</v>
      </c>
      <c r="H17" s="197">
        <v>3</v>
      </c>
      <c r="I17" s="140">
        <f>IF(H17="",D17*F17,D17*F17*H17)</f>
        <v>0.75270000000000004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1.4027000000000001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242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topLeftCell="B1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EN_0900_009_m+EN_0900_009_p</f>
        <v>1.5630151625000002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245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1.5630151625000002</v>
      </c>
      <c r="O5" s="163"/>
    </row>
    <row r="6" spans="1:15" x14ac:dyDescent="0.25">
      <c r="A6" s="182" t="s">
        <v>7</v>
      </c>
      <c r="B6" s="175" t="s">
        <v>246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6.7517850000000004E-2</v>
      </c>
      <c r="F11" s="139" t="s">
        <v>155</v>
      </c>
      <c r="G11" s="139"/>
      <c r="H11" s="142"/>
      <c r="I11" s="143" t="s">
        <v>247</v>
      </c>
      <c r="J11" s="143">
        <f>61*47/1000000</f>
        <v>2.8670000000000002E-3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0.15191516250000001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0.15191516250000001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25.37</v>
      </c>
      <c r="G17" s="197" t="s">
        <v>238</v>
      </c>
      <c r="H17" s="197">
        <v>3</v>
      </c>
      <c r="I17" s="140">
        <f>IF(H17="",D17*F17,D17*F17*H17)</f>
        <v>0.76110000000000011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1.4111000000000002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1" t="s">
        <v>42</v>
      </c>
      <c r="D1" s="32"/>
      <c r="M1" s="44" t="s">
        <v>46</v>
      </c>
      <c r="N1" s="33"/>
      <c r="O1" s="43" t="e">
        <f>#REF!</f>
        <v>#REF!</v>
      </c>
    </row>
    <row r="2" spans="1:15" s="15" customFormat="1" ht="15.75" thickBot="1" x14ac:dyDescent="0.3">
      <c r="A2" s="39" t="s">
        <v>47</v>
      </c>
      <c r="B2" s="70" t="s">
        <v>118</v>
      </c>
      <c r="C2" s="14"/>
      <c r="F2" s="27"/>
    </row>
    <row r="3" spans="1:15" s="15" customFormat="1" ht="16.5" thickTop="1" thickBot="1" x14ac:dyDescent="0.3">
      <c r="A3" s="40" t="s">
        <v>48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69">
        <v>81</v>
      </c>
      <c r="C4" s="14"/>
      <c r="D4" s="32" t="s">
        <v>49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50</v>
      </c>
      <c r="B6" s="35" t="s">
        <v>51</v>
      </c>
      <c r="C6" s="35" t="s">
        <v>52</v>
      </c>
      <c r="D6" s="35" t="s">
        <v>53</v>
      </c>
      <c r="E6" s="35" t="s">
        <v>54</v>
      </c>
      <c r="F6" s="35" t="s">
        <v>55</v>
      </c>
      <c r="G6" s="35" t="s">
        <v>56</v>
      </c>
      <c r="H6" s="37" t="s">
        <v>57</v>
      </c>
      <c r="I6" s="35" t="s">
        <v>17</v>
      </c>
      <c r="J6" s="35" t="s">
        <v>58</v>
      </c>
      <c r="K6" s="35" t="s">
        <v>59</v>
      </c>
      <c r="L6" s="35" t="s">
        <v>60</v>
      </c>
      <c r="M6" s="35" t="s">
        <v>61</v>
      </c>
      <c r="N6" s="36" t="s">
        <v>62</v>
      </c>
      <c r="O6" s="35" t="s">
        <v>63</v>
      </c>
    </row>
    <row r="7" spans="1:15" ht="15" x14ac:dyDescent="0.25">
      <c r="A7" s="74"/>
      <c r="B7" s="75" t="str">
        <f>EN_A0900!B3</f>
        <v>Engine &amp; Drivetrain</v>
      </c>
      <c r="C7" s="76" t="e">
        <f>EN_A0001</f>
        <v>#NAME?</v>
      </c>
      <c r="D7" s="76" t="s">
        <v>11</v>
      </c>
      <c r="E7" s="76"/>
      <c r="F7" s="77" t="str">
        <f>'[1]BR Assembly'!B4</f>
        <v>Nom de l'assemblage 1</v>
      </c>
      <c r="G7" s="76"/>
      <c r="H7" s="78" t="e">
        <f>SUM(J7:M7)</f>
        <v>#NAME?</v>
      </c>
      <c r="I7" s="79" t="e">
        <f>EN_A0001_q</f>
        <v>#NAME?</v>
      </c>
      <c r="J7" s="80" t="e">
        <f>EN_A0001_m</f>
        <v>#NAME?</v>
      </c>
      <c r="K7" s="80" t="e">
        <f>EN_A0001_p</f>
        <v>#NAME?</v>
      </c>
      <c r="L7" s="80" t="e">
        <f>EN_A0001_f</f>
        <v>#NAME?</v>
      </c>
      <c r="M7" s="80" t="e">
        <f>EN_A0001_t</f>
        <v>#NAME?</v>
      </c>
      <c r="N7" s="81" t="e">
        <f t="shared" ref="N7:N17" si="0">H7*I7</f>
        <v>#NAME?</v>
      </c>
      <c r="O7" s="82"/>
    </row>
    <row r="8" spans="1:15" ht="15" x14ac:dyDescent="0.25">
      <c r="A8" s="83"/>
      <c r="B8" s="84" t="str">
        <f>EN_A0900!$B$3</f>
        <v>Engine &amp; Drivetrain</v>
      </c>
      <c r="C8" s="85" t="e">
        <f>EN_01001</f>
        <v>#NAME?</v>
      </c>
      <c r="D8" s="86" t="s">
        <v>11</v>
      </c>
      <c r="E8" s="86" t="str">
        <f>F7</f>
        <v>Nom de l'assemblage 1</v>
      </c>
      <c r="F8" s="87" t="str">
        <f>EN_0900_001!B5</f>
        <v>Housing</v>
      </c>
      <c r="G8" s="86"/>
      <c r="H8" s="88" t="e">
        <f t="shared" ref="H8:H17" si="1">SUM(J8:M8)</f>
        <v>#NAME?</v>
      </c>
      <c r="I8" s="89" t="e">
        <f>EN_A0001_q*EN_01001_q</f>
        <v>#NAME?</v>
      </c>
      <c r="J8" s="90" t="e">
        <f>EN_01001_m</f>
        <v>#NAME?</v>
      </c>
      <c r="K8" s="90" t="e">
        <f>EN_01001_p</f>
        <v>#NAME?</v>
      </c>
      <c r="L8" s="90" t="e">
        <f>EN_01001_f</f>
        <v>#NAME?</v>
      </c>
      <c r="M8" s="90" t="e">
        <f>EN_01001_t</f>
        <v>#NAME?</v>
      </c>
      <c r="N8" s="91" t="e">
        <f t="shared" si="0"/>
        <v>#NAME?</v>
      </c>
      <c r="O8" s="92"/>
    </row>
    <row r="9" spans="1:15" ht="14.25" x14ac:dyDescent="0.2">
      <c r="A9" s="83"/>
      <c r="B9" s="84" t="str">
        <f>EN_A0900!$B$3</f>
        <v>Engine &amp; Drivetrain</v>
      </c>
      <c r="C9" s="86"/>
      <c r="D9" s="86" t="s">
        <v>11</v>
      </c>
      <c r="E9" s="86"/>
      <c r="F9" s="84"/>
      <c r="G9" s="86"/>
      <c r="H9" s="88">
        <f t="shared" si="1"/>
        <v>0</v>
      </c>
      <c r="I9" s="93"/>
      <c r="J9" s="90"/>
      <c r="K9" s="90"/>
      <c r="L9" s="90"/>
      <c r="M9" s="90"/>
      <c r="N9" s="91">
        <f t="shared" si="0"/>
        <v>0</v>
      </c>
      <c r="O9" s="92"/>
    </row>
    <row r="10" spans="1:15" ht="14.25" x14ac:dyDescent="0.2">
      <c r="A10" s="83"/>
      <c r="B10" s="84" t="str">
        <f>EN_A0900!$B$3</f>
        <v>Engine &amp; Drivetrain</v>
      </c>
      <c r="C10" s="86"/>
      <c r="D10" s="86" t="s">
        <v>11</v>
      </c>
      <c r="E10" s="86"/>
      <c r="F10" s="84"/>
      <c r="G10" s="86"/>
      <c r="H10" s="88">
        <f t="shared" si="1"/>
        <v>0</v>
      </c>
      <c r="I10" s="93"/>
      <c r="J10" s="90"/>
      <c r="K10" s="90"/>
      <c r="L10" s="90"/>
      <c r="M10" s="90"/>
      <c r="N10" s="91">
        <f t="shared" si="0"/>
        <v>0</v>
      </c>
      <c r="O10" s="92"/>
    </row>
    <row r="11" spans="1:15" ht="14.25" x14ac:dyDescent="0.2">
      <c r="A11" s="83"/>
      <c r="B11" s="84" t="str">
        <f>EN_A0900!$B$3</f>
        <v>Engine &amp; Drivetrain</v>
      </c>
      <c r="C11" s="86"/>
      <c r="D11" s="86" t="s">
        <v>11</v>
      </c>
      <c r="E11" s="86"/>
      <c r="F11" s="84"/>
      <c r="G11" s="86"/>
      <c r="H11" s="88">
        <f t="shared" si="1"/>
        <v>0</v>
      </c>
      <c r="I11" s="93"/>
      <c r="J11" s="90"/>
      <c r="K11" s="90"/>
      <c r="L11" s="90"/>
      <c r="M11" s="90"/>
      <c r="N11" s="91">
        <f t="shared" si="0"/>
        <v>0</v>
      </c>
      <c r="O11" s="92"/>
    </row>
    <row r="12" spans="1:15" ht="14.25" x14ac:dyDescent="0.2">
      <c r="A12" s="83"/>
      <c r="B12" s="84" t="str">
        <f>EN_A0900!$B$3</f>
        <v>Engine &amp; Drivetrain</v>
      </c>
      <c r="C12" s="86"/>
      <c r="D12" s="86" t="s">
        <v>11</v>
      </c>
      <c r="E12" s="86"/>
      <c r="F12" s="84"/>
      <c r="G12" s="86"/>
      <c r="H12" s="88">
        <f t="shared" si="1"/>
        <v>0</v>
      </c>
      <c r="I12" s="93"/>
      <c r="J12" s="90"/>
      <c r="K12" s="90"/>
      <c r="L12" s="90"/>
      <c r="M12" s="90"/>
      <c r="N12" s="91">
        <f t="shared" si="0"/>
        <v>0</v>
      </c>
      <c r="O12" s="92"/>
    </row>
    <row r="13" spans="1:15" ht="14.25" x14ac:dyDescent="0.2">
      <c r="A13" s="83"/>
      <c r="B13" s="84" t="str">
        <f>EN_A0900!$B$3</f>
        <v>Engine &amp; Drivetrain</v>
      </c>
      <c r="C13" s="86"/>
      <c r="D13" s="86" t="s">
        <v>11</v>
      </c>
      <c r="E13" s="86"/>
      <c r="F13" s="84"/>
      <c r="G13" s="86"/>
      <c r="H13" s="88">
        <f t="shared" si="1"/>
        <v>0</v>
      </c>
      <c r="I13" s="93"/>
      <c r="J13" s="90"/>
      <c r="K13" s="90"/>
      <c r="L13" s="90"/>
      <c r="M13" s="90"/>
      <c r="N13" s="91">
        <f t="shared" si="0"/>
        <v>0</v>
      </c>
      <c r="O13" s="92"/>
    </row>
    <row r="14" spans="1:15" ht="14.25" x14ac:dyDescent="0.2">
      <c r="A14" s="83"/>
      <c r="B14" s="84" t="str">
        <f>EN_A0900!$B$3</f>
        <v>Engine &amp; Drivetrain</v>
      </c>
      <c r="C14" s="86"/>
      <c r="D14" s="86" t="s">
        <v>11</v>
      </c>
      <c r="E14" s="86"/>
      <c r="F14" s="84"/>
      <c r="G14" s="86"/>
      <c r="H14" s="88">
        <f t="shared" si="1"/>
        <v>0</v>
      </c>
      <c r="I14" s="93"/>
      <c r="J14" s="90"/>
      <c r="K14" s="90"/>
      <c r="L14" s="90"/>
      <c r="M14" s="90"/>
      <c r="N14" s="91">
        <f t="shared" si="0"/>
        <v>0</v>
      </c>
      <c r="O14" s="92"/>
    </row>
    <row r="15" spans="1:15" ht="14.25" x14ac:dyDescent="0.2">
      <c r="A15" s="83"/>
      <c r="B15" s="84" t="str">
        <f>EN_A0900!$B$3</f>
        <v>Engine &amp; Drivetrain</v>
      </c>
      <c r="C15" s="86"/>
      <c r="D15" s="86" t="s">
        <v>11</v>
      </c>
      <c r="E15" s="86"/>
      <c r="F15" s="84"/>
      <c r="G15" s="94"/>
      <c r="H15" s="88">
        <f t="shared" si="1"/>
        <v>0</v>
      </c>
      <c r="I15" s="93"/>
      <c r="J15" s="90"/>
      <c r="K15" s="90"/>
      <c r="L15" s="90"/>
      <c r="M15" s="90"/>
      <c r="N15" s="91">
        <f t="shared" si="0"/>
        <v>0</v>
      </c>
      <c r="O15" s="92"/>
    </row>
    <row r="16" spans="1:15" ht="14.25" x14ac:dyDescent="0.2">
      <c r="A16" s="83"/>
      <c r="B16" s="84" t="str">
        <f>EN_A0900!$B$3</f>
        <v>Engine &amp; Drivetrain</v>
      </c>
      <c r="C16" s="86"/>
      <c r="D16" s="86" t="s">
        <v>11</v>
      </c>
      <c r="E16" s="86"/>
      <c r="F16" s="84"/>
      <c r="G16" s="86"/>
      <c r="H16" s="88">
        <f t="shared" si="1"/>
        <v>0</v>
      </c>
      <c r="I16" s="93"/>
      <c r="J16" s="90"/>
      <c r="K16" s="90"/>
      <c r="L16" s="90"/>
      <c r="M16" s="90"/>
      <c r="N16" s="91">
        <f t="shared" si="0"/>
        <v>0</v>
      </c>
      <c r="O16" s="92"/>
    </row>
    <row r="17" spans="1:15" ht="15" thickBot="1" x14ac:dyDescent="0.25">
      <c r="A17" s="83"/>
      <c r="B17" s="84" t="str">
        <f>EN_A0900!$B$3</f>
        <v>Engine &amp; Drivetrain</v>
      </c>
      <c r="C17" s="86"/>
      <c r="D17" s="86" t="s">
        <v>11</v>
      </c>
      <c r="E17" s="86"/>
      <c r="F17" s="84"/>
      <c r="G17" s="86"/>
      <c r="H17" s="88">
        <f t="shared" si="1"/>
        <v>0</v>
      </c>
      <c r="I17" s="93"/>
      <c r="J17" s="90"/>
      <c r="K17" s="90"/>
      <c r="L17" s="90"/>
      <c r="M17" s="90"/>
      <c r="N17" s="91">
        <f t="shared" si="0"/>
        <v>0</v>
      </c>
      <c r="O17" s="92"/>
    </row>
    <row r="18" spans="1:15" s="12" customFormat="1" ht="15.75" thickTop="1" thickBot="1" x14ac:dyDescent="0.25">
      <c r="A18" s="5"/>
      <c r="B18" s="30" t="str">
        <f>EN_A0900!B3</f>
        <v>Engine &amp; Drivetrain</v>
      </c>
      <c r="C18" s="1"/>
      <c r="D18" s="1"/>
      <c r="E18" s="1"/>
      <c r="F18" s="30" t="s">
        <v>64</v>
      </c>
      <c r="G18" s="1"/>
      <c r="H18" s="3"/>
      <c r="I18" s="4"/>
      <c r="J18" s="73" t="e">
        <f>SUMPRODUCT($I7:$I17,J7:J17)</f>
        <v>#NAME?</v>
      </c>
      <c r="K18" s="73" t="e">
        <f>SUMPRODUCT($I7:$I17,K7:K17)</f>
        <v>#NAME?</v>
      </c>
      <c r="L18" s="73" t="e">
        <f>SUMPRODUCT($I7:$I17,L7:L17)</f>
        <v>#NAME?</v>
      </c>
      <c r="M18" s="73" t="e">
        <f>SUMPRODUCT($I7:$I17,M7:M17)</f>
        <v>#NAME?</v>
      </c>
      <c r="N18" s="73" t="e">
        <f>SUM(N7:N17)</f>
        <v>#NAME?</v>
      </c>
      <c r="O18" s="2"/>
    </row>
    <row r="19" spans="1:15" ht="13.5" thickTop="1" x14ac:dyDescent="0.2">
      <c r="A19" s="11"/>
      <c r="B19" s="3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1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4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4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1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1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1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1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246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zoomScaleNormal="100" workbookViewId="0">
      <selection activeCell="B12" sqref="B1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248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245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230">
        <v>10</v>
      </c>
      <c r="B10" s="260" t="s">
        <v>250</v>
      </c>
      <c r="C10" s="229">
        <f>EN_1000_001!N$2</f>
        <v>66.549787154500507</v>
      </c>
      <c r="D10" s="231">
        <f>EN_1000_001_q</f>
        <v>2</v>
      </c>
      <c r="E10" s="232">
        <f>C10*D10</f>
        <v>133.09957430900101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230">
        <v>20</v>
      </c>
      <c r="B11" s="260" t="s">
        <v>251</v>
      </c>
      <c r="C11" s="229" t="e">
        <f>#REF!</f>
        <v>#REF!</v>
      </c>
      <c r="D11" s="231">
        <f>EN_1000_002_q</f>
        <v>2</v>
      </c>
      <c r="E11" s="232" t="e">
        <f>C11*D11</f>
        <v>#REF!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230">
        <v>30</v>
      </c>
      <c r="B12" s="286" t="s">
        <v>253</v>
      </c>
      <c r="C12" s="229" t="e">
        <f>[2]EN_1000_003!N$2</f>
        <v>#REF!</v>
      </c>
      <c r="D12" s="231">
        <f>EN_1000_003_q</f>
        <v>2</v>
      </c>
      <c r="E12" s="232" t="e">
        <f>C12*D12</f>
        <v>#REF!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230">
        <v>40</v>
      </c>
      <c r="B13" s="260" t="s">
        <v>252</v>
      </c>
      <c r="C13" s="229" t="e">
        <f>[3]EN_1000_004!N$2</f>
        <v>#REF!</v>
      </c>
      <c r="D13" s="231">
        <f>EN_1000_004_q</f>
        <v>2</v>
      </c>
      <c r="E13" s="232" t="e">
        <f>C13*D13</f>
        <v>#REF!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164"/>
      <c r="B14" s="45"/>
      <c r="C14" s="45"/>
      <c r="D14" s="99" t="s">
        <v>18</v>
      </c>
      <c r="E14" s="100" t="e">
        <f>SUM(#REF!)</f>
        <v>#REF!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67"/>
    </row>
    <row r="16" spans="1:15" x14ac:dyDescent="0.25">
      <c r="A16" s="162" t="s">
        <v>14</v>
      </c>
      <c r="B16" s="95" t="s">
        <v>19</v>
      </c>
      <c r="C16" s="95" t="s">
        <v>20</v>
      </c>
      <c r="D16" s="95" t="s">
        <v>21</v>
      </c>
      <c r="E16" s="95" t="s">
        <v>22</v>
      </c>
      <c r="F16" s="95" t="s">
        <v>23</v>
      </c>
      <c r="G16" s="95" t="s">
        <v>24</v>
      </c>
      <c r="H16" s="95" t="s">
        <v>25</v>
      </c>
      <c r="I16" s="95" t="s">
        <v>26</v>
      </c>
      <c r="J16" s="95" t="s">
        <v>27</v>
      </c>
      <c r="K16" s="95" t="s">
        <v>28</v>
      </c>
      <c r="L16" s="95" t="s">
        <v>29</v>
      </c>
      <c r="M16" s="95" t="s">
        <v>17</v>
      </c>
      <c r="N16" s="95" t="s">
        <v>18</v>
      </c>
      <c r="O16" s="167"/>
    </row>
    <row r="17" spans="1:15" x14ac:dyDescent="0.25">
      <c r="A17" s="233">
        <v>10</v>
      </c>
      <c r="B17" s="234" t="s">
        <v>254</v>
      </c>
      <c r="C17" s="234" t="s">
        <v>255</v>
      </c>
      <c r="D17" s="235">
        <v>45</v>
      </c>
      <c r="E17" s="234"/>
      <c r="F17" s="234" t="s">
        <v>35</v>
      </c>
      <c r="G17" s="234"/>
      <c r="H17" s="236"/>
      <c r="I17" s="237"/>
      <c r="J17" s="238"/>
      <c r="K17" s="236"/>
      <c r="L17" s="236"/>
      <c r="M17" s="238">
        <v>4</v>
      </c>
      <c r="N17" s="239">
        <f>IF(J17="",D17*M17,D17*J17*K17*L17*M17)</f>
        <v>180</v>
      </c>
      <c r="O17" s="170"/>
    </row>
    <row r="18" spans="1:15" x14ac:dyDescent="0.25">
      <c r="A18" s="233">
        <v>20</v>
      </c>
      <c r="B18" s="234" t="s">
        <v>256</v>
      </c>
      <c r="C18" s="234" t="s">
        <v>257</v>
      </c>
      <c r="D18" s="235">
        <v>5</v>
      </c>
      <c r="E18" s="234"/>
      <c r="F18" s="234" t="s">
        <v>35</v>
      </c>
      <c r="G18" s="234"/>
      <c r="H18" s="236"/>
      <c r="I18" s="237"/>
      <c r="J18" s="238"/>
      <c r="K18" s="236"/>
      <c r="L18" s="236"/>
      <c r="M18" s="238">
        <v>4</v>
      </c>
      <c r="N18" s="239">
        <f>IF(J18="",D18*M18,D18*J18*K18*L18*M18)</f>
        <v>20</v>
      </c>
      <c r="O18" s="163"/>
    </row>
    <row r="19" spans="1:15" x14ac:dyDescent="0.25">
      <c r="A19" s="16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95" t="s">
        <v>18</v>
      </c>
      <c r="N19" s="97">
        <f>SUM(N17:N18)</f>
        <v>200</v>
      </c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31</v>
      </c>
      <c r="C21" s="95" t="s">
        <v>20</v>
      </c>
      <c r="D21" s="95" t="s">
        <v>21</v>
      </c>
      <c r="E21" s="95" t="s">
        <v>32</v>
      </c>
      <c r="F21" s="95" t="s">
        <v>17</v>
      </c>
      <c r="G21" s="95" t="s">
        <v>33</v>
      </c>
      <c r="H21" s="95" t="s">
        <v>34</v>
      </c>
      <c r="I21" s="95" t="s">
        <v>18</v>
      </c>
      <c r="J21" s="19"/>
      <c r="K21" s="19"/>
      <c r="L21" s="19"/>
      <c r="M21" s="19"/>
      <c r="N21" s="19"/>
      <c r="O21" s="163"/>
    </row>
    <row r="22" spans="1:15" x14ac:dyDescent="0.25">
      <c r="A22" s="233">
        <v>10</v>
      </c>
      <c r="B22" s="231" t="s">
        <v>186</v>
      </c>
      <c r="C22" s="231" t="s">
        <v>258</v>
      </c>
      <c r="D22" s="235">
        <v>0.56000000000000005</v>
      </c>
      <c r="E22" s="234" t="s">
        <v>35</v>
      </c>
      <c r="F22" s="234">
        <v>2</v>
      </c>
      <c r="G22" s="234"/>
      <c r="H22" s="234">
        <v>1</v>
      </c>
      <c r="I22" s="235">
        <f t="shared" ref="I22:I33" si="0">D22*F22*H22</f>
        <v>1.1200000000000001</v>
      </c>
      <c r="J22" s="111"/>
      <c r="K22" s="111"/>
      <c r="L22" s="111"/>
      <c r="M22" s="46"/>
      <c r="N22" s="46"/>
      <c r="O22" s="163"/>
    </row>
    <row r="23" spans="1:15" x14ac:dyDescent="0.25">
      <c r="A23" s="233">
        <v>20</v>
      </c>
      <c r="B23" s="231" t="s">
        <v>259</v>
      </c>
      <c r="C23" s="231" t="s">
        <v>260</v>
      </c>
      <c r="D23" s="235">
        <v>1.5</v>
      </c>
      <c r="E23" s="234" t="s">
        <v>35</v>
      </c>
      <c r="F23" s="234">
        <v>2</v>
      </c>
      <c r="G23" s="234"/>
      <c r="H23" s="234">
        <v>1</v>
      </c>
      <c r="I23" s="235">
        <f t="shared" si="0"/>
        <v>3</v>
      </c>
      <c r="J23" s="111"/>
      <c r="K23" s="111"/>
      <c r="L23" s="111"/>
      <c r="M23" s="46"/>
      <c r="N23" s="46"/>
      <c r="O23" s="163"/>
    </row>
    <row r="24" spans="1:15" x14ac:dyDescent="0.25">
      <c r="A24" s="233">
        <v>30</v>
      </c>
      <c r="B24" s="231" t="s">
        <v>188</v>
      </c>
      <c r="C24" s="231" t="s">
        <v>261</v>
      </c>
      <c r="D24" s="235">
        <v>0.19</v>
      </c>
      <c r="E24" s="234" t="s">
        <v>35</v>
      </c>
      <c r="F24" s="234">
        <v>4</v>
      </c>
      <c r="G24" s="234"/>
      <c r="H24" s="234">
        <v>1</v>
      </c>
      <c r="I24" s="235">
        <f t="shared" si="0"/>
        <v>0.76</v>
      </c>
      <c r="J24" s="111"/>
      <c r="K24" s="111"/>
      <c r="L24" s="111"/>
      <c r="M24" s="45"/>
      <c r="N24" s="45"/>
      <c r="O24" s="163"/>
    </row>
    <row r="25" spans="1:15" x14ac:dyDescent="0.25">
      <c r="A25" s="233">
        <v>40</v>
      </c>
      <c r="B25" s="231" t="s">
        <v>188</v>
      </c>
      <c r="C25" s="231" t="s">
        <v>262</v>
      </c>
      <c r="D25" s="235">
        <v>0.19</v>
      </c>
      <c r="E25" s="234" t="s">
        <v>35</v>
      </c>
      <c r="F25" s="234">
        <v>4</v>
      </c>
      <c r="G25" s="234"/>
      <c r="H25" s="234">
        <v>1</v>
      </c>
      <c r="I25" s="235">
        <f t="shared" si="0"/>
        <v>0.76</v>
      </c>
      <c r="J25" s="111"/>
      <c r="K25" s="111"/>
      <c r="L25" s="111"/>
      <c r="M25" s="45"/>
      <c r="N25" s="45"/>
      <c r="O25" s="163"/>
    </row>
    <row r="26" spans="1:15" x14ac:dyDescent="0.25">
      <c r="A26" s="233">
        <v>50</v>
      </c>
      <c r="B26" s="231" t="s">
        <v>173</v>
      </c>
      <c r="C26" s="231" t="s">
        <v>263</v>
      </c>
      <c r="D26" s="235">
        <v>0.13</v>
      </c>
      <c r="E26" s="234" t="s">
        <v>35</v>
      </c>
      <c r="F26" s="234">
        <v>4</v>
      </c>
      <c r="G26" s="234"/>
      <c r="H26" s="234">
        <v>1</v>
      </c>
      <c r="I26" s="235">
        <f t="shared" si="0"/>
        <v>0.52</v>
      </c>
      <c r="J26" s="111"/>
      <c r="K26" s="111"/>
      <c r="L26" s="111"/>
      <c r="M26" s="45"/>
      <c r="N26" s="45"/>
      <c r="O26" s="170"/>
    </row>
    <row r="27" spans="1:15" x14ac:dyDescent="0.25">
      <c r="A27" s="233">
        <v>60</v>
      </c>
      <c r="B27" s="231" t="s">
        <v>188</v>
      </c>
      <c r="C27" s="231" t="s">
        <v>262</v>
      </c>
      <c r="D27" s="235">
        <v>0.19</v>
      </c>
      <c r="E27" s="234" t="s">
        <v>35</v>
      </c>
      <c r="F27" s="234">
        <v>4</v>
      </c>
      <c r="G27" s="234"/>
      <c r="H27" s="234">
        <v>1</v>
      </c>
      <c r="I27" s="235">
        <f t="shared" si="0"/>
        <v>0.76</v>
      </c>
      <c r="J27" s="111"/>
      <c r="K27" s="111"/>
      <c r="L27" s="111"/>
      <c r="M27" s="45"/>
      <c r="N27" s="45"/>
      <c r="O27" s="163"/>
    </row>
    <row r="28" spans="1:15" x14ac:dyDescent="0.25">
      <c r="A28" s="233">
        <v>70</v>
      </c>
      <c r="B28" s="231" t="s">
        <v>264</v>
      </c>
      <c r="C28" s="231" t="s">
        <v>265</v>
      </c>
      <c r="D28" s="235">
        <v>0.19</v>
      </c>
      <c r="E28" s="234" t="s">
        <v>35</v>
      </c>
      <c r="F28" s="234">
        <v>4</v>
      </c>
      <c r="G28" s="234"/>
      <c r="H28" s="234">
        <v>1</v>
      </c>
      <c r="I28" s="235">
        <f t="shared" si="0"/>
        <v>0.76</v>
      </c>
      <c r="J28" s="111"/>
      <c r="K28" s="111"/>
      <c r="L28" s="111"/>
      <c r="M28" s="45"/>
      <c r="N28" s="45"/>
      <c r="O28" s="163"/>
    </row>
    <row r="29" spans="1:15" x14ac:dyDescent="0.25">
      <c r="A29" s="233">
        <v>80</v>
      </c>
      <c r="B29" s="231" t="s">
        <v>188</v>
      </c>
      <c r="C29" s="231" t="s">
        <v>266</v>
      </c>
      <c r="D29" s="235">
        <v>0.19</v>
      </c>
      <c r="E29" s="234" t="s">
        <v>35</v>
      </c>
      <c r="F29" s="234">
        <v>4</v>
      </c>
      <c r="G29" s="234"/>
      <c r="H29" s="234">
        <v>1</v>
      </c>
      <c r="I29" s="235">
        <f t="shared" si="0"/>
        <v>0.76</v>
      </c>
      <c r="J29" s="111"/>
      <c r="K29" s="111"/>
      <c r="L29" s="111"/>
      <c r="M29" s="45"/>
      <c r="N29" s="45"/>
      <c r="O29" s="163"/>
    </row>
    <row r="30" spans="1:15" x14ac:dyDescent="0.25">
      <c r="A30" s="233">
        <v>90</v>
      </c>
      <c r="B30" s="231" t="s">
        <v>186</v>
      </c>
      <c r="C30" s="231" t="s">
        <v>267</v>
      </c>
      <c r="D30" s="235">
        <v>0.56000000000000005</v>
      </c>
      <c r="E30" s="234" t="s">
        <v>35</v>
      </c>
      <c r="F30" s="234">
        <v>2</v>
      </c>
      <c r="G30" s="234"/>
      <c r="H30" s="234">
        <v>1</v>
      </c>
      <c r="I30" s="235">
        <f t="shared" si="0"/>
        <v>1.1200000000000001</v>
      </c>
      <c r="J30" s="111"/>
      <c r="K30" s="155"/>
      <c r="L30" s="155"/>
      <c r="M30" s="47"/>
      <c r="N30" s="47"/>
      <c r="O30" s="163"/>
    </row>
    <row r="31" spans="1:15" x14ac:dyDescent="0.25">
      <c r="A31" s="233">
        <v>100</v>
      </c>
      <c r="B31" s="231" t="s">
        <v>186</v>
      </c>
      <c r="C31" s="231" t="s">
        <v>271</v>
      </c>
      <c r="D31" s="235">
        <v>0.56000000000000005</v>
      </c>
      <c r="E31" s="234" t="s">
        <v>35</v>
      </c>
      <c r="F31" s="234">
        <v>4</v>
      </c>
      <c r="G31" s="234"/>
      <c r="H31" s="234">
        <v>1</v>
      </c>
      <c r="I31" s="235">
        <f t="shared" si="0"/>
        <v>2.2400000000000002</v>
      </c>
      <c r="J31" s="111"/>
      <c r="K31" s="111"/>
      <c r="L31" s="155"/>
      <c r="M31" s="46"/>
      <c r="N31" s="46"/>
      <c r="O31" s="163"/>
    </row>
    <row r="32" spans="1:15" x14ac:dyDescent="0.25">
      <c r="A32" s="233">
        <v>110</v>
      </c>
      <c r="B32" s="231" t="s">
        <v>186</v>
      </c>
      <c r="C32" s="231" t="s">
        <v>270</v>
      </c>
      <c r="D32" s="235">
        <v>0.56000000000000005</v>
      </c>
      <c r="E32" s="234" t="s">
        <v>35</v>
      </c>
      <c r="F32" s="234">
        <v>4</v>
      </c>
      <c r="G32" s="234"/>
      <c r="H32" s="234">
        <v>1</v>
      </c>
      <c r="I32" s="235">
        <f t="shared" si="0"/>
        <v>2.2400000000000002</v>
      </c>
      <c r="J32" s="111"/>
      <c r="K32" s="111"/>
      <c r="L32" s="111"/>
      <c r="M32" s="47"/>
      <c r="N32" s="47"/>
      <c r="O32" s="163"/>
    </row>
    <row r="33" spans="1:15" x14ac:dyDescent="0.25">
      <c r="A33" s="233">
        <v>120</v>
      </c>
      <c r="B33" s="231" t="s">
        <v>268</v>
      </c>
      <c r="C33" s="231" t="s">
        <v>269</v>
      </c>
      <c r="D33" s="235">
        <v>0.75</v>
      </c>
      <c r="E33" s="234" t="s">
        <v>35</v>
      </c>
      <c r="F33" s="234">
        <v>2</v>
      </c>
      <c r="G33" s="234"/>
      <c r="H33" s="234">
        <v>1</v>
      </c>
      <c r="I33" s="235">
        <f t="shared" si="0"/>
        <v>1.5</v>
      </c>
      <c r="J33" s="111"/>
      <c r="K33" s="111"/>
      <c r="L33" s="111"/>
      <c r="M33" s="45"/>
      <c r="N33" s="45"/>
      <c r="O33" s="163"/>
    </row>
    <row r="34" spans="1:15" x14ac:dyDescent="0.25">
      <c r="A34" s="168"/>
      <c r="B34" s="19"/>
      <c r="C34" s="19"/>
      <c r="D34" s="19"/>
      <c r="E34" s="19"/>
      <c r="F34" s="19"/>
      <c r="G34" s="19"/>
      <c r="H34" s="96" t="s">
        <v>18</v>
      </c>
      <c r="I34" s="97">
        <f>SUM(I22:I33)</f>
        <v>15.54</v>
      </c>
      <c r="J34" s="45"/>
      <c r="K34" s="45"/>
      <c r="L34" s="45"/>
      <c r="M34" s="45"/>
      <c r="N34" s="45"/>
      <c r="O34" s="163"/>
    </row>
    <row r="35" spans="1:15" x14ac:dyDescent="0.25">
      <c r="A35" s="16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163"/>
    </row>
    <row r="36" spans="1:15" x14ac:dyDescent="0.25">
      <c r="A36" s="162" t="s">
        <v>14</v>
      </c>
      <c r="B36" s="95" t="s">
        <v>36</v>
      </c>
      <c r="C36" s="95" t="s">
        <v>20</v>
      </c>
      <c r="D36" s="95" t="s">
        <v>21</v>
      </c>
      <c r="E36" s="95" t="s">
        <v>22</v>
      </c>
      <c r="F36" s="95" t="s">
        <v>23</v>
      </c>
      <c r="G36" s="95" t="s">
        <v>24</v>
      </c>
      <c r="H36" s="95" t="s">
        <v>25</v>
      </c>
      <c r="I36" s="95" t="s">
        <v>17</v>
      </c>
      <c r="J36" s="95" t="s">
        <v>18</v>
      </c>
      <c r="K36" s="45"/>
      <c r="L36" s="45"/>
      <c r="M36" s="45"/>
      <c r="N36" s="45"/>
      <c r="O36" s="163"/>
    </row>
    <row r="37" spans="1:15" x14ac:dyDescent="0.25">
      <c r="A37" s="233">
        <v>10</v>
      </c>
      <c r="B37" s="234" t="s">
        <v>272</v>
      </c>
      <c r="C37" s="234" t="s">
        <v>273</v>
      </c>
      <c r="D37" s="240">
        <f>0.0002*E37*E37+0.013</f>
        <v>9.2999999999999999E-2</v>
      </c>
      <c r="E37" s="234">
        <v>20</v>
      </c>
      <c r="F37" s="241" t="s">
        <v>30</v>
      </c>
      <c r="G37" s="234"/>
      <c r="H37" s="231"/>
      <c r="I37" s="242">
        <v>8</v>
      </c>
      <c r="J37" s="235">
        <f>D37*I37</f>
        <v>0.74399999999999999</v>
      </c>
      <c r="K37" s="45"/>
      <c r="L37" s="45"/>
      <c r="M37" s="45"/>
      <c r="N37" s="45"/>
      <c r="O37" s="163"/>
    </row>
    <row r="38" spans="1:15" x14ac:dyDescent="0.25">
      <c r="A38" s="233">
        <v>20</v>
      </c>
      <c r="B38" s="243" t="s">
        <v>274</v>
      </c>
      <c r="C38" s="234" t="s">
        <v>275</v>
      </c>
      <c r="D38" s="240">
        <f>0.004*E38+0.5</f>
        <v>0.7898639999999999</v>
      </c>
      <c r="E38" s="234">
        <f>36.233*2</f>
        <v>72.465999999999994</v>
      </c>
      <c r="F38" s="241" t="s">
        <v>30</v>
      </c>
      <c r="G38" s="234"/>
      <c r="H38" s="231"/>
      <c r="I38" s="242">
        <v>4</v>
      </c>
      <c r="J38" s="235">
        <f>D38*I38</f>
        <v>3.1594559999999996</v>
      </c>
      <c r="K38" s="45"/>
      <c r="L38" s="45"/>
      <c r="M38" s="45"/>
      <c r="N38" s="45"/>
      <c r="O38" s="163"/>
    </row>
    <row r="39" spans="1:15" x14ac:dyDescent="0.25">
      <c r="A39" s="233">
        <v>30</v>
      </c>
      <c r="B39" s="243" t="s">
        <v>274</v>
      </c>
      <c r="C39" s="234" t="s">
        <v>275</v>
      </c>
      <c r="D39" s="240">
        <f>0.004*E39+0.5</f>
        <v>0.61115200000000003</v>
      </c>
      <c r="E39" s="234">
        <f>13.894*2</f>
        <v>27.788</v>
      </c>
      <c r="F39" s="241" t="s">
        <v>30</v>
      </c>
      <c r="G39" s="234"/>
      <c r="H39" s="231"/>
      <c r="I39" s="242">
        <v>4</v>
      </c>
      <c r="J39" s="235">
        <f>D39*I39</f>
        <v>2.4446080000000001</v>
      </c>
      <c r="K39" s="45"/>
      <c r="L39" s="45"/>
      <c r="M39" s="45"/>
      <c r="N39" s="45"/>
      <c r="O39" s="163"/>
    </row>
    <row r="40" spans="1:15" x14ac:dyDescent="0.25">
      <c r="A40" s="233">
        <v>40</v>
      </c>
      <c r="B40" s="234" t="s">
        <v>203</v>
      </c>
      <c r="C40" s="234" t="s">
        <v>276</v>
      </c>
      <c r="D40" s="240">
        <f>0.8/105154*E40*E40*G40*SQRT(G40)+(0.003*EXP(0.319*E40))</f>
        <v>8.2048330888522564E-2</v>
      </c>
      <c r="E40" s="234">
        <v>8</v>
      </c>
      <c r="F40" s="241" t="s">
        <v>30</v>
      </c>
      <c r="G40" s="234">
        <v>20</v>
      </c>
      <c r="H40" s="231" t="s">
        <v>30</v>
      </c>
      <c r="I40" s="242">
        <v>2</v>
      </c>
      <c r="J40" s="235">
        <f>D40*I40</f>
        <v>0.16409666177704513</v>
      </c>
      <c r="K40" s="45"/>
      <c r="L40" s="45"/>
      <c r="M40" s="45"/>
      <c r="N40" s="45"/>
      <c r="O40" s="163"/>
    </row>
    <row r="41" spans="1:15" x14ac:dyDescent="0.25">
      <c r="A41" s="233">
        <v>50</v>
      </c>
      <c r="B41" s="244" t="s">
        <v>277</v>
      </c>
      <c r="C41" s="234" t="s">
        <v>278</v>
      </c>
      <c r="D41" s="240">
        <v>0.49</v>
      </c>
      <c r="E41" s="234">
        <v>20</v>
      </c>
      <c r="F41" s="241" t="s">
        <v>30</v>
      </c>
      <c r="G41" s="234"/>
      <c r="H41" s="231"/>
      <c r="I41" s="242">
        <v>2</v>
      </c>
      <c r="J41" s="235">
        <f>D41*I41</f>
        <v>0.98</v>
      </c>
      <c r="K41" s="45"/>
      <c r="L41" s="45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19"/>
      <c r="I42" s="96" t="s">
        <v>18</v>
      </c>
      <c r="J42" s="97">
        <f>SUM(J37:J41)</f>
        <v>7.492160661777044</v>
      </c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ht="15.75" thickBot="1" x14ac:dyDescent="0.3">
      <c r="A44" s="172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34"/>
  <sheetViews>
    <sheetView zoomScale="85" zoomScaleNormal="85" workbookViewId="0">
      <selection activeCell="I12" sqref="I12"/>
    </sheetView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279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4.0999054020002239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0.155</v>
      </c>
      <c r="L11" s="145">
        <v>7850</v>
      </c>
      <c r="M11" s="145">
        <v>1</v>
      </c>
      <c r="N11" s="140">
        <f>D11*J11*K11*L11*M11</f>
        <v>9.224787154500504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256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57" t="s">
        <v>18</v>
      </c>
      <c r="N13" s="105">
        <f>SUM(N11:N11)</f>
        <v>9.224787154500504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253" t="s">
        <v>14</v>
      </c>
      <c r="B15" s="255" t="s">
        <v>31</v>
      </c>
      <c r="C15" s="255" t="s">
        <v>20</v>
      </c>
      <c r="D15" s="255" t="s">
        <v>21</v>
      </c>
      <c r="E15" s="255" t="s">
        <v>32</v>
      </c>
      <c r="F15" s="255" t="s">
        <v>17</v>
      </c>
      <c r="G15" s="255" t="s">
        <v>33</v>
      </c>
      <c r="H15" s="255" t="s">
        <v>34</v>
      </c>
      <c r="I15" s="255" t="s">
        <v>18</v>
      </c>
      <c r="J15" s="19"/>
      <c r="K15" s="19"/>
      <c r="L15" s="19"/>
      <c r="M15" s="19"/>
      <c r="N15" s="19"/>
      <c r="O15" s="163"/>
    </row>
    <row r="16" spans="1:15" x14ac:dyDescent="0.25">
      <c r="A16" s="258">
        <v>10</v>
      </c>
      <c r="B16" s="247" t="s">
        <v>43</v>
      </c>
      <c r="C16" s="248" t="s">
        <v>283</v>
      </c>
      <c r="D16" s="249">
        <v>1.3</v>
      </c>
      <c r="E16" s="247" t="s">
        <v>32</v>
      </c>
      <c r="F16" s="246">
        <v>1</v>
      </c>
      <c r="G16" s="246"/>
      <c r="H16" s="246"/>
      <c r="I16" s="250">
        <f>IF(H16="",D16*F16,D16*F16*H16)</f>
        <v>1.3</v>
      </c>
      <c r="J16" s="19"/>
      <c r="K16" s="19"/>
      <c r="L16" s="19"/>
      <c r="M16" s="19"/>
      <c r="N16" s="19"/>
      <c r="O16" s="163"/>
    </row>
    <row r="17" spans="1:15" x14ac:dyDescent="0.25">
      <c r="A17" s="259">
        <v>20</v>
      </c>
      <c r="B17" s="248" t="s">
        <v>161</v>
      </c>
      <c r="C17" s="248" t="s">
        <v>287</v>
      </c>
      <c r="D17" s="249">
        <v>0.04</v>
      </c>
      <c r="E17" s="263" t="s">
        <v>162</v>
      </c>
      <c r="F17" s="251">
        <v>269.89999999999998</v>
      </c>
      <c r="G17" s="265" t="s">
        <v>288</v>
      </c>
      <c r="H17" s="266">
        <v>3</v>
      </c>
      <c r="I17" s="250">
        <f t="shared" ref="I17:I21" si="0">IF(H17="",D17*F17,D17*F17*H17)</f>
        <v>32.387999999999998</v>
      </c>
      <c r="J17" s="45"/>
      <c r="K17" s="45"/>
      <c r="L17" s="45"/>
      <c r="M17" s="45"/>
      <c r="N17" s="45"/>
      <c r="O17" s="163"/>
    </row>
    <row r="18" spans="1:15" x14ac:dyDescent="0.25">
      <c r="A18" s="258">
        <v>30</v>
      </c>
      <c r="B18" s="247" t="s">
        <v>285</v>
      </c>
      <c r="C18" s="248" t="s">
        <v>290</v>
      </c>
      <c r="D18" s="249">
        <v>0.65</v>
      </c>
      <c r="E18" s="247" t="s">
        <v>32</v>
      </c>
      <c r="F18" s="246">
        <v>1</v>
      </c>
      <c r="G18" s="246"/>
      <c r="H18" s="246"/>
      <c r="I18" s="250">
        <f t="shared" si="0"/>
        <v>0.65</v>
      </c>
      <c r="J18" s="45"/>
      <c r="K18" s="45"/>
      <c r="L18" s="45"/>
      <c r="M18" s="45"/>
      <c r="N18" s="45"/>
      <c r="O18" s="163"/>
    </row>
    <row r="19" spans="1:15" x14ac:dyDescent="0.25">
      <c r="A19" s="268">
        <v>40</v>
      </c>
      <c r="B19" s="269" t="s">
        <v>161</v>
      </c>
      <c r="C19" s="269" t="s">
        <v>289</v>
      </c>
      <c r="D19" s="249">
        <v>0.04</v>
      </c>
      <c r="E19" s="270" t="s">
        <v>162</v>
      </c>
      <c r="F19" s="278">
        <v>175.85</v>
      </c>
      <c r="G19" s="265" t="s">
        <v>288</v>
      </c>
      <c r="H19" s="271">
        <v>3</v>
      </c>
      <c r="I19" s="272">
        <f t="shared" si="0"/>
        <v>21.102</v>
      </c>
      <c r="J19" s="45"/>
      <c r="K19" s="45"/>
      <c r="L19" s="45"/>
      <c r="M19" s="45"/>
      <c r="N19" s="45"/>
      <c r="O19" s="163"/>
    </row>
    <row r="20" spans="1:15" x14ac:dyDescent="0.25">
      <c r="A20" s="273">
        <v>50</v>
      </c>
      <c r="B20" s="247" t="s">
        <v>285</v>
      </c>
      <c r="C20" s="248" t="s">
        <v>291</v>
      </c>
      <c r="D20" s="249">
        <v>0.65</v>
      </c>
      <c r="E20" s="247" t="s">
        <v>32</v>
      </c>
      <c r="F20" s="246">
        <v>1</v>
      </c>
      <c r="G20" s="275"/>
      <c r="H20" s="276"/>
      <c r="I20" s="272">
        <f t="shared" si="0"/>
        <v>0.65</v>
      </c>
      <c r="J20" s="45"/>
      <c r="K20" s="45"/>
      <c r="L20" s="45"/>
      <c r="M20" s="45"/>
      <c r="N20" s="45"/>
      <c r="O20" s="163"/>
    </row>
    <row r="21" spans="1:15" x14ac:dyDescent="0.25">
      <c r="A21" s="273">
        <v>60</v>
      </c>
      <c r="B21" s="274" t="s">
        <v>170</v>
      </c>
      <c r="C21" s="274" t="s">
        <v>286</v>
      </c>
      <c r="D21" s="249">
        <v>0.5</v>
      </c>
      <c r="E21" s="275" t="s">
        <v>45</v>
      </c>
      <c r="F21" s="279">
        <v>2.4700000000000002</v>
      </c>
      <c r="G21" s="275"/>
      <c r="H21" s="276"/>
      <c r="I21" s="272">
        <f t="shared" si="0"/>
        <v>1.2350000000000001</v>
      </c>
      <c r="J21" s="45"/>
      <c r="K21" s="45"/>
      <c r="L21" s="45"/>
      <c r="M21" s="45"/>
      <c r="N21" s="45"/>
      <c r="O21" s="163"/>
    </row>
    <row r="22" spans="1:15" x14ac:dyDescent="0.25">
      <c r="A22" s="168"/>
      <c r="B22" s="19"/>
      <c r="C22" s="19"/>
      <c r="D22" s="19"/>
      <c r="E22" s="19"/>
      <c r="F22" s="19"/>
      <c r="G22" s="19"/>
      <c r="H22" s="110" t="s">
        <v>18</v>
      </c>
      <c r="I22" s="280">
        <f>SUM(I16:I21)</f>
        <v>57.324999999999996</v>
      </c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ht="15.75" thickBot="1" x14ac:dyDescent="0.3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4"/>
    </row>
    <row r="31" spans="1:15" x14ac:dyDescent="0.25">
      <c r="I31" s="261"/>
    </row>
    <row r="32" spans="1:15" x14ac:dyDescent="0.25">
      <c r="H32" s="262"/>
      <c r="J32" s="262"/>
    </row>
    <row r="33" spans="6:11" x14ac:dyDescent="0.25">
      <c r="K33" s="262"/>
    </row>
    <row r="34" spans="6:11" x14ac:dyDescent="0.25">
      <c r="F34" s="261"/>
      <c r="G34" s="262"/>
      <c r="H34" s="262"/>
      <c r="J34" s="264"/>
      <c r="K34" s="264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F321-BE68-4E0C-A8DD-7F6001EA6604}">
  <sheetPr>
    <tabColor theme="6" tint="0.39997558519241921"/>
  </sheetPr>
  <dimension ref="A1:O30"/>
  <sheetViews>
    <sheetView zoomScaleNormal="100" workbookViewId="0">
      <selection activeCell="J23" sqref="J23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292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4.2790580425663371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0.161773</v>
      </c>
      <c r="L11" s="145">
        <v>7850</v>
      </c>
      <c r="M11" s="145">
        <v>1</v>
      </c>
      <c r="N11" s="140">
        <f>D11*J11*K11*L11*M11</f>
        <v>9.6278805957742595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57" t="s">
        <v>18</v>
      </c>
      <c r="N12" s="105">
        <f>SUM(N11:N11)</f>
        <v>9.6278805957742595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53" t="s">
        <v>14</v>
      </c>
      <c r="B14" s="255" t="s">
        <v>31</v>
      </c>
      <c r="C14" s="255" t="s">
        <v>20</v>
      </c>
      <c r="D14" s="255" t="s">
        <v>21</v>
      </c>
      <c r="E14" s="255" t="s">
        <v>32</v>
      </c>
      <c r="F14" s="255" t="s">
        <v>17</v>
      </c>
      <c r="G14" s="255" t="s">
        <v>33</v>
      </c>
      <c r="H14" s="255" t="s">
        <v>34</v>
      </c>
      <c r="I14" s="255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58">
        <v>10</v>
      </c>
      <c r="B15" s="247" t="s">
        <v>43</v>
      </c>
      <c r="C15" s="248" t="s">
        <v>283</v>
      </c>
      <c r="D15" s="249">
        <v>1.3</v>
      </c>
      <c r="E15" s="247" t="s">
        <v>32</v>
      </c>
      <c r="F15" s="246">
        <v>1</v>
      </c>
      <c r="G15" s="246"/>
      <c r="H15" s="246"/>
      <c r="I15" s="250">
        <f>IF(H15="",D15*F15,D15*F15*H15)</f>
        <v>1.3</v>
      </c>
      <c r="J15" s="19"/>
      <c r="K15" s="19"/>
      <c r="L15" s="19"/>
      <c r="M15" s="19"/>
      <c r="N15" s="19"/>
      <c r="O15" s="163"/>
    </row>
    <row r="16" spans="1:15" x14ac:dyDescent="0.25">
      <c r="A16" s="259">
        <v>20</v>
      </c>
      <c r="B16" s="248" t="s">
        <v>161</v>
      </c>
      <c r="C16" s="248" t="s">
        <v>287</v>
      </c>
      <c r="D16" s="249">
        <v>0.04</v>
      </c>
      <c r="E16" s="263" t="s">
        <v>162</v>
      </c>
      <c r="F16" s="251">
        <v>313.90100000000001</v>
      </c>
      <c r="G16" s="265" t="s">
        <v>288</v>
      </c>
      <c r="H16" s="266">
        <v>3</v>
      </c>
      <c r="I16" s="250">
        <f t="shared" ref="I16:I22" si="0">IF(H16="",D16*F16,D16*F16*H16)</f>
        <v>37.668120000000002</v>
      </c>
      <c r="J16" s="45"/>
      <c r="K16" s="45"/>
      <c r="L16" s="45"/>
      <c r="M16" s="45"/>
      <c r="N16" s="45"/>
      <c r="O16" s="163"/>
    </row>
    <row r="17" spans="1:15" x14ac:dyDescent="0.25">
      <c r="A17" s="258">
        <v>30</v>
      </c>
      <c r="B17" s="247" t="s">
        <v>285</v>
      </c>
      <c r="C17" s="248" t="s">
        <v>290</v>
      </c>
      <c r="D17" s="249">
        <v>0.65</v>
      </c>
      <c r="E17" s="247" t="s">
        <v>32</v>
      </c>
      <c r="F17" s="246">
        <v>1</v>
      </c>
      <c r="G17" s="246"/>
      <c r="H17" s="246"/>
      <c r="I17" s="250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68">
        <v>40</v>
      </c>
      <c r="B18" s="269" t="s">
        <v>161</v>
      </c>
      <c r="C18" s="269" t="s">
        <v>289</v>
      </c>
      <c r="D18" s="249">
        <v>0.04</v>
      </c>
      <c r="E18" s="270" t="s">
        <v>162</v>
      </c>
      <c r="F18" s="278">
        <v>161.94</v>
      </c>
      <c r="G18" s="265" t="s">
        <v>288</v>
      </c>
      <c r="H18" s="271">
        <v>3</v>
      </c>
      <c r="I18" s="272">
        <f t="shared" si="0"/>
        <v>19.4328</v>
      </c>
      <c r="J18" s="45"/>
      <c r="K18" s="45"/>
      <c r="L18" s="45"/>
      <c r="M18" s="45"/>
      <c r="N18" s="45"/>
      <c r="O18" s="163"/>
    </row>
    <row r="19" spans="1:15" x14ac:dyDescent="0.25">
      <c r="A19" s="273">
        <v>50</v>
      </c>
      <c r="B19" s="247" t="s">
        <v>285</v>
      </c>
      <c r="C19" s="248" t="s">
        <v>291</v>
      </c>
      <c r="D19" s="249">
        <v>0.65</v>
      </c>
      <c r="E19" s="247" t="s">
        <v>32</v>
      </c>
      <c r="F19" s="246">
        <v>1</v>
      </c>
      <c r="G19" s="275"/>
      <c r="H19" s="276"/>
      <c r="I19" s="272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73">
        <v>60</v>
      </c>
      <c r="B20" s="274" t="s">
        <v>170</v>
      </c>
      <c r="C20" s="274" t="s">
        <v>286</v>
      </c>
      <c r="D20" s="249">
        <v>0.5</v>
      </c>
      <c r="E20" s="275" t="s">
        <v>45</v>
      </c>
      <c r="F20" s="279">
        <v>5.8928000000000003</v>
      </c>
      <c r="G20" s="275"/>
      <c r="H20" s="276"/>
      <c r="I20" s="272">
        <f t="shared" si="0"/>
        <v>2.9464000000000001</v>
      </c>
      <c r="J20" s="45"/>
      <c r="K20" s="45"/>
      <c r="L20" s="45"/>
      <c r="M20" s="45"/>
      <c r="N20" s="45"/>
      <c r="O20" s="163"/>
    </row>
    <row r="21" spans="1:15" x14ac:dyDescent="0.25">
      <c r="A21" s="281">
        <v>70</v>
      </c>
      <c r="B21" s="274" t="s">
        <v>285</v>
      </c>
      <c r="C21" s="274" t="s">
        <v>297</v>
      </c>
      <c r="D21" s="282">
        <v>0.65</v>
      </c>
      <c r="E21" s="283" t="s">
        <v>32</v>
      </c>
      <c r="F21" s="284">
        <v>1</v>
      </c>
      <c r="G21" s="285"/>
      <c r="H21" s="285"/>
      <c r="I21" s="277">
        <f t="shared" si="0"/>
        <v>0.65</v>
      </c>
      <c r="J21" s="45"/>
      <c r="K21" s="45"/>
      <c r="L21" s="45"/>
      <c r="M21" s="45"/>
      <c r="N21" s="45"/>
      <c r="O21" s="163"/>
    </row>
    <row r="22" spans="1:15" x14ac:dyDescent="0.25">
      <c r="A22" s="273">
        <v>80</v>
      </c>
      <c r="B22" s="274" t="s">
        <v>298</v>
      </c>
      <c r="C22" s="274" t="s">
        <v>299</v>
      </c>
      <c r="D22" s="282">
        <v>0.1</v>
      </c>
      <c r="E22" s="283" t="s">
        <v>45</v>
      </c>
      <c r="F22" s="284">
        <v>1.8452999999999999</v>
      </c>
      <c r="G22" s="285"/>
      <c r="H22" s="285"/>
      <c r="I22" s="277">
        <f t="shared" si="0"/>
        <v>0.18453</v>
      </c>
      <c r="J22" s="45"/>
      <c r="K22" s="45"/>
      <c r="L22" s="177"/>
      <c r="M22" s="218"/>
      <c r="N22" s="45"/>
      <c r="O22" s="163"/>
    </row>
    <row r="23" spans="1:15" x14ac:dyDescent="0.25">
      <c r="A23" s="281"/>
      <c r="B23" s="19"/>
      <c r="C23" s="19"/>
      <c r="D23" s="19"/>
      <c r="E23" s="19"/>
      <c r="F23" s="19"/>
      <c r="G23" s="19"/>
      <c r="H23" s="110" t="s">
        <v>18</v>
      </c>
      <c r="I23" s="280">
        <f>SUM(I15:I20)</f>
        <v>62.647319999999993</v>
      </c>
      <c r="J23" s="45"/>
      <c r="K23" s="45"/>
      <c r="L23" s="45"/>
      <c r="M23" s="45"/>
      <c r="N23" s="45"/>
      <c r="O23" s="163"/>
    </row>
    <row r="24" spans="1:15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B25" s="45"/>
      <c r="C25" s="267"/>
      <c r="D25" s="45"/>
      <c r="E25" s="177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B26" s="45"/>
      <c r="C26" s="177"/>
      <c r="D26" s="45"/>
      <c r="E26" s="177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B27" s="45"/>
      <c r="C27" s="45"/>
      <c r="D27" s="45"/>
      <c r="E27" s="287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163"/>
    </row>
    <row r="30" spans="1:15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4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86C-E34C-48C6-8181-74AE21A7D0A0}">
  <sheetPr>
    <tabColor theme="6" tint="0.39997558519241921"/>
  </sheetPr>
  <dimension ref="A1:O30"/>
  <sheetViews>
    <sheetView zoomScaleNormal="100" workbookViewId="0">
      <selection activeCell="G22" sqref="G2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1.1472790446544314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0.38100000000000001</v>
      </c>
      <c r="L11" s="145">
        <v>7850</v>
      </c>
      <c r="M11" s="145">
        <v>1</v>
      </c>
      <c r="N11" s="140">
        <f>D11*J11*K11*L11*M11</f>
        <v>2.58137785047247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2.58137785047247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J11*0.009896*2*1000000</f>
        <v>7.5921383057660883</v>
      </c>
      <c r="G16" s="289" t="s">
        <v>284</v>
      </c>
      <c r="H16" s="281">
        <v>3</v>
      </c>
      <c r="I16" s="277">
        <f t="shared" si="0"/>
        <v>0.91105659669193062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(K11-2*0.009896)*PI()*0.00635*0.00635*1000000</f>
        <v>45.756698777462248</v>
      </c>
      <c r="G18" s="289" t="s">
        <v>284</v>
      </c>
      <c r="H18" s="281">
        <v>3</v>
      </c>
      <c r="I18" s="277">
        <f t="shared" si="0"/>
        <v>5.4908038532954695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(58.395-9.896)*2/10</f>
        <v>9.6997999999999998</v>
      </c>
      <c r="G20" s="285"/>
      <c r="H20" s="285"/>
      <c r="I20" s="277">
        <f t="shared" si="0"/>
        <v>4.8498999999999999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13.851760449987401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  <row r="25" spans="1:15" x14ac:dyDescent="0.25">
      <c r="B25" s="45"/>
      <c r="C25" s="45"/>
      <c r="D25" s="45"/>
      <c r="E25" s="45"/>
      <c r="F25" s="45"/>
      <c r="G25" s="45"/>
      <c r="H25" s="45"/>
      <c r="I25" s="45"/>
    </row>
    <row r="26" spans="1:15" x14ac:dyDescent="0.25">
      <c r="B26" s="45"/>
      <c r="C26" s="45"/>
      <c r="D26" s="45"/>
      <c r="E26" s="45"/>
      <c r="F26" s="45"/>
      <c r="G26" s="45"/>
      <c r="H26" s="45"/>
      <c r="I26" s="45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B30" s="45"/>
      <c r="C30" s="45"/>
      <c r="D30" s="45"/>
      <c r="E30" s="45"/>
      <c r="F30" s="45"/>
      <c r="G30" s="45"/>
      <c r="H30" s="45"/>
      <c r="I30" s="45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5FF-3B9E-4BE6-BCC4-B605A4A577E2}">
  <sheetPr>
    <tabColor theme="6" tint="0.39997558519241921"/>
  </sheetPr>
  <dimension ref="A1"/>
  <sheetViews>
    <sheetView tabSelected="1" workbookViewId="0">
      <selection activeCell="P13" sqref="P13"/>
    </sheetView>
  </sheetViews>
  <sheetFormatPr baseColWidth="10" defaultRowHeight="15" x14ac:dyDescent="0.25"/>
  <sheetData>
    <row r="1" spans="1:1" x14ac:dyDescent="0.25">
      <c r="A1" s="286" t="s">
        <v>293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E70-3A36-4051-ADBC-E2E08B0C7EA8}">
  <sheetPr>
    <tabColor theme="6" tint="0.39997558519241921"/>
  </sheetPr>
  <dimension ref="A1:O32"/>
  <sheetViews>
    <sheetView zoomScale="55" zoomScaleNormal="55" workbookViewId="0">
      <selection activeCell="D3" sqref="D3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1.3002495839416888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0.43180000000000002</v>
      </c>
      <c r="L11" s="145">
        <v>7850</v>
      </c>
      <c r="M11" s="145">
        <v>1</v>
      </c>
      <c r="N11" s="140">
        <f>D11*J11*K11*L11*M11</f>
        <v>2.9255615638687997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2.9255615638687997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 t="shared" ref="I15:I20" si="0"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J11*0.0155015*2*1000000</f>
        <v>11.892636615484337</v>
      </c>
      <c r="G16" s="289" t="s">
        <v>284</v>
      </c>
      <c r="H16" s="281">
        <v>3</v>
      </c>
      <c r="I16" s="277">
        <f t="shared" si="0"/>
        <v>1.4271163938581204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(K11-2*0.0155015)*PI()*0.00635*0.00635*1000000</f>
        <v>50.771709374959947</v>
      </c>
      <c r="G18" s="289" t="s">
        <v>284</v>
      </c>
      <c r="H18" s="281">
        <v>3</v>
      </c>
      <c r="I18" s="277">
        <f t="shared" si="0"/>
        <v>6.0926051249951936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(58.42-15.5015)*2/10</f>
        <v>8.5837000000000003</v>
      </c>
      <c r="G20" s="285"/>
      <c r="H20" s="285"/>
      <c r="I20" s="277">
        <f t="shared" si="0"/>
        <v>4.2918500000000002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14.411571518853314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</row>
    <row r="32" spans="1:15" x14ac:dyDescent="0.25">
      <c r="A32" s="45"/>
      <c r="B32" s="45"/>
      <c r="C32" s="45"/>
      <c r="D32" s="45"/>
      <c r="E32" s="45"/>
      <c r="F32" s="45"/>
      <c r="G32" s="45"/>
      <c r="H32" s="45"/>
      <c r="I32" s="45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D418-FC24-44FA-8188-943C3F051D67}">
  <sheetPr>
    <tabColor theme="6" tint="0.39997558519241921"/>
  </sheetPr>
  <dimension ref="A1"/>
  <sheetViews>
    <sheetView workbookViewId="0">
      <selection activeCell="O19" sqref="O19"/>
    </sheetView>
  </sheetViews>
  <sheetFormatPr baseColWidth="10" defaultRowHeight="15" x14ac:dyDescent="0.25"/>
  <sheetData>
    <row r="1" spans="1:1" x14ac:dyDescent="0.25">
      <c r="A1" s="66" t="s">
        <v>296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J30" sqref="J30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159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136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62" t="s">
        <v>14</v>
      </c>
      <c r="B9" s="117" t="s">
        <v>15</v>
      </c>
      <c r="C9" s="95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65">
        <v>10</v>
      </c>
      <c r="B10" s="224" t="s">
        <v>137</v>
      </c>
      <c r="C10" s="114">
        <f>EN_0900_001!N$2</f>
        <v>112.52931553333677</v>
      </c>
      <c r="D10" s="176">
        <f>EN_0900_001!N$3</f>
        <v>1</v>
      </c>
      <c r="E10" s="116">
        <f>C10*D10</f>
        <v>112.52931553333677</v>
      </c>
      <c r="F10" s="45"/>
      <c r="G10" s="45"/>
      <c r="H10" s="45"/>
      <c r="I10" s="45"/>
      <c r="J10" s="45"/>
      <c r="K10" s="45"/>
      <c r="L10" s="45"/>
      <c r="M10" s="45"/>
      <c r="N10" s="45"/>
      <c r="O10" s="163"/>
    </row>
    <row r="11" spans="1:15" x14ac:dyDescent="0.25">
      <c r="A11" s="165">
        <v>20</v>
      </c>
      <c r="B11" s="224" t="s">
        <v>139</v>
      </c>
      <c r="C11" s="114">
        <f>EN_0900_002!N$2</f>
        <v>10.904564699673662</v>
      </c>
      <c r="D11" s="176">
        <f>EN_0900_002!N$3</f>
        <v>1</v>
      </c>
      <c r="E11" s="116">
        <f>C11*D11</f>
        <v>10.904564699673662</v>
      </c>
      <c r="F11" s="46"/>
      <c r="G11" s="46"/>
      <c r="H11" s="46"/>
      <c r="I11" s="46"/>
      <c r="J11" s="46"/>
      <c r="K11" s="46"/>
      <c r="L11" s="46"/>
      <c r="M11" s="46"/>
      <c r="N11" s="46"/>
      <c r="O11" s="166"/>
    </row>
    <row r="12" spans="1:15" x14ac:dyDescent="0.25">
      <c r="A12" s="165">
        <v>30</v>
      </c>
      <c r="B12" s="224" t="s">
        <v>138</v>
      </c>
      <c r="C12" s="114">
        <f>EN_0900_003!N$2</f>
        <v>8.5389646196590014</v>
      </c>
      <c r="D12" s="176">
        <f>EN_0900_003!N$3</f>
        <v>1</v>
      </c>
      <c r="E12" s="116">
        <f t="shared" ref="E12:E18" si="0">C12*D12</f>
        <v>8.5389646196590014</v>
      </c>
      <c r="F12" s="46"/>
      <c r="G12" s="46"/>
      <c r="H12" s="46"/>
      <c r="I12" s="46"/>
      <c r="J12" s="46"/>
      <c r="K12" s="46"/>
      <c r="L12" s="46"/>
      <c r="M12" s="46"/>
      <c r="N12" s="46"/>
      <c r="O12" s="166"/>
    </row>
    <row r="13" spans="1:15" x14ac:dyDescent="0.25">
      <c r="A13" s="165">
        <v>40</v>
      </c>
      <c r="B13" s="224" t="s">
        <v>212</v>
      </c>
      <c r="C13" s="114">
        <f>EN_0900_004!N$2</f>
        <v>23.956417471999998</v>
      </c>
      <c r="D13" s="176">
        <f>EN_0900_004!N$3</f>
        <v>1</v>
      </c>
      <c r="E13" s="116">
        <f>C13*D13</f>
        <v>23.956417471999998</v>
      </c>
      <c r="F13" s="46"/>
      <c r="G13" s="46"/>
      <c r="H13" s="46"/>
      <c r="I13" s="46"/>
      <c r="J13" s="46"/>
      <c r="K13" s="46"/>
      <c r="L13" s="46"/>
      <c r="M13" s="46"/>
      <c r="N13" s="46"/>
      <c r="O13" s="163"/>
    </row>
    <row r="14" spans="1:15" x14ac:dyDescent="0.25">
      <c r="A14" s="165">
        <v>50</v>
      </c>
      <c r="B14" s="224" t="s">
        <v>213</v>
      </c>
      <c r="C14" s="114">
        <f>EN_0900_005!N$2</f>
        <v>17.198412672</v>
      </c>
      <c r="D14" s="176">
        <f>EN_0900_005!N$3</f>
        <v>1</v>
      </c>
      <c r="E14" s="116">
        <f>C14*D14</f>
        <v>17.198412672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5">
        <v>60</v>
      </c>
      <c r="B15" s="224" t="s">
        <v>214</v>
      </c>
      <c r="C15" s="114">
        <f>EN_0900_006!N$2</f>
        <v>0.83337245000000004</v>
      </c>
      <c r="D15" s="176">
        <f>EN_0900_006!N$3</f>
        <v>4</v>
      </c>
      <c r="E15" s="116">
        <f>C15*D15</f>
        <v>3.3334898000000002</v>
      </c>
      <c r="F15" s="46"/>
      <c r="G15" s="46"/>
      <c r="H15" s="46"/>
      <c r="I15" s="46"/>
      <c r="J15" s="46"/>
      <c r="K15" s="46"/>
      <c r="L15" s="46"/>
      <c r="M15" s="46"/>
      <c r="N15" s="46"/>
      <c r="O15" s="163"/>
    </row>
    <row r="16" spans="1:15" x14ac:dyDescent="0.25">
      <c r="A16" s="165">
        <v>70</v>
      </c>
      <c r="B16" s="224" t="s">
        <v>215</v>
      </c>
      <c r="C16" s="114">
        <f>EN_0900_007!N$2</f>
        <v>0.806785325</v>
      </c>
      <c r="D16" s="176">
        <f>EN_0900_007!N$3</f>
        <v>4</v>
      </c>
      <c r="E16" s="116">
        <f>C16*D16</f>
        <v>3.2271413</v>
      </c>
      <c r="F16" s="46"/>
      <c r="G16" s="46"/>
      <c r="H16" s="46"/>
      <c r="I16" s="46"/>
      <c r="J16" s="46"/>
      <c r="K16" s="46"/>
      <c r="L16" s="46"/>
      <c r="M16" s="46"/>
      <c r="N16" s="46"/>
      <c r="O16" s="166"/>
    </row>
    <row r="17" spans="1:15" x14ac:dyDescent="0.25">
      <c r="A17" s="165">
        <v>80</v>
      </c>
      <c r="B17" s="224" t="s">
        <v>152</v>
      </c>
      <c r="C17" s="114">
        <f>EN_0900_008!N$2</f>
        <v>1.5521247499999999</v>
      </c>
      <c r="D17" s="176">
        <f>EN_0900_008!N$3</f>
        <v>1</v>
      </c>
      <c r="E17" s="116">
        <f t="shared" si="0"/>
        <v>1.5521247499999999</v>
      </c>
      <c r="F17" s="46"/>
      <c r="G17" s="46"/>
      <c r="H17" s="46"/>
      <c r="I17" s="46"/>
      <c r="J17" s="46"/>
      <c r="K17" s="46"/>
      <c r="L17" s="46"/>
      <c r="M17" s="46"/>
      <c r="N17" s="46"/>
      <c r="O17" s="166"/>
    </row>
    <row r="18" spans="1:15" x14ac:dyDescent="0.25">
      <c r="A18" s="165">
        <v>90</v>
      </c>
      <c r="B18" s="224" t="s">
        <v>245</v>
      </c>
      <c r="C18" s="114">
        <f>EN_0900_009!N$2</f>
        <v>1.5630151625000002</v>
      </c>
      <c r="D18" s="176">
        <f>EN_0900_009!N$3</f>
        <v>1</v>
      </c>
      <c r="E18" s="116">
        <f t="shared" si="0"/>
        <v>1.5630151625000002</v>
      </c>
      <c r="F18" s="46"/>
      <c r="G18" s="46"/>
      <c r="H18" s="46"/>
      <c r="I18" s="46"/>
      <c r="J18" s="46"/>
      <c r="K18" s="46"/>
      <c r="L18" s="46"/>
      <c r="M18" s="46"/>
      <c r="N18" s="46"/>
      <c r="O18" s="166"/>
    </row>
    <row r="19" spans="1:15" x14ac:dyDescent="0.25">
      <c r="A19" s="164"/>
      <c r="B19" s="45"/>
      <c r="C19" s="45"/>
      <c r="D19" s="99" t="s">
        <v>18</v>
      </c>
      <c r="E19" s="100">
        <f>SUM(E10:E18)</f>
        <v>182.80344600916939</v>
      </c>
      <c r="F19" s="46"/>
      <c r="G19" s="46"/>
      <c r="H19" s="46"/>
      <c r="I19" s="46"/>
      <c r="J19" s="46"/>
      <c r="K19" s="46"/>
      <c r="L19" s="46"/>
      <c r="M19" s="46"/>
      <c r="N19" s="46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19</v>
      </c>
      <c r="C21" s="95" t="s">
        <v>20</v>
      </c>
      <c r="D21" s="95" t="s">
        <v>21</v>
      </c>
      <c r="E21" s="95" t="s">
        <v>22</v>
      </c>
      <c r="F21" s="95" t="s">
        <v>23</v>
      </c>
      <c r="G21" s="95" t="s">
        <v>24</v>
      </c>
      <c r="H21" s="95" t="s">
        <v>25</v>
      </c>
      <c r="I21" s="95" t="s">
        <v>26</v>
      </c>
      <c r="J21" s="95" t="s">
        <v>27</v>
      </c>
      <c r="K21" s="95" t="s">
        <v>28</v>
      </c>
      <c r="L21" s="95" t="s">
        <v>29</v>
      </c>
      <c r="M21" s="95" t="s">
        <v>17</v>
      </c>
      <c r="N21" s="95" t="s">
        <v>18</v>
      </c>
      <c r="O21" s="163"/>
    </row>
    <row r="22" spans="1:15" s="17" customFormat="1" x14ac:dyDescent="0.25">
      <c r="A22" s="165">
        <v>20</v>
      </c>
      <c r="B22" s="113" t="s">
        <v>150</v>
      </c>
      <c r="C22" s="113" t="s">
        <v>142</v>
      </c>
      <c r="D22" s="114">
        <f>0.1*(E22^2*G22)^0.5</f>
        <v>38.183766184073569</v>
      </c>
      <c r="E22" s="113">
        <v>90</v>
      </c>
      <c r="F22" s="113" t="s">
        <v>30</v>
      </c>
      <c r="G22" s="113">
        <v>18</v>
      </c>
      <c r="H22" s="118" t="s">
        <v>30</v>
      </c>
      <c r="I22" s="119"/>
      <c r="J22" s="120"/>
      <c r="K22" s="118"/>
      <c r="L22" s="118"/>
      <c r="M22" s="121">
        <v>1</v>
      </c>
      <c r="N22" s="122">
        <f>IF(J22="",D22*M22,D22*J22*K22*L22*M22)</f>
        <v>38.183766184073569</v>
      </c>
      <c r="O22" s="167"/>
    </row>
    <row r="23" spans="1:15" x14ac:dyDescent="0.25">
      <c r="A23" s="165">
        <v>10</v>
      </c>
      <c r="B23" s="113" t="s">
        <v>150</v>
      </c>
      <c r="C23" s="113" t="s">
        <v>141</v>
      </c>
      <c r="D23" s="114">
        <f>0.1*(E23^2*G23)^0.5</f>
        <v>32</v>
      </c>
      <c r="E23" s="113">
        <v>80</v>
      </c>
      <c r="F23" s="113" t="s">
        <v>30</v>
      </c>
      <c r="G23" s="113">
        <v>16</v>
      </c>
      <c r="H23" s="118" t="s">
        <v>30</v>
      </c>
      <c r="I23" s="119"/>
      <c r="J23" s="120"/>
      <c r="K23" s="118"/>
      <c r="L23" s="118"/>
      <c r="M23" s="121">
        <v>1</v>
      </c>
      <c r="N23" s="122">
        <f>IF(J23="",D23*M23,D23*J23*K23*L23*M23)</f>
        <v>32</v>
      </c>
      <c r="O23" s="163"/>
    </row>
    <row r="24" spans="1:15" s="17" customFormat="1" x14ac:dyDescent="0.25">
      <c r="A24" s="165">
        <v>30</v>
      </c>
      <c r="B24" s="113" t="s">
        <v>143</v>
      </c>
      <c r="C24" s="115" t="s">
        <v>151</v>
      </c>
      <c r="D24" s="114">
        <v>10</v>
      </c>
      <c r="E24" s="113">
        <v>8.0000000000000002E-3</v>
      </c>
      <c r="F24" s="113" t="s">
        <v>145</v>
      </c>
      <c r="G24" s="113"/>
      <c r="H24" s="118"/>
      <c r="I24" s="119"/>
      <c r="J24" s="120"/>
      <c r="K24" s="118"/>
      <c r="L24" s="118"/>
      <c r="M24" s="121">
        <v>8.0000000000000002E-3</v>
      </c>
      <c r="N24" s="122">
        <f>IF(J24="",D24*M24,D24*J24*K24*L24*M24)</f>
        <v>0.08</v>
      </c>
      <c r="O24" s="167"/>
    </row>
    <row r="25" spans="1:15" s="17" customFormat="1" x14ac:dyDescent="0.25">
      <c r="A25" s="165">
        <v>40</v>
      </c>
      <c r="B25" s="113" t="s">
        <v>146</v>
      </c>
      <c r="C25" s="113" t="s">
        <v>147</v>
      </c>
      <c r="D25" s="114">
        <v>0.75</v>
      </c>
      <c r="E25" s="113">
        <v>0.06</v>
      </c>
      <c r="F25" s="113" t="s">
        <v>148</v>
      </c>
      <c r="G25" s="113"/>
      <c r="H25" s="118"/>
      <c r="I25" s="123"/>
      <c r="J25" s="120"/>
      <c r="K25" s="118"/>
      <c r="L25" s="124"/>
      <c r="M25" s="121">
        <v>0.06</v>
      </c>
      <c r="N25" s="122">
        <f>IF(J25="",D25*M25,D25*J25*K25*L25*M25)</f>
        <v>4.4999999999999998E-2</v>
      </c>
      <c r="O25" s="167"/>
    </row>
    <row r="26" spans="1:15" ht="30" x14ac:dyDescent="0.25">
      <c r="A26" s="165">
        <v>50</v>
      </c>
      <c r="B26" s="125" t="s">
        <v>149</v>
      </c>
      <c r="C26" s="113"/>
      <c r="D26" s="114">
        <v>110</v>
      </c>
      <c r="E26" s="113">
        <v>1</v>
      </c>
      <c r="F26" s="113" t="s">
        <v>35</v>
      </c>
      <c r="G26" s="113"/>
      <c r="H26" s="118"/>
      <c r="I26" s="123"/>
      <c r="J26" s="120"/>
      <c r="K26" s="118"/>
      <c r="L26" s="124"/>
      <c r="M26" s="121">
        <v>1</v>
      </c>
      <c r="N26" s="122">
        <f>IF(J26="",D26*M26,D26*J26*K26*L26*M26)</f>
        <v>110</v>
      </c>
      <c r="O26" s="163"/>
    </row>
    <row r="27" spans="1:15" x14ac:dyDescent="0.25">
      <c r="A27" s="16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5" t="s">
        <v>18</v>
      </c>
      <c r="N27" s="97">
        <f>SUM(N22:N26)</f>
        <v>180.30876618407356</v>
      </c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s="20" customFormat="1" x14ac:dyDescent="0.25">
      <c r="A29" s="162" t="s">
        <v>14</v>
      </c>
      <c r="B29" s="95" t="s">
        <v>31</v>
      </c>
      <c r="C29" s="95" t="s">
        <v>20</v>
      </c>
      <c r="D29" s="95" t="s">
        <v>21</v>
      </c>
      <c r="E29" s="95" t="s">
        <v>32</v>
      </c>
      <c r="F29" s="95" t="s">
        <v>17</v>
      </c>
      <c r="G29" s="95" t="s">
        <v>33</v>
      </c>
      <c r="H29" s="95" t="s">
        <v>34</v>
      </c>
      <c r="I29" s="95" t="s">
        <v>18</v>
      </c>
      <c r="J29" s="19"/>
      <c r="K29" s="19"/>
      <c r="L29" s="19"/>
      <c r="M29" s="19"/>
      <c r="N29" s="19"/>
      <c r="O29" s="169"/>
    </row>
    <row r="30" spans="1:15" s="20" customFormat="1" x14ac:dyDescent="0.25">
      <c r="A30" s="165">
        <v>10</v>
      </c>
      <c r="B30" s="115" t="s">
        <v>183</v>
      </c>
      <c r="C30" s="115" t="s">
        <v>184</v>
      </c>
      <c r="D30" s="114">
        <v>0.15</v>
      </c>
      <c r="E30" s="113" t="s">
        <v>45</v>
      </c>
      <c r="F30" s="113">
        <v>56.54</v>
      </c>
      <c r="G30" s="113"/>
      <c r="H30" s="113">
        <v>1</v>
      </c>
      <c r="I30" s="114">
        <f t="shared" ref="I30:I43" si="1">D30*F30*H30</f>
        <v>8.4809999999999999</v>
      </c>
      <c r="J30" s="111"/>
      <c r="K30" s="111"/>
      <c r="L30" s="111"/>
      <c r="M30" s="46"/>
      <c r="N30" s="46"/>
      <c r="O30" s="169"/>
    </row>
    <row r="31" spans="1:15" s="16" customFormat="1" x14ac:dyDescent="0.25">
      <c r="A31" s="165">
        <v>20</v>
      </c>
      <c r="B31" s="115" t="s">
        <v>185</v>
      </c>
      <c r="C31" s="115" t="s">
        <v>144</v>
      </c>
      <c r="D31" s="114">
        <v>5.25</v>
      </c>
      <c r="E31" s="113" t="s">
        <v>145</v>
      </c>
      <c r="F31" s="113">
        <v>8.0000000000000002E-3</v>
      </c>
      <c r="G31" s="113"/>
      <c r="H31" s="113">
        <v>1</v>
      </c>
      <c r="I31" s="114">
        <f t="shared" si="1"/>
        <v>4.2000000000000003E-2</v>
      </c>
      <c r="J31" s="111"/>
      <c r="K31" s="111"/>
      <c r="L31" s="111"/>
      <c r="M31" s="46"/>
      <c r="N31" s="46"/>
      <c r="O31" s="170"/>
    </row>
    <row r="32" spans="1:15" x14ac:dyDescent="0.25">
      <c r="A32" s="165">
        <v>30</v>
      </c>
      <c r="B32" s="150" t="s">
        <v>186</v>
      </c>
      <c r="C32" s="115" t="s">
        <v>187</v>
      </c>
      <c r="D32" s="114">
        <v>0.56000000000000005</v>
      </c>
      <c r="E32" s="113" t="s">
        <v>35</v>
      </c>
      <c r="F32" s="113">
        <v>2</v>
      </c>
      <c r="G32" s="113"/>
      <c r="H32" s="113">
        <v>1</v>
      </c>
      <c r="I32" s="114">
        <f t="shared" si="1"/>
        <v>1.1200000000000001</v>
      </c>
      <c r="J32" s="111"/>
      <c r="K32" s="111"/>
      <c r="L32" s="111"/>
      <c r="M32" s="45"/>
      <c r="N32" s="45"/>
      <c r="O32" s="163"/>
    </row>
    <row r="33" spans="1:15" x14ac:dyDescent="0.25">
      <c r="A33" s="165">
        <v>40</v>
      </c>
      <c r="B33" s="150" t="s">
        <v>188</v>
      </c>
      <c r="C33" s="115" t="s">
        <v>189</v>
      </c>
      <c r="D33" s="114">
        <v>0.19</v>
      </c>
      <c r="E33" s="113" t="s">
        <v>35</v>
      </c>
      <c r="F33" s="113">
        <v>1</v>
      </c>
      <c r="G33" s="113"/>
      <c r="H33" s="113">
        <v>1</v>
      </c>
      <c r="I33" s="114">
        <f t="shared" si="1"/>
        <v>0.19</v>
      </c>
      <c r="J33" s="111"/>
      <c r="K33" s="111"/>
      <c r="L33" s="111"/>
      <c r="M33" s="45"/>
      <c r="N33" s="45"/>
      <c r="O33" s="163"/>
    </row>
    <row r="34" spans="1:15" x14ac:dyDescent="0.25">
      <c r="A34" s="165">
        <v>50</v>
      </c>
      <c r="B34" s="115" t="s">
        <v>188</v>
      </c>
      <c r="C34" s="115" t="s">
        <v>190</v>
      </c>
      <c r="D34" s="114">
        <v>0.19</v>
      </c>
      <c r="E34" s="113" t="s">
        <v>35</v>
      </c>
      <c r="F34" s="113">
        <v>1</v>
      </c>
      <c r="G34" s="113"/>
      <c r="H34" s="113">
        <v>1</v>
      </c>
      <c r="I34" s="114">
        <f t="shared" si="1"/>
        <v>0.19</v>
      </c>
      <c r="J34" s="111"/>
      <c r="K34" s="111"/>
      <c r="L34" s="111"/>
      <c r="M34" s="45"/>
      <c r="N34" s="45"/>
      <c r="O34" s="163"/>
    </row>
    <row r="35" spans="1:15" x14ac:dyDescent="0.25">
      <c r="A35" s="165">
        <v>60</v>
      </c>
      <c r="B35" s="115" t="s">
        <v>188</v>
      </c>
      <c r="C35" s="115" t="s">
        <v>191</v>
      </c>
      <c r="D35" s="114">
        <v>0.19</v>
      </c>
      <c r="E35" s="113" t="s">
        <v>35</v>
      </c>
      <c r="F35" s="113">
        <v>2</v>
      </c>
      <c r="G35" s="113"/>
      <c r="H35" s="113">
        <v>1</v>
      </c>
      <c r="I35" s="114">
        <f t="shared" si="1"/>
        <v>0.38</v>
      </c>
      <c r="J35" s="111"/>
      <c r="K35" s="111"/>
      <c r="L35" s="111"/>
      <c r="M35" s="45"/>
      <c r="N35" s="45"/>
      <c r="O35" s="163"/>
    </row>
    <row r="36" spans="1:15" x14ac:dyDescent="0.25">
      <c r="A36" s="165">
        <v>70</v>
      </c>
      <c r="B36" s="115" t="s">
        <v>192</v>
      </c>
      <c r="C36" s="115" t="s">
        <v>193</v>
      </c>
      <c r="D36" s="114">
        <v>0.5</v>
      </c>
      <c r="E36" s="113" t="s">
        <v>35</v>
      </c>
      <c r="F36" s="113">
        <v>4</v>
      </c>
      <c r="G36" s="113"/>
      <c r="H36" s="113">
        <v>1</v>
      </c>
      <c r="I36" s="114">
        <f t="shared" si="1"/>
        <v>2</v>
      </c>
      <c r="J36" s="111"/>
      <c r="K36" s="111"/>
      <c r="L36" s="111"/>
      <c r="M36" s="45"/>
      <c r="N36" s="45"/>
      <c r="O36" s="163"/>
    </row>
    <row r="37" spans="1:15" x14ac:dyDescent="0.25">
      <c r="A37" s="165">
        <v>80</v>
      </c>
      <c r="B37" s="115" t="s">
        <v>194</v>
      </c>
      <c r="C37" s="115" t="s">
        <v>193</v>
      </c>
      <c r="D37" s="114">
        <v>0.25</v>
      </c>
      <c r="E37" s="113" t="s">
        <v>35</v>
      </c>
      <c r="F37" s="113">
        <v>4</v>
      </c>
      <c r="G37" s="113"/>
      <c r="H37" s="113">
        <v>1</v>
      </c>
      <c r="I37" s="114">
        <f t="shared" si="1"/>
        <v>1</v>
      </c>
      <c r="J37" s="111"/>
      <c r="K37" s="111"/>
      <c r="L37" s="111"/>
      <c r="M37" s="45"/>
      <c r="N37" s="45"/>
      <c r="O37" s="163"/>
    </row>
    <row r="38" spans="1:15" x14ac:dyDescent="0.25">
      <c r="A38" s="165">
        <v>90</v>
      </c>
      <c r="B38" s="115" t="s">
        <v>195</v>
      </c>
      <c r="C38" s="115" t="s">
        <v>196</v>
      </c>
      <c r="D38" s="114">
        <v>0.38</v>
      </c>
      <c r="E38" s="113" t="s">
        <v>35</v>
      </c>
      <c r="F38" s="113">
        <v>2</v>
      </c>
      <c r="G38" s="113"/>
      <c r="H38" s="113">
        <v>1</v>
      </c>
      <c r="I38" s="114">
        <f t="shared" si="1"/>
        <v>0.76</v>
      </c>
      <c r="J38" s="111"/>
      <c r="K38" s="155"/>
      <c r="L38" s="155"/>
      <c r="M38" s="47"/>
      <c r="N38" s="47"/>
      <c r="O38" s="163"/>
    </row>
    <row r="39" spans="1:15" x14ac:dyDescent="0.25">
      <c r="A39" s="165">
        <v>100</v>
      </c>
      <c r="B39" s="115" t="s">
        <v>197</v>
      </c>
      <c r="C39" s="115" t="s">
        <v>198</v>
      </c>
      <c r="D39" s="114">
        <v>0.06</v>
      </c>
      <c r="E39" s="113" t="s">
        <v>35</v>
      </c>
      <c r="F39" s="113">
        <v>4</v>
      </c>
      <c r="G39" s="113"/>
      <c r="H39" s="113">
        <v>1</v>
      </c>
      <c r="I39" s="114">
        <f t="shared" si="1"/>
        <v>0.24</v>
      </c>
      <c r="J39" s="111"/>
      <c r="K39" s="111"/>
      <c r="L39" s="111"/>
      <c r="M39" s="47"/>
      <c r="N39" s="47"/>
      <c r="O39" s="163"/>
    </row>
    <row r="40" spans="1:15" s="16" customFormat="1" x14ac:dyDescent="0.25">
      <c r="A40" s="165">
        <v>110</v>
      </c>
      <c r="B40" s="115" t="s">
        <v>199</v>
      </c>
      <c r="C40" s="115" t="s">
        <v>200</v>
      </c>
      <c r="D40" s="114">
        <v>0.75</v>
      </c>
      <c r="E40" s="113" t="s">
        <v>35</v>
      </c>
      <c r="F40" s="113">
        <v>2</v>
      </c>
      <c r="G40" s="113"/>
      <c r="H40" s="113">
        <v>1</v>
      </c>
      <c r="I40" s="114">
        <f t="shared" si="1"/>
        <v>1.5</v>
      </c>
      <c r="J40" s="111"/>
      <c r="K40" s="111"/>
      <c r="L40" s="155"/>
      <c r="M40" s="46"/>
      <c r="N40" s="46"/>
      <c r="O40" s="170"/>
    </row>
    <row r="41" spans="1:15" x14ac:dyDescent="0.25">
      <c r="A41" s="165">
        <v>120</v>
      </c>
      <c r="B41" s="115" t="s">
        <v>201</v>
      </c>
      <c r="C41" s="115" t="s">
        <v>200</v>
      </c>
      <c r="D41" s="114">
        <v>0.25</v>
      </c>
      <c r="E41" s="113" t="s">
        <v>35</v>
      </c>
      <c r="F41" s="113">
        <v>2</v>
      </c>
      <c r="G41" s="113"/>
      <c r="H41" s="113">
        <v>1</v>
      </c>
      <c r="I41" s="114">
        <f t="shared" si="1"/>
        <v>0.5</v>
      </c>
      <c r="J41" s="111"/>
      <c r="K41" s="111"/>
      <c r="L41" s="111"/>
      <c r="M41" s="47"/>
      <c r="N41" s="47"/>
      <c r="O41" s="163"/>
    </row>
    <row r="42" spans="1:15" x14ac:dyDescent="0.25">
      <c r="A42" s="165">
        <v>130</v>
      </c>
      <c r="B42" s="115" t="s">
        <v>199</v>
      </c>
      <c r="C42" s="115" t="s">
        <v>202</v>
      </c>
      <c r="D42" s="114">
        <v>0.75</v>
      </c>
      <c r="E42" s="113" t="s">
        <v>35</v>
      </c>
      <c r="F42" s="113">
        <v>2</v>
      </c>
      <c r="G42" s="113"/>
      <c r="H42" s="113">
        <v>1</v>
      </c>
      <c r="I42" s="114">
        <f t="shared" si="1"/>
        <v>1.5</v>
      </c>
      <c r="J42" s="111"/>
      <c r="K42" s="111"/>
      <c r="L42" s="111"/>
      <c r="M42" s="45"/>
      <c r="N42" s="45"/>
      <c r="O42" s="163"/>
    </row>
    <row r="43" spans="1:15" x14ac:dyDescent="0.25">
      <c r="A43" s="165">
        <v>140</v>
      </c>
      <c r="B43" s="115" t="s">
        <v>201</v>
      </c>
      <c r="C43" s="115" t="s">
        <v>202</v>
      </c>
      <c r="D43" s="114">
        <v>0.25</v>
      </c>
      <c r="E43" s="113" t="s">
        <v>35</v>
      </c>
      <c r="F43" s="113">
        <v>2</v>
      </c>
      <c r="G43" s="113"/>
      <c r="H43" s="113">
        <v>1</v>
      </c>
      <c r="I43" s="114">
        <f t="shared" si="1"/>
        <v>0.5</v>
      </c>
      <c r="J43" s="111"/>
      <c r="K43" s="111"/>
      <c r="L43" s="111"/>
      <c r="M43" s="45"/>
      <c r="N43" s="45"/>
      <c r="O43" s="163"/>
    </row>
    <row r="44" spans="1:15" x14ac:dyDescent="0.25">
      <c r="A44" s="168"/>
      <c r="B44" s="19"/>
      <c r="C44" s="19"/>
      <c r="D44" s="19"/>
      <c r="E44" s="19"/>
      <c r="F44" s="19"/>
      <c r="G44" s="19"/>
      <c r="H44" s="96" t="s">
        <v>18</v>
      </c>
      <c r="I44" s="97">
        <f>SUM(I30:I43)</f>
        <v>18.402999999999999</v>
      </c>
      <c r="J44" s="45"/>
      <c r="K44" s="45"/>
      <c r="L44" s="45"/>
      <c r="M44" s="45"/>
      <c r="N44" s="45"/>
      <c r="O44" s="163"/>
    </row>
    <row r="45" spans="1:15" x14ac:dyDescent="0.25">
      <c r="A45" s="16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63"/>
    </row>
    <row r="46" spans="1:15" x14ac:dyDescent="0.25">
      <c r="A46" s="162" t="s">
        <v>14</v>
      </c>
      <c r="B46" s="95" t="s">
        <v>36</v>
      </c>
      <c r="C46" s="95" t="s">
        <v>20</v>
      </c>
      <c r="D46" s="95" t="s">
        <v>21</v>
      </c>
      <c r="E46" s="95" t="s">
        <v>22</v>
      </c>
      <c r="F46" s="95" t="s">
        <v>23</v>
      </c>
      <c r="G46" s="95" t="s">
        <v>24</v>
      </c>
      <c r="H46" s="95" t="s">
        <v>25</v>
      </c>
      <c r="I46" s="95" t="s">
        <v>17</v>
      </c>
      <c r="J46" s="95" t="s">
        <v>18</v>
      </c>
      <c r="K46" s="45"/>
      <c r="L46" s="45"/>
      <c r="M46" s="45"/>
      <c r="N46" s="45"/>
      <c r="O46" s="163"/>
    </row>
    <row r="47" spans="1:15" x14ac:dyDescent="0.25">
      <c r="A47" s="165">
        <v>10</v>
      </c>
      <c r="B47" s="113" t="s">
        <v>203</v>
      </c>
      <c r="C47" s="113" t="s">
        <v>204</v>
      </c>
      <c r="D47" s="156">
        <f>0.8/105154*E47*E47*G47*SQRT(G47)+(0.003*EXP(0.319*E47))</f>
        <v>0.5252420080501925</v>
      </c>
      <c r="E47" s="113">
        <v>12</v>
      </c>
      <c r="F47" s="157" t="s">
        <v>30</v>
      </c>
      <c r="G47" s="113">
        <v>50</v>
      </c>
      <c r="H47" s="115" t="s">
        <v>30</v>
      </c>
      <c r="I47" s="158">
        <v>2</v>
      </c>
      <c r="J47" s="114">
        <f t="shared" ref="J47:J55" si="2">D47*I47</f>
        <v>1.050484016100385</v>
      </c>
      <c r="K47" s="111"/>
      <c r="L47" s="111"/>
      <c r="M47" s="111"/>
      <c r="N47" s="45"/>
      <c r="O47" s="163"/>
    </row>
    <row r="48" spans="1:15" x14ac:dyDescent="0.25">
      <c r="A48" s="165">
        <v>20</v>
      </c>
      <c r="B48" s="113" t="s">
        <v>205</v>
      </c>
      <c r="C48" s="113" t="s">
        <v>204</v>
      </c>
      <c r="D48" s="156">
        <f>0.009*EXP(0.2*E48)</f>
        <v>9.920858742577443E-2</v>
      </c>
      <c r="E48" s="113">
        <v>12</v>
      </c>
      <c r="F48" s="157" t="s">
        <v>30</v>
      </c>
      <c r="G48" s="113"/>
      <c r="H48" s="115"/>
      <c r="I48" s="158">
        <v>2</v>
      </c>
      <c r="J48" s="114">
        <f t="shared" si="2"/>
        <v>0.19841717485154886</v>
      </c>
      <c r="K48" s="111"/>
      <c r="L48" s="111"/>
      <c r="M48" s="111"/>
      <c r="N48" s="45"/>
      <c r="O48" s="163"/>
    </row>
    <row r="49" spans="1:15" x14ac:dyDescent="0.25">
      <c r="A49" s="165">
        <v>30</v>
      </c>
      <c r="B49" s="113" t="s">
        <v>203</v>
      </c>
      <c r="C49" s="113" t="s">
        <v>206</v>
      </c>
      <c r="D49" s="156">
        <f>0.8/105154*E49*E49*G49*SQRT(G49)+(0.003*EXP(0.319*E49))</f>
        <v>0.11850487334396681</v>
      </c>
      <c r="E49" s="113">
        <v>8</v>
      </c>
      <c r="F49" s="157" t="s">
        <v>30</v>
      </c>
      <c r="G49" s="113">
        <v>30</v>
      </c>
      <c r="H49" s="115" t="s">
        <v>30</v>
      </c>
      <c r="I49" s="158">
        <v>2</v>
      </c>
      <c r="J49" s="114">
        <f t="shared" si="2"/>
        <v>0.23700974668793362</v>
      </c>
      <c r="K49" s="111"/>
      <c r="L49" s="155"/>
      <c r="M49" s="155"/>
      <c r="N49" s="45"/>
      <c r="O49" s="163"/>
    </row>
    <row r="50" spans="1:15" x14ac:dyDescent="0.25">
      <c r="A50" s="165">
        <v>40</v>
      </c>
      <c r="B50" s="113" t="s">
        <v>205</v>
      </c>
      <c r="C50" s="113" t="s">
        <v>206</v>
      </c>
      <c r="D50" s="156">
        <f>0.009*EXP(0.2*E50)</f>
        <v>4.4577291819556032E-2</v>
      </c>
      <c r="E50" s="113">
        <v>8</v>
      </c>
      <c r="F50" s="157" t="s">
        <v>30</v>
      </c>
      <c r="G50" s="113"/>
      <c r="H50" s="115"/>
      <c r="I50" s="158">
        <v>2</v>
      </c>
      <c r="J50" s="114">
        <f t="shared" si="2"/>
        <v>8.9154583639112064E-2</v>
      </c>
      <c r="K50" s="111"/>
      <c r="L50" s="111"/>
      <c r="M50" s="111"/>
      <c r="N50" s="45"/>
      <c r="O50" s="163"/>
    </row>
    <row r="51" spans="1:15" x14ac:dyDescent="0.25">
      <c r="A51" s="165">
        <v>50</v>
      </c>
      <c r="B51" s="113" t="s">
        <v>207</v>
      </c>
      <c r="C51" s="113" t="s">
        <v>208</v>
      </c>
      <c r="D51" s="156">
        <v>0.01</v>
      </c>
      <c r="E51" s="113"/>
      <c r="F51" s="157" t="s">
        <v>35</v>
      </c>
      <c r="G51" s="113"/>
      <c r="H51" s="115"/>
      <c r="I51" s="158">
        <v>4</v>
      </c>
      <c r="J51" s="114">
        <f t="shared" si="2"/>
        <v>0.04</v>
      </c>
      <c r="K51" s="111"/>
      <c r="L51" s="111"/>
      <c r="M51" s="111"/>
      <c r="N51" s="45"/>
      <c r="O51" s="163"/>
    </row>
    <row r="52" spans="1:15" x14ac:dyDescent="0.25">
      <c r="A52" s="165">
        <v>60</v>
      </c>
      <c r="B52" s="113" t="s">
        <v>203</v>
      </c>
      <c r="C52" s="113" t="s">
        <v>209</v>
      </c>
      <c r="D52" s="156">
        <f>0.8/105154*E52*E52*G52*SQRT(G52)+(0.003*EXP(0.319*E52))</f>
        <v>0.11850487334396681</v>
      </c>
      <c r="E52" s="113">
        <v>8</v>
      </c>
      <c r="F52" s="157" t="s">
        <v>30</v>
      </c>
      <c r="G52" s="113">
        <v>30</v>
      </c>
      <c r="H52" s="115" t="s">
        <v>30</v>
      </c>
      <c r="I52" s="158">
        <v>2</v>
      </c>
      <c r="J52" s="114">
        <f t="shared" si="2"/>
        <v>0.23700974668793362</v>
      </c>
      <c r="K52" s="111"/>
      <c r="L52" s="111"/>
      <c r="M52" s="111"/>
      <c r="N52" s="45"/>
      <c r="O52" s="163"/>
    </row>
    <row r="53" spans="1:15" x14ac:dyDescent="0.25">
      <c r="A53" s="165">
        <v>70</v>
      </c>
      <c r="B53" s="113" t="s">
        <v>205</v>
      </c>
      <c r="C53" s="113" t="s">
        <v>209</v>
      </c>
      <c r="D53" s="156">
        <f>0.009*EXP(0.2*E53)</f>
        <v>4.4577291819556032E-2</v>
      </c>
      <c r="E53" s="113">
        <v>8</v>
      </c>
      <c r="F53" s="157" t="s">
        <v>30</v>
      </c>
      <c r="G53" s="113"/>
      <c r="H53" s="115"/>
      <c r="I53" s="158">
        <v>2</v>
      </c>
      <c r="J53" s="114">
        <f t="shared" si="2"/>
        <v>8.9154583639112064E-2</v>
      </c>
      <c r="K53" s="111"/>
      <c r="L53" s="111"/>
      <c r="M53" s="111"/>
      <c r="N53" s="45"/>
      <c r="O53" s="163"/>
    </row>
    <row r="54" spans="1:15" x14ac:dyDescent="0.25">
      <c r="A54" s="165">
        <v>80</v>
      </c>
      <c r="B54" s="113" t="s">
        <v>203</v>
      </c>
      <c r="C54" s="113" t="s">
        <v>210</v>
      </c>
      <c r="D54" s="156">
        <f>0.8/105154*E54*E54*G54*SQRT(G54)+(0.003*EXP(0.319*E54))</f>
        <v>0.11850487334396681</v>
      </c>
      <c r="E54" s="113">
        <v>8</v>
      </c>
      <c r="F54" s="157" t="s">
        <v>30</v>
      </c>
      <c r="G54" s="113">
        <v>30</v>
      </c>
      <c r="H54" s="115" t="s">
        <v>30</v>
      </c>
      <c r="I54" s="158">
        <v>2</v>
      </c>
      <c r="J54" s="114">
        <f t="shared" si="2"/>
        <v>0.23700974668793362</v>
      </c>
      <c r="K54" s="111"/>
      <c r="L54" s="111"/>
      <c r="M54" s="111"/>
      <c r="N54" s="45"/>
      <c r="O54" s="163"/>
    </row>
    <row r="55" spans="1:15" x14ac:dyDescent="0.25">
      <c r="A55" s="165">
        <v>90</v>
      </c>
      <c r="B55" s="113" t="s">
        <v>205</v>
      </c>
      <c r="C55" s="113" t="s">
        <v>210</v>
      </c>
      <c r="D55" s="156">
        <f>0.009*EXP(0.2*E55)</f>
        <v>4.4577291819556032E-2</v>
      </c>
      <c r="E55" s="113">
        <v>8</v>
      </c>
      <c r="F55" s="157" t="s">
        <v>30</v>
      </c>
      <c r="G55" s="113"/>
      <c r="H55" s="115"/>
      <c r="I55" s="158">
        <v>2</v>
      </c>
      <c r="J55" s="114">
        <f t="shared" si="2"/>
        <v>8.9154583639112064E-2</v>
      </c>
      <c r="K55" s="155"/>
      <c r="L55" s="111"/>
      <c r="M55" s="111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SUM(J47:J55)</f>
        <v>2.2673941819330707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95" t="s">
        <v>39</v>
      </c>
      <c r="I58" s="95" t="s">
        <v>18</v>
      </c>
      <c r="J58" s="19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60">
        <v>1</v>
      </c>
      <c r="I59" s="61">
        <f>D59*F59/G59*H59</f>
        <v>2.6666666666666665</v>
      </c>
      <c r="J59" s="19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19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L34" sqref="L3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25">
      <c r="A2" s="101" t="s">
        <v>0</v>
      </c>
      <c r="B2" s="126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EN_0900_001_m+EN_0900_001_p+EN_0900_001_f</f>
        <v>112.52931553333677</v>
      </c>
      <c r="O2" s="51"/>
    </row>
    <row r="3" spans="1:15" x14ac:dyDescent="0.25">
      <c r="A3" s="101" t="s">
        <v>3</v>
      </c>
      <c r="B3" s="126" t="s">
        <v>134</v>
      </c>
      <c r="C3" s="45"/>
      <c r="D3" s="101" t="s">
        <v>6</v>
      </c>
      <c r="E3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51"/>
    </row>
    <row r="4" spans="1:15" x14ac:dyDescent="0.25">
      <c r="A4" s="101" t="s">
        <v>5</v>
      </c>
      <c r="B4" s="66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51"/>
    </row>
    <row r="5" spans="1:15" x14ac:dyDescent="0.25">
      <c r="A5" s="101" t="s">
        <v>15</v>
      </c>
      <c r="B5" s="111" t="s">
        <v>137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112.52931553333677</v>
      </c>
      <c r="O5" s="51"/>
    </row>
    <row r="6" spans="1:15" x14ac:dyDescent="0.25">
      <c r="A6" s="101" t="s">
        <v>7</v>
      </c>
      <c r="B6" s="127" t="s">
        <v>158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51"/>
    </row>
    <row r="7" spans="1:15" x14ac:dyDescent="0.25">
      <c r="A7" s="101" t="s">
        <v>10</v>
      </c>
      <c r="B7" s="126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1"/>
    </row>
    <row r="8" spans="1:15" x14ac:dyDescent="0.25">
      <c r="A8" s="101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1"/>
    </row>
    <row r="9" spans="1:15" x14ac:dyDescent="0.25">
      <c r="A9" s="6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51"/>
    </row>
    <row r="10" spans="1:15" x14ac:dyDescent="0.25">
      <c r="A10" s="10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51"/>
    </row>
    <row r="11" spans="1:15" s="17" customFormat="1" x14ac:dyDescent="0.25">
      <c r="A11" s="138">
        <v>10</v>
      </c>
      <c r="B11" s="139" t="s">
        <v>154</v>
      </c>
      <c r="C11" s="139"/>
      <c r="D11" s="140">
        <v>4.2</v>
      </c>
      <c r="E11" s="141">
        <f>J11*K11*L11</f>
        <v>1.905804558171124</v>
      </c>
      <c r="F11" s="139" t="s">
        <v>155</v>
      </c>
      <c r="G11" s="139"/>
      <c r="H11" s="142"/>
      <c r="I11" s="143" t="s">
        <v>156</v>
      </c>
      <c r="J11" s="143">
        <f>PI()*51*51/1000000</f>
        <v>8.171282491987052E-3</v>
      </c>
      <c r="K11" s="144">
        <v>8.5999999999999993E-2</v>
      </c>
      <c r="L11" s="145">
        <v>2712</v>
      </c>
      <c r="M11" s="145">
        <v>1</v>
      </c>
      <c r="N11" s="140">
        <f>D11*J11*K11*L11*M11</f>
        <v>8.0043791443187207</v>
      </c>
      <c r="O11" s="54"/>
    </row>
    <row r="12" spans="1:15" s="17" customFormat="1" x14ac:dyDescent="0.25">
      <c r="A12" s="138">
        <v>20</v>
      </c>
      <c r="B12" s="139" t="s">
        <v>154</v>
      </c>
      <c r="C12" s="139"/>
      <c r="D12" s="140">
        <v>4.2</v>
      </c>
      <c r="E12" s="141">
        <f>J12*K12*L12</f>
        <v>1.3961126414509397</v>
      </c>
      <c r="F12" s="139" t="s">
        <v>155</v>
      </c>
      <c r="G12" s="139"/>
      <c r="H12" s="142"/>
      <c r="I12" s="143" t="s">
        <v>156</v>
      </c>
      <c r="J12" s="143">
        <f>PI()*51*51/1000000</f>
        <v>8.171282491987052E-3</v>
      </c>
      <c r="K12" s="144">
        <v>6.3E-2</v>
      </c>
      <c r="L12" s="145">
        <v>2712</v>
      </c>
      <c r="M12" s="145">
        <v>1</v>
      </c>
      <c r="N12" s="140">
        <f>D12*J12*K12*L12*M12</f>
        <v>5.8636730940939472</v>
      </c>
      <c r="O12" s="54"/>
    </row>
    <row r="13" spans="1:15" s="17" customFormat="1" x14ac:dyDescent="0.25">
      <c r="A13" s="138">
        <v>30</v>
      </c>
      <c r="B13" s="139" t="s">
        <v>154</v>
      </c>
      <c r="C13" s="139"/>
      <c r="D13" s="140">
        <v>4.2</v>
      </c>
      <c r="E13" s="141">
        <f>J13*K13*L13</f>
        <v>1.7728414494615108</v>
      </c>
      <c r="F13" s="139" t="s">
        <v>155</v>
      </c>
      <c r="G13" s="139"/>
      <c r="H13" s="142"/>
      <c r="I13" s="146" t="s">
        <v>156</v>
      </c>
      <c r="J13" s="143">
        <f>PI()*51*51/1000000</f>
        <v>8.171282491987052E-3</v>
      </c>
      <c r="K13" s="144">
        <v>0.08</v>
      </c>
      <c r="L13" s="145">
        <v>2712</v>
      </c>
      <c r="M13" s="145">
        <v>1</v>
      </c>
      <c r="N13" s="140">
        <f>D13*J13*K13*L13*M13</f>
        <v>7.4459340877383466</v>
      </c>
      <c r="O13" s="54"/>
    </row>
    <row r="14" spans="1:15" s="17" customFormat="1" x14ac:dyDescent="0.25">
      <c r="A14" s="138">
        <v>40</v>
      </c>
      <c r="B14" s="139" t="s">
        <v>157</v>
      </c>
      <c r="C14" s="139"/>
      <c r="D14" s="140">
        <v>0.05</v>
      </c>
      <c r="E14" s="139"/>
      <c r="F14" s="139" t="s">
        <v>35</v>
      </c>
      <c r="G14" s="139"/>
      <c r="H14" s="142"/>
      <c r="I14" s="146"/>
      <c r="J14" s="147"/>
      <c r="K14" s="144"/>
      <c r="L14" s="145"/>
      <c r="M14" s="145">
        <v>2</v>
      </c>
      <c r="N14" s="140">
        <f>M14*D14</f>
        <v>0.1</v>
      </c>
      <c r="O14" s="54"/>
    </row>
    <row r="15" spans="1:15" s="17" customFormat="1" x14ac:dyDescent="0.25">
      <c r="A15" s="128"/>
      <c r="B15" s="129"/>
      <c r="C15" s="130"/>
      <c r="D15" s="131"/>
      <c r="E15" s="130"/>
      <c r="F15" s="130"/>
      <c r="G15" s="130"/>
      <c r="H15" s="132"/>
      <c r="I15" s="133"/>
      <c r="J15" s="134"/>
      <c r="K15" s="135"/>
      <c r="L15" s="136"/>
      <c r="M15" s="18"/>
      <c r="N15" s="137"/>
      <c r="O15" s="54"/>
    </row>
    <row r="16" spans="1:15" x14ac:dyDescent="0.25">
      <c r="A16" s="5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4" t="s">
        <v>18</v>
      </c>
      <c r="N16" s="105">
        <f>SUM(N11:N11)</f>
        <v>8.0043791443187207</v>
      </c>
      <c r="O16" s="51"/>
    </row>
    <row r="17" spans="1:15" x14ac:dyDescent="0.25">
      <c r="A17" s="5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</row>
    <row r="18" spans="1:15" x14ac:dyDescent="0.25">
      <c r="A18" s="109" t="s">
        <v>14</v>
      </c>
      <c r="B18" s="108" t="s">
        <v>31</v>
      </c>
      <c r="C18" s="108" t="s">
        <v>20</v>
      </c>
      <c r="D18" s="108" t="s">
        <v>21</v>
      </c>
      <c r="E18" s="108" t="s">
        <v>32</v>
      </c>
      <c r="F18" s="108" t="s">
        <v>17</v>
      </c>
      <c r="G18" s="108" t="s">
        <v>33</v>
      </c>
      <c r="H18" s="108" t="s">
        <v>34</v>
      </c>
      <c r="I18" s="108" t="s">
        <v>18</v>
      </c>
      <c r="J18" s="19"/>
      <c r="K18" s="19"/>
      <c r="L18" s="19"/>
      <c r="M18" s="19"/>
      <c r="N18" s="19"/>
      <c r="O18" s="51"/>
    </row>
    <row r="19" spans="1:15" s="20" customFormat="1" x14ac:dyDescent="0.25">
      <c r="A19" s="138">
        <v>10</v>
      </c>
      <c r="B19" s="148" t="s">
        <v>43</v>
      </c>
      <c r="C19" s="139" t="s">
        <v>160</v>
      </c>
      <c r="D19" s="140">
        <v>1.3</v>
      </c>
      <c r="E19" s="139" t="s">
        <v>35</v>
      </c>
      <c r="F19" s="139">
        <v>1</v>
      </c>
      <c r="G19" s="139"/>
      <c r="H19" s="139">
        <v>1</v>
      </c>
      <c r="I19" s="149">
        <f t="shared" ref="I19:I32" si="0">H19*F19*D19</f>
        <v>1.3</v>
      </c>
      <c r="J19" s="47"/>
      <c r="K19" s="47"/>
      <c r="L19" s="47"/>
      <c r="M19" s="47"/>
      <c r="N19" s="47"/>
      <c r="O19" s="56"/>
    </row>
    <row r="20" spans="1:15" s="20" customFormat="1" x14ac:dyDescent="0.25">
      <c r="A20" s="138">
        <v>20</v>
      </c>
      <c r="B20" s="148" t="s">
        <v>161</v>
      </c>
      <c r="C20" s="139" t="s">
        <v>161</v>
      </c>
      <c r="D20" s="140">
        <v>0.04</v>
      </c>
      <c r="E20" s="139" t="s">
        <v>162</v>
      </c>
      <c r="F20" s="139">
        <v>623</v>
      </c>
      <c r="G20" s="139" t="s">
        <v>163</v>
      </c>
      <c r="H20" s="139">
        <v>1</v>
      </c>
      <c r="I20" s="149">
        <f t="shared" si="0"/>
        <v>24.92</v>
      </c>
      <c r="J20" s="47"/>
      <c r="K20" s="47"/>
      <c r="L20" s="47"/>
      <c r="M20" s="47"/>
      <c r="N20" s="47"/>
      <c r="O20" s="56"/>
    </row>
    <row r="21" spans="1:15" s="20" customFormat="1" x14ac:dyDescent="0.25">
      <c r="A21" s="138">
        <v>30</v>
      </c>
      <c r="B21" s="148" t="s">
        <v>164</v>
      </c>
      <c r="C21" s="139" t="s">
        <v>165</v>
      </c>
      <c r="D21" s="140">
        <v>0.35</v>
      </c>
      <c r="E21" s="139" t="s">
        <v>166</v>
      </c>
      <c r="F21" s="139">
        <v>24</v>
      </c>
      <c r="G21" s="139"/>
      <c r="H21" s="139">
        <v>1</v>
      </c>
      <c r="I21" s="149">
        <f t="shared" si="0"/>
        <v>8.3999999999999986</v>
      </c>
      <c r="J21" s="47"/>
      <c r="K21" s="47"/>
      <c r="L21" s="47"/>
      <c r="M21" s="47"/>
      <c r="N21" s="47"/>
      <c r="O21" s="56"/>
    </row>
    <row r="22" spans="1:15" s="20" customFormat="1" x14ac:dyDescent="0.25">
      <c r="A22" s="138">
        <v>40</v>
      </c>
      <c r="B22" s="148" t="s">
        <v>164</v>
      </c>
      <c r="C22" s="139" t="s">
        <v>167</v>
      </c>
      <c r="D22" s="140">
        <v>0.35</v>
      </c>
      <c r="E22" s="139" t="s">
        <v>166</v>
      </c>
      <c r="F22" s="139">
        <v>3</v>
      </c>
      <c r="G22" s="139"/>
      <c r="H22" s="139">
        <v>1</v>
      </c>
      <c r="I22" s="149">
        <f t="shared" si="0"/>
        <v>1.0499999999999998</v>
      </c>
      <c r="J22" s="47"/>
      <c r="K22" s="47"/>
      <c r="L22" s="47"/>
      <c r="M22" s="47"/>
      <c r="N22" s="47"/>
      <c r="O22" s="56"/>
    </row>
    <row r="23" spans="1:15" s="20" customFormat="1" x14ac:dyDescent="0.25">
      <c r="A23" s="138">
        <v>50</v>
      </c>
      <c r="B23" s="148" t="s">
        <v>43</v>
      </c>
      <c r="C23" s="139" t="s">
        <v>160</v>
      </c>
      <c r="D23" s="140">
        <v>1.3</v>
      </c>
      <c r="E23" s="139" t="s">
        <v>35</v>
      </c>
      <c r="F23" s="139">
        <v>1</v>
      </c>
      <c r="G23" s="139"/>
      <c r="H23" s="139">
        <v>1</v>
      </c>
      <c r="I23" s="149">
        <f t="shared" si="0"/>
        <v>1.3</v>
      </c>
      <c r="J23" s="47"/>
      <c r="K23" s="47"/>
      <c r="L23" s="47"/>
      <c r="M23" s="47"/>
      <c r="N23" s="47"/>
      <c r="O23" s="56"/>
    </row>
    <row r="24" spans="1:15" s="20" customFormat="1" x14ac:dyDescent="0.25">
      <c r="A24" s="138">
        <v>60</v>
      </c>
      <c r="B24" s="148" t="s">
        <v>161</v>
      </c>
      <c r="C24" s="139" t="s">
        <v>161</v>
      </c>
      <c r="D24" s="140">
        <v>0.04</v>
      </c>
      <c r="E24" s="139" t="s">
        <v>162</v>
      </c>
      <c r="F24" s="139">
        <v>426</v>
      </c>
      <c r="G24" s="139" t="s">
        <v>163</v>
      </c>
      <c r="H24" s="139">
        <v>1</v>
      </c>
      <c r="I24" s="149">
        <f t="shared" si="0"/>
        <v>17.04</v>
      </c>
      <c r="J24" s="47"/>
      <c r="K24" s="47"/>
      <c r="L24" s="47"/>
      <c r="M24" s="47"/>
      <c r="N24" s="47"/>
      <c r="O24" s="56"/>
    </row>
    <row r="25" spans="1:15" s="20" customFormat="1" x14ac:dyDescent="0.25">
      <c r="A25" s="138">
        <v>70</v>
      </c>
      <c r="B25" s="150" t="s">
        <v>168</v>
      </c>
      <c r="C25" s="139" t="s">
        <v>169</v>
      </c>
      <c r="D25" s="140">
        <v>0.35</v>
      </c>
      <c r="E25" s="139" t="s">
        <v>166</v>
      </c>
      <c r="F25" s="139">
        <v>12</v>
      </c>
      <c r="G25" s="139"/>
      <c r="H25" s="139">
        <v>1</v>
      </c>
      <c r="I25" s="149">
        <f t="shared" si="0"/>
        <v>4.1999999999999993</v>
      </c>
      <c r="J25" s="47"/>
      <c r="K25" s="47"/>
      <c r="L25" s="47"/>
      <c r="M25" s="47"/>
      <c r="N25" s="47"/>
      <c r="O25" s="56"/>
    </row>
    <row r="26" spans="1:15" s="20" customFormat="1" x14ac:dyDescent="0.25">
      <c r="A26" s="138">
        <v>80</v>
      </c>
      <c r="B26" s="150" t="s">
        <v>170</v>
      </c>
      <c r="C26" s="139" t="s">
        <v>171</v>
      </c>
      <c r="D26" s="140">
        <v>0.5</v>
      </c>
      <c r="E26" s="139" t="s">
        <v>45</v>
      </c>
      <c r="F26" s="139">
        <v>3.5</v>
      </c>
      <c r="G26" s="139"/>
      <c r="H26" s="139">
        <v>1</v>
      </c>
      <c r="I26" s="149">
        <f t="shared" si="0"/>
        <v>1.75</v>
      </c>
      <c r="J26" s="47"/>
      <c r="K26" s="47"/>
      <c r="L26" s="47"/>
      <c r="M26" s="47"/>
      <c r="N26" s="47"/>
      <c r="O26" s="56"/>
    </row>
    <row r="27" spans="1:15" s="20" customFormat="1" x14ac:dyDescent="0.25">
      <c r="A27" s="138">
        <v>90</v>
      </c>
      <c r="B27" s="148" t="s">
        <v>43</v>
      </c>
      <c r="C27" s="139" t="s">
        <v>160</v>
      </c>
      <c r="D27" s="140">
        <v>1.3</v>
      </c>
      <c r="E27" s="139" t="s">
        <v>35</v>
      </c>
      <c r="F27" s="139">
        <v>1</v>
      </c>
      <c r="G27" s="139"/>
      <c r="H27" s="139">
        <v>1</v>
      </c>
      <c r="I27" s="149">
        <f t="shared" si="0"/>
        <v>1.3</v>
      </c>
      <c r="J27" s="47"/>
      <c r="K27" s="47"/>
      <c r="L27" s="47"/>
      <c r="M27" s="47"/>
      <c r="N27" s="47"/>
      <c r="O27" s="56"/>
    </row>
    <row r="28" spans="1:15" s="20" customFormat="1" x14ac:dyDescent="0.25">
      <c r="A28" s="138">
        <v>100</v>
      </c>
      <c r="B28" s="148" t="s">
        <v>161</v>
      </c>
      <c r="C28" s="139" t="s">
        <v>161</v>
      </c>
      <c r="D28" s="140">
        <v>0.04</v>
      </c>
      <c r="E28" s="139" t="s">
        <v>162</v>
      </c>
      <c r="F28" s="139">
        <v>538</v>
      </c>
      <c r="G28" s="139" t="s">
        <v>163</v>
      </c>
      <c r="H28" s="139">
        <v>1</v>
      </c>
      <c r="I28" s="149">
        <f t="shared" si="0"/>
        <v>21.52</v>
      </c>
      <c r="J28" s="47"/>
      <c r="K28" s="47"/>
      <c r="L28" s="47"/>
      <c r="M28" s="47"/>
      <c r="N28" s="47"/>
      <c r="O28" s="56"/>
    </row>
    <row r="29" spans="1:15" s="20" customFormat="1" x14ac:dyDescent="0.25">
      <c r="A29" s="138">
        <v>110</v>
      </c>
      <c r="B29" s="150" t="s">
        <v>168</v>
      </c>
      <c r="C29" s="139" t="s">
        <v>172</v>
      </c>
      <c r="D29" s="140">
        <v>0.35</v>
      </c>
      <c r="E29" s="139" t="s">
        <v>166</v>
      </c>
      <c r="F29" s="139">
        <v>12</v>
      </c>
      <c r="G29" s="139"/>
      <c r="H29" s="139">
        <v>1</v>
      </c>
      <c r="I29" s="149">
        <f t="shared" si="0"/>
        <v>4.1999999999999993</v>
      </c>
      <c r="J29" s="47"/>
      <c r="K29" s="47"/>
      <c r="L29" s="47"/>
      <c r="M29" s="47"/>
      <c r="N29" s="47"/>
      <c r="O29" s="56"/>
    </row>
    <row r="30" spans="1:15" s="20" customFormat="1" x14ac:dyDescent="0.25">
      <c r="A30" s="138">
        <v>120</v>
      </c>
      <c r="B30" s="150" t="s">
        <v>173</v>
      </c>
      <c r="C30" s="139" t="s">
        <v>174</v>
      </c>
      <c r="D30" s="140">
        <v>0.13</v>
      </c>
      <c r="E30" s="139" t="s">
        <v>35</v>
      </c>
      <c r="F30" s="139">
        <v>2</v>
      </c>
      <c r="G30" s="139"/>
      <c r="H30" s="139">
        <v>1</v>
      </c>
      <c r="I30" s="149">
        <f t="shared" si="0"/>
        <v>0.26</v>
      </c>
      <c r="J30" s="47"/>
      <c r="K30" s="47"/>
      <c r="L30" s="47"/>
      <c r="M30" s="47"/>
      <c r="N30" s="47"/>
      <c r="O30" s="56"/>
    </row>
    <row r="31" spans="1:15" x14ac:dyDescent="0.25">
      <c r="A31" s="138">
        <v>130</v>
      </c>
      <c r="B31" s="150" t="s">
        <v>175</v>
      </c>
      <c r="C31" s="139" t="s">
        <v>174</v>
      </c>
      <c r="D31" s="140">
        <v>0.5</v>
      </c>
      <c r="E31" s="139" t="s">
        <v>35</v>
      </c>
      <c r="F31" s="139">
        <v>24</v>
      </c>
      <c r="G31" s="139"/>
      <c r="H31" s="139">
        <v>1</v>
      </c>
      <c r="I31" s="149">
        <f t="shared" si="0"/>
        <v>12</v>
      </c>
      <c r="J31" s="45"/>
      <c r="L31" s="45"/>
      <c r="M31" s="45"/>
      <c r="N31" s="45"/>
      <c r="O31" s="51"/>
    </row>
    <row r="32" spans="1:15" s="16" customFormat="1" x14ac:dyDescent="0.25">
      <c r="A32" s="138">
        <v>140</v>
      </c>
      <c r="B32" s="150" t="s">
        <v>176</v>
      </c>
      <c r="C32" s="139" t="s">
        <v>177</v>
      </c>
      <c r="D32" s="140">
        <v>0.75</v>
      </c>
      <c r="E32" s="139" t="s">
        <v>35</v>
      </c>
      <c r="F32" s="139">
        <v>3</v>
      </c>
      <c r="G32" s="139"/>
      <c r="H32" s="139">
        <v>1</v>
      </c>
      <c r="I32" s="149">
        <f t="shared" si="0"/>
        <v>2.25</v>
      </c>
      <c r="J32" s="46"/>
      <c r="K32" s="46"/>
      <c r="L32" s="46"/>
      <c r="M32" s="46"/>
      <c r="N32" s="46"/>
      <c r="O32" s="53"/>
    </row>
    <row r="33" spans="1:15" x14ac:dyDescent="0.25">
      <c r="A33" s="55"/>
      <c r="B33" s="19"/>
      <c r="C33" s="19"/>
      <c r="D33" s="19"/>
      <c r="E33" s="19"/>
      <c r="F33" s="19"/>
      <c r="G33" s="19"/>
      <c r="H33" s="110" t="s">
        <v>18</v>
      </c>
      <c r="I33" s="105">
        <f>SUM(I19:I32)</f>
        <v>101.49</v>
      </c>
      <c r="J33" s="19"/>
      <c r="K33" s="19"/>
      <c r="L33" s="19"/>
      <c r="M33" s="19"/>
      <c r="N33" s="19"/>
      <c r="O33" s="51"/>
    </row>
    <row r="34" spans="1:15" x14ac:dyDescent="0.25">
      <c r="A34" s="52"/>
      <c r="B34" s="45"/>
      <c r="C34" s="45"/>
      <c r="D34" s="45"/>
      <c r="E34" s="45"/>
      <c r="F34" s="45"/>
      <c r="G34" s="45"/>
      <c r="H34" s="45"/>
      <c r="I34" s="46"/>
      <c r="J34" s="45"/>
      <c r="K34" s="45"/>
      <c r="L34" s="45"/>
      <c r="M34" s="45"/>
      <c r="N34" s="45"/>
      <c r="O34" s="51"/>
    </row>
    <row r="35" spans="1:15" x14ac:dyDescent="0.25">
      <c r="A35" s="109" t="s">
        <v>14</v>
      </c>
      <c r="B35" s="108" t="s">
        <v>36</v>
      </c>
      <c r="C35" s="108" t="s">
        <v>20</v>
      </c>
      <c r="D35" s="108" t="s">
        <v>21</v>
      </c>
      <c r="E35" s="108" t="s">
        <v>22</v>
      </c>
      <c r="F35" s="108" t="s">
        <v>23</v>
      </c>
      <c r="G35" s="108" t="s">
        <v>24</v>
      </c>
      <c r="H35" s="108" t="s">
        <v>25</v>
      </c>
      <c r="I35" s="108" t="s">
        <v>17</v>
      </c>
      <c r="J35" s="108" t="s">
        <v>18</v>
      </c>
      <c r="K35" s="45"/>
      <c r="L35" s="45"/>
      <c r="M35" s="45"/>
      <c r="N35" s="45"/>
      <c r="O35" s="51"/>
    </row>
    <row r="36" spans="1:15" x14ac:dyDescent="0.25">
      <c r="A36" s="148">
        <v>10</v>
      </c>
      <c r="B36" s="125" t="s">
        <v>178</v>
      </c>
      <c r="C36" s="148" t="s">
        <v>179</v>
      </c>
      <c r="D36" s="151">
        <f>1.25/105154*E36*E36*G36*SQRT(G36)+0.005*EXP(0.319*E36)</f>
        <v>5.6317842209943889E-2</v>
      </c>
      <c r="E36" s="148">
        <v>6</v>
      </c>
      <c r="F36" s="152" t="s">
        <v>30</v>
      </c>
      <c r="G36" s="148">
        <v>14</v>
      </c>
      <c r="H36" s="148" t="s">
        <v>30</v>
      </c>
      <c r="I36" s="153">
        <v>24</v>
      </c>
      <c r="J36" s="154">
        <f>I36*D36</f>
        <v>1.3516282130386532</v>
      </c>
      <c r="K36" s="45"/>
      <c r="L36" s="45"/>
      <c r="M36" s="45"/>
      <c r="N36" s="45"/>
      <c r="O36" s="51"/>
    </row>
    <row r="37" spans="1:15" x14ac:dyDescent="0.25">
      <c r="A37" s="148">
        <v>20</v>
      </c>
      <c r="B37" s="125" t="s">
        <v>180</v>
      </c>
      <c r="C37" s="148"/>
      <c r="D37" s="151">
        <v>0.02</v>
      </c>
      <c r="E37" s="148"/>
      <c r="F37" s="152" t="s">
        <v>35</v>
      </c>
      <c r="G37" s="148"/>
      <c r="H37" s="148"/>
      <c r="I37" s="153">
        <v>24</v>
      </c>
      <c r="J37" s="154">
        <f>I37*D37</f>
        <v>0.48</v>
      </c>
      <c r="K37" s="45"/>
      <c r="L37" s="45"/>
      <c r="M37" s="45"/>
      <c r="N37" s="45"/>
      <c r="O37" s="51"/>
    </row>
    <row r="38" spans="1:15" x14ac:dyDescent="0.25">
      <c r="A38" s="148">
        <v>30</v>
      </c>
      <c r="B38" s="125" t="s">
        <v>181</v>
      </c>
      <c r="C38" s="148"/>
      <c r="D38" s="151">
        <f>1/105154*E38*E38*G38*SQRT(G38)+0.004*EXP(0.319*E38)</f>
        <v>6.5102725326469366E-2</v>
      </c>
      <c r="E38" s="148">
        <v>8</v>
      </c>
      <c r="F38" s="152" t="s">
        <v>30</v>
      </c>
      <c r="G38" s="148">
        <v>8</v>
      </c>
      <c r="H38" s="148" t="s">
        <v>30</v>
      </c>
      <c r="I38" s="153">
        <v>3</v>
      </c>
      <c r="J38" s="154">
        <f>I38*D38</f>
        <v>0.19530817597940808</v>
      </c>
      <c r="K38" s="45"/>
      <c r="L38" s="45"/>
      <c r="M38" s="45"/>
      <c r="N38" s="45"/>
      <c r="O38" s="51"/>
    </row>
    <row r="39" spans="1:15" x14ac:dyDescent="0.25">
      <c r="A39" s="148">
        <v>40</v>
      </c>
      <c r="B39" s="125" t="s">
        <v>182</v>
      </c>
      <c r="C39" s="148"/>
      <c r="D39" s="151">
        <v>0.33600000000000002</v>
      </c>
      <c r="E39" s="148">
        <v>8</v>
      </c>
      <c r="F39" s="152" t="s">
        <v>30</v>
      </c>
      <c r="G39" s="148"/>
      <c r="H39" s="148"/>
      <c r="I39" s="153">
        <v>3</v>
      </c>
      <c r="J39" s="154">
        <f>I39*D39</f>
        <v>1.008</v>
      </c>
      <c r="K39" s="45"/>
      <c r="L39" s="45"/>
      <c r="M39" s="45"/>
      <c r="N39" s="45"/>
      <c r="O39" s="51"/>
    </row>
    <row r="40" spans="1:15" x14ac:dyDescent="0.25">
      <c r="A40" s="55"/>
      <c r="B40" s="19"/>
      <c r="C40" s="19"/>
      <c r="D40" s="19"/>
      <c r="E40" s="19"/>
      <c r="F40" s="19"/>
      <c r="G40" s="19"/>
      <c r="H40" s="19"/>
      <c r="I40" s="110" t="s">
        <v>18</v>
      </c>
      <c r="J40" s="105">
        <f>SUM(J36:J39)</f>
        <v>3.0349363890180614</v>
      </c>
      <c r="K40" s="45"/>
      <c r="L40" s="45"/>
      <c r="M40" s="45"/>
      <c r="N40" s="45"/>
      <c r="O40" s="51"/>
    </row>
    <row r="41" spans="1:15" ht="15.75" thickBo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EN_0900_002_m+EN_0900_002_p</f>
        <v>10.904564699673662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10.904564699673662</v>
      </c>
      <c r="O5" s="163"/>
    </row>
    <row r="6" spans="1:15" x14ac:dyDescent="0.25">
      <c r="A6" s="182" t="s">
        <v>7</v>
      </c>
      <c r="B6" s="175" t="s">
        <v>211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0.78556506050717001</v>
      </c>
      <c r="F11" s="139" t="s">
        <v>155</v>
      </c>
      <c r="G11" s="139"/>
      <c r="H11" s="142"/>
      <c r="I11" s="143" t="s">
        <v>217</v>
      </c>
      <c r="J11" s="143">
        <f>PI()*87.5*87.5/1000000</f>
        <v>2.4052818754046849E-2</v>
      </c>
      <c r="K11" s="144">
        <v>2.3E-2</v>
      </c>
      <c r="L11" s="145">
        <v>1420</v>
      </c>
      <c r="M11" s="145">
        <v>1</v>
      </c>
      <c r="N11" s="140">
        <f>E11*D11</f>
        <v>2.5923646996736607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2.5923646996736607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350.61</v>
      </c>
      <c r="G17" s="200" t="s">
        <v>220</v>
      </c>
      <c r="H17" s="204">
        <v>0.5</v>
      </c>
      <c r="I17" s="199">
        <f>IF(H17="",D17*F17,D17*F17*H17)</f>
        <v>7.0122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8.3122000000000007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177"/>
      <c r="E20" s="178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6" t="s">
        <v>211</v>
      </c>
      <c r="B1" s="66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EN_0900_003_m+EN_0900_003_p</f>
        <v>8.5389646196590014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138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8.5389646196590014</v>
      </c>
      <c r="O5" s="163"/>
    </row>
    <row r="6" spans="1:15" x14ac:dyDescent="0.25">
      <c r="A6" s="182" t="s">
        <v>7</v>
      </c>
      <c r="B6" s="175" t="s">
        <v>221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0.60726200595727309</v>
      </c>
      <c r="F11" s="139" t="s">
        <v>155</v>
      </c>
      <c r="G11" s="139"/>
      <c r="H11" s="142"/>
      <c r="I11" s="143" t="s">
        <v>222</v>
      </c>
      <c r="J11" s="143">
        <f>PI()*82.5*82.5/1000000</f>
        <v>2.138246499849553E-2</v>
      </c>
      <c r="K11" s="144">
        <v>0.02</v>
      </c>
      <c r="L11" s="145">
        <v>1420</v>
      </c>
      <c r="M11" s="145">
        <v>1</v>
      </c>
      <c r="N11" s="140">
        <f>E11*D11</f>
        <v>2.0039646196590013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2.0039646196590013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6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261.75</v>
      </c>
      <c r="G17" s="200" t="s">
        <v>220</v>
      </c>
      <c r="H17" s="204">
        <v>0.5</v>
      </c>
      <c r="I17" s="199">
        <f>IF(H17="",D17*F17,D17*F17*H17)</f>
        <v>5.2350000000000003</v>
      </c>
      <c r="J17" s="47"/>
      <c r="K17" s="47"/>
      <c r="L17" s="47"/>
      <c r="M17" s="47"/>
      <c r="N17" s="47"/>
      <c r="O17" s="169"/>
    </row>
    <row r="18" spans="1:16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6.5350000000000001</v>
      </c>
      <c r="J18" s="19"/>
      <c r="K18" s="19"/>
      <c r="L18" s="19"/>
      <c r="M18" s="19"/>
      <c r="N18" s="19"/>
      <c r="O18" s="163"/>
    </row>
    <row r="19" spans="1:16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6" x14ac:dyDescent="0.25">
      <c r="A21" s="164"/>
      <c r="B21" s="45"/>
      <c r="C21" s="45"/>
      <c r="D21" s="45"/>
      <c r="E21" s="177"/>
      <c r="F21" s="45"/>
      <c r="G21" s="177"/>
      <c r="H21" s="178"/>
      <c r="I21" s="45"/>
      <c r="J21" s="45"/>
      <c r="K21" s="45"/>
      <c r="L21" s="45"/>
      <c r="M21" s="45"/>
      <c r="N21" s="45"/>
      <c r="O21" s="163"/>
    </row>
    <row r="22" spans="1:16" x14ac:dyDescent="0.25">
      <c r="A22" s="164"/>
      <c r="B22" s="45"/>
      <c r="C22" s="45"/>
      <c r="D22" s="45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6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6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  <c r="P26" s="45"/>
    </row>
    <row r="27" spans="1:16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  <c r="P27" s="45"/>
    </row>
    <row r="28" spans="1:16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16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6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6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EN_0900_004_m+EN_0900_004_p</f>
        <v>23.956417471999998</v>
      </c>
      <c r="O2" s="163"/>
    </row>
    <row r="3" spans="1:16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6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6" x14ac:dyDescent="0.25">
      <c r="A5" s="182" t="s">
        <v>15</v>
      </c>
      <c r="B5" s="45" t="s">
        <v>224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23.956417471999998</v>
      </c>
      <c r="O5" s="163"/>
    </row>
    <row r="6" spans="1:16" x14ac:dyDescent="0.25">
      <c r="A6" s="182" t="s">
        <v>7</v>
      </c>
      <c r="B6" s="175" t="s">
        <v>223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6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  <c r="P7">
        <f>341.663+32</f>
        <v>373.66300000000001</v>
      </c>
    </row>
    <row r="8" spans="1:16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6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6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6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1.8460041599999997</v>
      </c>
      <c r="F11" s="197" t="s">
        <v>155</v>
      </c>
      <c r="G11" s="197"/>
      <c r="H11" s="210"/>
      <c r="I11" s="211" t="s">
        <v>226</v>
      </c>
      <c r="J11" s="212">
        <f>374*130/1000000</f>
        <v>4.8619999999999997E-2</v>
      </c>
      <c r="K11" s="213">
        <f>14/1000</f>
        <v>1.4E-2</v>
      </c>
      <c r="L11" s="214">
        <v>2712</v>
      </c>
      <c r="M11" s="214">
        <v>1</v>
      </c>
      <c r="N11" s="215">
        <f>IF(J11="",D11*M11,D11*J11*K11*L11*M11)</f>
        <v>7.7532174719999993</v>
      </c>
      <c r="O11" s="167"/>
    </row>
    <row r="12" spans="1:16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6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7.7532174719999993</v>
      </c>
      <c r="O13" s="163"/>
    </row>
    <row r="14" spans="1:16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6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6" ht="45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372.58</v>
      </c>
      <c r="G17" s="194" t="s">
        <v>229</v>
      </c>
      <c r="H17" s="204">
        <v>1</v>
      </c>
      <c r="I17" s="215">
        <f>IF(H17="",D17*F17,D17*F17*H17)</f>
        <v>14.9032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16.203199999999999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177"/>
      <c r="G21" s="178"/>
      <c r="H21" s="178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177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67</vt:i4>
      </vt:variant>
    </vt:vector>
  </HeadingPairs>
  <TitlesOfParts>
    <vt:vector size="94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2018-03-31T16:31:17Z</dcterms:modified>
  <dc:language>fr-FR</dc:language>
</cp:coreProperties>
</file>