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bookViews>
    <workbookView xWindow="4740" yWindow="60" windowWidth="16380" windowHeight="8196" firstSheet="2" activeTab="2"/>
  </bookViews>
  <sheets>
    <sheet name="Instructions" sheetId="7" r:id="rId1"/>
    <sheet name="BOM" sheetId="8" r:id="rId2"/>
    <sheet name="FR A0700" sheetId="1" r:id="rId3"/>
    <sheet name="FR_0700_000" sheetId="2" r:id="rId4"/>
    <sheet name="dFR_0700_000" sheetId="9" r:id="rId5"/>
    <sheet name="FR_0700_001" sheetId="13" r:id="rId6"/>
    <sheet name="dFR_0700_001" sheetId="14" r:id="rId7"/>
    <sheet name="FR_0700_002" sheetId="15" r:id="rId8"/>
    <sheet name="dFR_0700_002" sheetId="33" r:id="rId9"/>
    <sheet name="FR_0700_003" sheetId="20" r:id="rId10"/>
    <sheet name="dFR_0700_003" sheetId="34" r:id="rId11"/>
    <sheet name="FR_0700_004" sheetId="21" r:id="rId12"/>
    <sheet name="dFR_0700_004" sheetId="35" r:id="rId13"/>
    <sheet name="FR_0700_005" sheetId="22" r:id="rId14"/>
    <sheet name="dFR_0700_005" sheetId="36" r:id="rId15"/>
    <sheet name="FR_0700_006" sheetId="23" r:id="rId16"/>
    <sheet name="dFR_0700_006" sheetId="37" r:id="rId17"/>
    <sheet name="FR_0700_007" sheetId="24" r:id="rId18"/>
    <sheet name="dFR_0700_007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700_000">FR_0700_000!$B$6</definedName>
    <definedName name="FR_0700_000_m">FR_0700_000!$N$12</definedName>
    <definedName name="FR_0700_000_p">FR_0700_000!$I$19</definedName>
    <definedName name="FR_0700_000_q">FR_0700_000!$N$3</definedName>
    <definedName name="FR_0700_001">FR_0700_001!$B$6</definedName>
    <definedName name="FR_0700_001_m">FR_0700_001!$N$12</definedName>
    <definedName name="FR_0700_001_p">FR_0700_001!$I$21</definedName>
    <definedName name="FR_0700_001_q">FR_0700_001!$N$3</definedName>
    <definedName name="FR_0700_002">FR_0700_002!$B$6</definedName>
    <definedName name="FR_0700_002_m">FR_0700_002!$N$12</definedName>
    <definedName name="FR_0700_002_p">FR_0700_002!$I$19</definedName>
    <definedName name="FR_0700_002_q">FR_0700_002!$N$3</definedName>
    <definedName name="FR_0700_003">FR_0700_003!$B$6</definedName>
    <definedName name="FR_0700_003_m">FR_0700_003!$N$12</definedName>
    <definedName name="FR_0700_003_p">FR_0700_003!$I$19</definedName>
    <definedName name="FR_0700_003_q">FR_0700_003!$N$3</definedName>
    <definedName name="FR_0700_004">FR_0700_004!$B$6</definedName>
    <definedName name="FR_0700_004_m">FR_0700_004!$N$12</definedName>
    <definedName name="FR_0700_004_p">FR_0700_004!$I$19</definedName>
    <definedName name="FR_0700_004_q">FR_0700_004!$N$3</definedName>
    <definedName name="FR_0700_005">FR_0700_005!$B$6</definedName>
    <definedName name="FR_0700_005_m">FR_0700_005!$N$12</definedName>
    <definedName name="FR_0700_005_p">FR_0700_005!$I$17</definedName>
    <definedName name="FR_0700_005_q">FR_0700_005!$N$3</definedName>
    <definedName name="FR_0700_006">FR_0700_006!$B$6</definedName>
    <definedName name="FR_0700_006_m">FR_0700_006!$N$12</definedName>
    <definedName name="FR_0700_006_p">FR_0700_006!$I$17</definedName>
    <definedName name="FR_0700_006_q">FR_0700_006!$N$3</definedName>
    <definedName name="FR_0700_007">FR_0700_007!$B$6</definedName>
    <definedName name="FR_0700_007_m">FR_0700_007!$N$12</definedName>
    <definedName name="FR_0700_007_p">FR_0700_007!$I$17</definedName>
    <definedName name="FR_0700_007_q">FR_0700_007!$N$3</definedName>
    <definedName name="FR_A0700">'FR A0700'!$B$5</definedName>
    <definedName name="FR_A0700_f">'FR A0700'!$J$38</definedName>
    <definedName name="FR_A0700_m">'FR A0700'!$N$23</definedName>
    <definedName name="FR_A0700_p">'FR A0700'!$I$32</definedName>
    <definedName name="FR_A0700_pa">'FR A0700'!$E$18</definedName>
    <definedName name="FR_A0700_q">'FR A0700'!$N$3</definedName>
    <definedName name="FR_A0700_t">'FR A0700'!$I$42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A0700'!$A$5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I18" i="21" l="1"/>
  <c r="I18" i="20"/>
  <c r="J12" i="8"/>
  <c r="J10" i="8"/>
  <c r="I15" i="8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F28" i="1" l="1"/>
  <c r="M22" i="1" s="1"/>
  <c r="N22" i="1" s="1"/>
  <c r="D17" i="1" l="1"/>
  <c r="I16" i="24"/>
  <c r="I15" i="24"/>
  <c r="N11" i="24"/>
  <c r="N12" i="24" s="1"/>
  <c r="J15" i="8" s="1"/>
  <c r="B4" i="24"/>
  <c r="B3" i="24"/>
  <c r="D16" i="1"/>
  <c r="I16" i="23"/>
  <c r="I15" i="23"/>
  <c r="N11" i="23"/>
  <c r="N12" i="23" s="1"/>
  <c r="J14" i="8" s="1"/>
  <c r="B4" i="23"/>
  <c r="B3" i="23"/>
  <c r="D15" i="1"/>
  <c r="I16" i="22"/>
  <c r="I15" i="22"/>
  <c r="N11" i="22"/>
  <c r="N12" i="22" s="1"/>
  <c r="J13" i="8" s="1"/>
  <c r="B4" i="22"/>
  <c r="B3" i="22"/>
  <c r="D11" i="1"/>
  <c r="D14" i="1"/>
  <c r="I17" i="21"/>
  <c r="I16" i="21"/>
  <c r="I19" i="21" s="1"/>
  <c r="I15" i="21"/>
  <c r="N11" i="21"/>
  <c r="N12" i="21" s="1"/>
  <c r="B4" i="21"/>
  <c r="B3" i="21"/>
  <c r="D12" i="1"/>
  <c r="D13" i="1"/>
  <c r="I17" i="20"/>
  <c r="I16" i="20"/>
  <c r="I19" i="20" s="1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24" l="1"/>
  <c r="K15" i="8" s="1"/>
  <c r="I17" i="23"/>
  <c r="K14" i="8" s="1"/>
  <c r="I17" i="22"/>
  <c r="K13" i="8" s="1"/>
  <c r="I19" i="15"/>
  <c r="K10" i="8" s="1"/>
  <c r="I9" i="8"/>
  <c r="F9" i="8"/>
  <c r="D10" i="1"/>
  <c r="I19" i="13"/>
  <c r="I20" i="13"/>
  <c r="I15" i="13"/>
  <c r="I16" i="13"/>
  <c r="N11" i="13"/>
  <c r="N12" i="13" s="1"/>
  <c r="N11" i="2"/>
  <c r="I18" i="13"/>
  <c r="I17" i="13"/>
  <c r="B4" i="13"/>
  <c r="B3" i="13"/>
  <c r="N2" i="24" l="1"/>
  <c r="N5" i="24" s="1"/>
  <c r="I21" i="13"/>
  <c r="K9" i="8" s="1"/>
  <c r="N2" i="13"/>
  <c r="C11" i="1" s="1"/>
  <c r="N2" i="23"/>
  <c r="N5" i="23" s="1"/>
  <c r="N2" i="21"/>
  <c r="N5" i="21" s="1"/>
  <c r="K12" i="8"/>
  <c r="N2" i="22"/>
  <c r="N5" i="22" s="1"/>
  <c r="N2" i="20"/>
  <c r="N5" i="20" s="1"/>
  <c r="K11" i="8"/>
  <c r="J9" i="8"/>
  <c r="N2" i="15"/>
  <c r="D37" i="1"/>
  <c r="J37" i="1" s="1"/>
  <c r="D35" i="1"/>
  <c r="J36" i="1"/>
  <c r="C17" i="1" l="1"/>
  <c r="N5" i="15"/>
  <c r="C12" i="1"/>
  <c r="N5" i="13"/>
  <c r="C14" i="1"/>
  <c r="C16" i="1"/>
  <c r="C15" i="1"/>
  <c r="C13" i="1"/>
  <c r="J35" i="1"/>
  <c r="I28" i="1" l="1"/>
  <c r="I29" i="1"/>
  <c r="I30" i="1"/>
  <c r="F27" i="1"/>
  <c r="I27" i="1" s="1"/>
  <c r="I31" i="1"/>
  <c r="F26" i="1"/>
  <c r="N21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8" i="2"/>
  <c r="I17" i="2"/>
  <c r="I16" i="2"/>
  <c r="I15" i="2"/>
  <c r="N12" i="2"/>
  <c r="I41" i="1"/>
  <c r="J38" i="1"/>
  <c r="L7" i="8" s="1"/>
  <c r="I26" i="1"/>
  <c r="I32" i="1" s="1"/>
  <c r="K7" i="8" s="1"/>
  <c r="J8" i="8" l="1"/>
  <c r="L16" i="8"/>
  <c r="I42" i="1"/>
  <c r="I19" i="2"/>
  <c r="K8" i="8" s="1"/>
  <c r="N23" i="1"/>
  <c r="J7" i="8" s="1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<sst xmlns="http://schemas.openxmlformats.org/spreadsheetml/2006/main" count="716" uniqueCount="212">
  <si>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</si>
  <si>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</si>
  <si>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</si>
  <si>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</si>
  <si>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</si>
  <si>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</si>
  <si>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</si>
  <si>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</si>
  <si>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</si>
  <si>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</si>
  <si>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</si>
  <si>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</si>
  <si>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</si>
  <si>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</si>
  <si>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</si>
  <si>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</si>
  <si>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</si>
  <si>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</si>
  <si>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</si>
  <si>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</si>
  <si>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</si>
  <si>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</si>
  <si>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</si>
  <si>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</si>
  <si>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</si>
  <si>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</si>
  <si>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</si>
  <si>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</si>
  <si>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</si>
  <si>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</si>
  <si>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</si>
  <si>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</si>
  <si>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</si>
  <si>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</si>
  <si>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</si>
  <si>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</si>
  <si>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</si>
  <si>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</si>
  <si>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</si>
  <si>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</si>
  <si>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</si>
  <si>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</si>
  <si>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</si>
  <si>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</si>
  <si>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</si>
  <si>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</si>
  <si>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</si>
  <si>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</si>
  <si>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</si>
  <si>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</si>
  <si>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</si>
  <si>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</si>
  <si>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</si>
  <si>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</si>
  <si>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</si>
  <si>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</si>
  <si>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</si>
  <si>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</si>
  <si>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</si>
  <si>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</si>
  <si>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</si>
  <si>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</si>
  <si>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</si>
  <si>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</si>
  <si>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</si>
  <si>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</si>
  <si>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</si>
  <si>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</si>
  <si>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</si>
  <si>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</si>
  <si>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</si>
  <si>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</si>
  <si>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</si>
  <si>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</si>
  <si>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</si>
  <si>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</si>
  <si>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</si>
  <si>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</si>
  <si>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</si>
  <si>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</si>
  <si>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</si>
  <si>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</si>
  <si>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</si>
  <si>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</si>
  <si>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</si>
  <si>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</si>
  <si>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</si>
  <si>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</si>
  <si>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</si>
  <si>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</si>
  <si>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</si>
  <si>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</si>
  <si>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</si>
  <si>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</si>
  <si>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</si>
  <si>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</si>
  <si>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</si>
  <si>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</si>
  <si>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</si>
  <si>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</si>
  <si>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</si>
  <si>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</si>
  <si>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</si>
  <si>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</si>
  <si>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</si>
  <si>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</si>
  <si>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</si>
  <si>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</si>
  <si>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</si>
  <si>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</si>
  <si>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</si>
  <si>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</si>
  <si>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</si>
  <si>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</si>
  <si>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</si>
  <si>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</si>
  <si>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</si>
  <si>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</si>
  <si>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</si>
  <si>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</si>
  <si>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</si>
  <si>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</si>
  <si>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</si>
  <si>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</si>
  <si>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</si>
  <si>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</si>
  <si>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</si>
  <si>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</si>
  <si>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</si>
  <si>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</si>
  <si>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</si>
  <si>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</si>
  <si>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</si>
  <si>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</si>
  <si>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</si>
  <si>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</si>
  <si>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</si>
  <si>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</si>
  <si>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</si>
  <si>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</si>
  <si>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</si>
  <si>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</si>
  <si>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</si>
  <si>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Reaction Tool &lt;= 25.4 mm</t>
  </si>
  <si>
    <t>Ratchet &lt;= 25.4 mm</t>
  </si>
  <si>
    <t>Welding the Sheath for Cable Mount</t>
  </si>
  <si>
    <t>Aerosol Apply</t>
  </si>
  <si>
    <t>Painting of the Mounts</t>
  </si>
  <si>
    <t>m^2</t>
  </si>
  <si>
    <t>Bolt, Grade 8.8 (SAE 5)</t>
  </si>
  <si>
    <t>Mounts welded to the chassis</t>
  </si>
  <si>
    <t>FR_0300_000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</si>
  <si>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</si>
  <si>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</si>
  <si>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</si>
  <si>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</si>
  <si>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</si>
  <si>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</si>
  <si>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Side</t>
  </si>
  <si>
    <t>Back</t>
  </si>
  <si>
    <t>Side and side holes</t>
  </si>
  <si>
    <t xml:space="preserve">Drawing part : </t>
  </si>
  <si>
    <t>FR_0300_001</t>
  </si>
  <si>
    <t>FR_0300_002</t>
  </si>
  <si>
    <t>front</t>
  </si>
  <si>
    <t>FR_0300_003</t>
  </si>
  <si>
    <t>Laser cut</t>
  </si>
  <si>
    <t>Sheet metal bends</t>
  </si>
  <si>
    <t>bend</t>
  </si>
  <si>
    <t>FR_0300_004</t>
  </si>
  <si>
    <t>frontal area</t>
  </si>
  <si>
    <t>FR_0300_005</t>
  </si>
  <si>
    <t>Steel, Alloy</t>
  </si>
  <si>
    <t>FR_0300_006</t>
  </si>
  <si>
    <t>frontal Area</t>
  </si>
  <si>
    <t>FR_0300_007</t>
  </si>
  <si>
    <t xml:space="preserve">Drawing Part : </t>
  </si>
  <si>
    <t>4 parts cut from a single machine setup</t>
  </si>
  <si>
    <t>Material - Steel</t>
  </si>
  <si>
    <t>2 parts cut from a single machine setup</t>
  </si>
  <si>
    <t>Hand Finish - Material Removal</t>
  </si>
  <si>
    <t>Chamfer</t>
  </si>
  <si>
    <t>Paint</t>
  </si>
  <si>
    <t>Material - Aluminum</t>
  </si>
  <si>
    <t>FR A0700</t>
  </si>
  <si>
    <t>Bodywork</t>
  </si>
  <si>
    <t>The assembly of the bodywork</t>
  </si>
  <si>
    <t>Nose</t>
  </si>
  <si>
    <t>Back Inlet Bracket</t>
  </si>
  <si>
    <t>Right Inlet</t>
  </si>
  <si>
    <t>Left Inlet</t>
  </si>
  <si>
    <t>Front Inlet Bracket</t>
  </si>
  <si>
    <t>FR_0700_007</t>
  </si>
  <si>
    <t>FR_0700_006</t>
  </si>
  <si>
    <t>FR_0700_005</t>
  </si>
  <si>
    <t>FR_0700_004</t>
  </si>
  <si>
    <t>FR_0700_003</t>
  </si>
  <si>
    <t>FR_0700_002</t>
  </si>
  <si>
    <t>FR_0700_001</t>
  </si>
  <si>
    <t>FR_0700_000</t>
  </si>
  <si>
    <t>Nose covering the front of the chassis</t>
  </si>
  <si>
    <t>Left Inlet covering the cooling system</t>
  </si>
  <si>
    <t>Right Inlet covering the exhaust system</t>
  </si>
  <si>
    <t xml:space="preserve">Front Side Plate </t>
  </si>
  <si>
    <t>Front Side plate</t>
  </si>
  <si>
    <t>Front Side Plate</t>
  </si>
  <si>
    <t>Back Side Plate</t>
  </si>
  <si>
    <t>VELCRO</t>
  </si>
  <si>
    <t>Painting the Brackets</t>
  </si>
  <si>
    <t>PUSH CLIP</t>
  </si>
  <si>
    <t>Nose Bracket</t>
  </si>
  <si>
    <t>2 parts made from the same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</si>
</sst>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00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0" fontId="4" fillId="0" borderId="29" xfId="0" applyFont="1" applyBorder="1"/>
    <xf numFmtId="165" fontId="4" fillId="0" borderId="29" xfId="7" applyNumberFormat="1" applyFont="1" applyBorder="1" applyAlignment="1" applyProtection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3" xfId="0" applyFont="1" applyBorder="1"/>
    <xf numFmtId="0" fontId="0" fillId="0" borderId="33" xfId="7" applyNumberFormat="1" applyFont="1" applyBorder="1" applyAlignment="1">
      <alignment wrapText="1"/>
    </xf>
    <xf numFmtId="0" fontId="0" fillId="0" borderId="33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3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4" fillId="0" borderId="32" xfId="0" applyFont="1" applyBorder="1"/>
    <xf numFmtId="165" fontId="4" fillId="0" borderId="7" xfId="7" applyNumberFormat="1" applyFont="1" applyBorder="1" applyAlignment="1" applyProtection="1"/>
    <xf numFmtId="0" fontId="11" fillId="0" borderId="34" xfId="1" applyFont="1" applyFill="1" applyBorder="1" applyProtection="1">
      <protection locked="0"/>
    </xf>
    <xf numFmtId="0" fontId="11" fillId="0" borderId="34" xfId="1" applyFont="1" applyFill="1" applyBorder="1" applyAlignment="1">
      <alignment horizontal="left"/>
    </xf>
    <xf numFmtId="18" fontId="11" fillId="0" borderId="34" xfId="1" applyNumberFormat="1" applyFont="1" applyFill="1" applyBorder="1" applyAlignment="1" applyProtection="1">
      <protection locked="0"/>
    </xf>
    <xf numFmtId="170" fontId="11" fillId="0" borderId="34" xfId="5" applyFont="1" applyFill="1" applyBorder="1" applyProtection="1">
      <protection locked="0"/>
    </xf>
    <xf numFmtId="0" fontId="11" fillId="0" borderId="34" xfId="1" applyFont="1" applyFill="1" applyBorder="1" applyAlignment="1" applyProtection="1">
      <alignment horizontal="center"/>
      <protection locked="0"/>
    </xf>
    <xf numFmtId="171" fontId="11" fillId="0" borderId="34" xfId="1" applyNumberFormat="1" applyFont="1" applyFill="1" applyBorder="1" applyAlignment="1">
      <alignment horizontal="right"/>
    </xf>
    <xf numFmtId="0" fontId="11" fillId="0" borderId="34" xfId="1" applyFont="1" applyFill="1" applyBorder="1" applyAlignment="1">
      <alignment horizontal="center"/>
    </xf>
    <xf numFmtId="0" fontId="18" fillId="9" borderId="0" xfId="8" applyFill="1"/>
    <xf numFmtId="0" fontId="0" fillId="0" borderId="35" xfId="0" applyBorder="1"/>
    <xf numFmtId="0" fontId="25" fillId="0" borderId="36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37" xfId="0" applyBorder="1"/>
    <xf numFmtId="0" fontId="25" fillId="0" borderId="37" xfId="0" applyFont="1" applyBorder="1"/>
    <xf numFmtId="0" fontId="25" fillId="0" borderId="37" xfId="9" applyFont="1" applyFill="1" applyBorder="1" applyAlignment="1">
      <alignment wrapText="1"/>
    </xf>
    <xf numFmtId="165" fontId="25" fillId="0" borderId="37" xfId="7" applyNumberFormat="1" applyFont="1" applyBorder="1" applyAlignment="1" applyProtection="1"/>
    <xf numFmtId="0" fontId="25" fillId="0" borderId="37" xfId="7" applyNumberFormat="1" applyFont="1" applyBorder="1" applyAlignment="1">
      <alignment wrapText="1"/>
    </xf>
    <xf numFmtId="0" fontId="24" fillId="0" borderId="37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38" xfId="0" applyFont="1" applyBorder="1"/>
    <xf numFmtId="164" fontId="4" fillId="0" borderId="29" xfId="7" applyNumberFormat="1" applyFont="1" applyBorder="1" applyAlignment="1" applyProtection="1"/>
    <xf numFmtId="2" fontId="4" fillId="0" borderId="29" xfId="7" applyNumberFormat="1" applyFont="1" applyBorder="1" applyAlignment="1" applyProtection="1"/>
    <xf numFmtId="168" fontId="4" fillId="0" borderId="29" xfId="7" applyNumberFormat="1" applyFont="1" applyBorder="1" applyAlignment="1" applyProtection="1"/>
    <xf numFmtId="11" fontId="4" fillId="0" borderId="29" xfId="7" applyNumberFormat="1" applyFont="1" applyBorder="1" applyAlignment="1" applyProtection="1"/>
    <xf numFmtId="0" fontId="4" fillId="0" borderId="37" xfId="0" applyFont="1" applyBorder="1"/>
    <xf numFmtId="165" fontId="4" fillId="0" borderId="37" xfId="7" applyNumberFormat="1" applyFont="1" applyBorder="1" applyAlignment="1" applyProtection="1"/>
    <xf numFmtId="164" fontId="4" fillId="0" borderId="37" xfId="7" applyNumberFormat="1" applyFont="1" applyBorder="1" applyAlignment="1" applyProtection="1"/>
    <xf numFmtId="2" fontId="4" fillId="0" borderId="37" xfId="7" applyNumberFormat="1" applyFont="1" applyBorder="1" applyAlignment="1" applyProtection="1"/>
    <xf numFmtId="168" fontId="4" fillId="0" borderId="37" xfId="7" applyNumberFormat="1" applyFont="1" applyBorder="1" applyAlignment="1" applyProtection="1"/>
    <xf numFmtId="11" fontId="4" fillId="0" borderId="37" xfId="7" applyNumberFormat="1" applyFont="1" applyBorder="1" applyAlignment="1" applyProtection="1"/>
    <xf numFmtId="0" fontId="18" fillId="0" borderId="32" xfId="8" applyNumberFormat="1" applyBorder="1" applyAlignment="1" applyProtection="1"/>
    <xf numFmtId="165" fontId="4" fillId="0" borderId="38" xfId="7" applyNumberFormat="1" applyFont="1" applyBorder="1" applyAlignment="1" applyProtection="1"/>
    <xf numFmtId="0" fontId="4" fillId="0" borderId="5" xfId="0" applyFont="1" applyBorder="1"/>
    <xf numFmtId="0" fontId="18" fillId="0" borderId="5" xfId="8" applyBorder="1" applyAlignment="1">
      <alignment wrapText="1"/>
    </xf>
    <xf numFmtId="165" fontId="4" fillId="0" borderId="39" xfId="7" applyNumberFormat="1" applyFont="1" applyBorder="1" applyAlignment="1" applyProtection="1"/>
    <xf numFmtId="0" fontId="18" fillId="0" borderId="37" xfId="8" applyFill="1" applyBorder="1"/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700_000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162217</xdr:rowOff>
    </xdr:from>
    <xdr:to>
      <xdr:col>9</xdr:col>
      <xdr:colOff>716280</xdr:colOff>
      <xdr:row>31</xdr:row>
      <xdr:rowOff>27543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E7E16-C0D4-478E-A615-C8C5C507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45097"/>
          <a:ext cx="7604759" cy="5351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2</xdr:row>
      <xdr:rowOff>60960</xdr:rowOff>
    </xdr:from>
    <xdr:to>
      <xdr:col>9</xdr:col>
      <xdr:colOff>751928</xdr:colOff>
      <xdr:row>32</xdr:row>
      <xdr:rowOff>84690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48DC9E3-89C1-4B40-A877-65D4C070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" y="426720"/>
          <a:ext cx="7792808" cy="5510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30480</xdr:rowOff>
    </xdr:from>
    <xdr:to>
      <xdr:col>10</xdr:col>
      <xdr:colOff>139686</xdr:colOff>
      <xdr:row>31</xdr:row>
      <xdr:rowOff>101834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CF051E2-FF41-4202-8EA5-26FB400A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213360"/>
          <a:ext cx="7851126" cy="55577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79272</xdr:rowOff>
    </xdr:from>
    <xdr:to>
      <xdr:col>10</xdr:col>
      <xdr:colOff>266700</xdr:colOff>
      <xdr:row>31</xdr:row>
      <xdr:rowOff>170414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5A50EA3-022C-4B20-81D9-DEF714DA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262152"/>
          <a:ext cx="7879080" cy="55775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114300</xdr:rowOff>
    </xdr:from>
    <xdr:to>
      <xdr:col>9</xdr:col>
      <xdr:colOff>556567</xdr:colOff>
      <xdr:row>30</xdr:row>
      <xdr:rowOff>167640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254D659-8AFD-49AC-B4A6-B367AC539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297180"/>
          <a:ext cx="7582207" cy="5356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220981</xdr:colOff>
      <xdr:row>1</xdr:row>
      <xdr:rowOff>129540</xdr:rowOff>
    </xdr:from>
    <xdr:to>
      <xdr:col>9</xdr:col>
      <xdr:colOff>716729</xdr:colOff>
      <xdr:row>31</xdr:row>
      <xdr:rowOff>21827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4C7DD99-DB36-49DD-8E44-0DDDEB1B2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1" y="312420"/>
          <a:ext cx="7628068" cy="53786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236221</xdr:colOff>
      <xdr:row>1</xdr:row>
      <xdr:rowOff>121920</xdr:rowOff>
    </xdr:from>
    <xdr:to>
      <xdr:col>10</xdr:col>
      <xdr:colOff>15220</xdr:colOff>
      <xdr:row>31</xdr:row>
      <xdr:rowOff>69450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19798B4-8774-48B6-9141-551CCEDA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1" y="304800"/>
          <a:ext cx="7703799" cy="54339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129540</xdr:rowOff>
    </xdr:from>
    <xdr:to>
      <xdr:col>9</xdr:col>
      <xdr:colOff>661599</xdr:colOff>
      <xdr:row>30</xdr:row>
      <xdr:rowOff>105647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CF91B09-9F57-42A5-96F5-05E74249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312420"/>
          <a:ext cx="7481499" cy="5279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5" t="s">
        <v>135</v>
      </c>
    </row>
    <row r="3" spans="1:2" x14ac:dyDescent="0.3">
      <c r="A3" s="84" t="s">
        <v>67</v>
      </c>
      <c r="B3" s="81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1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4" t="s">
        <v>72</v>
      </c>
      <c r="B18" s="81" t="s">
        <v>106</v>
      </c>
      <c r="C18" s="81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4" t="s">
        <v>74</v>
      </c>
      <c r="B23" s="81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1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4" t="s">
        <v>78</v>
      </c>
      <c r="B39" s="81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4" t="s">
        <v>79</v>
      </c>
      <c r="B45" s="81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4" t="s">
        <v>83</v>
      </c>
      <c r="B57" s="81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4" t="s">
        <v>95</v>
      </c>
      <c r="B63" s="81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1" t="s">
        <v>101</v>
      </c>
    </row>
    <row r="82" spans="1:1" x14ac:dyDescent="0.3">
      <c r="A82" s="85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E3" sqref="E3"/>
    </sheetView>
  </sheetViews>
  <sheetFormatPr baseColWidth="10" defaultColWidth="9.109375" defaultRowHeight="14.4" x14ac:dyDescent="0.3"/>
  <cols>
    <col min="2" max="2" width="33.4414062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FR_0700_003_m+FR_0700_003_p</f>
        <v>2.1023579199999998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204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4.2047158399999995</v>
      </c>
      <c r="O5" s="60"/>
    </row>
    <row r="6" spans="1:15" x14ac:dyDescent="0.3">
      <c r="A6" s="118" t="s">
        <v>7</v>
      </c>
      <c r="B6" s="25" t="s">
        <v>165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203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152</v>
      </c>
      <c r="C11" s="16"/>
      <c r="D11" s="29">
        <v>4.2</v>
      </c>
      <c r="E11" s="16"/>
      <c r="F11" s="16"/>
      <c r="G11" s="16"/>
      <c r="H11" s="15"/>
      <c r="I11" s="17" t="s">
        <v>170</v>
      </c>
      <c r="J11" s="155">
        <v>1.0919999999999999E-2</v>
      </c>
      <c r="K11" s="159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0.31095792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7" t="s">
        <v>45</v>
      </c>
      <c r="C15" s="30"/>
      <c r="D15" s="31">
        <v>1.3</v>
      </c>
      <c r="E15" s="24" t="s">
        <v>35</v>
      </c>
      <c r="F15" s="144">
        <v>1</v>
      </c>
      <c r="G15" s="30" t="s">
        <v>179</v>
      </c>
      <c r="H15" s="30">
        <v>0.5</v>
      </c>
      <c r="I15" s="31">
        <f t="shared" ref="I15:I18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166</v>
      </c>
      <c r="C16" s="14"/>
      <c r="D16" s="29">
        <v>0.01</v>
      </c>
      <c r="E16" s="14" t="s">
        <v>47</v>
      </c>
      <c r="F16" s="151">
        <v>35.9</v>
      </c>
      <c r="G16" s="24" t="s">
        <v>183</v>
      </c>
      <c r="H16" s="23">
        <v>1</v>
      </c>
      <c r="I16" s="29">
        <f t="shared" si="0"/>
        <v>0.35899999999999999</v>
      </c>
      <c r="J16" s="54"/>
      <c r="K16" s="54"/>
      <c r="L16" s="54"/>
      <c r="M16" s="54"/>
      <c r="N16" s="54"/>
      <c r="O16" s="60"/>
    </row>
    <row r="17" spans="1:15" s="12" customFormat="1" x14ac:dyDescent="0.3">
      <c r="A17" s="171">
        <v>30</v>
      </c>
      <c r="B17" s="172" t="s">
        <v>167</v>
      </c>
      <c r="C17" s="173"/>
      <c r="D17" s="162">
        <v>0.25</v>
      </c>
      <c r="E17" s="174" t="s">
        <v>168</v>
      </c>
      <c r="F17" s="173">
        <v>3</v>
      </c>
      <c r="G17" s="173"/>
      <c r="H17" s="173"/>
      <c r="I17" s="162">
        <f t="shared" si="0"/>
        <v>0.75</v>
      </c>
      <c r="J17" s="55"/>
      <c r="K17" s="55"/>
      <c r="L17" s="55"/>
      <c r="M17" s="55"/>
      <c r="N17" s="55"/>
      <c r="O17" s="64"/>
    </row>
    <row r="18" spans="1:15" s="12" customFormat="1" x14ac:dyDescent="0.3">
      <c r="A18" s="176">
        <v>40</v>
      </c>
      <c r="B18" s="177" t="s">
        <v>180</v>
      </c>
      <c r="C18" s="176" t="s">
        <v>181</v>
      </c>
      <c r="D18" s="178">
        <v>0.2</v>
      </c>
      <c r="E18" s="179" t="s">
        <v>155</v>
      </c>
      <c r="F18" s="176">
        <v>0.16200000000000001</v>
      </c>
      <c r="G18" s="24" t="s">
        <v>183</v>
      </c>
      <c r="H18" s="23">
        <v>1</v>
      </c>
      <c r="I18" s="162">
        <f t="shared" si="0"/>
        <v>3.2400000000000005E-2</v>
      </c>
      <c r="J18" s="55"/>
      <c r="K18" s="55"/>
      <c r="L18" s="55"/>
      <c r="M18" s="55"/>
      <c r="N18" s="55"/>
      <c r="O18" s="64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1.7913999999999999</v>
      </c>
      <c r="J19" s="21"/>
      <c r="K19" s="21"/>
      <c r="L19" s="21"/>
      <c r="M19" s="21"/>
      <c r="N19" s="21"/>
      <c r="O19" s="60"/>
    </row>
    <row r="20" spans="1:15" ht="15" thickBot="1" x14ac:dyDescent="0.3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'FR A0700'!A1" display="'FR A0700'!A1"/>
    <hyperlink ref="E3" location="dFR_0700_003!A1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24" sqref="L24"/>
    </sheetView>
  </sheetViews>
  <sheetFormatPr baseColWidth="10" defaultRowHeight="14.4" x14ac:dyDescent="0.3"/>
  <sheetData>
    <row r="1" spans="1:2" x14ac:dyDescent="0.3">
      <c r="A1" t="s">
        <v>176</v>
      </c>
      <c r="B1" s="83" t="s">
        <v>196</v>
      </c>
    </row>
  </sheetData>
  <hyperlinks>
    <hyperlink ref="B1" location="FR_0700_003!A1" display="FR_0700_003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FR_0700_004_m+FR_0700_004_p</f>
        <v>2.0173139839999998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206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4.0346279679999997</v>
      </c>
      <c r="O5" s="60"/>
    </row>
    <row r="6" spans="1:15" x14ac:dyDescent="0.3">
      <c r="A6" s="118" t="s">
        <v>7</v>
      </c>
      <c r="B6" s="25" t="s">
        <v>169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206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152</v>
      </c>
      <c r="C11" s="16"/>
      <c r="D11" s="29">
        <v>4.2</v>
      </c>
      <c r="E11" s="16"/>
      <c r="F11" s="16"/>
      <c r="G11" s="16"/>
      <c r="H11" s="15"/>
      <c r="I11" s="17" t="s">
        <v>170</v>
      </c>
      <c r="J11" s="156">
        <v>9.5840000000000005E-3</v>
      </c>
      <c r="K11" s="159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0.27291398400000005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7" t="s">
        <v>45</v>
      </c>
      <c r="C15" s="30"/>
      <c r="D15" s="31">
        <v>1.3</v>
      </c>
      <c r="E15" s="24" t="s">
        <v>35</v>
      </c>
      <c r="F15" s="144">
        <v>1</v>
      </c>
      <c r="G15" s="30" t="s">
        <v>179</v>
      </c>
      <c r="H15" s="30">
        <v>0.5</v>
      </c>
      <c r="I15" s="31">
        <f t="shared" ref="I15:I18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166</v>
      </c>
      <c r="C16" s="14"/>
      <c r="D16" s="29">
        <v>0.01</v>
      </c>
      <c r="E16" s="14" t="s">
        <v>47</v>
      </c>
      <c r="F16" s="151">
        <v>31.2</v>
      </c>
      <c r="G16" s="24" t="s">
        <v>183</v>
      </c>
      <c r="H16" s="23">
        <v>1</v>
      </c>
      <c r="I16" s="29">
        <f t="shared" si="0"/>
        <v>0.312</v>
      </c>
      <c r="J16" s="54"/>
      <c r="K16" s="54"/>
      <c r="L16" s="54"/>
      <c r="M16" s="54"/>
      <c r="N16" s="54"/>
      <c r="O16" s="60"/>
    </row>
    <row r="17" spans="1:15" s="12" customFormat="1" x14ac:dyDescent="0.3">
      <c r="A17" s="171">
        <v>30</v>
      </c>
      <c r="B17" s="172" t="s">
        <v>167</v>
      </c>
      <c r="C17" s="173"/>
      <c r="D17" s="162">
        <v>0.25</v>
      </c>
      <c r="E17" s="174" t="s">
        <v>168</v>
      </c>
      <c r="F17" s="173">
        <v>3</v>
      </c>
      <c r="G17" s="173"/>
      <c r="H17" s="173"/>
      <c r="I17" s="162">
        <f t="shared" si="0"/>
        <v>0.75</v>
      </c>
      <c r="J17" s="55"/>
      <c r="K17" s="55"/>
      <c r="L17" s="55"/>
      <c r="M17" s="55"/>
      <c r="N17" s="55"/>
      <c r="O17" s="64"/>
    </row>
    <row r="18" spans="1:15" s="12" customFormat="1" x14ac:dyDescent="0.3">
      <c r="A18" s="175">
        <v>40</v>
      </c>
      <c r="B18" s="177" t="s">
        <v>180</v>
      </c>
      <c r="C18" s="176" t="s">
        <v>181</v>
      </c>
      <c r="D18" s="178">
        <v>0.2</v>
      </c>
      <c r="E18" s="179" t="s">
        <v>155</v>
      </c>
      <c r="F18" s="175">
        <v>0.16200000000000001</v>
      </c>
      <c r="G18" s="24" t="s">
        <v>183</v>
      </c>
      <c r="H18" s="23">
        <v>1</v>
      </c>
      <c r="I18" s="162">
        <f t="shared" si="0"/>
        <v>3.2400000000000005E-2</v>
      </c>
      <c r="J18" s="55"/>
      <c r="K18" s="55"/>
      <c r="L18" s="55"/>
      <c r="M18" s="55"/>
      <c r="N18" s="55"/>
      <c r="O18" s="64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1.7444</v>
      </c>
      <c r="J19" s="21"/>
      <c r="K19" s="21"/>
      <c r="L19" s="21"/>
      <c r="M19" s="21"/>
      <c r="N19" s="21"/>
      <c r="O19" s="60"/>
    </row>
    <row r="20" spans="1:15" ht="15" thickBot="1" x14ac:dyDescent="0.3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'FR A0700'!A1" display="'FR A0700'!A1"/>
    <hyperlink ref="E3" location="dFR_0700_004!A1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10" sqref="L10"/>
    </sheetView>
  </sheetViews>
  <sheetFormatPr baseColWidth="10" defaultRowHeight="14.4" x14ac:dyDescent="0.3"/>
  <sheetData>
    <row r="1" spans="1:2" x14ac:dyDescent="0.3">
      <c r="A1" t="s">
        <v>176</v>
      </c>
      <c r="B1" s="83" t="s">
        <v>195</v>
      </c>
    </row>
  </sheetData>
  <hyperlinks>
    <hyperlink ref="B1" location="FR_0700_004!A1" display="FR_0700_004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F16" sqref="F16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FR_0700_005_m+FR_0700_005_p</f>
        <v>2.9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188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5.8</v>
      </c>
      <c r="O5" s="60"/>
    </row>
    <row r="6" spans="1:15" x14ac:dyDescent="0.3">
      <c r="A6" s="118" t="s">
        <v>7</v>
      </c>
      <c r="B6" s="25" t="s">
        <v>171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172</v>
      </c>
      <c r="C11" s="16"/>
      <c r="D11" s="29">
        <v>2.25</v>
      </c>
      <c r="E11" s="16"/>
      <c r="F11" s="16"/>
      <c r="G11" s="16"/>
      <c r="H11" s="15"/>
      <c r="I11" s="17" t="s">
        <v>170</v>
      </c>
      <c r="J11" s="90"/>
      <c r="K11" s="18">
        <v>1.5E-3</v>
      </c>
      <c r="L11" s="28">
        <v>7850</v>
      </c>
      <c r="M11" s="20">
        <v>1</v>
      </c>
      <c r="N11" s="29">
        <f>IF(J11="",D11*M11,D11*J11*K11*L11*M11)</f>
        <v>2.25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2.25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7" t="s">
        <v>45</v>
      </c>
      <c r="C15" s="30"/>
      <c r="D15" s="31">
        <v>1.3</v>
      </c>
      <c r="E15" s="24" t="s">
        <v>35</v>
      </c>
      <c r="F15" s="144">
        <v>1</v>
      </c>
      <c r="G15" s="30" t="s">
        <v>179</v>
      </c>
      <c r="H15" s="30">
        <v>0.5</v>
      </c>
      <c r="I15" s="31">
        <f t="shared" ref="I15:I16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46</v>
      </c>
      <c r="C16" s="14"/>
      <c r="D16" s="29">
        <v>0.01</v>
      </c>
      <c r="E16" s="14" t="s">
        <v>47</v>
      </c>
      <c r="F16" s="151"/>
      <c r="G16" s="24" t="s">
        <v>178</v>
      </c>
      <c r="H16" s="23">
        <v>3</v>
      </c>
      <c r="I16" s="29">
        <f t="shared" si="0"/>
        <v>0</v>
      </c>
      <c r="J16" s="54"/>
      <c r="K16" s="54"/>
      <c r="L16" s="54"/>
      <c r="M16" s="54"/>
      <c r="N16" s="54"/>
      <c r="O16" s="60"/>
    </row>
    <row r="17" spans="1:15" x14ac:dyDescent="0.3">
      <c r="A17" s="66"/>
      <c r="B17" s="21"/>
      <c r="C17" s="21"/>
      <c r="D17" s="21"/>
      <c r="E17" s="21"/>
      <c r="F17" s="21"/>
      <c r="G17" s="21"/>
      <c r="H17" s="127" t="s">
        <v>18</v>
      </c>
      <c r="I17" s="125">
        <f>SUM(I15:I16)</f>
        <v>0.65</v>
      </c>
      <c r="J17" s="21"/>
      <c r="K17" s="21"/>
      <c r="L17" s="21"/>
      <c r="M17" s="21"/>
      <c r="N17" s="21"/>
      <c r="O17" s="60"/>
    </row>
    <row r="18" spans="1:15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</sheetData>
  <hyperlinks>
    <hyperlink ref="B4" location="'FR A0700'!A1" display="'FR A0700'!A1"/>
    <hyperlink ref="E3" location="dFR_0700_005!A1" display="Drawing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16" sqref="K16"/>
    </sheetView>
  </sheetViews>
  <sheetFormatPr baseColWidth="10" defaultRowHeight="14.4" x14ac:dyDescent="0.3"/>
  <sheetData>
    <row r="1" spans="1:2" x14ac:dyDescent="0.3">
      <c r="A1" t="s">
        <v>176</v>
      </c>
      <c r="B1" s="83" t="s">
        <v>194</v>
      </c>
    </row>
  </sheetData>
  <hyperlinks>
    <hyperlink ref="B1" location="FR_0700_005!A1" display="FR_0700_005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F16" sqref="F16"/>
    </sheetView>
  </sheetViews>
  <sheetFormatPr baseColWidth="10" defaultColWidth="9.109375" defaultRowHeight="14.4" x14ac:dyDescent="0.3"/>
  <cols>
    <col min="2" max="2" width="34.6640625" bestFit="1" customWidth="1"/>
    <col min="7" max="7" width="29.21875" customWidth="1"/>
    <col min="9" max="9" width="10.7773437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FR_0700_006_m+FR_0700_006_p</f>
        <v>2.9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191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5.8</v>
      </c>
      <c r="O5" s="60"/>
    </row>
    <row r="6" spans="1:15" x14ac:dyDescent="0.3">
      <c r="A6" s="118" t="s">
        <v>7</v>
      </c>
      <c r="B6" s="25" t="s">
        <v>173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172</v>
      </c>
      <c r="C11" s="16"/>
      <c r="D11" s="29">
        <v>2.25</v>
      </c>
      <c r="E11" s="16"/>
      <c r="F11" s="16"/>
      <c r="G11" s="16"/>
      <c r="H11" s="15"/>
      <c r="I11" s="17" t="s">
        <v>174</v>
      </c>
      <c r="J11" s="90"/>
      <c r="K11" s="18">
        <v>1.5E-3</v>
      </c>
      <c r="L11" s="28">
        <v>7850</v>
      </c>
      <c r="M11" s="20">
        <v>1</v>
      </c>
      <c r="N11" s="29">
        <f>IF(J11="",D11*M11,D11*J11*K11*L11*M11)</f>
        <v>2.25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2.25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7" t="s">
        <v>45</v>
      </c>
      <c r="C15" s="30"/>
      <c r="D15" s="31">
        <v>1.3</v>
      </c>
      <c r="E15" s="24" t="s">
        <v>35</v>
      </c>
      <c r="F15" s="144">
        <v>1</v>
      </c>
      <c r="G15" s="30" t="s">
        <v>211</v>
      </c>
      <c r="H15" s="30">
        <v>0.5</v>
      </c>
      <c r="I15" s="31">
        <f t="shared" ref="I15:I16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46</v>
      </c>
      <c r="C16" s="14"/>
      <c r="D16" s="29">
        <v>0.01</v>
      </c>
      <c r="E16" s="14" t="s">
        <v>47</v>
      </c>
      <c r="F16" s="151"/>
      <c r="G16" s="24" t="s">
        <v>178</v>
      </c>
      <c r="H16" s="23">
        <v>3</v>
      </c>
      <c r="I16" s="29">
        <f t="shared" si="0"/>
        <v>0</v>
      </c>
      <c r="J16" s="54"/>
      <c r="K16" s="54"/>
      <c r="L16" s="54"/>
      <c r="M16" s="54"/>
      <c r="N16" s="54"/>
      <c r="O16" s="60"/>
    </row>
    <row r="17" spans="1:15" x14ac:dyDescent="0.3">
      <c r="A17" s="66"/>
      <c r="B17" s="21"/>
      <c r="C17" s="21"/>
      <c r="D17" s="21"/>
      <c r="E17" s="21"/>
      <c r="F17" s="21"/>
      <c r="G17" s="21"/>
      <c r="H17" s="127" t="s">
        <v>18</v>
      </c>
      <c r="I17" s="125">
        <f>SUM(I15:I16)</f>
        <v>0.65</v>
      </c>
      <c r="J17" s="21"/>
      <c r="K17" s="21"/>
      <c r="L17" s="21"/>
      <c r="M17" s="21"/>
      <c r="N17" s="21"/>
      <c r="O17" s="60"/>
    </row>
    <row r="18" spans="1:15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</sheetData>
  <hyperlinks>
    <hyperlink ref="B4" location="'FR A0700'!A1" display="'FR A0700'!A1"/>
    <hyperlink ref="E3" location="dFR_0700_006!A1" display="Drawing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18" sqref="K18"/>
    </sheetView>
  </sheetViews>
  <sheetFormatPr baseColWidth="10" defaultRowHeight="14.4" x14ac:dyDescent="0.3"/>
  <sheetData>
    <row r="1" spans="1:2" x14ac:dyDescent="0.3">
      <c r="A1" t="s">
        <v>176</v>
      </c>
      <c r="B1" s="83" t="s">
        <v>193</v>
      </c>
    </row>
  </sheetData>
  <hyperlinks>
    <hyperlink ref="B1" location="FR_0700_006!A1" display="FR_0700_006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FR_0700_007_m+FR_0700_007_p</f>
        <v>2.5750000000000002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4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210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10.3</v>
      </c>
      <c r="O5" s="60"/>
    </row>
    <row r="6" spans="1:15" x14ac:dyDescent="0.3">
      <c r="A6" s="118" t="s">
        <v>7</v>
      </c>
      <c r="B6" s="25" t="s">
        <v>175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172</v>
      </c>
      <c r="C11" s="16"/>
      <c r="D11" s="29">
        <v>2.25</v>
      </c>
      <c r="E11" s="16"/>
      <c r="F11" s="16"/>
      <c r="G11" s="16"/>
      <c r="H11" s="15"/>
      <c r="I11" s="17" t="s">
        <v>170</v>
      </c>
      <c r="J11" s="90"/>
      <c r="K11" s="18">
        <v>1.5E-3</v>
      </c>
      <c r="L11" s="28">
        <v>7850</v>
      </c>
      <c r="M11" s="20">
        <v>1</v>
      </c>
      <c r="N11" s="29">
        <f>IF(J11="",D11*M11,D11*J11*K11*L11*M11)</f>
        <v>2.25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2.25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7" t="s">
        <v>45</v>
      </c>
      <c r="C15" s="30"/>
      <c r="D15" s="31">
        <v>1.3</v>
      </c>
      <c r="E15" s="24" t="s">
        <v>35</v>
      </c>
      <c r="F15" s="144">
        <v>1</v>
      </c>
      <c r="G15" s="30" t="s">
        <v>177</v>
      </c>
      <c r="H15" s="30">
        <v>0.25</v>
      </c>
      <c r="I15" s="31">
        <f t="shared" ref="I15:I16" si="0">IF(H15="",D15*F15,D15*F15*H15)</f>
        <v>0.32500000000000001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46</v>
      </c>
      <c r="C16" s="14"/>
      <c r="D16" s="29">
        <v>0.01</v>
      </c>
      <c r="E16" s="14" t="s">
        <v>47</v>
      </c>
      <c r="F16" s="151"/>
      <c r="G16" s="24" t="s">
        <v>178</v>
      </c>
      <c r="H16" s="23">
        <v>3</v>
      </c>
      <c r="I16" s="29">
        <f t="shared" si="0"/>
        <v>0</v>
      </c>
      <c r="J16" s="54"/>
      <c r="K16" s="54"/>
      <c r="L16" s="54"/>
      <c r="M16" s="54"/>
      <c r="N16" s="54"/>
      <c r="O16" s="60"/>
    </row>
    <row r="17" spans="1:15" x14ac:dyDescent="0.3">
      <c r="A17" s="66"/>
      <c r="B17" s="21"/>
      <c r="C17" s="21"/>
      <c r="D17" s="21"/>
      <c r="E17" s="21"/>
      <c r="F17" s="21"/>
      <c r="G17" s="21"/>
      <c r="H17" s="127" t="s">
        <v>18</v>
      </c>
      <c r="I17" s="125">
        <f>SUM(I15:I16)</f>
        <v>0.32500000000000001</v>
      </c>
      <c r="J17" s="21"/>
      <c r="K17" s="21"/>
      <c r="L17" s="21"/>
      <c r="M17" s="21"/>
      <c r="N17" s="21"/>
      <c r="O17" s="60"/>
    </row>
    <row r="18" spans="1:15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</sheetData>
  <hyperlinks>
    <hyperlink ref="B4" location="'FR A0700'!A1" display="'FR A0700'!A1"/>
    <hyperlink ref="E3" location="dFR_0700_007!A1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176</v>
      </c>
      <c r="B1" s="83" t="s">
        <v>192</v>
      </c>
    </row>
  </sheetData>
  <hyperlinks>
    <hyperlink ref="B1" location="FR_0700_007!A1" display="FR_0700_007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2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5" sqref="F15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0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0" t="s">
        <v>0</v>
      </c>
      <c r="B1" s="88" t="s">
        <v>44</v>
      </c>
      <c r="D1" s="41"/>
      <c r="M1" s="53" t="s">
        <v>48</v>
      </c>
      <c r="N1" s="42"/>
      <c r="O1" s="52" t="e">
        <f>#REF!</f>
        <v>#REF!</v>
      </c>
    </row>
    <row r="2" spans="1:15" s="10" customFormat="1" ht="15" thickBot="1" x14ac:dyDescent="0.35">
      <c r="A2" s="48" t="s">
        <v>49</v>
      </c>
      <c r="B2" s="87" t="s">
        <v>133</v>
      </c>
      <c r="C2" s="9"/>
      <c r="F2" s="37"/>
    </row>
    <row r="3" spans="1:15" s="10" customFormat="1" ht="15.6" thickTop="1" thickBot="1" x14ac:dyDescent="0.35">
      <c r="A3" s="49" t="s">
        <v>50</v>
      </c>
      <c r="B3" s="51">
        <v>2018</v>
      </c>
      <c r="C3" s="9"/>
      <c r="F3" s="37"/>
    </row>
    <row r="4" spans="1:15" s="10" customFormat="1" ht="15.6" thickTop="1" thickBot="1" x14ac:dyDescent="0.35">
      <c r="A4" s="47" t="s">
        <v>1</v>
      </c>
      <c r="B4" s="86">
        <v>81</v>
      </c>
      <c r="C4" s="9"/>
      <c r="D4" s="41" t="s">
        <v>51</v>
      </c>
      <c r="F4" s="37"/>
    </row>
    <row r="5" spans="1:15" s="35" customFormat="1" ht="15" thickTop="1" x14ac:dyDescent="0.3">
      <c r="A5" s="34"/>
      <c r="B5" s="38"/>
      <c r="C5" s="36"/>
      <c r="F5" s="39"/>
    </row>
    <row r="6" spans="1:15" s="33" customFormat="1" ht="49.5" customHeight="1" x14ac:dyDescent="0.25">
      <c r="A6" s="32" t="s">
        <v>52</v>
      </c>
      <c r="B6" s="44" t="s">
        <v>53</v>
      </c>
      <c r="C6" s="44" t="s">
        <v>54</v>
      </c>
      <c r="D6" s="44" t="s">
        <v>55</v>
      </c>
      <c r="E6" s="44" t="s">
        <v>56</v>
      </c>
      <c r="F6" s="44" t="s">
        <v>57</v>
      </c>
      <c r="G6" s="44" t="s">
        <v>58</v>
      </c>
      <c r="H6" s="46" t="s">
        <v>59</v>
      </c>
      <c r="I6" s="44" t="s">
        <v>17</v>
      </c>
      <c r="J6" s="44" t="s">
        <v>60</v>
      </c>
      <c r="K6" s="44" t="s">
        <v>61</v>
      </c>
      <c r="L6" s="44" t="s">
        <v>62</v>
      </c>
      <c r="M6" s="44" t="s">
        <v>63</v>
      </c>
      <c r="N6" s="45" t="s">
        <v>64</v>
      </c>
      <c r="O6" s="44" t="s">
        <v>65</v>
      </c>
    </row>
    <row r="7" spans="1:15" ht="14.4" x14ac:dyDescent="0.3">
      <c r="A7" s="97"/>
      <c r="B7" s="98" t="str">
        <f>'FR A0700'!B3</f>
        <v>Frame and Body</v>
      </c>
      <c r="C7" s="99" t="str">
        <f>FR_A0700</f>
        <v>FR A0700</v>
      </c>
      <c r="D7" s="99" t="s">
        <v>11</v>
      </c>
      <c r="E7" s="99"/>
      <c r="F7" s="100" t="str">
        <f>'FR A0700'!B4</f>
        <v>Bodywork</v>
      </c>
      <c r="G7" s="99"/>
      <c r="H7" s="101">
        <f t="shared" ref="H7:H15" si="0">SUM(J7:M7)</f>
        <v>12.195889632755819</v>
      </c>
      <c r="I7" s="102">
        <f>FR_A0700_q</f>
        <v>1</v>
      </c>
      <c r="J7" s="103">
        <f>FR_A0700_m</f>
        <v>0</v>
      </c>
      <c r="K7" s="103">
        <f>FR_A0700_p</f>
        <v>11.094999999999999</v>
      </c>
      <c r="L7" s="103">
        <f>FR_A0700_f</f>
        <v>1.1008896327558189</v>
      </c>
      <c r="M7" s="103">
        <f>FR_A0700_t</f>
        <v>0</v>
      </c>
      <c r="N7" s="104">
        <f t="shared" ref="N7:N15" si="1">H7*I7</f>
        <v>12.195889632755819</v>
      </c>
      <c r="O7" s="105"/>
    </row>
    <row r="8" spans="1:15" ht="14.4" x14ac:dyDescent="0.3">
      <c r="A8" s="106"/>
      <c r="B8" s="107" t="str">
        <f>'FR A0700'!B3</f>
        <v>Frame and Body</v>
      </c>
      <c r="C8" s="108" t="str">
        <f>FR_0700_000</f>
        <v>FR_0300_000</v>
      </c>
      <c r="D8" s="109" t="s">
        <v>11</v>
      </c>
      <c r="E8" s="109" t="str">
        <f>$F$7</f>
        <v>Bodywork</v>
      </c>
      <c r="F8" s="110" t="str">
        <f>FR_0700_000!B5</f>
        <v>Nose</v>
      </c>
      <c r="G8" s="109"/>
      <c r="H8" s="111">
        <f t="shared" si="0"/>
        <v>3.10793344</v>
      </c>
      <c r="I8" s="112">
        <f>FR_A0700_q*FR_0700_000_q</f>
        <v>1</v>
      </c>
      <c r="J8" s="113">
        <f>FR_0700_000_m</f>
        <v>0.8383334400000001</v>
      </c>
      <c r="K8" s="113">
        <f>FR_0700_000_p</f>
        <v>2.2696000000000001</v>
      </c>
      <c r="L8" s="113">
        <v>0</v>
      </c>
      <c r="M8" s="113">
        <v>0</v>
      </c>
      <c r="N8" s="114">
        <f t="shared" si="1"/>
        <v>3.10793344</v>
      </c>
      <c r="O8" s="115"/>
    </row>
    <row r="9" spans="1:15" ht="14.4" x14ac:dyDescent="0.3">
      <c r="A9" s="106"/>
      <c r="B9" s="107" t="str">
        <f>'FR A0700'!$B$3</f>
        <v>Frame and Body</v>
      </c>
      <c r="C9" s="109" t="str">
        <f>FR_0700_001</f>
        <v>FR_0300_001</v>
      </c>
      <c r="D9" s="109" t="s">
        <v>11</v>
      </c>
      <c r="E9" s="109" t="str">
        <f t="shared" ref="E9:E15" si="2">$F$7</f>
        <v>Bodywork</v>
      </c>
      <c r="F9" s="110" t="str">
        <f>FR_0700_001!B5</f>
        <v>Left Inlet</v>
      </c>
      <c r="G9" s="109"/>
      <c r="H9" s="111">
        <f t="shared" si="0"/>
        <v>5.6870399999999997</v>
      </c>
      <c r="I9" s="116">
        <f>FR_A0700_q*FR_0700_001_q</f>
        <v>1</v>
      </c>
      <c r="J9" s="113">
        <f>FR_0700_001_m</f>
        <v>1.1390400000000001</v>
      </c>
      <c r="K9" s="113">
        <f>FR_0700_001_p</f>
        <v>4.548</v>
      </c>
      <c r="L9" s="113">
        <v>0</v>
      </c>
      <c r="M9" s="113">
        <v>0</v>
      </c>
      <c r="N9" s="114">
        <f t="shared" si="1"/>
        <v>5.6870399999999997</v>
      </c>
      <c r="O9" s="115"/>
    </row>
    <row r="10" spans="1:15" ht="14.4" x14ac:dyDescent="0.3">
      <c r="A10" s="106"/>
      <c r="B10" s="107" t="str">
        <f>'FR A0700'!$B$3</f>
        <v>Frame and Body</v>
      </c>
      <c r="C10" s="109" t="str">
        <f>FR_0700_002</f>
        <v>FR_0300_002</v>
      </c>
      <c r="D10" s="109" t="s">
        <v>11</v>
      </c>
      <c r="E10" s="109" t="str">
        <f t="shared" si="2"/>
        <v>Bodywork</v>
      </c>
      <c r="F10" s="170" t="str">
        <f>FR_0700_002!B5</f>
        <v>Right Inlet</v>
      </c>
      <c r="G10" s="109"/>
      <c r="H10" s="111">
        <f t="shared" si="0"/>
        <v>4.8410399999999996</v>
      </c>
      <c r="I10" s="112">
        <f>FR_A0700_q*FR_0700_002_q</f>
        <v>1</v>
      </c>
      <c r="J10" s="113">
        <f>FR_0700_002_m</f>
        <v>1.1390400000000001</v>
      </c>
      <c r="K10" s="113">
        <f>FR_0700_002_p</f>
        <v>3.702</v>
      </c>
      <c r="L10" s="113">
        <v>0</v>
      </c>
      <c r="M10" s="113">
        <v>0</v>
      </c>
      <c r="N10" s="114">
        <f t="shared" si="1"/>
        <v>4.8410399999999996</v>
      </c>
      <c r="O10" s="115"/>
    </row>
    <row r="11" spans="1:15" ht="14.4" x14ac:dyDescent="0.3">
      <c r="A11" s="106"/>
      <c r="B11" s="107" t="str">
        <f>'FR A0700'!$B$3</f>
        <v>Frame and Body</v>
      </c>
      <c r="C11" s="109" t="str">
        <f>FR_0700_003</f>
        <v>FR_0300_003</v>
      </c>
      <c r="D11" s="109" t="s">
        <v>11</v>
      </c>
      <c r="E11" s="109" t="str">
        <f t="shared" si="2"/>
        <v>Bodywork</v>
      </c>
      <c r="F11" s="110" t="str">
        <f>FR_0700_003!B5</f>
        <v>Front Side plate</v>
      </c>
      <c r="G11" s="109"/>
      <c r="H11" s="111">
        <f t="shared" si="0"/>
        <v>2.1023579199999998</v>
      </c>
      <c r="I11" s="112">
        <f>FR_A0700_q*FR_0700_003_q</f>
        <v>2</v>
      </c>
      <c r="J11" s="113">
        <f>FR_0700_003_m</f>
        <v>0.31095792</v>
      </c>
      <c r="K11" s="113">
        <f>FR_0700_003_p</f>
        <v>1.7913999999999999</v>
      </c>
      <c r="L11" s="113">
        <v>0</v>
      </c>
      <c r="M11" s="113">
        <v>0</v>
      </c>
      <c r="N11" s="114">
        <f t="shared" si="1"/>
        <v>4.2047158399999995</v>
      </c>
      <c r="O11" s="115"/>
    </row>
    <row r="12" spans="1:15" ht="14.4" x14ac:dyDescent="0.3">
      <c r="A12" s="106"/>
      <c r="B12" s="107" t="str">
        <f>'FR A0700'!$B$3</f>
        <v>Frame and Body</v>
      </c>
      <c r="C12" s="109" t="str">
        <f>FR_0700_004</f>
        <v>FR_0300_004</v>
      </c>
      <c r="D12" s="109" t="s">
        <v>11</v>
      </c>
      <c r="E12" s="109" t="str">
        <f t="shared" si="2"/>
        <v>Bodywork</v>
      </c>
      <c r="F12" s="110" t="str">
        <f>FR_0700_004!B5</f>
        <v>Back Side Plate</v>
      </c>
      <c r="G12" s="109"/>
      <c r="H12" s="111">
        <f t="shared" si="0"/>
        <v>2.0173139839999998</v>
      </c>
      <c r="I12" s="112">
        <f>FR_A0700_q*FR_0700_004_q</f>
        <v>2</v>
      </c>
      <c r="J12" s="113">
        <f>FR_0700_004_m</f>
        <v>0.27291398400000005</v>
      </c>
      <c r="K12" s="113">
        <f>FR_0700_004_p</f>
        <v>1.7444</v>
      </c>
      <c r="L12" s="113">
        <v>0</v>
      </c>
      <c r="M12" s="113">
        <v>0</v>
      </c>
      <c r="N12" s="114">
        <f t="shared" si="1"/>
        <v>4.0346279679999997</v>
      </c>
      <c r="O12" s="115"/>
    </row>
    <row r="13" spans="1:15" ht="14.4" x14ac:dyDescent="0.3">
      <c r="A13" s="106"/>
      <c r="B13" s="107" t="str">
        <f>'FR A0700'!$B$3</f>
        <v>Frame and Body</v>
      </c>
      <c r="C13" s="109" t="str">
        <f>FR_0700_005</f>
        <v>FR_0300_005</v>
      </c>
      <c r="D13" s="109" t="s">
        <v>11</v>
      </c>
      <c r="E13" s="109" t="str">
        <f t="shared" si="2"/>
        <v>Bodywork</v>
      </c>
      <c r="F13" s="110" t="str">
        <f>FR_0700_005!B5</f>
        <v>Back Inlet Bracket</v>
      </c>
      <c r="G13" s="109"/>
      <c r="H13" s="111">
        <f t="shared" si="0"/>
        <v>2.9</v>
      </c>
      <c r="I13" s="112">
        <f>FR_A0700_q*FR_0700_005_q</f>
        <v>2</v>
      </c>
      <c r="J13" s="113">
        <f>FR_0700_005_m</f>
        <v>2.25</v>
      </c>
      <c r="K13" s="113">
        <f>FR_0700_005_p</f>
        <v>0.65</v>
      </c>
      <c r="L13" s="113">
        <v>0</v>
      </c>
      <c r="M13" s="113">
        <v>0</v>
      </c>
      <c r="N13" s="114">
        <f t="shared" si="1"/>
        <v>5.8</v>
      </c>
      <c r="O13" s="115"/>
    </row>
    <row r="14" spans="1:15" ht="14.4" x14ac:dyDescent="0.3">
      <c r="A14" s="106"/>
      <c r="B14" s="107" t="str">
        <f>'FR A0700'!$B$3</f>
        <v>Frame and Body</v>
      </c>
      <c r="C14" s="109" t="str">
        <f>FR_0700_006</f>
        <v>FR_0300_006</v>
      </c>
      <c r="D14" s="109" t="s">
        <v>11</v>
      </c>
      <c r="E14" s="109" t="str">
        <f t="shared" si="2"/>
        <v>Bodywork</v>
      </c>
      <c r="F14" s="110" t="str">
        <f>FR_0700_006!B5</f>
        <v>Front Inlet Bracket</v>
      </c>
      <c r="G14" s="109"/>
      <c r="H14" s="111">
        <f t="shared" si="0"/>
        <v>2.9</v>
      </c>
      <c r="I14" s="112">
        <f>FR_A0700_q*FR_0700_006_q</f>
        <v>2</v>
      </c>
      <c r="J14" s="113">
        <f>FR_0700_006_m</f>
        <v>2.25</v>
      </c>
      <c r="K14" s="113">
        <f>FR_0700_006_p</f>
        <v>0.65</v>
      </c>
      <c r="L14" s="113">
        <v>0</v>
      </c>
      <c r="M14" s="113">
        <v>0</v>
      </c>
      <c r="N14" s="114">
        <f t="shared" si="1"/>
        <v>5.8</v>
      </c>
      <c r="O14" s="115"/>
    </row>
    <row r="15" spans="1:15" ht="14.4" x14ac:dyDescent="0.3">
      <c r="A15" s="106"/>
      <c r="B15" s="107" t="str">
        <f>'FR A0700'!$B$3</f>
        <v>Frame and Body</v>
      </c>
      <c r="C15" s="109" t="str">
        <f>FR_0700_007</f>
        <v>FR_0300_007</v>
      </c>
      <c r="D15" s="109" t="s">
        <v>11</v>
      </c>
      <c r="E15" s="109" t="str">
        <f t="shared" si="2"/>
        <v>Bodywork</v>
      </c>
      <c r="F15" s="110" t="str">
        <f>FR_0700_007!B5</f>
        <v>Nose Bracket</v>
      </c>
      <c r="G15" s="117"/>
      <c r="H15" s="111">
        <f t="shared" si="0"/>
        <v>2.5750000000000002</v>
      </c>
      <c r="I15" s="112">
        <f>FR_A0700_q*FR_0700_007_q</f>
        <v>4</v>
      </c>
      <c r="J15" s="113">
        <f>FR_0700_007_m</f>
        <v>2.25</v>
      </c>
      <c r="K15" s="113">
        <f>FR_0700_007_p</f>
        <v>0.32500000000000001</v>
      </c>
      <c r="L15" s="113">
        <v>0</v>
      </c>
      <c r="M15" s="113">
        <v>0</v>
      </c>
      <c r="N15" s="114">
        <f t="shared" si="1"/>
        <v>10.3</v>
      </c>
      <c r="O15" s="115"/>
    </row>
    <row r="16" spans="1:15" s="7" customFormat="1" ht="14.4" thickBot="1" x14ac:dyDescent="0.3">
      <c r="A16" s="163"/>
      <c r="B16" s="164" t="str">
        <f>'FR A0700'!B3</f>
        <v>Frame and Body</v>
      </c>
      <c r="C16" s="165"/>
      <c r="D16" s="165"/>
      <c r="E16" s="165"/>
      <c r="F16" s="164" t="s">
        <v>66</v>
      </c>
      <c r="G16" s="165"/>
      <c r="H16" s="166"/>
      <c r="I16" s="167"/>
      <c r="J16" s="168">
        <f>SUMPRODUCT($I7:$I15,J7:J15)</f>
        <v>22.284157248</v>
      </c>
      <c r="K16" s="168">
        <f>SUMPRODUCT($I7:$I15,K7:K15)</f>
        <v>32.586199999999998</v>
      </c>
      <c r="L16" s="168">
        <f>SUMPRODUCT($I7:$I15,L7:L15)</f>
        <v>1.1008896327558189</v>
      </c>
      <c r="M16" s="168">
        <f>SUMPRODUCT($I7:$I15,M7:M15)</f>
        <v>0</v>
      </c>
      <c r="N16" s="168">
        <f>SUM(N7:N15)</f>
        <v>55.971246880755814</v>
      </c>
      <c r="O16" s="169"/>
    </row>
    <row r="17" spans="1:14" ht="13.8" thickTop="1" x14ac:dyDescent="0.25">
      <c r="A17" s="6"/>
      <c r="B17" s="40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40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3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3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40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40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40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40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40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40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40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0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0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0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40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40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40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40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40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40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40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0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0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0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0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0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0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0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0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0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0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0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0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0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0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0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0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0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0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0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0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0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0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0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0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0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0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0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0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0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0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0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0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0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0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0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0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0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0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0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0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0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0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0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0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0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0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0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0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0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0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0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0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0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0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0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0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0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0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0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0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0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0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0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0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0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0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0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0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0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0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0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0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0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0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0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0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0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0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0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0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0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0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0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0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0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0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0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0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0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0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0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0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0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0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0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0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0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0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0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'FR A0700'!A1" display="'FR A0700'!A1"/>
    <hyperlink ref="F8" location="FR_0700_000!A1" display="FR_0700_000!A1"/>
    <hyperlink ref="F9" location="FR_0700_001!A1" display="FR_0700_001!A1"/>
    <hyperlink ref="F10" location="FR_0700_002!A1" display="FR_0700_002!A1"/>
    <hyperlink ref="F11" location="FR_0700_003!A1" display="FR_0700_003!A1"/>
    <hyperlink ref="F12" location="FR_0700_004!A1" display="FR_0700_004!A1"/>
    <hyperlink ref="F13" location="FR_0700_005!A1" display="FR_0700_005!A1"/>
    <hyperlink ref="F14" location="FR_0700_006!A1" display="FR_0700_006!A1"/>
    <hyperlink ref="F15" location="FR_0700_007!A1" display="FR_0700_007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44"/>
  <sheetViews>
    <sheetView tabSelected="1" zoomScale="75" zoomScaleNormal="75" zoomScaleSheetLayoutView="80" workbookViewId="0"/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91" t="s">
        <v>0</v>
      </c>
      <c r="B2" s="11" t="s">
        <v>44</v>
      </c>
      <c r="C2" s="54"/>
      <c r="D2" s="54"/>
      <c r="E2" s="54" t="s">
        <v>134</v>
      </c>
      <c r="F2" s="54"/>
      <c r="G2" s="54"/>
      <c r="H2" s="54"/>
      <c r="I2" s="54"/>
      <c r="J2" s="91" t="s">
        <v>1</v>
      </c>
      <c r="K2" s="76">
        <v>81</v>
      </c>
      <c r="L2" s="54"/>
      <c r="M2" s="91" t="s">
        <v>2</v>
      </c>
      <c r="N2" s="89">
        <f>FR_A0700_pa+FR_A0700_m+FR_A0700_p+FR_A0700_f+FR_A0700_t</f>
        <v>55.971246880755807</v>
      </c>
      <c r="O2" s="60"/>
    </row>
    <row r="3" spans="1:15" x14ac:dyDescent="0.3">
      <c r="A3" s="91" t="s">
        <v>3</v>
      </c>
      <c r="B3" s="11" t="s">
        <v>137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91" t="s">
        <v>4</v>
      </c>
      <c r="N3" s="75">
        <v>1</v>
      </c>
      <c r="O3" s="60"/>
    </row>
    <row r="4" spans="1:15" x14ac:dyDescent="0.3">
      <c r="A4" s="91" t="s">
        <v>5</v>
      </c>
      <c r="B4" s="55" t="s">
        <v>185</v>
      </c>
      <c r="C4" s="54"/>
      <c r="D4" s="54"/>
      <c r="E4" s="54"/>
      <c r="F4" s="54"/>
      <c r="G4" s="54"/>
      <c r="H4" s="54"/>
      <c r="I4" s="54"/>
      <c r="J4" s="94" t="s">
        <v>6</v>
      </c>
      <c r="K4" s="54"/>
      <c r="L4" s="54"/>
      <c r="M4" s="54"/>
      <c r="N4" s="54"/>
      <c r="O4" s="60"/>
    </row>
    <row r="5" spans="1:15" x14ac:dyDescent="0.3">
      <c r="A5" s="91" t="s">
        <v>7</v>
      </c>
      <c r="B5" s="13" t="s">
        <v>184</v>
      </c>
      <c r="C5" s="54"/>
      <c r="D5" s="54"/>
      <c r="E5" s="54"/>
      <c r="F5" s="54"/>
      <c r="G5" s="54"/>
      <c r="H5" s="54"/>
      <c r="I5" s="54"/>
      <c r="J5" s="94" t="s">
        <v>8</v>
      </c>
      <c r="K5" s="54"/>
      <c r="L5" s="54"/>
      <c r="M5" s="91" t="s">
        <v>9</v>
      </c>
      <c r="N5" s="72">
        <f>N2*N3</f>
        <v>55.971246880755807</v>
      </c>
      <c r="O5" s="60"/>
    </row>
    <row r="6" spans="1:15" x14ac:dyDescent="0.3">
      <c r="A6" s="91" t="s">
        <v>10</v>
      </c>
      <c r="B6" s="11" t="s">
        <v>11</v>
      </c>
      <c r="C6" s="54"/>
      <c r="D6" s="54"/>
      <c r="E6" s="54"/>
      <c r="F6" s="54"/>
      <c r="G6" s="54"/>
      <c r="H6" s="54"/>
      <c r="I6" s="54"/>
      <c r="J6" s="94" t="s">
        <v>12</v>
      </c>
      <c r="K6" s="54"/>
      <c r="L6" s="54"/>
      <c r="M6" s="54"/>
      <c r="N6" s="54"/>
      <c r="O6" s="60"/>
    </row>
    <row r="7" spans="1:15" x14ac:dyDescent="0.3">
      <c r="A7" s="91" t="s">
        <v>13</v>
      </c>
      <c r="B7" s="11" t="s">
        <v>186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61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130" t="s">
        <v>14</v>
      </c>
      <c r="B9" s="130" t="s">
        <v>15</v>
      </c>
      <c r="C9" s="91" t="s">
        <v>16</v>
      </c>
      <c r="D9" s="91" t="s">
        <v>17</v>
      </c>
      <c r="E9" s="91" t="s">
        <v>18</v>
      </c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61">
        <v>10</v>
      </c>
      <c r="B10" s="194" t="s">
        <v>187</v>
      </c>
      <c r="C10" s="195">
        <f>FR_0700_000!N2</f>
        <v>3.10793344</v>
      </c>
      <c r="D10" s="160">
        <f>FR_0700_000_q</f>
        <v>1</v>
      </c>
      <c r="E10" s="72">
        <f>C10*D10</f>
        <v>3.10793344</v>
      </c>
      <c r="F10" s="54"/>
      <c r="G10" s="54"/>
      <c r="H10" s="54"/>
      <c r="I10" s="54"/>
      <c r="J10" s="54"/>
      <c r="K10" s="54"/>
      <c r="L10" s="54"/>
      <c r="M10" s="54"/>
      <c r="N10" s="54"/>
      <c r="O10" s="60"/>
    </row>
    <row r="11" spans="1:15" x14ac:dyDescent="0.3">
      <c r="A11" s="188">
        <v>20</v>
      </c>
      <c r="B11" s="199" t="s">
        <v>190</v>
      </c>
      <c r="C11" s="189">
        <f>FR_0700_001!N2</f>
        <v>5.6870399999999997</v>
      </c>
      <c r="D11" s="129">
        <f>FR_0700_001_q</f>
        <v>1</v>
      </c>
      <c r="E11" s="72">
        <f t="shared" ref="E11:E17" si="0">C11*D11</f>
        <v>5.6870399999999997</v>
      </c>
      <c r="F11" s="55"/>
      <c r="G11" s="55"/>
      <c r="H11" s="55"/>
      <c r="I11" s="55"/>
      <c r="J11" s="55"/>
      <c r="K11" s="55"/>
      <c r="L11" s="55"/>
      <c r="M11" s="55"/>
      <c r="N11" s="55"/>
      <c r="O11" s="60"/>
    </row>
    <row r="12" spans="1:15" x14ac:dyDescent="0.3">
      <c r="A12" s="188">
        <v>30</v>
      </c>
      <c r="B12" s="199" t="s">
        <v>189</v>
      </c>
      <c r="C12" s="189">
        <f>FR_0700_002!N2</f>
        <v>4.8410399999999996</v>
      </c>
      <c r="D12" s="129">
        <f>FR_0700_002_q</f>
        <v>1</v>
      </c>
      <c r="E12" s="72">
        <f t="shared" si="0"/>
        <v>4.8410399999999996</v>
      </c>
      <c r="F12" s="55"/>
      <c r="G12" s="55"/>
      <c r="H12" s="55"/>
      <c r="I12" s="55"/>
      <c r="J12" s="55"/>
      <c r="K12" s="55"/>
      <c r="L12" s="55"/>
      <c r="M12" s="55"/>
      <c r="N12" s="55"/>
      <c r="O12" s="63"/>
    </row>
    <row r="13" spans="1:15" x14ac:dyDescent="0.3">
      <c r="A13" s="196">
        <v>40</v>
      </c>
      <c r="B13" s="197" t="s">
        <v>205</v>
      </c>
      <c r="C13" s="198">
        <f>FR_0700_003!N2</f>
        <v>2.1023579199999998</v>
      </c>
      <c r="D13" s="71">
        <f>FR_0700_003_q</f>
        <v>2</v>
      </c>
      <c r="E13" s="72">
        <f t="shared" si="0"/>
        <v>4.2047158399999995</v>
      </c>
      <c r="F13" s="55"/>
      <c r="G13" s="55"/>
      <c r="H13" s="55"/>
      <c r="I13" s="55"/>
      <c r="J13" s="55"/>
      <c r="K13" s="55"/>
      <c r="L13" s="55"/>
      <c r="M13" s="55"/>
      <c r="N13" s="55"/>
      <c r="O13" s="63"/>
    </row>
    <row r="14" spans="1:15" x14ac:dyDescent="0.3">
      <c r="A14" s="14">
        <v>50</v>
      </c>
      <c r="B14" s="158" t="s">
        <v>206</v>
      </c>
      <c r="C14" s="128">
        <f>FR_0700_004!N2</f>
        <v>2.0173139839999998</v>
      </c>
      <c r="D14" s="71">
        <f>FR_0700_004_q</f>
        <v>2</v>
      </c>
      <c r="E14" s="72">
        <f t="shared" si="0"/>
        <v>4.0346279679999997</v>
      </c>
      <c r="F14" s="55"/>
      <c r="G14" s="55"/>
      <c r="H14" s="55"/>
      <c r="I14" s="55"/>
      <c r="J14" s="55"/>
      <c r="K14" s="55"/>
      <c r="L14" s="55"/>
      <c r="M14" s="55"/>
      <c r="N14" s="55"/>
      <c r="O14" s="63"/>
    </row>
    <row r="15" spans="1:15" x14ac:dyDescent="0.3">
      <c r="A15" s="14">
        <v>60</v>
      </c>
      <c r="B15" s="158" t="s">
        <v>188</v>
      </c>
      <c r="C15" s="128">
        <f>FR_0700_005!N2</f>
        <v>2.9</v>
      </c>
      <c r="D15" s="71">
        <f>FR_0700_005_q</f>
        <v>2</v>
      </c>
      <c r="E15" s="72">
        <f t="shared" si="0"/>
        <v>5.8</v>
      </c>
      <c r="F15" s="55"/>
      <c r="G15" s="55"/>
      <c r="H15" s="55"/>
      <c r="I15" s="55"/>
      <c r="J15" s="55"/>
      <c r="K15" s="55"/>
      <c r="L15" s="55"/>
      <c r="M15" s="55"/>
      <c r="N15" s="55"/>
      <c r="O15" s="63"/>
    </row>
    <row r="16" spans="1:15" x14ac:dyDescent="0.3">
      <c r="A16" s="14">
        <v>70</v>
      </c>
      <c r="B16" s="158" t="s">
        <v>191</v>
      </c>
      <c r="C16" s="128">
        <f>FR_0700_006!N2</f>
        <v>2.9</v>
      </c>
      <c r="D16" s="71">
        <f>FR_0700_006_q</f>
        <v>2</v>
      </c>
      <c r="E16" s="72">
        <f t="shared" si="0"/>
        <v>5.8</v>
      </c>
      <c r="F16" s="55"/>
      <c r="G16" s="55"/>
      <c r="H16" s="55"/>
      <c r="I16" s="55"/>
      <c r="J16" s="55"/>
      <c r="K16" s="55"/>
      <c r="L16" s="55"/>
      <c r="M16" s="55"/>
      <c r="N16" s="55"/>
      <c r="O16" s="63"/>
    </row>
    <row r="17" spans="1:15" x14ac:dyDescent="0.3">
      <c r="A17" s="14">
        <v>80</v>
      </c>
      <c r="B17" s="158" t="s">
        <v>210</v>
      </c>
      <c r="C17" s="128">
        <f>FR_0700_007!N2</f>
        <v>2.5750000000000002</v>
      </c>
      <c r="D17" s="71">
        <f>FR_0700_007_q</f>
        <v>4</v>
      </c>
      <c r="E17" s="72">
        <f t="shared" si="0"/>
        <v>10.3</v>
      </c>
      <c r="F17" s="55"/>
      <c r="G17" s="55"/>
      <c r="H17" s="55"/>
      <c r="I17" s="55"/>
      <c r="J17" s="55"/>
      <c r="K17" s="55"/>
      <c r="L17" s="55"/>
      <c r="M17" s="55"/>
      <c r="N17" s="55"/>
      <c r="O17" s="63"/>
    </row>
    <row r="18" spans="1:15" ht="15" thickBot="1" x14ac:dyDescent="0.35">
      <c r="A18" s="61"/>
      <c r="B18" s="131"/>
      <c r="C18" s="54"/>
      <c r="D18" s="92" t="s">
        <v>18</v>
      </c>
      <c r="E18" s="93">
        <f>SUM(E10:E17)</f>
        <v>43.775357247999992</v>
      </c>
      <c r="F18" s="55"/>
      <c r="G18" s="55"/>
      <c r="H18" s="55"/>
      <c r="I18" s="55"/>
      <c r="J18" s="55"/>
      <c r="K18" s="55"/>
      <c r="L18" s="55"/>
      <c r="M18" s="55"/>
      <c r="N18" s="55"/>
      <c r="O18" s="60"/>
    </row>
    <row r="19" spans="1:15" x14ac:dyDescent="0.3">
      <c r="A19" s="61"/>
      <c r="B19" s="13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60"/>
    </row>
    <row r="20" spans="1:15" x14ac:dyDescent="0.3">
      <c r="A20" s="134" t="s">
        <v>14</v>
      </c>
      <c r="B20" s="134" t="s">
        <v>19</v>
      </c>
      <c r="C20" s="134" t="s">
        <v>20</v>
      </c>
      <c r="D20" s="132" t="s">
        <v>21</v>
      </c>
      <c r="E20" s="91" t="s">
        <v>22</v>
      </c>
      <c r="F20" s="91" t="s">
        <v>23</v>
      </c>
      <c r="G20" s="91" t="s">
        <v>24</v>
      </c>
      <c r="H20" s="91" t="s">
        <v>25</v>
      </c>
      <c r="I20" s="91" t="s">
        <v>26</v>
      </c>
      <c r="J20" s="91" t="s">
        <v>27</v>
      </c>
      <c r="K20" s="91" t="s">
        <v>28</v>
      </c>
      <c r="L20" s="91" t="s">
        <v>29</v>
      </c>
      <c r="M20" s="91" t="s">
        <v>17</v>
      </c>
      <c r="N20" s="91" t="s">
        <v>18</v>
      </c>
      <c r="O20" s="60"/>
    </row>
    <row r="21" spans="1:15" x14ac:dyDescent="0.3">
      <c r="A21" s="135">
        <v>10</v>
      </c>
      <c r="B21" s="182" t="s">
        <v>207</v>
      </c>
      <c r="C21" s="183"/>
      <c r="D21" s="136"/>
      <c r="E21" s="135"/>
      <c r="F21" s="135"/>
      <c r="G21" s="135"/>
      <c r="H21" s="184"/>
      <c r="I21" s="185"/>
      <c r="J21" s="186"/>
      <c r="K21" s="184"/>
      <c r="L21" s="187"/>
      <c r="M21" s="184"/>
      <c r="N21" s="136">
        <f t="shared" ref="N21:N22" si="1">M21*D21</f>
        <v>0</v>
      </c>
      <c r="O21" s="60"/>
    </row>
    <row r="22" spans="1:15" x14ac:dyDescent="0.3">
      <c r="A22" s="188">
        <v>20</v>
      </c>
      <c r="B22" s="180" t="s">
        <v>182</v>
      </c>
      <c r="C22" s="188" t="s">
        <v>208</v>
      </c>
      <c r="D22" s="189">
        <v>10</v>
      </c>
      <c r="E22" s="188"/>
      <c r="F22" s="188" t="s">
        <v>148</v>
      </c>
      <c r="G22" s="188"/>
      <c r="H22" s="190"/>
      <c r="I22" s="191"/>
      <c r="J22" s="192"/>
      <c r="K22" s="190"/>
      <c r="L22" s="193"/>
      <c r="M22" s="190">
        <f>E22</f>
        <v>0</v>
      </c>
      <c r="N22" s="136">
        <f t="shared" si="1"/>
        <v>0</v>
      </c>
      <c r="O22" s="60"/>
    </row>
    <row r="23" spans="1:15" x14ac:dyDescent="0.3">
      <c r="A23" s="66"/>
      <c r="B23" s="21" t="s">
        <v>209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81" t="s">
        <v>18</v>
      </c>
      <c r="N23" s="96">
        <f>SUM(N21:N21)</f>
        <v>0</v>
      </c>
      <c r="O23" s="60"/>
    </row>
    <row r="24" spans="1:15" x14ac:dyDescent="0.3">
      <c r="A24" s="6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60"/>
    </row>
    <row r="25" spans="1:15" s="22" customFormat="1" x14ac:dyDescent="0.3">
      <c r="A25" s="91" t="s">
        <v>14</v>
      </c>
      <c r="B25" s="91" t="s">
        <v>31</v>
      </c>
      <c r="C25" s="91" t="s">
        <v>20</v>
      </c>
      <c r="D25" s="91" t="s">
        <v>21</v>
      </c>
      <c r="E25" s="91" t="s">
        <v>32</v>
      </c>
      <c r="F25" s="91" t="s">
        <v>17</v>
      </c>
      <c r="G25" s="91" t="s">
        <v>33</v>
      </c>
      <c r="H25" s="91" t="s">
        <v>34</v>
      </c>
      <c r="I25" s="91" t="s">
        <v>18</v>
      </c>
      <c r="J25" s="21"/>
      <c r="K25" s="21"/>
      <c r="L25" s="21"/>
      <c r="M25" s="21"/>
      <c r="N25" s="21"/>
      <c r="O25" s="67"/>
    </row>
    <row r="26" spans="1:15" x14ac:dyDescent="0.3">
      <c r="A26" s="71">
        <v>10</v>
      </c>
      <c r="B26" s="71" t="s">
        <v>138</v>
      </c>
      <c r="C26" s="71" t="s">
        <v>139</v>
      </c>
      <c r="D26" s="72">
        <v>0.15</v>
      </c>
      <c r="E26" s="71" t="s">
        <v>47</v>
      </c>
      <c r="F26" s="73">
        <f>2.7*8+1.8*8</f>
        <v>36</v>
      </c>
      <c r="G26" s="73"/>
      <c r="H26" s="73"/>
      <c r="I26" s="72">
        <f t="shared" ref="I26:I31" si="2">IF(H26="",D26*F26,D26*F26*H26)</f>
        <v>5.3999999999999995</v>
      </c>
      <c r="J26" s="54"/>
      <c r="K26" s="54"/>
      <c r="L26" s="54"/>
      <c r="M26" s="54"/>
      <c r="N26" s="54"/>
      <c r="O26" s="60"/>
    </row>
    <row r="27" spans="1:15" x14ac:dyDescent="0.3">
      <c r="A27" s="71">
        <v>20</v>
      </c>
      <c r="B27" s="71" t="s">
        <v>138</v>
      </c>
      <c r="C27" s="71" t="s">
        <v>145</v>
      </c>
      <c r="D27" s="72">
        <v>0.15</v>
      </c>
      <c r="E27" s="71" t="s">
        <v>47</v>
      </c>
      <c r="F27" s="73">
        <f>2*2.1</f>
        <v>4.2</v>
      </c>
      <c r="G27" s="73"/>
      <c r="H27" s="73"/>
      <c r="I27" s="72">
        <f t="shared" si="2"/>
        <v>0.63</v>
      </c>
      <c r="J27" s="54"/>
      <c r="K27" s="54"/>
      <c r="L27" s="54"/>
      <c r="M27" s="54"/>
      <c r="N27" s="54"/>
      <c r="O27" s="60"/>
    </row>
    <row r="28" spans="1:15" x14ac:dyDescent="0.3">
      <c r="A28" s="71">
        <v>30</v>
      </c>
      <c r="B28" s="138" t="s">
        <v>146</v>
      </c>
      <c r="C28" s="71" t="s">
        <v>147</v>
      </c>
      <c r="D28" s="72">
        <v>5.25</v>
      </c>
      <c r="E28" s="74" t="s">
        <v>148</v>
      </c>
      <c r="F28" s="73">
        <f>0.02*9</f>
        <v>0.18</v>
      </c>
      <c r="G28" s="71"/>
      <c r="H28" s="71"/>
      <c r="I28" s="72">
        <f t="shared" si="2"/>
        <v>0.94499999999999995</v>
      </c>
      <c r="J28" s="54"/>
      <c r="K28" s="54"/>
      <c r="L28" s="54"/>
      <c r="M28" s="54"/>
      <c r="N28" s="54"/>
      <c r="O28" s="60"/>
    </row>
    <row r="29" spans="1:15" x14ac:dyDescent="0.3">
      <c r="A29" s="71">
        <v>40</v>
      </c>
      <c r="B29" s="74" t="s">
        <v>140</v>
      </c>
      <c r="C29" s="71" t="s">
        <v>141</v>
      </c>
      <c r="D29" s="72">
        <v>0.06</v>
      </c>
      <c r="E29" s="71"/>
      <c r="F29" s="73">
        <v>2</v>
      </c>
      <c r="G29" s="71"/>
      <c r="H29" s="71"/>
      <c r="I29" s="72">
        <f t="shared" si="2"/>
        <v>0.12</v>
      </c>
      <c r="J29" s="54"/>
      <c r="K29" s="54"/>
      <c r="L29" s="54"/>
      <c r="M29" s="54"/>
      <c r="N29" s="54"/>
      <c r="O29" s="60"/>
    </row>
    <row r="30" spans="1:15" x14ac:dyDescent="0.3">
      <c r="A30" s="71">
        <v>50</v>
      </c>
      <c r="B30" s="74" t="s">
        <v>144</v>
      </c>
      <c r="C30" s="71" t="s">
        <v>142</v>
      </c>
      <c r="D30" s="72">
        <v>0.75</v>
      </c>
      <c r="E30" s="71"/>
      <c r="F30" s="73">
        <v>4</v>
      </c>
      <c r="G30" s="71"/>
      <c r="H30" s="71"/>
      <c r="I30" s="72">
        <f t="shared" si="2"/>
        <v>3</v>
      </c>
      <c r="J30" s="54"/>
      <c r="K30" s="54"/>
      <c r="L30" s="54"/>
      <c r="M30" s="54"/>
      <c r="N30" s="54"/>
      <c r="O30" s="60"/>
    </row>
    <row r="31" spans="1:15" x14ac:dyDescent="0.3">
      <c r="A31" s="71">
        <v>60</v>
      </c>
      <c r="B31" s="74" t="s">
        <v>143</v>
      </c>
      <c r="C31" s="71" t="s">
        <v>142</v>
      </c>
      <c r="D31" s="72">
        <v>0.25</v>
      </c>
      <c r="E31" s="71"/>
      <c r="F31" s="73">
        <v>4</v>
      </c>
      <c r="G31" s="71"/>
      <c r="H31" s="71"/>
      <c r="I31" s="72">
        <f t="shared" si="2"/>
        <v>1</v>
      </c>
      <c r="J31" s="54"/>
      <c r="K31" s="54"/>
      <c r="L31" s="54"/>
      <c r="M31" s="54"/>
      <c r="N31" s="54"/>
      <c r="O31" s="60"/>
    </row>
    <row r="32" spans="1:15" x14ac:dyDescent="0.3">
      <c r="A32" s="66"/>
      <c r="B32" s="21"/>
      <c r="C32" s="21"/>
      <c r="D32" s="21"/>
      <c r="E32" s="21"/>
      <c r="F32" s="21"/>
      <c r="G32" s="21"/>
      <c r="H32" s="95" t="s">
        <v>18</v>
      </c>
      <c r="I32" s="93">
        <f>SUM(I26:I31)</f>
        <v>11.094999999999999</v>
      </c>
      <c r="J32" s="54"/>
      <c r="K32" s="54"/>
      <c r="L32" s="54"/>
      <c r="M32" s="54"/>
      <c r="N32" s="54"/>
      <c r="O32" s="60"/>
    </row>
    <row r="33" spans="1:15" x14ac:dyDescent="0.3">
      <c r="A33" s="61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60"/>
    </row>
    <row r="34" spans="1:15" x14ac:dyDescent="0.3">
      <c r="A34" s="91" t="s">
        <v>14</v>
      </c>
      <c r="B34" s="91" t="s">
        <v>36</v>
      </c>
      <c r="C34" s="91" t="s">
        <v>20</v>
      </c>
      <c r="D34" s="91" t="s">
        <v>21</v>
      </c>
      <c r="E34" s="91" t="s">
        <v>22</v>
      </c>
      <c r="F34" s="91" t="s">
        <v>23</v>
      </c>
      <c r="G34" s="91" t="s">
        <v>24</v>
      </c>
      <c r="H34" s="91" t="s">
        <v>25</v>
      </c>
      <c r="I34" s="91" t="s">
        <v>17</v>
      </c>
      <c r="J34" s="91" t="s">
        <v>18</v>
      </c>
      <c r="K34" s="54"/>
      <c r="L34" s="54"/>
      <c r="M34" s="54"/>
      <c r="N34" s="54"/>
      <c r="O34" s="60"/>
    </row>
    <row r="35" spans="1:15" s="141" customFormat="1" x14ac:dyDescent="0.3">
      <c r="A35" s="143">
        <v>10</v>
      </c>
      <c r="B35" s="143" t="s">
        <v>149</v>
      </c>
      <c r="C35" s="143" t="s">
        <v>142</v>
      </c>
      <c r="D35" s="72">
        <f>0.8/105154*E35^2*G35*SQRT(G35)+(0.003*EXP(0.319*E35))</f>
        <v>0.2106451163693987</v>
      </c>
      <c r="E35" s="143">
        <v>8</v>
      </c>
      <c r="F35" s="143" t="s">
        <v>30</v>
      </c>
      <c r="G35" s="143">
        <v>50</v>
      </c>
      <c r="H35" s="143" t="s">
        <v>30</v>
      </c>
      <c r="I35" s="143">
        <v>4</v>
      </c>
      <c r="J35" s="142">
        <f t="shared" ref="J35:J37" si="3">I35*D35</f>
        <v>0.8425804654775948</v>
      </c>
      <c r="K35" s="139"/>
      <c r="L35" s="139"/>
      <c r="M35" s="139"/>
      <c r="N35" s="139"/>
      <c r="O35" s="140"/>
    </row>
    <row r="36" spans="1:15" s="141" customFormat="1" x14ac:dyDescent="0.3">
      <c r="A36" s="143">
        <v>20</v>
      </c>
      <c r="B36" s="143" t="s">
        <v>37</v>
      </c>
      <c r="C36" s="143" t="s">
        <v>142</v>
      </c>
      <c r="D36" s="72">
        <v>0.01</v>
      </c>
      <c r="E36" s="143"/>
      <c r="F36" s="143"/>
      <c r="G36" s="143"/>
      <c r="H36" s="143"/>
      <c r="I36" s="143">
        <v>8</v>
      </c>
      <c r="J36" s="142">
        <f t="shared" si="3"/>
        <v>0.08</v>
      </c>
      <c r="K36" s="139"/>
      <c r="L36" s="139"/>
      <c r="M36" s="139"/>
      <c r="N36" s="139"/>
      <c r="O36" s="140"/>
    </row>
    <row r="37" spans="1:15" s="141" customFormat="1" x14ac:dyDescent="0.3">
      <c r="A37" s="143">
        <v>30</v>
      </c>
      <c r="B37" s="143" t="s">
        <v>38</v>
      </c>
      <c r="C37" s="143" t="s">
        <v>142</v>
      </c>
      <c r="D37" s="72">
        <f>(0.009*EXP(0.2*E37))</f>
        <v>4.4577291819556032E-2</v>
      </c>
      <c r="E37" s="143">
        <v>8</v>
      </c>
      <c r="F37" s="143" t="s">
        <v>30</v>
      </c>
      <c r="G37" s="143"/>
      <c r="H37" s="143"/>
      <c r="I37" s="143">
        <v>4</v>
      </c>
      <c r="J37" s="142">
        <f t="shared" si="3"/>
        <v>0.17830916727822413</v>
      </c>
      <c r="K37" s="139"/>
      <c r="L37" s="139"/>
      <c r="M37" s="139"/>
      <c r="N37" s="139"/>
      <c r="O37" s="140"/>
    </row>
    <row r="38" spans="1:15" x14ac:dyDescent="0.3">
      <c r="A38" s="66"/>
      <c r="B38" s="21"/>
      <c r="C38" s="21"/>
      <c r="D38" s="21"/>
      <c r="E38" s="21"/>
      <c r="F38" s="21"/>
      <c r="G38" s="21"/>
      <c r="H38" s="21"/>
      <c r="I38" s="92" t="s">
        <v>18</v>
      </c>
      <c r="J38" s="93">
        <f>SUM(J35:J37)</f>
        <v>1.1008896327558189</v>
      </c>
      <c r="K38" s="54"/>
      <c r="L38" s="54"/>
      <c r="M38" s="54"/>
      <c r="N38" s="54"/>
      <c r="O38" s="60"/>
    </row>
    <row r="39" spans="1:15" x14ac:dyDescent="0.3">
      <c r="A39" s="61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60"/>
    </row>
    <row r="40" spans="1:15" x14ac:dyDescent="0.3">
      <c r="A40" s="91" t="s">
        <v>14</v>
      </c>
      <c r="B40" s="91" t="s">
        <v>39</v>
      </c>
      <c r="C40" s="91" t="s">
        <v>20</v>
      </c>
      <c r="D40" s="91" t="s">
        <v>21</v>
      </c>
      <c r="E40" s="91" t="s">
        <v>32</v>
      </c>
      <c r="F40" s="91" t="s">
        <v>17</v>
      </c>
      <c r="G40" s="91" t="s">
        <v>40</v>
      </c>
      <c r="H40" s="91" t="s">
        <v>41</v>
      </c>
      <c r="I40" s="91" t="s">
        <v>18</v>
      </c>
      <c r="J40" s="21"/>
      <c r="K40" s="54"/>
      <c r="L40" s="54"/>
      <c r="M40" s="54"/>
      <c r="N40" s="54"/>
      <c r="O40" s="60"/>
    </row>
    <row r="41" spans="1:15" x14ac:dyDescent="0.3">
      <c r="A41" s="71">
        <v>10</v>
      </c>
      <c r="B41" s="71" t="s">
        <v>42</v>
      </c>
      <c r="C41" s="71" t="s">
        <v>150</v>
      </c>
      <c r="D41" s="72">
        <v>500</v>
      </c>
      <c r="E41" s="71" t="s">
        <v>43</v>
      </c>
      <c r="F41" s="71"/>
      <c r="G41" s="71">
        <v>3000</v>
      </c>
      <c r="H41" s="71">
        <v>1</v>
      </c>
      <c r="I41" s="72">
        <f>D41*F41/G41*H41</f>
        <v>0</v>
      </c>
      <c r="J41" s="21"/>
      <c r="K41" s="54"/>
      <c r="L41" s="54"/>
      <c r="M41" s="54"/>
      <c r="N41" s="54"/>
      <c r="O41" s="60"/>
    </row>
    <row r="42" spans="1:15" x14ac:dyDescent="0.3">
      <c r="A42" s="66"/>
      <c r="B42" s="21"/>
      <c r="C42" s="21"/>
      <c r="D42" s="21"/>
      <c r="E42" s="21"/>
      <c r="F42" s="21"/>
      <c r="G42" s="21"/>
      <c r="H42" s="95" t="s">
        <v>18</v>
      </c>
      <c r="I42" s="96">
        <f>SUM(I41:I41)</f>
        <v>0</v>
      </c>
      <c r="J42" s="21"/>
      <c r="K42" s="54"/>
      <c r="L42" s="54"/>
      <c r="M42" s="54"/>
      <c r="N42" s="54"/>
      <c r="O42" s="60"/>
    </row>
    <row r="43" spans="1:15" ht="15" thickBot="1" x14ac:dyDescent="0.35">
      <c r="A43" s="68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70"/>
    </row>
    <row r="44" spans="1:15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</sheetData>
  <hyperlinks>
    <hyperlink ref="B10" location="FR_0700_000!A1" display="Nose"/>
    <hyperlink ref="B11" location="FR_0700_001!A1" display="Left Inlet"/>
    <hyperlink ref="B13" location="FR_0700_003!A1" display="Front Plate"/>
    <hyperlink ref="B12" location="FR_0700_002!A1" display="Right Inlet"/>
    <hyperlink ref="B14" location="FR_0700_004!A1" display="Back Plate"/>
    <hyperlink ref="B15" location="FR_0700_005!A1" display="Back Inlet Bracket"/>
    <hyperlink ref="B16" location="FR_0700_006!A1" display="Front Inlet Bracket"/>
    <hyperlink ref="B17" location="FR_0700_007!A1" display="Back Nose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1"/>
  <sheetViews>
    <sheetView zoomScale="75" zoomScaleNormal="75" workbookViewId="0">
      <selection activeCell="B4" sqref="B4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FR_0700_000_m+FR_0700_000_p</f>
        <v>3.10793344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1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187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3.10793344</v>
      </c>
      <c r="O5" s="60"/>
    </row>
    <row r="6" spans="1:15" x14ac:dyDescent="0.3">
      <c r="A6" s="118" t="s">
        <v>7</v>
      </c>
      <c r="B6" s="25" t="s">
        <v>151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200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152</v>
      </c>
      <c r="C11" s="16"/>
      <c r="D11" s="29">
        <v>4.2</v>
      </c>
      <c r="E11" s="16"/>
      <c r="F11" s="16"/>
      <c r="G11" s="16"/>
      <c r="H11" s="15"/>
      <c r="I11" s="17"/>
      <c r="J11" s="157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0.8383334400000001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7" t="s">
        <v>45</v>
      </c>
      <c r="C15" s="30"/>
      <c r="D15" s="31">
        <v>1.3</v>
      </c>
      <c r="E15" s="24" t="s">
        <v>35</v>
      </c>
      <c r="F15" s="144">
        <v>1</v>
      </c>
      <c r="G15" s="30"/>
      <c r="H15" s="30"/>
      <c r="I15" s="31">
        <f t="shared" ref="I15:I18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137" t="s">
        <v>154</v>
      </c>
      <c r="C16" s="14" t="s">
        <v>157</v>
      </c>
      <c r="D16" s="29">
        <v>0.04</v>
      </c>
      <c r="E16" s="14" t="s">
        <v>155</v>
      </c>
      <c r="F16" s="145">
        <v>3.45</v>
      </c>
      <c r="G16" s="24" t="s">
        <v>183</v>
      </c>
      <c r="H16" s="23">
        <v>1</v>
      </c>
      <c r="I16" s="29">
        <f t="shared" si="0"/>
        <v>0.13800000000000001</v>
      </c>
      <c r="J16" s="54"/>
      <c r="K16" s="54"/>
      <c r="L16" s="54"/>
      <c r="M16" s="54"/>
      <c r="N16" s="54"/>
      <c r="O16" s="60"/>
    </row>
    <row r="17" spans="1:15" s="12" customFormat="1" x14ac:dyDescent="0.3">
      <c r="A17" s="80">
        <v>30</v>
      </c>
      <c r="B17" s="137" t="s">
        <v>153</v>
      </c>
      <c r="C17" s="23"/>
      <c r="D17" s="29">
        <v>0.65</v>
      </c>
      <c r="E17" s="24" t="s">
        <v>35</v>
      </c>
      <c r="F17" s="146">
        <v>1</v>
      </c>
      <c r="G17" s="23"/>
      <c r="H17" s="23"/>
      <c r="I17" s="29">
        <f t="shared" si="0"/>
        <v>0.65</v>
      </c>
      <c r="J17" s="55"/>
      <c r="K17" s="55"/>
      <c r="L17" s="55"/>
      <c r="M17" s="55"/>
      <c r="N17" s="55"/>
      <c r="O17" s="64"/>
    </row>
    <row r="18" spans="1:15" x14ac:dyDescent="0.3">
      <c r="A18" s="62">
        <v>40</v>
      </c>
      <c r="B18" s="137" t="s">
        <v>154</v>
      </c>
      <c r="C18" s="14" t="s">
        <v>156</v>
      </c>
      <c r="D18" s="29">
        <v>0.04</v>
      </c>
      <c r="E18" s="14" t="s">
        <v>155</v>
      </c>
      <c r="F18" s="145">
        <v>4.54</v>
      </c>
      <c r="G18" s="24" t="s">
        <v>183</v>
      </c>
      <c r="H18" s="23">
        <v>1</v>
      </c>
      <c r="I18" s="29">
        <f t="shared" si="0"/>
        <v>0.18160000000000001</v>
      </c>
      <c r="J18" s="54"/>
      <c r="K18" s="54"/>
      <c r="L18" s="54"/>
      <c r="M18" s="54"/>
      <c r="N18" s="54"/>
      <c r="O18" s="60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2.2696000000000001</v>
      </c>
      <c r="J19" s="21"/>
      <c r="K19" s="21"/>
      <c r="L19" s="21"/>
      <c r="M19" s="21"/>
      <c r="N19" s="21"/>
      <c r="O19" s="60"/>
    </row>
    <row r="20" spans="1:15" x14ac:dyDescent="0.3">
      <c r="A20" s="61"/>
      <c r="B20" s="54"/>
      <c r="C20" s="54"/>
      <c r="D20" s="54"/>
      <c r="E20" s="54"/>
      <c r="F20" s="54"/>
      <c r="G20" s="54"/>
      <c r="H20" s="54"/>
      <c r="I20" s="55"/>
      <c r="J20" s="54"/>
      <c r="K20" s="54"/>
      <c r="L20" s="54"/>
      <c r="M20" s="54"/>
      <c r="N20" s="54"/>
      <c r="O20" s="60"/>
    </row>
    <row r="21" spans="1:15" ht="15" thickBot="1" x14ac:dyDescent="0.35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/>
    </row>
  </sheetData>
  <hyperlinks>
    <hyperlink ref="B4" location="'FR A0700'!A1" display="'FR A0700'!A1"/>
    <hyperlink ref="E3" location="dFR_0700_000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1" t="s">
        <v>93</v>
      </c>
      <c r="B1" s="154" t="s">
        <v>199</v>
      </c>
    </row>
  </sheetData>
  <hyperlinks>
    <hyperlink ref="B1" location="FR_0700_000!A1" display="FR_07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zoomScale="85" zoomScaleNormal="85" workbookViewId="0">
      <selection activeCell="B4" sqref="B4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7" max="7" width="18.441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FR_0700_001_m+FR_0700_001_p</f>
        <v>5.6870399999999997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1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190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5.6870399999999997</v>
      </c>
      <c r="O5" s="60"/>
    </row>
    <row r="6" spans="1:15" x14ac:dyDescent="0.3">
      <c r="A6" s="118" t="s">
        <v>7</v>
      </c>
      <c r="B6" s="25" t="s">
        <v>162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201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152</v>
      </c>
      <c r="C11" s="16"/>
      <c r="D11" s="29">
        <v>4.2</v>
      </c>
      <c r="E11" s="16"/>
      <c r="F11" s="16"/>
      <c r="G11" s="16"/>
      <c r="H11" s="15"/>
      <c r="I11" s="17"/>
      <c r="J11" s="90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1.1390400000000001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7" t="s">
        <v>45</v>
      </c>
      <c r="C15" s="30"/>
      <c r="D15" s="31">
        <v>1.3</v>
      </c>
      <c r="E15" s="24" t="s">
        <v>35</v>
      </c>
      <c r="F15" s="150">
        <v>1</v>
      </c>
      <c r="G15" s="30"/>
      <c r="H15" s="30"/>
      <c r="I15" s="29">
        <f t="shared" ref="I15:I20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137" t="s">
        <v>154</v>
      </c>
      <c r="C16" s="14" t="s">
        <v>160</v>
      </c>
      <c r="D16" s="29">
        <v>0.04</v>
      </c>
      <c r="E16" s="14" t="s">
        <v>155</v>
      </c>
      <c r="F16" s="151">
        <v>18.3</v>
      </c>
      <c r="G16" s="24" t="s">
        <v>183</v>
      </c>
      <c r="H16" s="23">
        <v>1</v>
      </c>
      <c r="I16" s="29">
        <f t="shared" si="0"/>
        <v>0.7320000000000001</v>
      </c>
      <c r="J16" s="54"/>
      <c r="K16" s="54"/>
      <c r="L16" s="54"/>
      <c r="M16" s="54"/>
      <c r="N16" s="54"/>
      <c r="O16" s="60"/>
    </row>
    <row r="17" spans="1:15" s="12" customFormat="1" x14ac:dyDescent="0.3">
      <c r="A17" s="79">
        <v>30</v>
      </c>
      <c r="B17" s="137" t="s">
        <v>153</v>
      </c>
      <c r="C17" s="23"/>
      <c r="D17" s="29">
        <v>0.65</v>
      </c>
      <c r="E17" s="24" t="s">
        <v>35</v>
      </c>
      <c r="F17" s="152">
        <v>1</v>
      </c>
      <c r="G17" s="23"/>
      <c r="H17" s="23"/>
      <c r="I17" s="29">
        <f t="shared" si="0"/>
        <v>0.65</v>
      </c>
      <c r="J17" s="55"/>
      <c r="K17" s="55"/>
      <c r="L17" s="55"/>
      <c r="M17" s="55"/>
      <c r="N17" s="55"/>
      <c r="O17" s="64"/>
    </row>
    <row r="18" spans="1:15" x14ac:dyDescent="0.3">
      <c r="A18" s="62">
        <v>40</v>
      </c>
      <c r="B18" s="137" t="s">
        <v>154</v>
      </c>
      <c r="C18" s="14" t="s">
        <v>158</v>
      </c>
      <c r="D18" s="29">
        <v>0.04</v>
      </c>
      <c r="E18" s="14" t="s">
        <v>155</v>
      </c>
      <c r="F18" s="151">
        <v>14.2</v>
      </c>
      <c r="G18" s="24" t="s">
        <v>183</v>
      </c>
      <c r="H18" s="23">
        <v>1</v>
      </c>
      <c r="I18" s="29">
        <f t="shared" si="0"/>
        <v>0.56799999999999995</v>
      </c>
      <c r="J18" s="54"/>
      <c r="K18" s="54"/>
      <c r="L18" s="54"/>
      <c r="M18" s="54"/>
      <c r="N18" s="54"/>
      <c r="O18" s="60"/>
    </row>
    <row r="19" spans="1:15" x14ac:dyDescent="0.3">
      <c r="A19" s="79">
        <v>50</v>
      </c>
      <c r="B19" s="137" t="s">
        <v>153</v>
      </c>
      <c r="C19" s="147"/>
      <c r="D19" s="29">
        <v>0.65</v>
      </c>
      <c r="E19" s="24" t="s">
        <v>35</v>
      </c>
      <c r="F19" s="153">
        <v>1</v>
      </c>
      <c r="G19" s="148"/>
      <c r="H19" s="149"/>
      <c r="I19" s="29">
        <f t="shared" si="0"/>
        <v>0.65</v>
      </c>
      <c r="J19" s="54"/>
      <c r="K19" s="54"/>
      <c r="L19" s="54"/>
      <c r="M19" s="54"/>
      <c r="N19" s="54"/>
      <c r="O19" s="60"/>
    </row>
    <row r="20" spans="1:15" x14ac:dyDescent="0.3">
      <c r="A20" s="62">
        <v>60</v>
      </c>
      <c r="B20" s="137" t="s">
        <v>154</v>
      </c>
      <c r="C20" s="14" t="s">
        <v>159</v>
      </c>
      <c r="D20" s="29">
        <v>0.04</v>
      </c>
      <c r="E20" s="14" t="s">
        <v>155</v>
      </c>
      <c r="F20" s="151">
        <v>16.2</v>
      </c>
      <c r="G20" s="24" t="s">
        <v>183</v>
      </c>
      <c r="H20" s="23">
        <v>1</v>
      </c>
      <c r="I20" s="29">
        <f t="shared" si="0"/>
        <v>0.64800000000000002</v>
      </c>
      <c r="J20" s="54"/>
      <c r="K20" s="54"/>
      <c r="L20" s="54"/>
      <c r="M20" s="54"/>
      <c r="N20" s="54"/>
      <c r="O20" s="60"/>
    </row>
    <row r="21" spans="1:15" x14ac:dyDescent="0.3">
      <c r="A21" s="66"/>
      <c r="B21" s="21"/>
      <c r="C21" s="21"/>
      <c r="D21" s="21"/>
      <c r="E21" s="21"/>
      <c r="F21" s="21"/>
      <c r="G21" s="21"/>
      <c r="H21" s="127" t="s">
        <v>18</v>
      </c>
      <c r="I21" s="125">
        <f>SUM(I15:I20)</f>
        <v>4.548</v>
      </c>
      <c r="J21" s="21"/>
      <c r="K21" s="21"/>
      <c r="L21" s="21"/>
      <c r="M21" s="21"/>
      <c r="N21" s="21"/>
      <c r="O21" s="60"/>
    </row>
    <row r="22" spans="1:15" ht="15" thickBot="1" x14ac:dyDescent="0.35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'FR A0700'!A1" display="'FR A0700'!A1"/>
    <hyperlink ref="E3" location="dFR_0700_001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15" sqref="K15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1" t="s">
        <v>161</v>
      </c>
      <c r="B1" s="154" t="s">
        <v>198</v>
      </c>
    </row>
  </sheetData>
  <hyperlinks>
    <hyperlink ref="B1" location="FR_0700_001!A1" display="FR_07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17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FR_0700_002_m+FR_0700_002_p</f>
        <v>4.8410399999999996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1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189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4.8410399999999996</v>
      </c>
      <c r="O5" s="60"/>
    </row>
    <row r="6" spans="1:15" x14ac:dyDescent="0.3">
      <c r="A6" s="118" t="s">
        <v>7</v>
      </c>
      <c r="B6" s="25" t="s">
        <v>163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202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152</v>
      </c>
      <c r="C11" s="16"/>
      <c r="D11" s="29">
        <v>4.2</v>
      </c>
      <c r="E11" s="16"/>
      <c r="F11" s="16"/>
      <c r="G11" s="16"/>
      <c r="H11" s="15"/>
      <c r="I11" s="17"/>
      <c r="J11" s="90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1.1390400000000001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7" t="s">
        <v>45</v>
      </c>
      <c r="C15" s="30"/>
      <c r="D15" s="31">
        <v>1.3</v>
      </c>
      <c r="E15" s="24" t="s">
        <v>35</v>
      </c>
      <c r="F15" s="150">
        <v>1</v>
      </c>
      <c r="G15" s="30"/>
      <c r="H15" s="30"/>
      <c r="I15" s="31">
        <f t="shared" ref="I15:I18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137" t="s">
        <v>154</v>
      </c>
      <c r="C16" s="14" t="s">
        <v>160</v>
      </c>
      <c r="D16" s="29">
        <v>0.04</v>
      </c>
      <c r="E16" s="14" t="s">
        <v>155</v>
      </c>
      <c r="F16" s="151">
        <v>43.6</v>
      </c>
      <c r="G16" s="24" t="s">
        <v>183</v>
      </c>
      <c r="H16" s="23">
        <v>1</v>
      </c>
      <c r="I16" s="29">
        <f t="shared" si="0"/>
        <v>1.744</v>
      </c>
      <c r="J16" s="54"/>
      <c r="K16" s="54"/>
      <c r="L16" s="54"/>
      <c r="M16" s="54"/>
      <c r="N16" s="54"/>
      <c r="O16" s="60"/>
    </row>
    <row r="17" spans="1:15" s="12" customFormat="1" x14ac:dyDescent="0.3">
      <c r="A17" s="79">
        <v>30</v>
      </c>
      <c r="B17" s="137" t="s">
        <v>153</v>
      </c>
      <c r="C17" s="23"/>
      <c r="D17" s="29">
        <v>0.65</v>
      </c>
      <c r="E17" s="24" t="s">
        <v>35</v>
      </c>
      <c r="F17" s="152">
        <v>1</v>
      </c>
      <c r="G17" s="23"/>
      <c r="H17" s="23"/>
      <c r="I17" s="29">
        <f t="shared" si="0"/>
        <v>0.65</v>
      </c>
      <c r="J17" s="55"/>
      <c r="K17" s="55"/>
      <c r="L17" s="55"/>
      <c r="M17" s="55"/>
      <c r="N17" s="55"/>
      <c r="O17" s="64"/>
    </row>
    <row r="18" spans="1:15" x14ac:dyDescent="0.3">
      <c r="A18" s="62">
        <v>40</v>
      </c>
      <c r="B18" s="137" t="s">
        <v>154</v>
      </c>
      <c r="C18" s="14" t="s">
        <v>164</v>
      </c>
      <c r="D18" s="29">
        <v>0.04</v>
      </c>
      <c r="E18" s="14" t="s">
        <v>155</v>
      </c>
      <c r="F18" s="151">
        <v>0.2</v>
      </c>
      <c r="G18" s="24" t="s">
        <v>183</v>
      </c>
      <c r="H18" s="23">
        <v>1</v>
      </c>
      <c r="I18" s="29">
        <f t="shared" si="0"/>
        <v>8.0000000000000002E-3</v>
      </c>
      <c r="J18" s="54"/>
      <c r="K18" s="54"/>
      <c r="L18" s="54"/>
      <c r="M18" s="54"/>
      <c r="N18" s="54"/>
      <c r="O18" s="60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3.702</v>
      </c>
      <c r="J19" s="21"/>
      <c r="K19" s="21"/>
      <c r="L19" s="21"/>
      <c r="M19" s="21"/>
      <c r="N19" s="21"/>
      <c r="O19" s="60"/>
    </row>
    <row r="20" spans="1:15" ht="15" thickBot="1" x14ac:dyDescent="0.3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'FR A0700'!A1" display="'FR A0700'!A1"/>
    <hyperlink ref="E3" location="dFR_0700_002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M16" sqref="M16"/>
    </sheetView>
  </sheetViews>
  <sheetFormatPr baseColWidth="10" defaultRowHeight="14.4" x14ac:dyDescent="0.3"/>
  <sheetData>
    <row r="1" spans="1:2" x14ac:dyDescent="0.3">
      <c r="A1" t="s">
        <v>176</v>
      </c>
      <c r="B1" s="83" t="s">
        <v>197</v>
      </c>
    </row>
  </sheetData>
  <hyperlinks>
    <hyperlink ref="B1" location="FR_0700_002!A1" display="FR_07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FR A0700</vt:lpstr>
      <vt:lpstr>FR_0700_000</vt:lpstr>
      <vt:lpstr>dFR_0700_000</vt:lpstr>
      <vt:lpstr>FR_0700_001</vt:lpstr>
      <vt:lpstr>dFR_0700_001</vt:lpstr>
      <vt:lpstr>FR_0700_002</vt:lpstr>
      <vt:lpstr>dFR_0700_002</vt:lpstr>
      <vt:lpstr>FR_0700_003</vt:lpstr>
      <vt:lpstr>dFR_0700_003</vt:lpstr>
      <vt:lpstr>FR_0700_004</vt:lpstr>
      <vt:lpstr>dFR_0700_004</vt:lpstr>
      <vt:lpstr>FR_0700_005</vt:lpstr>
      <vt:lpstr>dFR_0700_005</vt:lpstr>
      <vt:lpstr>FR_0700_006</vt:lpstr>
      <vt:lpstr>dFR_0700_006</vt:lpstr>
      <vt:lpstr>FR_0700_007</vt:lpstr>
      <vt:lpstr>dFR_0700_007</vt:lpstr>
      <vt:lpstr>BOM!Car</vt:lpstr>
      <vt:lpstr>BOM!CompCode</vt:lpstr>
      <vt:lpstr>FR_0700_000</vt:lpstr>
      <vt:lpstr>FR_0700_000_m</vt:lpstr>
      <vt:lpstr>FR_0700_000_p</vt:lpstr>
      <vt:lpstr>FR_0700_000_q</vt:lpstr>
      <vt:lpstr>FR_0700_001</vt:lpstr>
      <vt:lpstr>FR_0700_001_m</vt:lpstr>
      <vt:lpstr>FR_0700_001_p</vt:lpstr>
      <vt:lpstr>FR_0700_001_q</vt:lpstr>
      <vt:lpstr>FR_0700_002</vt:lpstr>
      <vt:lpstr>FR_0700_002_m</vt:lpstr>
      <vt:lpstr>FR_0700_002_p</vt:lpstr>
      <vt:lpstr>FR_0700_002_q</vt:lpstr>
      <vt:lpstr>FR_0700_003</vt:lpstr>
      <vt:lpstr>FR_0700_003_m</vt:lpstr>
      <vt:lpstr>FR_0700_003_p</vt:lpstr>
      <vt:lpstr>FR_0700_003_q</vt:lpstr>
      <vt:lpstr>FR_0700_004</vt:lpstr>
      <vt:lpstr>FR_0700_004_m</vt:lpstr>
      <vt:lpstr>FR_0700_004_p</vt:lpstr>
      <vt:lpstr>FR_0700_004_q</vt:lpstr>
      <vt:lpstr>FR_0700_005</vt:lpstr>
      <vt:lpstr>FR_0700_005_m</vt:lpstr>
      <vt:lpstr>FR_0700_005_p</vt:lpstr>
      <vt:lpstr>FR_0700_005_q</vt:lpstr>
      <vt:lpstr>FR_0700_006</vt:lpstr>
      <vt:lpstr>FR_0700_006_m</vt:lpstr>
      <vt:lpstr>FR_0700_006_p</vt:lpstr>
      <vt:lpstr>FR_0700_006_q</vt:lpstr>
      <vt:lpstr>FR_0700_007</vt:lpstr>
      <vt:lpstr>FR_0700_007_m</vt:lpstr>
      <vt:lpstr>FR_0700_007_p</vt:lpstr>
      <vt:lpstr>FR_0700_007_q</vt:lpstr>
      <vt:lpstr>FR_A0700</vt:lpstr>
      <vt:lpstr>FR_A0700_f</vt:lpstr>
      <vt:lpstr>FR_A0700_m</vt:lpstr>
      <vt:lpstr>FR_A0700_p</vt:lpstr>
      <vt:lpstr>FR_A0700_pa</vt:lpstr>
      <vt:lpstr>FR_A0700_q</vt:lpstr>
      <vt:lpstr>FR_A0700_t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2018-03-29T21:22:06Z</dcterms:modified>
  <dc:language>fr-FR</dc:language>
</cp:coreProperties>
</file>