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i\Desktop\"/>
    </mc:Choice>
  </mc:AlternateContent>
  <xr:revisionPtr revIDLastSave="0" documentId="13_ncr:1_{3EE1BBAB-2E20-4C8C-B93A-60EEB725F3C5}" xr6:coauthVersionLast="28" xr6:coauthVersionMax="28" xr10:uidLastSave="{00000000-0000-0000-0000-000000000000}"/>
  <bookViews>
    <workbookView xWindow="4740" yWindow="60" windowWidth="16380" windowHeight="8190" activeTab="1" xr2:uid="{00000000-000D-0000-FFFF-FFFF00000000}"/>
  </bookViews>
  <sheets>
    <sheet name="Instructions" sheetId="7" r:id="rId1"/>
    <sheet name="BOM" sheetId="8" r:id="rId2"/>
    <sheet name="FR A0001" sheetId="1" r:id="rId3"/>
    <sheet name="FR 01001" sheetId="2" r:id="rId4"/>
    <sheet name="FR 01002" sheetId="11" r:id="rId5"/>
    <sheet name="FR 01003" sheetId="12" r:id="rId6"/>
    <sheet name="FR 01004" sheetId="13" r:id="rId7"/>
    <sheet name="dFR 01004" sheetId="9" r:id="rId8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'FR 01001'!$B$6</definedName>
    <definedName name="BR_01001_f">'FR 01001'!#REF!</definedName>
    <definedName name="BR_01001_m">'FR 01001'!$N$13</definedName>
    <definedName name="BR_01001_p">'FR 01001'!$I$20</definedName>
    <definedName name="BR_01001_q">'FR 01001'!$N$3</definedName>
    <definedName name="BR_01001_t">'FR 01001'!#REF!</definedName>
    <definedName name="BR_A0001">'FR A0001'!$B$5</definedName>
    <definedName name="BR_A0001_f">'FR A0001'!$J$29</definedName>
    <definedName name="BR_A0001_m">'FR A0001'!$N$18</definedName>
    <definedName name="BR_A0001_p">'FR A0001'!$I$24</definedName>
    <definedName name="BR_A0001_pa">'FR A0001'!$E$14</definedName>
    <definedName name="BR_A0001_q">'FR A0001'!$N$3</definedName>
    <definedName name="BR_A0001_t">'FR A0001'!$I$34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'dFR 01004'!#REF!</definedName>
    <definedName name="dede">#REF!</definedName>
    <definedName name="dEL_01001">'dFR 01004'!#REF!</definedName>
    <definedName name="dFR_01004">'dFR 01004'!$B$1</definedName>
    <definedName name="dqwdqd">#REF!</definedName>
    <definedName name="eded">#REF!</definedName>
    <definedName name="EL_01001">'FR 01001'!$B$6</definedName>
    <definedName name="EL_01001_f">'FR 01001'!#REF!</definedName>
    <definedName name="EL_01001_m">'FR 01001'!$N$13</definedName>
    <definedName name="EL_01001_p">'FR 01001'!$I$20</definedName>
    <definedName name="EL_01001_q">'FR 01001'!$N$3</definedName>
    <definedName name="EL_01001_t">'FR 01001'!#REF!</definedName>
    <definedName name="EL_02001">'FR 01001'!#REF!</definedName>
    <definedName name="EL_02001_f">'FR 01001'!#REF!</definedName>
    <definedName name="EL_02001_m">'FR 01001'!#REF!</definedName>
    <definedName name="EL_02001_p">'FR 01001'!#REF!</definedName>
    <definedName name="EL_02001_q">'FR 01001'!#REF!</definedName>
    <definedName name="EL_02001_t">'FR 01001'!#REF!</definedName>
    <definedName name="EL_02002">'FR 01001'!#REF!</definedName>
    <definedName name="EL_02002_f">'FR 01001'!#REF!</definedName>
    <definedName name="EL_02002_m">'FR 01001'!#REF!</definedName>
    <definedName name="EL_02002_p">'FR 01001'!#REF!</definedName>
    <definedName name="EL_02002_q">'FR 01001'!#REF!</definedName>
    <definedName name="EL_02002_t">'FR 01001'!#REF!</definedName>
    <definedName name="EL_A0001">'FR A0001'!$B$5</definedName>
    <definedName name="EL_A0001_f">'FR A0001'!$J$29</definedName>
    <definedName name="El_A0001_m">'FR A0001'!$N$18</definedName>
    <definedName name="EL_A0001_p">'FR A0001'!$I$24</definedName>
    <definedName name="EL_A0001_q">'FR A0001'!$N$3</definedName>
    <definedName name="EL_A0001_t">'FR A0001'!$I$34</definedName>
    <definedName name="EL_A0002">'FR A0001'!#REF!</definedName>
    <definedName name="EL_A0002_f">'FR A0001'!#REF!</definedName>
    <definedName name="EL_A0002_m">'FR A0001'!#REF!</definedName>
    <definedName name="EL_A0002_p">'FR A0001'!#REF!</definedName>
    <definedName name="EL_A0002_q">'FR A0001'!#REF!</definedName>
    <definedName name="EL_A0002_t">'FR A0001'!#REF!</definedName>
    <definedName name="er">#REF!</definedName>
    <definedName name="ervcdx">#REF!</definedName>
    <definedName name="ezfdscx">#REF!</definedName>
    <definedName name="FR_01001">'FR 01001'!$B$6</definedName>
    <definedName name="FR_01001_m">'FR 01001'!$N$13</definedName>
    <definedName name="FR_01001_p">'FR 01001'!$I$20</definedName>
    <definedName name="FR_01001_q">'FR 01001'!$N$3</definedName>
    <definedName name="FR_01002">'FR 01002'!$B$6</definedName>
    <definedName name="FR_01002_f">'FR 01002'!#REF!</definedName>
    <definedName name="FR_01002_m">'FR 01002'!$N$17</definedName>
    <definedName name="FR_01002_p">'FR 01002'!$I$24</definedName>
    <definedName name="FR_01002_q">'FR 01002'!$N$3</definedName>
    <definedName name="FR_01002_t">'FR 01002'!#REF!</definedName>
    <definedName name="FR_01003">'FR 01003'!$B$6</definedName>
    <definedName name="FR_01003_f">'FR 01003'!#REF!</definedName>
    <definedName name="FR_01003_m">'FR 01003'!$N$12</definedName>
    <definedName name="FR_01003_P">'FR 01003'!$I$18</definedName>
    <definedName name="FR_01003_q">'FR 01003'!$N$3</definedName>
    <definedName name="FR_01003_t">'FR 01003'!#REF!</definedName>
    <definedName name="FR_01004">'FR 01004'!$B$6</definedName>
    <definedName name="FR_01004_f">'FR 01004'!#REF!</definedName>
    <definedName name="FR_01004_m">'FR 01004'!$N$12</definedName>
    <definedName name="FR_01004_p">'FR 01004'!$I$18</definedName>
    <definedName name="FR_01004_q">'FR 01004'!$N$3</definedName>
    <definedName name="FR_01004_t">'FR 01004'!#REF!</definedName>
    <definedName name="FR_A0001">'FR A0001'!$B$5</definedName>
    <definedName name="FR_A0001_f">'FR A0001'!$J$29</definedName>
    <definedName name="FR_A0001_m">'FR A0001'!$N$18</definedName>
    <definedName name="FR_A0001_p">'FR A0001'!$I$24</definedName>
    <definedName name="FR_A0001_pa">'FR A0001'!$E$14</definedName>
    <definedName name="FR_A0001_q">'FR A0001'!$N$3</definedName>
    <definedName name="FR_A0001_t">'FR A0001'!$I$34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BOM!$A$1:$N$12</definedName>
  </definedNames>
  <calcPr calcId="171027" iterateDelta="1E-4"/>
</workbook>
</file>

<file path=xl/calcChain.xml><?xml version="1.0" encoding="utf-8"?>
<calcChain xmlns="http://schemas.openxmlformats.org/spreadsheetml/2006/main">
  <c r="E14" i="1" l="1"/>
  <c r="N2" i="1"/>
  <c r="C13" i="1"/>
  <c r="E13" i="1" s="1"/>
  <c r="K11" i="8"/>
  <c r="K10" i="8"/>
  <c r="J10" i="8"/>
  <c r="I11" i="8"/>
  <c r="I10" i="8"/>
  <c r="I9" i="8"/>
  <c r="I8" i="8"/>
  <c r="I7" i="8"/>
  <c r="K9" i="8"/>
  <c r="J9" i="8"/>
  <c r="K8" i="8"/>
  <c r="J8" i="8"/>
  <c r="I33" i="1"/>
  <c r="M17" i="1"/>
  <c r="D10" i="1"/>
  <c r="D11" i="1"/>
  <c r="D12" i="1"/>
  <c r="D13" i="1"/>
  <c r="J11" i="13"/>
  <c r="N11" i="13" s="1"/>
  <c r="N12" i="13" s="1"/>
  <c r="J11" i="8" s="1"/>
  <c r="J16" i="11"/>
  <c r="I22" i="11"/>
  <c r="I23" i="11"/>
  <c r="K14" i="11"/>
  <c r="K13" i="11"/>
  <c r="E13" i="11"/>
  <c r="N16" i="11"/>
  <c r="J15" i="11"/>
  <c r="N15" i="11" s="1"/>
  <c r="J14" i="11"/>
  <c r="N14" i="11" s="1"/>
  <c r="J13" i="11"/>
  <c r="J11" i="11"/>
  <c r="N11" i="11" s="1"/>
  <c r="J12" i="11"/>
  <c r="N12" i="11" s="1"/>
  <c r="J11" i="2"/>
  <c r="J12" i="2"/>
  <c r="N2" i="12"/>
  <c r="J11" i="12"/>
  <c r="N12" i="2"/>
  <c r="I17" i="13"/>
  <c r="I16" i="13"/>
  <c r="I15" i="13"/>
  <c r="B4" i="13"/>
  <c r="B3" i="13"/>
  <c r="B4" i="2"/>
  <c r="I17" i="12"/>
  <c r="I16" i="12"/>
  <c r="I15" i="12"/>
  <c r="N11" i="12"/>
  <c r="N12" i="12" s="1"/>
  <c r="B4" i="12"/>
  <c r="B3" i="12"/>
  <c r="I21" i="11"/>
  <c r="I20" i="11"/>
  <c r="B4" i="11"/>
  <c r="B3" i="11"/>
  <c r="N2" i="13" l="1"/>
  <c r="N13" i="11"/>
  <c r="I18" i="13"/>
  <c r="I18" i="12"/>
  <c r="C12" i="1" s="1"/>
  <c r="E12" i="1" s="1"/>
  <c r="N17" i="11"/>
  <c r="N2" i="11" s="1"/>
  <c r="I24" i="11"/>
  <c r="B8" i="8"/>
  <c r="N5" i="13" l="1"/>
  <c r="N5" i="11"/>
  <c r="N5" i="12"/>
  <c r="C11" i="1"/>
  <c r="E11" i="1" s="1"/>
  <c r="B3" i="2"/>
  <c r="B12" i="8"/>
  <c r="B9" i="8"/>
  <c r="B10" i="8"/>
  <c r="B11" i="8"/>
  <c r="B7" i="8"/>
  <c r="C7" i="8" l="1"/>
  <c r="C8" i="8"/>
  <c r="F8" i="8"/>
  <c r="F7" i="8"/>
  <c r="E8" i="8" s="1"/>
  <c r="H9" i="8" l="1"/>
  <c r="N9" i="8" s="1"/>
  <c r="H10" i="8"/>
  <c r="N10" i="8" s="1"/>
  <c r="H11" i="8"/>
  <c r="N11" i="8" s="1"/>
  <c r="I19" i="2"/>
  <c r="I18" i="2"/>
  <c r="I17" i="2"/>
  <c r="I16" i="2"/>
  <c r="N11" i="2"/>
  <c r="N13" i="2" s="1"/>
  <c r="N2" i="2" s="1"/>
  <c r="I32" i="1"/>
  <c r="J28" i="1"/>
  <c r="J27" i="1"/>
  <c r="I23" i="1"/>
  <c r="I22" i="1"/>
  <c r="I21" i="1"/>
  <c r="N17" i="1"/>
  <c r="B10" i="1"/>
  <c r="J29" i="1" l="1"/>
  <c r="L7" i="8" s="1"/>
  <c r="I24" i="1"/>
  <c r="K7" i="8" s="1"/>
  <c r="I34" i="1"/>
  <c r="M7" i="8" s="1"/>
  <c r="I20" i="2"/>
  <c r="N18" i="1"/>
  <c r="N5" i="2" l="1"/>
  <c r="J7" i="8"/>
  <c r="H7" i="8" s="1"/>
  <c r="H8" i="8"/>
  <c r="O1" i="8"/>
  <c r="C10" i="1" l="1"/>
  <c r="E10" i="1" s="1"/>
  <c r="N5" i="1" s="1"/>
  <c r="N8" i="8"/>
  <c r="L12" i="8" l="1"/>
  <c r="M12" i="8"/>
  <c r="N7" i="8"/>
  <c r="N12" i="8" s="1"/>
  <c r="J12" i="8"/>
  <c r="K12" i="8"/>
</calcChain>
</file>

<file path=xl/sharedStrings.xml><?xml version="1.0" encoding="utf-8"?>
<sst xmlns="http://schemas.openxmlformats.org/spreadsheetml/2006/main" count="465" uniqueCount="194">
  <si>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</si>
  <si>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</si>
  <si>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</si>
  <si>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</si>
  <si>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</si>
  <si>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</si>
  <si>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</si>
  <si>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</si>
  <si>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</si>
  <si>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</si>
  <si>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</si>
  <si>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</si>
  <si>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</si>
  <si>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</si>
  <si>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</si>
  <si>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</si>
  <si>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</si>
  <si>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</si>
  <si>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</si>
  <si>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</si>
  <si>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</si>
  <si>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</si>
  <si>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</si>
  <si>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</si>
  <si>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</si>
  <si>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</si>
  <si>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</si>
  <si>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</si>
  <si>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</si>
  <si>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</si>
  <si>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Process</t>
  </si>
  <si>
    <t>Unit</t>
  </si>
  <si>
    <t>Multiplier</t>
  </si>
  <si>
    <t>Mult. Val.</t>
  </si>
  <si>
    <t>unit</t>
  </si>
  <si>
    <t>Fastener</t>
  </si>
  <si>
    <t>Bolt,Grade 8.8 (SAE)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</si>
  <si>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</si>
  <si>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</si>
  <si>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</si>
  <si>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</si>
  <si>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</si>
  <si>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</si>
  <si>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</si>
  <si>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</si>
  <si>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Cutout shape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</si>
  <si>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</si>
  <si>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</si>
  <si>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</si>
  <si>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</si>
  <si>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</si>
  <si>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</si>
  <si>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</si>
  <si>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</si>
  <si>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</si>
  <si>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</si>
  <si>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</si>
  <si>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</si>
  <si>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</si>
  <si>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</si>
  <si>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</si>
  <si>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</si>
  <si>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</si>
  <si>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</si>
  <si>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</si>
  <si>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</si>
  <si>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</si>
  <si>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</si>
  <si>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</si>
  <si>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</si>
  <si>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</si>
  <si>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</si>
  <si>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</si>
  <si>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</si>
  <si>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</si>
  <si>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</si>
  <si>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</si>
  <si>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</si>
  <si>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</si>
  <si>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</si>
  <si>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</si>
  <si>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</si>
  <si>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</si>
  <si>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</si>
  <si>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</si>
  <si>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</si>
  <si>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</si>
  <si>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</si>
  <si>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</si>
  <si>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</si>
  <si>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</si>
  <si>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</si>
  <si>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</si>
  <si>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</si>
  <si>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</si>
  <si>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</si>
  <si>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</si>
  <si>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</si>
  <si>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</si>
  <si>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</si>
  <si>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</si>
  <si>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</si>
  <si>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</si>
  <si>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</si>
  <si>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</si>
  <si>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</si>
  <si>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</si>
  <si>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</si>
  <si>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</si>
  <si>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</si>
  <si>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</si>
  <si>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</si>
  <si>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</si>
  <si>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</si>
  <si>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</si>
  <si>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</si>
  <si>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</si>
  <si>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</si>
  <si>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</si>
  <si>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</si>
  <si>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</si>
  <si>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</si>
  <si>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</si>
  <si>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</si>
  <si>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</si>
  <si>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</si>
  <si>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</si>
  <si>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</si>
  <si>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</si>
  <si>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</si>
  <si>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</si>
  <si>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</si>
  <si>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</si>
  <si>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</si>
  <si>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</si>
  <si>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</si>
  <si>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FR 01001</t>
  </si>
  <si>
    <t>Frame</t>
  </si>
  <si>
    <t>Tubular and space frame</t>
  </si>
  <si>
    <t>Bend Round steel tubing</t>
  </si>
  <si>
    <t>Hoops of the frame</t>
  </si>
  <si>
    <t>Straight round steel tubing</t>
  </si>
  <si>
    <t>FR 01002</t>
  </si>
  <si>
    <t>FR A0001</t>
  </si>
  <si>
    <t>FR 01003</t>
  </si>
  <si>
    <t>Ant-intrusion plate</t>
  </si>
  <si>
    <t>Anti-intusion plate</t>
  </si>
  <si>
    <t>Paint</t>
  </si>
  <si>
    <t>Painting of the frame</t>
  </si>
  <si>
    <t>Weld round tubing</t>
  </si>
  <si>
    <t>Aerosol Apply</t>
  </si>
  <si>
    <t>Anti-intrusion plate</t>
  </si>
  <si>
    <t>Frame Welding fixiture</t>
  </si>
  <si>
    <t>Anti-intrusion fixiture</t>
  </si>
  <si>
    <t>FR 01004</t>
  </si>
  <si>
    <t>Sleeved joint</t>
  </si>
  <si>
    <t>Steel, Alloy</t>
  </si>
  <si>
    <t>Main Hoop</t>
  </si>
  <si>
    <t>Front Hoop</t>
  </si>
  <si>
    <t>Tube bends</t>
  </si>
  <si>
    <t>Tube cut</t>
  </si>
  <si>
    <t>Tube end preparation for welding</t>
  </si>
  <si>
    <t>Main Hoop bends</t>
  </si>
  <si>
    <t>Front Hoop bends</t>
  </si>
  <si>
    <t>Cut to proper length</t>
  </si>
  <si>
    <t>Bend</t>
  </si>
  <si>
    <t>end</t>
  </si>
  <si>
    <t>kg</t>
  </si>
  <si>
    <t>Round, 30 x 2 mm</t>
  </si>
  <si>
    <t>Shoulder Harness Mounting Bar</t>
  </si>
  <si>
    <t>Side impact structure, Front Bulkhead, Roll Hoop Bracing, Front Bulkhead Support, Main Hoop Bracing Support</t>
  </si>
  <si>
    <t>Jacking point &amp; Miscellaneous</t>
  </si>
  <si>
    <t>Miscellaneous</t>
  </si>
  <si>
    <t>Round, 30 x 1,5 mm</t>
  </si>
  <si>
    <t>Round, 25 x 1,5 mm</t>
  </si>
  <si>
    <t>Round, 20 x 1,5 mm</t>
  </si>
  <si>
    <t>Round, 15 x 1,5 mm</t>
  </si>
  <si>
    <t>Rectangular area</t>
  </si>
  <si>
    <t>Setup for metal shearing</t>
  </si>
  <si>
    <t>Sheet metal shearing</t>
  </si>
  <si>
    <t>Drilled holes &lt; 25.4 mm dia.</t>
  </si>
  <si>
    <t>cut</t>
  </si>
  <si>
    <t>hole</t>
  </si>
  <si>
    <t>Sleeve joint</t>
  </si>
  <si>
    <t>Round , 34 x 2 mm</t>
  </si>
  <si>
    <t>Machining</t>
  </si>
  <si>
    <t>Inner</t>
  </si>
  <si>
    <t>Drilled holes &lt; 25,4 mm dia.</t>
  </si>
  <si>
    <t>Round, 20 x 4 mm</t>
  </si>
  <si>
    <t>cm^3</t>
  </si>
  <si>
    <t>Drawing Part :</t>
  </si>
  <si>
    <t>Bolt on sleeved joints</t>
  </si>
  <si>
    <t>Nut on sleeved joints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</si>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</sst>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5" formatCode="0.000"/>
    <numFmt numFmtId="176" formatCode="0.000E+00"/>
    <numFmt numFmtId="178" formatCode="0.0"/>
    <numFmt numFmtId="179" formatCode="0.0E+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2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2" borderId="6">
      <alignment vertical="center" wrapText="1"/>
    </xf>
    <xf numFmtId="172" fontId="8" fillId="0" borderId="0" applyFont="0" applyFill="0" applyBorder="0" applyAlignment="0" applyProtection="0"/>
    <xf numFmtId="0" fontId="3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</cellStyleXfs>
  <cellXfs count="151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2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2" fontId="9" fillId="0" borderId="0" xfId="5" applyFont="1"/>
    <xf numFmtId="0" fontId="9" fillId="0" borderId="0" xfId="1" applyFont="1" applyProtection="1">
      <protection locked="0"/>
    </xf>
    <xf numFmtId="172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3" fillId="0" borderId="0" xfId="6" applyBorder="1"/>
    <xf numFmtId="0" fontId="3" fillId="0" borderId="0" xfId="6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0" fillId="0" borderId="0" xfId="0" applyFont="1"/>
    <xf numFmtId="0" fontId="5" fillId="0" borderId="0" xfId="0" applyFont="1" applyBorder="1" applyAlignment="1">
      <alignment horizontal="left"/>
    </xf>
    <xf numFmtId="0" fontId="5" fillId="0" borderId="3" xfId="0" applyFont="1" applyBorder="1"/>
    <xf numFmtId="164" fontId="5" fillId="0" borderId="3" xfId="7" applyNumberFormat="1" applyFont="1" applyBorder="1" applyAlignment="1" applyProtection="1"/>
    <xf numFmtId="0" fontId="5" fillId="0" borderId="3" xfId="0" applyFont="1" applyBorder="1" applyAlignment="1"/>
    <xf numFmtId="11" fontId="5" fillId="0" borderId="3" xfId="0" applyNumberFormat="1" applyFont="1" applyBorder="1" applyAlignment="1"/>
    <xf numFmtId="168" fontId="5" fillId="0" borderId="3" xfId="7" applyNumberFormat="1" applyFont="1" applyBorder="1" applyAlignment="1" applyProtection="1"/>
    <xf numFmtId="0" fontId="0" fillId="0" borderId="0" xfId="0" applyAlignment="1"/>
    <xf numFmtId="2" fontId="5" fillId="0" borderId="3" xfId="7" applyNumberFormat="1" applyFont="1" applyBorder="1" applyAlignment="1" applyProtection="1"/>
    <xf numFmtId="0" fontId="4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5" fillId="0" borderId="0" xfId="0" applyNumberFormat="1" applyFont="1" applyBorder="1" applyAlignment="1">
      <alignment horizontal="left"/>
    </xf>
    <xf numFmtId="0" fontId="4" fillId="0" borderId="4" xfId="0" applyFont="1" applyBorder="1"/>
    <xf numFmtId="0" fontId="5" fillId="0" borderId="3" xfId="0" applyFont="1" applyBorder="1" applyAlignment="1" applyProtection="1"/>
    <xf numFmtId="3" fontId="0" fillId="0" borderId="3" xfId="0" applyNumberFormat="1" applyBorder="1" applyAlignment="1"/>
    <xf numFmtId="165" fontId="5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5" fillId="0" borderId="3" xfId="7" applyNumberFormat="1" applyFont="1" applyBorder="1" applyAlignment="1" applyProtection="1">
      <alignment wrapText="1"/>
    </xf>
    <xf numFmtId="1" fontId="5" fillId="0" borderId="3" xfId="0" applyNumberFormat="1" applyFont="1" applyBorder="1"/>
    <xf numFmtId="165" fontId="5" fillId="0" borderId="0" xfId="0" applyNumberFormat="1" applyFont="1" applyBorder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3" fillId="0" borderId="0" xfId="6" applyFill="1"/>
    <xf numFmtId="0" fontId="3" fillId="0" borderId="0" xfId="6" applyFill="1" applyBorder="1"/>
    <xf numFmtId="0" fontId="3" fillId="0" borderId="0" xfId="6" applyFont="1"/>
    <xf numFmtId="0" fontId="3" fillId="0" borderId="0" xfId="6" applyFont="1" applyFill="1" applyBorder="1"/>
    <xf numFmtId="0" fontId="3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2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2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3" fillId="5" borderId="14" xfId="6" quotePrefix="1" applyFill="1" applyBorder="1" applyAlignment="1">
      <alignment horizontal="left"/>
    </xf>
    <xf numFmtId="2" fontId="3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22" xfId="0" applyFont="1" applyBorder="1"/>
    <xf numFmtId="0" fontId="5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4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16" xfId="0" applyFont="1" applyBorder="1"/>
    <xf numFmtId="165" fontId="5" fillId="0" borderId="16" xfId="7" applyNumberFormat="1" applyFont="1" applyBorder="1" applyAlignment="1" applyProtection="1"/>
    <xf numFmtId="164" fontId="5" fillId="0" borderId="16" xfId="7" applyNumberFormat="1" applyFont="1" applyBorder="1" applyAlignment="1" applyProtection="1"/>
    <xf numFmtId="11" fontId="5" fillId="0" borderId="16" xfId="0" applyNumberFormat="1" applyFont="1" applyBorder="1"/>
    <xf numFmtId="167" fontId="5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5" fillId="0" borderId="16" xfId="0" applyNumberFormat="1" applyFont="1" applyBorder="1"/>
    <xf numFmtId="0" fontId="5" fillId="0" borderId="16" xfId="7" applyNumberFormat="1" applyFont="1" applyBorder="1" applyAlignment="1" applyProtection="1">
      <alignment vertical="center" wrapText="1"/>
    </xf>
    <xf numFmtId="37" fontId="5" fillId="0" borderId="16" xfId="7" applyNumberFormat="1" applyFont="1" applyBorder="1" applyAlignment="1" applyProtection="1"/>
    <xf numFmtId="39" fontId="5" fillId="0" borderId="16" xfId="7" applyNumberFormat="1" applyFont="1" applyBorder="1" applyAlignment="1" applyProtection="1"/>
    <xf numFmtId="0" fontId="5" fillId="0" borderId="16" xfId="0" applyFont="1" applyBorder="1" applyAlignment="1">
      <alignment horizontal="right"/>
    </xf>
    <xf numFmtId="0" fontId="4" fillId="0" borderId="27" xfId="0" applyFont="1" applyBorder="1"/>
    <xf numFmtId="0" fontId="5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1" xfId="0" applyFont="1" applyBorder="1"/>
    <xf numFmtId="37" fontId="5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 applyBorder="1"/>
    <xf numFmtId="0" fontId="19" fillId="0" borderId="0" xfId="8"/>
    <xf numFmtId="0" fontId="22" fillId="0" borderId="0" xfId="0" applyFont="1"/>
    <xf numFmtId="0" fontId="23" fillId="0" borderId="0" xfId="0" applyFont="1"/>
    <xf numFmtId="0" fontId="3" fillId="5" borderId="14" xfId="6" quotePrefix="1" applyFont="1" applyFill="1" applyBorder="1" applyAlignment="1">
      <alignment horizontal="left"/>
    </xf>
    <xf numFmtId="0" fontId="2" fillId="5" borderId="14" xfId="6" applyFont="1" applyFill="1" applyBorder="1"/>
    <xf numFmtId="173" fontId="5" fillId="0" borderId="16" xfId="7" applyNumberFormat="1" applyFont="1" applyBorder="1" applyAlignment="1" applyProtection="1"/>
    <xf numFmtId="173" fontId="12" fillId="0" borderId="7" xfId="1" applyNumberFormat="1" applyFont="1" applyFill="1" applyBorder="1" applyAlignment="1">
      <alignment horizontal="right"/>
    </xf>
    <xf numFmtId="175" fontId="5" fillId="0" borderId="3" xfId="7" applyNumberFormat="1" applyFont="1" applyBorder="1" applyAlignment="1" applyProtection="1"/>
    <xf numFmtId="0" fontId="4" fillId="7" borderId="16" xfId="0" applyFont="1" applyFill="1" applyBorder="1"/>
    <xf numFmtId="0" fontId="4" fillId="7" borderId="16" xfId="0" applyFont="1" applyFill="1" applyBorder="1" applyAlignment="1">
      <alignment horizontal="right"/>
    </xf>
    <xf numFmtId="165" fontId="4" fillId="7" borderId="16" xfId="0" applyNumberFormat="1" applyFont="1" applyFill="1" applyBorder="1"/>
    <xf numFmtId="0" fontId="4" fillId="7" borderId="0" xfId="0" applyFont="1" applyFill="1" applyBorder="1"/>
    <xf numFmtId="0" fontId="4" fillId="7" borderId="26" xfId="0" applyFont="1" applyFill="1" applyBorder="1" applyAlignment="1">
      <alignment horizontal="right"/>
    </xf>
    <xf numFmtId="165" fontId="4" fillId="7" borderId="26" xfId="0" applyNumberFormat="1" applyFont="1" applyFill="1" applyBorder="1"/>
    <xf numFmtId="0" fontId="12" fillId="8" borderId="3" xfId="1" applyFont="1" applyFill="1" applyBorder="1" applyProtection="1">
      <protection locked="0"/>
    </xf>
    <xf numFmtId="0" fontId="12" fillId="8" borderId="3" xfId="1" applyFont="1" applyFill="1" applyBorder="1" applyAlignment="1">
      <alignment horizontal="left"/>
    </xf>
    <xf numFmtId="18" fontId="12" fillId="8" borderId="3" xfId="1" applyNumberFormat="1" applyFont="1" applyFill="1" applyBorder="1" applyAlignment="1" applyProtection="1">
      <protection locked="0"/>
    </xf>
    <xf numFmtId="0" fontId="19" fillId="8" borderId="3" xfId="8" applyFill="1" applyBorder="1" applyAlignment="1">
      <alignment horizontal="left"/>
    </xf>
    <xf numFmtId="173" fontId="12" fillId="8" borderId="3" xfId="5" applyNumberFormat="1" applyFont="1" applyFill="1" applyBorder="1" applyProtection="1">
      <protection locked="0"/>
    </xf>
    <xf numFmtId="37" fontId="12" fillId="8" borderId="3" xfId="1" applyNumberFormat="1" applyFont="1" applyFill="1" applyBorder="1" applyAlignment="1" applyProtection="1">
      <alignment horizontal="center"/>
      <protection locked="0"/>
    </xf>
    <xf numFmtId="173" fontId="12" fillId="8" borderId="3" xfId="1" applyNumberFormat="1" applyFont="1" applyFill="1" applyBorder="1" applyAlignment="1" applyProtection="1">
      <alignment horizontal="center"/>
      <protection locked="0"/>
    </xf>
    <xf numFmtId="173" fontId="12" fillId="8" borderId="3" xfId="1" applyNumberFormat="1" applyFont="1" applyFill="1" applyBorder="1" applyAlignment="1">
      <alignment horizontal="right"/>
    </xf>
    <xf numFmtId="0" fontId="12" fillId="8" borderId="3" xfId="1" applyFont="1" applyFill="1" applyBorder="1" applyAlignment="1">
      <alignment horizontal="center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alignment horizontal="right"/>
      <protection locked="0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3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4" fillId="10" borderId="16" xfId="0" applyFont="1" applyFill="1" applyBorder="1"/>
    <xf numFmtId="0" fontId="4" fillId="10" borderId="16" xfId="0" applyFont="1" applyFill="1" applyBorder="1" applyAlignment="1">
      <alignment horizontal="left"/>
    </xf>
    <xf numFmtId="0" fontId="4" fillId="10" borderId="2" xfId="0" applyFont="1" applyFill="1" applyBorder="1"/>
    <xf numFmtId="0" fontId="4" fillId="10" borderId="28" xfId="0" applyFont="1" applyFill="1" applyBorder="1"/>
    <xf numFmtId="0" fontId="4" fillId="10" borderId="5" xfId="0" applyFont="1" applyFill="1" applyBorder="1"/>
    <xf numFmtId="0" fontId="4" fillId="10" borderId="3" xfId="0" applyFont="1" applyFill="1" applyBorder="1"/>
    <xf numFmtId="0" fontId="4" fillId="10" borderId="3" xfId="0" applyFont="1" applyFill="1" applyBorder="1" applyAlignment="1">
      <alignment horizontal="right"/>
    </xf>
    <xf numFmtId="165" fontId="4" fillId="10" borderId="5" xfId="0" applyNumberFormat="1" applyFont="1" applyFill="1" applyBorder="1"/>
    <xf numFmtId="0" fontId="4" fillId="10" borderId="22" xfId="0" applyFont="1" applyFill="1" applyBorder="1"/>
    <xf numFmtId="0" fontId="4" fillId="10" borderId="5" xfId="0" applyFont="1" applyFill="1" applyBorder="1" applyAlignment="1">
      <alignment horizontal="right"/>
    </xf>
    <xf numFmtId="0" fontId="5" fillId="0" borderId="21" xfId="0" applyFont="1" applyBorder="1" applyAlignment="1"/>
    <xf numFmtId="0" fontId="5" fillId="0" borderId="0" xfId="0" applyFont="1" applyBorder="1" applyAlignment="1"/>
    <xf numFmtId="0" fontId="5" fillId="0" borderId="3" xfId="0" applyFont="1" applyBorder="1" applyAlignment="1">
      <alignment wrapText="1"/>
    </xf>
    <xf numFmtId="176" fontId="5" fillId="0" borderId="3" xfId="7" applyNumberFormat="1" applyFont="1" applyBorder="1" applyAlignment="1" applyProtection="1"/>
    <xf numFmtId="178" fontId="5" fillId="0" borderId="3" xfId="0" applyNumberFormat="1" applyFont="1" applyBorder="1"/>
    <xf numFmtId="0" fontId="0" fillId="0" borderId="0" xfId="0" applyFill="1"/>
    <xf numFmtId="179" fontId="5" fillId="0" borderId="3" xfId="0" applyNumberFormat="1" applyFont="1" applyBorder="1"/>
    <xf numFmtId="0" fontId="1" fillId="5" borderId="13" xfId="6" applyFont="1" applyFill="1" applyBorder="1"/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99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308729</xdr:colOff>
      <xdr:row>2</xdr:row>
      <xdr:rowOff>38099</xdr:rowOff>
    </xdr:from>
    <xdr:to>
      <xdr:col>6</xdr:col>
      <xdr:colOff>529733</xdr:colOff>
      <xdr:row>21</xdr:row>
      <xdr:rowOff>142875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EA309B-1413-4E94-AD7F-FD8C9AEEA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729" y="400049"/>
          <a:ext cx="5031129" cy="3543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58" workbookViewId="0">
      <selection activeCell="B20" sqref="B20"/>
    </sheetView>
  </sheetViews>
  <sheetFormatPr baseColWidth="10" defaultRowHeight="14.25" x14ac:dyDescent="0.45"/>
  <sheetData>
    <row r="1" spans="1:2" x14ac:dyDescent="0.45">
      <c r="A1" s="102" t="s">
        <v>133</v>
      </c>
    </row>
    <row r="3" spans="1:2" x14ac:dyDescent="0.45">
      <c r="A3" s="101" t="s">
        <v>66</v>
      </c>
      <c r="B3" s="98" t="s">
        <v>67</v>
      </c>
    </row>
    <row r="5" spans="1:2" x14ac:dyDescent="0.45">
      <c r="A5" t="s">
        <v>101</v>
      </c>
    </row>
    <row r="6" spans="1:2" x14ac:dyDescent="0.45">
      <c r="A6" t="s">
        <v>102</v>
      </c>
    </row>
    <row r="7" spans="1:2" x14ac:dyDescent="0.45">
      <c r="A7" t="s">
        <v>109</v>
      </c>
    </row>
    <row r="8" spans="1:2" x14ac:dyDescent="0.45">
      <c r="A8" t="s">
        <v>106</v>
      </c>
    </row>
    <row r="9" spans="1:2" x14ac:dyDescent="0.45">
      <c r="A9" t="s">
        <v>68</v>
      </c>
    </row>
    <row r="10" spans="1:2" x14ac:dyDescent="0.45">
      <c r="A10" s="98" t="s">
        <v>97</v>
      </c>
    </row>
    <row r="11" spans="1:2" x14ac:dyDescent="0.45">
      <c r="A11" t="s">
        <v>69</v>
      </c>
    </row>
    <row r="12" spans="1:2" x14ac:dyDescent="0.45">
      <c r="A12" t="s">
        <v>70</v>
      </c>
    </row>
    <row r="14" spans="1:2" x14ac:dyDescent="0.45">
      <c r="A14" t="s">
        <v>100</v>
      </c>
    </row>
    <row r="15" spans="1:2" x14ac:dyDescent="0.45">
      <c r="A15" t="s">
        <v>114</v>
      </c>
    </row>
    <row r="16" spans="1:2" x14ac:dyDescent="0.45">
      <c r="A16" t="s">
        <v>118</v>
      </c>
    </row>
    <row r="18" spans="1:3" x14ac:dyDescent="0.45">
      <c r="A18" s="101" t="s">
        <v>71</v>
      </c>
      <c r="B18" s="98" t="s">
        <v>104</v>
      </c>
      <c r="C18" s="98"/>
    </row>
    <row r="20" spans="1:3" x14ac:dyDescent="0.45">
      <c r="A20" t="s">
        <v>115</v>
      </c>
    </row>
    <row r="21" spans="1:3" x14ac:dyDescent="0.45">
      <c r="A21" t="s">
        <v>134</v>
      </c>
    </row>
    <row r="23" spans="1:3" x14ac:dyDescent="0.45">
      <c r="A23" s="101" t="s">
        <v>73</v>
      </c>
      <c r="B23" s="98" t="s">
        <v>74</v>
      </c>
    </row>
    <row r="25" spans="1:3" x14ac:dyDescent="0.45">
      <c r="A25" t="s">
        <v>126</v>
      </c>
    </row>
    <row r="26" spans="1:3" x14ac:dyDescent="0.45">
      <c r="A26" t="s">
        <v>80</v>
      </c>
    </row>
    <row r="27" spans="1:3" x14ac:dyDescent="0.45">
      <c r="A27" t="s">
        <v>75</v>
      </c>
    </row>
    <row r="28" spans="1:3" x14ac:dyDescent="0.45">
      <c r="A28" t="s">
        <v>110</v>
      </c>
    </row>
    <row r="29" spans="1:3" x14ac:dyDescent="0.45">
      <c r="A29" t="s">
        <v>107</v>
      </c>
    </row>
    <row r="30" spans="1:3" x14ac:dyDescent="0.45">
      <c r="A30" t="s">
        <v>76</v>
      </c>
    </row>
    <row r="31" spans="1:3" x14ac:dyDescent="0.45">
      <c r="A31" s="98" t="s">
        <v>97</v>
      </c>
    </row>
    <row r="32" spans="1:3" x14ac:dyDescent="0.45">
      <c r="A32" t="s">
        <v>108</v>
      </c>
    </row>
    <row r="33" spans="1:2" x14ac:dyDescent="0.45">
      <c r="A33" t="s">
        <v>111</v>
      </c>
    </row>
    <row r="35" spans="1:2" x14ac:dyDescent="0.45">
      <c r="A35" t="s">
        <v>112</v>
      </c>
    </row>
    <row r="36" spans="1:2" x14ac:dyDescent="0.45">
      <c r="A36" t="s">
        <v>113</v>
      </c>
    </row>
    <row r="37" spans="1:2" x14ac:dyDescent="0.45">
      <c r="A37" t="s">
        <v>119</v>
      </c>
    </row>
    <row r="39" spans="1:2" x14ac:dyDescent="0.45">
      <c r="A39" s="101" t="s">
        <v>77</v>
      </c>
      <c r="B39" s="98" t="s">
        <v>72</v>
      </c>
    </row>
    <row r="41" spans="1:2" x14ac:dyDescent="0.45">
      <c r="A41" t="s">
        <v>124</v>
      </c>
    </row>
    <row r="42" spans="1:2" x14ac:dyDescent="0.45">
      <c r="A42" t="s">
        <v>125</v>
      </c>
    </row>
    <row r="43" spans="1:2" x14ac:dyDescent="0.45">
      <c r="A43" t="s">
        <v>103</v>
      </c>
    </row>
    <row r="45" spans="1:2" x14ac:dyDescent="0.45">
      <c r="A45" s="101" t="s">
        <v>78</v>
      </c>
      <c r="B45" s="98" t="s">
        <v>94</v>
      </c>
    </row>
    <row r="47" spans="1:2" x14ac:dyDescent="0.45">
      <c r="A47" t="s">
        <v>127</v>
      </c>
    </row>
    <row r="48" spans="1:2" x14ac:dyDescent="0.45">
      <c r="A48" t="s">
        <v>95</v>
      </c>
    </row>
    <row r="49" spans="1:2" x14ac:dyDescent="0.45">
      <c r="A49" t="s">
        <v>96</v>
      </c>
    </row>
    <row r="50" spans="1:2" x14ac:dyDescent="0.45">
      <c r="A50" t="s">
        <v>116</v>
      </c>
    </row>
    <row r="51" spans="1:2" x14ac:dyDescent="0.45">
      <c r="A51" t="s">
        <v>128</v>
      </c>
    </row>
    <row r="52" spans="1:2" x14ac:dyDescent="0.45">
      <c r="A52" t="s">
        <v>129</v>
      </c>
    </row>
    <row r="53" spans="1:2" x14ac:dyDescent="0.45">
      <c r="A53" t="s">
        <v>98</v>
      </c>
    </row>
    <row r="55" spans="1:2" x14ac:dyDescent="0.45">
      <c r="A55" t="s">
        <v>120</v>
      </c>
    </row>
    <row r="57" spans="1:2" x14ac:dyDescent="0.45">
      <c r="A57" s="101" t="s">
        <v>82</v>
      </c>
      <c r="B57" s="98" t="s">
        <v>79</v>
      </c>
    </row>
    <row r="59" spans="1:2" x14ac:dyDescent="0.45">
      <c r="A59" t="s">
        <v>81</v>
      </c>
    </row>
    <row r="60" spans="1:2" x14ac:dyDescent="0.45">
      <c r="A60" t="s">
        <v>121</v>
      </c>
    </row>
    <row r="61" spans="1:2" x14ac:dyDescent="0.45">
      <c r="A61" t="s">
        <v>117</v>
      </c>
    </row>
    <row r="63" spans="1:2" x14ac:dyDescent="0.45">
      <c r="A63" s="101" t="s">
        <v>93</v>
      </c>
      <c r="B63" s="98" t="s">
        <v>83</v>
      </c>
    </row>
    <row r="65" spans="1:1" x14ac:dyDescent="0.45">
      <c r="A65" t="s">
        <v>84</v>
      </c>
    </row>
    <row r="66" spans="1:1" x14ac:dyDescent="0.45">
      <c r="A66" t="s">
        <v>86</v>
      </c>
    </row>
    <row r="67" spans="1:1" x14ac:dyDescent="0.45">
      <c r="A67" t="s">
        <v>85</v>
      </c>
    </row>
    <row r="68" spans="1:1" x14ac:dyDescent="0.45">
      <c r="A68" t="s">
        <v>87</v>
      </c>
    </row>
    <row r="69" spans="1:1" x14ac:dyDescent="0.45">
      <c r="A69" t="s">
        <v>88</v>
      </c>
    </row>
    <row r="70" spans="1:1" x14ac:dyDescent="0.45">
      <c r="A70" t="s">
        <v>89</v>
      </c>
    </row>
    <row r="71" spans="1:1" x14ac:dyDescent="0.45">
      <c r="A71" t="s">
        <v>122</v>
      </c>
    </row>
    <row r="72" spans="1:1" x14ac:dyDescent="0.45">
      <c r="A72" t="s">
        <v>123</v>
      </c>
    </row>
    <row r="74" spans="1:1" x14ac:dyDescent="0.45">
      <c r="A74" t="s">
        <v>130</v>
      </c>
    </row>
    <row r="75" spans="1:1" x14ac:dyDescent="0.45">
      <c r="A75" t="s">
        <v>90</v>
      </c>
    </row>
    <row r="76" spans="1:1" x14ac:dyDescent="0.45">
      <c r="A76" t="s">
        <v>91</v>
      </c>
    </row>
    <row r="77" spans="1:1" x14ac:dyDescent="0.45">
      <c r="A77" t="s">
        <v>122</v>
      </c>
    </row>
    <row r="78" spans="1:1" x14ac:dyDescent="0.45">
      <c r="A78" t="s">
        <v>123</v>
      </c>
    </row>
    <row r="80" spans="1:1" x14ac:dyDescent="0.45">
      <c r="A80" s="98" t="s">
        <v>99</v>
      </c>
    </row>
    <row r="82" spans="1:1" x14ac:dyDescent="0.45">
      <c r="A82" s="102" t="s">
        <v>105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58"/>
  <sheetViews>
    <sheetView tabSelected="1" zoomScaleNormal="100" workbookViewId="0">
      <pane xSplit="3" ySplit="6" topLeftCell="G7" activePane="bottomRight" state="frozen"/>
      <selection activeCell="H10" sqref="H10"/>
      <selection pane="topRight" activeCell="H10" sqref="H10"/>
      <selection pane="bottomLeft" activeCell="H10" sqref="H10"/>
      <selection pane="bottomRight" activeCell="J20" sqref="J20"/>
    </sheetView>
  </sheetViews>
  <sheetFormatPr baseColWidth="10" defaultColWidth="9.1328125" defaultRowHeight="13.15" x14ac:dyDescent="0.4"/>
  <cols>
    <col min="1" max="1" width="17.3984375" style="9" bestFit="1" customWidth="1"/>
    <col min="2" max="2" width="28.73046875" style="13" bestFit="1" customWidth="1"/>
    <col min="3" max="3" width="13.59765625" style="9" customWidth="1"/>
    <col min="4" max="4" width="10" style="9" bestFit="1" customWidth="1"/>
    <col min="5" max="5" width="23" style="9" customWidth="1"/>
    <col min="6" max="6" width="39.1328125" style="49" customWidth="1"/>
    <col min="7" max="7" width="14" style="9" customWidth="1"/>
    <col min="8" max="8" width="11" style="9" bestFit="1" customWidth="1"/>
    <col min="9" max="13" width="10.3984375" style="6" customWidth="1"/>
    <col min="14" max="14" width="9.73046875" style="9" bestFit="1" customWidth="1"/>
    <col min="15" max="15" width="11.1328125" style="13" customWidth="1"/>
    <col min="16" max="16384" width="9.1328125" style="13"/>
  </cols>
  <sheetData>
    <row r="1" spans="1:15" ht="14.65" thickBot="1" x14ac:dyDescent="0.5">
      <c r="A1" s="59" t="s">
        <v>0</v>
      </c>
      <c r="B1" s="150" t="s">
        <v>43</v>
      </c>
      <c r="D1" s="50"/>
      <c r="M1" s="62" t="s">
        <v>47</v>
      </c>
      <c r="N1" s="51"/>
      <c r="O1" s="61" t="e">
        <f>#REF!</f>
        <v>#REF!</v>
      </c>
    </row>
    <row r="2" spans="1:15" s="15" customFormat="1" ht="14.65" thickBot="1" x14ac:dyDescent="0.5">
      <c r="A2" s="57" t="s">
        <v>48</v>
      </c>
      <c r="B2" s="104" t="s">
        <v>131</v>
      </c>
      <c r="C2" s="14"/>
      <c r="F2" s="45"/>
    </row>
    <row r="3" spans="1:15" s="15" customFormat="1" ht="15" thickTop="1" thickBot="1" x14ac:dyDescent="0.5">
      <c r="A3" s="58" t="s">
        <v>49</v>
      </c>
      <c r="B3" s="60">
        <v>2018</v>
      </c>
      <c r="C3" s="14"/>
      <c r="F3" s="45"/>
    </row>
    <row r="4" spans="1:15" s="15" customFormat="1" ht="15" thickTop="1" thickBot="1" x14ac:dyDescent="0.5">
      <c r="A4" s="56" t="s">
        <v>1</v>
      </c>
      <c r="B4" s="103">
        <v>81</v>
      </c>
      <c r="C4" s="14"/>
      <c r="D4" s="50" t="s">
        <v>50</v>
      </c>
      <c r="F4" s="45"/>
    </row>
    <row r="5" spans="1:15" s="43" customFormat="1" ht="14.65" thickTop="1" x14ac:dyDescent="0.45">
      <c r="A5" s="42"/>
      <c r="B5" s="46"/>
      <c r="C5" s="44"/>
      <c r="F5" s="47"/>
    </row>
    <row r="6" spans="1:15" s="41" customFormat="1" ht="49.5" customHeight="1" x14ac:dyDescent="0.4">
      <c r="A6" s="40" t="s">
        <v>51</v>
      </c>
      <c r="B6" s="53" t="s">
        <v>52</v>
      </c>
      <c r="C6" s="53" t="s">
        <v>53</v>
      </c>
      <c r="D6" s="53" t="s">
        <v>54</v>
      </c>
      <c r="E6" s="53" t="s">
        <v>55</v>
      </c>
      <c r="F6" s="53" t="s">
        <v>56</v>
      </c>
      <c r="G6" s="53" t="s">
        <v>57</v>
      </c>
      <c r="H6" s="55" t="s">
        <v>58</v>
      </c>
      <c r="I6" s="53" t="s">
        <v>17</v>
      </c>
      <c r="J6" s="53" t="s">
        <v>59</v>
      </c>
      <c r="K6" s="53" t="s">
        <v>60</v>
      </c>
      <c r="L6" s="53" t="s">
        <v>61</v>
      </c>
      <c r="M6" s="53" t="s">
        <v>62</v>
      </c>
      <c r="N6" s="54" t="s">
        <v>63</v>
      </c>
      <c r="O6" s="53" t="s">
        <v>64</v>
      </c>
    </row>
    <row r="7" spans="1:15" ht="14.25" x14ac:dyDescent="0.45">
      <c r="A7" s="114"/>
      <c r="B7" s="115" t="str">
        <f>'FR A0001'!B3</f>
        <v>Frame and Body</v>
      </c>
      <c r="C7" s="116" t="str">
        <f>EL_A0001</f>
        <v>FR A0001</v>
      </c>
      <c r="D7" s="116" t="s">
        <v>11</v>
      </c>
      <c r="E7" s="116"/>
      <c r="F7" s="117" t="str">
        <f>'FR A0001'!B4</f>
        <v>Frame</v>
      </c>
      <c r="G7" s="116"/>
      <c r="H7" s="118">
        <f t="shared" ref="H7:H11" si="0">SUM(J7:M7)</f>
        <v>501.97083333333342</v>
      </c>
      <c r="I7" s="119">
        <f>FR_A0001_q</f>
        <v>1</v>
      </c>
      <c r="J7" s="120">
        <f>BR_A0001_m</f>
        <v>30.7</v>
      </c>
      <c r="K7" s="120">
        <f>BR_A0001_p</f>
        <v>401.05750000000006</v>
      </c>
      <c r="L7" s="120">
        <f>BR_A0001_f</f>
        <v>2.8800000000000003</v>
      </c>
      <c r="M7" s="120">
        <f>BR_A0001_t</f>
        <v>67.333333333333343</v>
      </c>
      <c r="N7" s="121">
        <f t="shared" ref="N7:N11" si="1">H7*I7</f>
        <v>501.97083333333342</v>
      </c>
      <c r="O7" s="122"/>
    </row>
    <row r="8" spans="1:15" ht="14.25" x14ac:dyDescent="0.45">
      <c r="A8" s="123"/>
      <c r="B8" s="124" t="str">
        <f>'FR A0001'!B3</f>
        <v>Frame and Body</v>
      </c>
      <c r="C8" s="125" t="str">
        <f>EL_01001</f>
        <v>FR 01001</v>
      </c>
      <c r="D8" s="126" t="s">
        <v>11</v>
      </c>
      <c r="E8" s="126" t="str">
        <f>F7</f>
        <v>Frame</v>
      </c>
      <c r="F8" s="127" t="str">
        <f>'FR 01001'!B5</f>
        <v>Bend Round steel tubing</v>
      </c>
      <c r="G8" s="126"/>
      <c r="H8" s="128">
        <f t="shared" si="0"/>
        <v>23.75227908990254</v>
      </c>
      <c r="I8" s="129">
        <f>FR_A0001_q*FR_01001_q</f>
        <v>1</v>
      </c>
      <c r="J8" s="130">
        <f>FR_01001_m</f>
        <v>12.802279089902541</v>
      </c>
      <c r="K8" s="130">
        <f>FR_01001_p</f>
        <v>10.95</v>
      </c>
      <c r="L8" s="130"/>
      <c r="M8" s="130"/>
      <c r="N8" s="131">
        <f t="shared" si="1"/>
        <v>23.75227908990254</v>
      </c>
      <c r="O8" s="132"/>
    </row>
    <row r="9" spans="1:15" ht="13.5" x14ac:dyDescent="0.35">
      <c r="A9" s="123"/>
      <c r="B9" s="124" t="str">
        <f>'FR A0001'!$B$3</f>
        <v>Frame and Body</v>
      </c>
      <c r="C9" s="125" t="s">
        <v>142</v>
      </c>
      <c r="D9" s="126" t="s">
        <v>11</v>
      </c>
      <c r="E9" s="126"/>
      <c r="F9" s="124"/>
      <c r="G9" s="126"/>
      <c r="H9" s="128">
        <f t="shared" si="0"/>
        <v>253.01039372242448</v>
      </c>
      <c r="I9" s="129">
        <f>FR_A0001_q*FR_01002_q</f>
        <v>1</v>
      </c>
      <c r="J9" s="130">
        <f>FR_01002_m</f>
        <v>70.46039372242447</v>
      </c>
      <c r="K9" s="130">
        <f>FR_01002_p</f>
        <v>182.55</v>
      </c>
      <c r="L9" s="130"/>
      <c r="M9" s="130"/>
      <c r="N9" s="131">
        <f t="shared" si="1"/>
        <v>253.01039372242448</v>
      </c>
      <c r="O9" s="132"/>
    </row>
    <row r="10" spans="1:15" ht="13.5" x14ac:dyDescent="0.35">
      <c r="A10" s="123"/>
      <c r="B10" s="124" t="str">
        <f>'FR A0001'!$B$3</f>
        <v>Frame and Body</v>
      </c>
      <c r="C10" s="125" t="s">
        <v>144</v>
      </c>
      <c r="D10" s="126" t="s">
        <v>11</v>
      </c>
      <c r="E10" s="126"/>
      <c r="F10" s="124"/>
      <c r="G10" s="126"/>
      <c r="H10" s="128">
        <f t="shared" si="0"/>
        <v>9.1270500000000006</v>
      </c>
      <c r="I10" s="129">
        <f>FR_A0001_q*FR_01003_q</f>
        <v>1</v>
      </c>
      <c r="J10" s="130">
        <f>FR_01003_m</f>
        <v>4.02705</v>
      </c>
      <c r="K10" s="130">
        <f>FR_01003_P</f>
        <v>5.0999999999999996</v>
      </c>
      <c r="L10" s="130"/>
      <c r="M10" s="130"/>
      <c r="N10" s="131">
        <f t="shared" si="1"/>
        <v>9.1270500000000006</v>
      </c>
      <c r="O10" s="132"/>
    </row>
    <row r="11" spans="1:15" ht="13.9" thickBot="1" x14ac:dyDescent="0.4">
      <c r="A11" s="123"/>
      <c r="B11" s="124" t="str">
        <f>'FR A0001'!$B$3</f>
        <v>Frame and Body</v>
      </c>
      <c r="C11" s="125" t="s">
        <v>154</v>
      </c>
      <c r="D11" s="126" t="s">
        <v>11</v>
      </c>
      <c r="E11" s="126"/>
      <c r="F11" s="124"/>
      <c r="G11" s="126"/>
      <c r="H11" s="128">
        <f t="shared" si="0"/>
        <v>3.9191256335617903</v>
      </c>
      <c r="I11" s="129">
        <f>FR_A0001_q*FR_01004_q</f>
        <v>4</v>
      </c>
      <c r="J11" s="130">
        <f>FR_01004_m</f>
        <v>0.35512563356179044</v>
      </c>
      <c r="K11" s="130">
        <f>FR_01004_p</f>
        <v>3.5640000000000001</v>
      </c>
      <c r="L11" s="130"/>
      <c r="M11" s="130"/>
      <c r="N11" s="131">
        <f t="shared" si="1"/>
        <v>15.676502534247161</v>
      </c>
      <c r="O11" s="132"/>
    </row>
    <row r="12" spans="1:15" s="12" customFormat="1" ht="14.25" thickTop="1" thickBot="1" x14ac:dyDescent="0.4">
      <c r="A12" s="5"/>
      <c r="B12" s="48" t="str">
        <f>'FR A0001'!B3</f>
        <v>Frame and Body</v>
      </c>
      <c r="C12" s="1"/>
      <c r="D12" s="1"/>
      <c r="E12" s="1"/>
      <c r="F12" s="48" t="s">
        <v>65</v>
      </c>
      <c r="G12" s="1"/>
      <c r="H12" s="3"/>
      <c r="I12" s="4"/>
      <c r="J12" s="106">
        <f>SUMPRODUCT($I7:$I11,J7:J11)</f>
        <v>119.41022534657418</v>
      </c>
      <c r="K12" s="106">
        <f>SUMPRODUCT($I7:$I11,K7:K11)</f>
        <v>613.91350000000011</v>
      </c>
      <c r="L12" s="106">
        <f>SUMPRODUCT($I7:$I11,L7:L11)</f>
        <v>2.8800000000000003</v>
      </c>
      <c r="M12" s="106">
        <f>SUMPRODUCT($I7:$I11,M7:M11)</f>
        <v>67.333333333333343</v>
      </c>
      <c r="N12" s="106">
        <f>SUM(N7:N11)</f>
        <v>803.53705867990766</v>
      </c>
      <c r="O12" s="2"/>
    </row>
    <row r="13" spans="1:15" thickTop="1" x14ac:dyDescent="0.35">
      <c r="A13" s="11"/>
      <c r="B13" s="49"/>
      <c r="C13" s="13"/>
      <c r="D13" s="13"/>
      <c r="E13" s="13"/>
      <c r="F13" s="13"/>
      <c r="G13" s="13"/>
      <c r="H13" s="8"/>
      <c r="I13" s="13"/>
      <c r="J13" s="13"/>
      <c r="K13" s="13"/>
      <c r="L13" s="13"/>
      <c r="M13" s="13"/>
      <c r="N13" s="13"/>
    </row>
    <row r="14" spans="1:15" ht="12.75" x14ac:dyDescent="0.35">
      <c r="A14" s="11"/>
      <c r="B14" s="49"/>
      <c r="C14" s="13"/>
      <c r="D14" s="13"/>
      <c r="E14" s="13"/>
      <c r="F14" s="13"/>
      <c r="G14" s="13"/>
      <c r="H14" s="8"/>
      <c r="I14" s="13"/>
      <c r="J14" s="13"/>
      <c r="K14" s="13"/>
      <c r="L14" s="13"/>
      <c r="M14" s="13"/>
      <c r="N14" s="13"/>
    </row>
    <row r="15" spans="1:15" x14ac:dyDescent="0.4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13"/>
    </row>
    <row r="16" spans="1:15" x14ac:dyDescent="0.4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52"/>
    </row>
    <row r="17" spans="1:14" x14ac:dyDescent="0.4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13"/>
    </row>
    <row r="18" spans="1:14" x14ac:dyDescent="0.4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52"/>
    </row>
    <row r="19" spans="1:14" x14ac:dyDescent="0.4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4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4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4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4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4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4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4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4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4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4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4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4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4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4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4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4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4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4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4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4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4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4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4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s="9" customFormat="1" x14ac:dyDescent="0.4">
      <c r="A43" s="7"/>
      <c r="B43" s="11"/>
      <c r="F43" s="49"/>
      <c r="I43" s="6"/>
      <c r="J43" s="6"/>
      <c r="K43" s="6"/>
      <c r="L43" s="6"/>
      <c r="M43" s="6"/>
    </row>
    <row r="44" spans="1:14" s="9" customFormat="1" x14ac:dyDescent="0.4">
      <c r="A44" s="7"/>
      <c r="B44" s="11"/>
      <c r="F44" s="49"/>
      <c r="I44" s="6"/>
      <c r="J44" s="6"/>
      <c r="K44" s="6"/>
      <c r="L44" s="6"/>
      <c r="M44" s="6"/>
    </row>
    <row r="45" spans="1:14" s="9" customFormat="1" x14ac:dyDescent="0.4">
      <c r="A45" s="7"/>
      <c r="B45" s="11"/>
      <c r="F45" s="49"/>
      <c r="I45" s="6"/>
      <c r="J45" s="6"/>
      <c r="K45" s="6"/>
      <c r="L45" s="6"/>
      <c r="M45" s="6"/>
    </row>
    <row r="46" spans="1:14" s="9" customFormat="1" x14ac:dyDescent="0.4">
      <c r="A46" s="7"/>
      <c r="B46" s="11"/>
      <c r="F46" s="49"/>
      <c r="I46" s="6"/>
      <c r="J46" s="6"/>
      <c r="K46" s="6"/>
      <c r="L46" s="6"/>
      <c r="M46" s="6"/>
    </row>
    <row r="47" spans="1:14" s="9" customFormat="1" x14ac:dyDescent="0.4">
      <c r="A47" s="7"/>
      <c r="B47" s="11"/>
      <c r="F47" s="49"/>
      <c r="I47" s="6"/>
      <c r="J47" s="6"/>
      <c r="K47" s="6"/>
      <c r="L47" s="6"/>
      <c r="M47" s="6"/>
    </row>
    <row r="48" spans="1:14" s="9" customFormat="1" x14ac:dyDescent="0.4">
      <c r="A48" s="7"/>
      <c r="B48" s="11"/>
      <c r="F48" s="49"/>
      <c r="I48" s="6"/>
      <c r="J48" s="6"/>
      <c r="K48" s="6"/>
      <c r="L48" s="6"/>
      <c r="M48" s="6"/>
    </row>
    <row r="49" spans="1:14" s="9" customFormat="1" x14ac:dyDescent="0.4">
      <c r="A49" s="7"/>
      <c r="B49" s="11"/>
      <c r="F49" s="49"/>
      <c r="I49" s="6"/>
      <c r="J49" s="6"/>
      <c r="K49" s="6"/>
      <c r="L49" s="6"/>
      <c r="M49" s="6"/>
    </row>
    <row r="50" spans="1:14" s="9" customFormat="1" x14ac:dyDescent="0.4">
      <c r="A50" s="7"/>
      <c r="B50" s="11"/>
      <c r="F50" s="49"/>
      <c r="I50" s="6"/>
      <c r="J50" s="6"/>
      <c r="K50" s="6"/>
      <c r="L50" s="6"/>
      <c r="M50" s="6"/>
    </row>
    <row r="51" spans="1:14" s="9" customFormat="1" x14ac:dyDescent="0.4">
      <c r="A51" s="7"/>
      <c r="B51" s="11"/>
      <c r="F51" s="49"/>
      <c r="I51" s="6"/>
      <c r="J51" s="6"/>
      <c r="K51" s="6"/>
      <c r="L51" s="6"/>
      <c r="M51" s="6"/>
    </row>
    <row r="52" spans="1:14" s="9" customFormat="1" x14ac:dyDescent="0.4">
      <c r="A52" s="7"/>
      <c r="B52" s="11"/>
      <c r="F52" s="49"/>
      <c r="I52" s="6"/>
      <c r="J52" s="6"/>
      <c r="K52" s="6"/>
      <c r="L52" s="6"/>
      <c r="M52" s="6"/>
    </row>
    <row r="53" spans="1:14" s="10" customFormat="1" x14ac:dyDescent="0.4">
      <c r="A53" s="7"/>
      <c r="B53" s="11"/>
      <c r="C53" s="9"/>
      <c r="D53" s="9"/>
      <c r="E53" s="9"/>
      <c r="F53" s="49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4">
      <c r="A54" s="7"/>
      <c r="B54" s="11"/>
      <c r="C54" s="9"/>
      <c r="D54" s="9"/>
      <c r="E54" s="9"/>
      <c r="F54" s="49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4">
      <c r="A55" s="7"/>
      <c r="B55" s="11"/>
      <c r="C55" s="9"/>
      <c r="D55" s="9"/>
      <c r="E55" s="9"/>
      <c r="F55" s="49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4">
      <c r="A56" s="7"/>
      <c r="B56" s="11"/>
      <c r="C56" s="9"/>
      <c r="D56" s="9"/>
      <c r="E56" s="9"/>
      <c r="F56" s="49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4">
      <c r="A57" s="7"/>
      <c r="B57" s="11"/>
      <c r="C57" s="9"/>
      <c r="D57" s="9"/>
      <c r="E57" s="9"/>
      <c r="F57" s="49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4">
      <c r="A58" s="7"/>
      <c r="B58" s="11"/>
      <c r="C58" s="9"/>
      <c r="D58" s="9"/>
      <c r="E58" s="9"/>
      <c r="F58" s="49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4">
      <c r="A59" s="7"/>
      <c r="B59" s="11"/>
      <c r="C59" s="9"/>
      <c r="D59" s="9"/>
      <c r="E59" s="9"/>
      <c r="F59" s="49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4">
      <c r="A60" s="7"/>
      <c r="B60" s="11"/>
      <c r="C60" s="9"/>
      <c r="D60" s="9"/>
      <c r="E60" s="9"/>
      <c r="F60" s="49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4">
      <c r="A61" s="7"/>
      <c r="B61" s="11"/>
      <c r="C61" s="9"/>
      <c r="D61" s="9"/>
      <c r="E61" s="9"/>
      <c r="F61" s="49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4">
      <c r="A62" s="7"/>
      <c r="B62" s="11"/>
      <c r="C62" s="9"/>
      <c r="D62" s="9"/>
      <c r="E62" s="9"/>
      <c r="F62" s="49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4">
      <c r="A63" s="7"/>
      <c r="B63" s="11"/>
      <c r="C63" s="9"/>
      <c r="D63" s="9"/>
      <c r="E63" s="9"/>
      <c r="F63" s="49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4">
      <c r="A64" s="7"/>
      <c r="B64" s="11"/>
      <c r="C64" s="9"/>
      <c r="D64" s="9"/>
      <c r="E64" s="9"/>
      <c r="F64" s="49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4">
      <c r="A65" s="7"/>
      <c r="B65" s="11"/>
      <c r="C65" s="9"/>
      <c r="D65" s="9"/>
      <c r="E65" s="9"/>
      <c r="F65" s="49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4">
      <c r="A66" s="7"/>
      <c r="B66" s="11"/>
      <c r="C66" s="9"/>
      <c r="D66" s="9"/>
      <c r="E66" s="9"/>
      <c r="F66" s="49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4">
      <c r="A67" s="7"/>
      <c r="B67" s="11"/>
      <c r="C67" s="9"/>
      <c r="D67" s="9"/>
      <c r="E67" s="9"/>
      <c r="F67" s="49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4">
      <c r="A68" s="7"/>
      <c r="B68" s="11"/>
      <c r="C68" s="9"/>
      <c r="D68" s="9"/>
      <c r="E68" s="9"/>
      <c r="F68" s="49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4">
      <c r="A69" s="7"/>
      <c r="B69" s="11"/>
      <c r="C69" s="9"/>
      <c r="D69" s="9"/>
      <c r="E69" s="9"/>
      <c r="F69" s="49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4">
      <c r="A70" s="7"/>
      <c r="B70" s="11"/>
      <c r="C70" s="9"/>
      <c r="D70" s="9"/>
      <c r="E70" s="9"/>
      <c r="F70" s="49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4">
      <c r="A71" s="7"/>
      <c r="B71" s="11"/>
      <c r="C71" s="9"/>
      <c r="D71" s="9"/>
      <c r="E71" s="9"/>
      <c r="F71" s="49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4">
      <c r="A72" s="7"/>
      <c r="B72" s="11"/>
      <c r="C72" s="9"/>
      <c r="D72" s="9"/>
      <c r="E72" s="9"/>
      <c r="F72" s="49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4">
      <c r="A73" s="7"/>
      <c r="B73" s="11"/>
      <c r="C73" s="9"/>
      <c r="D73" s="9"/>
      <c r="E73" s="9"/>
      <c r="F73" s="49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4">
      <c r="A74" s="7"/>
      <c r="B74" s="11"/>
      <c r="C74" s="9"/>
      <c r="D74" s="9"/>
      <c r="E74" s="9"/>
      <c r="F74" s="49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4">
      <c r="A75" s="7"/>
      <c r="B75" s="11"/>
      <c r="C75" s="9"/>
      <c r="D75" s="9"/>
      <c r="E75" s="9"/>
      <c r="F75" s="49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4">
      <c r="A76" s="7"/>
      <c r="B76" s="11"/>
      <c r="C76" s="9"/>
      <c r="D76" s="9"/>
      <c r="E76" s="9"/>
      <c r="F76" s="49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4">
      <c r="A77" s="7"/>
      <c r="B77" s="11"/>
      <c r="C77" s="9"/>
      <c r="D77" s="9"/>
      <c r="E77" s="9"/>
      <c r="F77" s="49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4">
      <c r="A78" s="7"/>
      <c r="B78" s="11"/>
      <c r="C78" s="9"/>
      <c r="D78" s="9"/>
      <c r="E78" s="9"/>
      <c r="F78" s="49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4">
      <c r="A79" s="7"/>
      <c r="B79" s="11"/>
      <c r="C79" s="9"/>
      <c r="D79" s="9"/>
      <c r="E79" s="9"/>
      <c r="F79" s="49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4">
      <c r="A80" s="7"/>
      <c r="B80" s="11"/>
      <c r="C80" s="9"/>
      <c r="D80" s="9"/>
      <c r="E80" s="9"/>
      <c r="F80" s="49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4">
      <c r="A81" s="7"/>
      <c r="B81" s="11"/>
      <c r="C81" s="9"/>
      <c r="D81" s="9"/>
      <c r="E81" s="9"/>
      <c r="F81" s="49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4">
      <c r="A82" s="7"/>
      <c r="B82" s="11"/>
      <c r="C82" s="9"/>
      <c r="D82" s="9"/>
      <c r="E82" s="9"/>
      <c r="F82" s="49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4">
      <c r="A83" s="7"/>
      <c r="B83" s="11"/>
      <c r="C83" s="9"/>
      <c r="D83" s="9"/>
      <c r="E83" s="9"/>
      <c r="F83" s="49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4">
      <c r="A84" s="7"/>
      <c r="B84" s="11"/>
      <c r="C84" s="9"/>
      <c r="D84" s="9"/>
      <c r="E84" s="9"/>
      <c r="F84" s="49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4">
      <c r="A85" s="7"/>
      <c r="B85" s="11"/>
      <c r="C85" s="9"/>
      <c r="D85" s="9"/>
      <c r="E85" s="9"/>
      <c r="F85" s="49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4">
      <c r="A86" s="7"/>
      <c r="B86" s="11"/>
      <c r="C86" s="9"/>
      <c r="D86" s="9"/>
      <c r="E86" s="9"/>
      <c r="F86" s="49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4">
      <c r="A87" s="7"/>
      <c r="B87" s="11"/>
      <c r="C87" s="9"/>
      <c r="D87" s="9"/>
      <c r="E87" s="9"/>
      <c r="F87" s="49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4">
      <c r="A88" s="7"/>
      <c r="B88" s="11"/>
      <c r="C88" s="9"/>
      <c r="D88" s="9"/>
      <c r="E88" s="9"/>
      <c r="F88" s="49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4">
      <c r="A89" s="7"/>
      <c r="B89" s="11"/>
      <c r="C89" s="9"/>
      <c r="D89" s="9"/>
      <c r="E89" s="9"/>
      <c r="F89" s="49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4">
      <c r="A90" s="7"/>
      <c r="B90" s="11"/>
      <c r="C90" s="9"/>
      <c r="D90" s="9"/>
      <c r="E90" s="9"/>
      <c r="F90" s="49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4">
      <c r="A91" s="7"/>
      <c r="B91" s="11"/>
      <c r="C91" s="9"/>
      <c r="D91" s="9"/>
      <c r="E91" s="9"/>
      <c r="F91" s="49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4">
      <c r="A92" s="7"/>
      <c r="B92" s="11"/>
      <c r="C92" s="9"/>
      <c r="D92" s="9"/>
      <c r="E92" s="9"/>
      <c r="F92" s="49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4">
      <c r="A93" s="7"/>
      <c r="B93" s="11"/>
      <c r="C93" s="9"/>
      <c r="D93" s="9"/>
      <c r="E93" s="9"/>
      <c r="F93" s="49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4">
      <c r="A94" s="7"/>
      <c r="B94" s="11"/>
      <c r="C94" s="9"/>
      <c r="D94" s="9"/>
      <c r="E94" s="9"/>
      <c r="F94" s="49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4">
      <c r="A95" s="7"/>
      <c r="B95" s="11"/>
      <c r="C95" s="9"/>
      <c r="D95" s="9"/>
      <c r="E95" s="9"/>
      <c r="F95" s="49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4">
      <c r="A96" s="7"/>
      <c r="B96" s="11"/>
      <c r="C96" s="9"/>
      <c r="D96" s="9"/>
      <c r="E96" s="9"/>
      <c r="F96" s="49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4">
      <c r="A97" s="7"/>
      <c r="B97" s="11"/>
      <c r="C97" s="9"/>
      <c r="D97" s="9"/>
      <c r="E97" s="9"/>
      <c r="F97" s="49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4">
      <c r="A98" s="7"/>
      <c r="B98" s="11"/>
      <c r="C98" s="9"/>
      <c r="D98" s="9"/>
      <c r="E98" s="9"/>
      <c r="F98" s="49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4">
      <c r="A99" s="7"/>
      <c r="B99" s="11"/>
      <c r="C99" s="9"/>
      <c r="D99" s="9"/>
      <c r="E99" s="9"/>
      <c r="F99" s="49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4">
      <c r="A100" s="7"/>
      <c r="B100" s="11"/>
      <c r="C100" s="9"/>
      <c r="D100" s="9"/>
      <c r="E100" s="9"/>
      <c r="F100" s="49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4">
      <c r="A101" s="7"/>
      <c r="B101" s="11"/>
      <c r="C101" s="9"/>
      <c r="D101" s="9"/>
      <c r="E101" s="9"/>
      <c r="F101" s="49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4">
      <c r="A102" s="7"/>
      <c r="B102" s="11"/>
      <c r="C102" s="9"/>
      <c r="D102" s="9"/>
      <c r="E102" s="9"/>
      <c r="F102" s="49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4">
      <c r="A103" s="7"/>
      <c r="B103" s="11"/>
      <c r="C103" s="9"/>
      <c r="D103" s="9"/>
      <c r="E103" s="9"/>
      <c r="F103" s="49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4">
      <c r="A104" s="7"/>
      <c r="B104" s="11"/>
      <c r="C104" s="9"/>
      <c r="D104" s="9"/>
      <c r="E104" s="9"/>
      <c r="F104" s="49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4">
      <c r="A105" s="7"/>
      <c r="B105" s="11"/>
      <c r="C105" s="9"/>
      <c r="D105" s="9"/>
      <c r="E105" s="9"/>
      <c r="F105" s="49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4">
      <c r="A106" s="7"/>
      <c r="B106" s="11"/>
      <c r="C106" s="9"/>
      <c r="D106" s="9"/>
      <c r="E106" s="9"/>
      <c r="F106" s="49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4">
      <c r="A107" s="7"/>
      <c r="B107" s="11"/>
      <c r="C107" s="9"/>
      <c r="D107" s="9"/>
      <c r="E107" s="9"/>
      <c r="F107" s="49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4">
      <c r="A108" s="7"/>
      <c r="B108" s="11"/>
      <c r="C108" s="9"/>
      <c r="D108" s="9"/>
      <c r="E108" s="9"/>
      <c r="F108" s="49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4">
      <c r="A109" s="7"/>
      <c r="B109" s="11"/>
      <c r="C109" s="9"/>
      <c r="D109" s="9"/>
      <c r="E109" s="9"/>
      <c r="F109" s="49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4">
      <c r="A110" s="7"/>
      <c r="B110" s="11"/>
      <c r="C110" s="9"/>
      <c r="D110" s="9"/>
      <c r="E110" s="9"/>
      <c r="F110" s="49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4">
      <c r="A111" s="7"/>
      <c r="B111" s="11"/>
      <c r="C111" s="9"/>
      <c r="D111" s="9"/>
      <c r="E111" s="9"/>
      <c r="F111" s="49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4">
      <c r="A112" s="7"/>
      <c r="B112" s="11"/>
      <c r="C112" s="9"/>
      <c r="D112" s="9"/>
      <c r="E112" s="9"/>
      <c r="F112" s="49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4">
      <c r="A113" s="7"/>
      <c r="B113" s="11"/>
      <c r="C113" s="9"/>
      <c r="D113" s="9"/>
      <c r="E113" s="9"/>
      <c r="F113" s="49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4">
      <c r="A114" s="7"/>
      <c r="B114" s="11"/>
      <c r="C114" s="9"/>
      <c r="D114" s="9"/>
      <c r="E114" s="9"/>
      <c r="F114" s="49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4">
      <c r="A115" s="7"/>
      <c r="B115" s="11"/>
      <c r="C115" s="9"/>
      <c r="D115" s="9"/>
      <c r="E115" s="9"/>
      <c r="F115" s="49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4">
      <c r="A116" s="7"/>
      <c r="B116" s="11"/>
      <c r="C116" s="9"/>
      <c r="D116" s="9"/>
      <c r="E116" s="9"/>
      <c r="F116" s="49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4">
      <c r="A117" s="7"/>
      <c r="B117" s="11"/>
      <c r="C117" s="9"/>
      <c r="D117" s="9"/>
      <c r="E117" s="9"/>
      <c r="F117" s="49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4">
      <c r="A118" s="7"/>
      <c r="B118" s="11"/>
      <c r="C118" s="9"/>
      <c r="D118" s="9"/>
      <c r="E118" s="9"/>
      <c r="F118" s="49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4">
      <c r="A119" s="7"/>
      <c r="B119" s="11"/>
      <c r="C119" s="9"/>
      <c r="D119" s="9"/>
      <c r="E119" s="9"/>
      <c r="F119" s="49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4">
      <c r="A120" s="7"/>
      <c r="B120" s="11"/>
      <c r="C120" s="9"/>
      <c r="D120" s="9"/>
      <c r="E120" s="9"/>
      <c r="F120" s="49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4">
      <c r="A121" s="7"/>
      <c r="B121" s="11"/>
      <c r="C121" s="9"/>
      <c r="D121" s="9"/>
      <c r="E121" s="9"/>
      <c r="F121" s="49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4">
      <c r="A122" s="7"/>
      <c r="B122" s="11"/>
      <c r="C122" s="9"/>
      <c r="D122" s="9"/>
      <c r="E122" s="9"/>
      <c r="F122" s="49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4">
      <c r="A123" s="7"/>
      <c r="B123" s="11"/>
      <c r="C123" s="9"/>
      <c r="D123" s="9"/>
      <c r="E123" s="9"/>
      <c r="F123" s="49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4">
      <c r="A124" s="7"/>
      <c r="B124" s="11"/>
      <c r="C124" s="9"/>
      <c r="D124" s="9"/>
      <c r="E124" s="9"/>
      <c r="F124" s="49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4">
      <c r="A125" s="7"/>
      <c r="B125" s="11"/>
      <c r="C125" s="9"/>
      <c r="D125" s="9"/>
      <c r="E125" s="9"/>
      <c r="F125" s="49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4">
      <c r="A126" s="7"/>
      <c r="B126" s="11"/>
      <c r="C126" s="9"/>
      <c r="D126" s="9"/>
      <c r="E126" s="9"/>
      <c r="F126" s="49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4">
      <c r="A127" s="7"/>
      <c r="B127" s="11"/>
      <c r="C127" s="9"/>
      <c r="D127" s="9"/>
      <c r="E127" s="9"/>
      <c r="F127" s="49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4">
      <c r="A128" s="7"/>
      <c r="B128" s="11"/>
      <c r="C128" s="9"/>
      <c r="D128" s="9"/>
      <c r="E128" s="9"/>
      <c r="F128" s="49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4">
      <c r="A129" s="7"/>
      <c r="B129" s="11"/>
      <c r="C129" s="9"/>
      <c r="D129" s="9"/>
      <c r="E129" s="9"/>
      <c r="F129" s="49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4">
      <c r="A130" s="7"/>
      <c r="B130" s="11"/>
      <c r="C130" s="9"/>
      <c r="D130" s="9"/>
      <c r="E130" s="9"/>
      <c r="F130" s="49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4">
      <c r="A131" s="7"/>
      <c r="B131" s="11"/>
      <c r="C131" s="9"/>
      <c r="D131" s="9"/>
      <c r="E131" s="9"/>
      <c r="F131" s="49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4">
      <c r="A132" s="7"/>
      <c r="B132" s="11"/>
      <c r="C132" s="9"/>
      <c r="D132" s="9"/>
      <c r="E132" s="9"/>
      <c r="F132" s="49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4">
      <c r="A133" s="7"/>
      <c r="B133" s="11"/>
      <c r="C133" s="9"/>
      <c r="D133" s="9"/>
      <c r="E133" s="9"/>
      <c r="F133" s="49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4">
      <c r="A134" s="7"/>
      <c r="B134" s="11"/>
      <c r="C134" s="9"/>
      <c r="D134" s="9"/>
      <c r="E134" s="9"/>
      <c r="F134" s="49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4">
      <c r="A135" s="7"/>
      <c r="B135" s="11"/>
      <c r="C135" s="9"/>
      <c r="D135" s="9"/>
      <c r="E135" s="9"/>
      <c r="F135" s="49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4">
      <c r="A136" s="7"/>
      <c r="B136" s="11"/>
      <c r="C136" s="9"/>
      <c r="D136" s="9"/>
      <c r="E136" s="9"/>
      <c r="F136" s="49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4">
      <c r="A137" s="7"/>
      <c r="B137" s="11"/>
      <c r="C137" s="9"/>
      <c r="D137" s="9"/>
      <c r="E137" s="9"/>
      <c r="F137" s="49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4">
      <c r="A138" s="7"/>
      <c r="B138" s="11"/>
      <c r="C138" s="9"/>
      <c r="D138" s="9"/>
      <c r="E138" s="9"/>
      <c r="F138" s="49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4">
      <c r="A139" s="7"/>
      <c r="B139" s="11"/>
      <c r="C139" s="9"/>
      <c r="D139" s="9"/>
      <c r="E139" s="9"/>
      <c r="F139" s="49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4">
      <c r="A140" s="7"/>
      <c r="B140" s="11"/>
      <c r="C140" s="9"/>
      <c r="D140" s="9"/>
      <c r="E140" s="9"/>
      <c r="F140" s="49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4">
      <c r="A141" s="7"/>
      <c r="B141" s="11"/>
      <c r="C141" s="9"/>
      <c r="D141" s="9"/>
      <c r="E141" s="9"/>
      <c r="F141" s="49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4">
      <c r="A142" s="7"/>
      <c r="B142" s="11"/>
      <c r="C142" s="9"/>
      <c r="D142" s="9"/>
      <c r="E142" s="9"/>
      <c r="F142" s="49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4">
      <c r="A143" s="7"/>
      <c r="B143" s="11"/>
      <c r="C143" s="9"/>
      <c r="D143" s="9"/>
      <c r="E143" s="9"/>
      <c r="F143" s="49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4">
      <c r="A144" s="7"/>
      <c r="B144" s="11"/>
      <c r="C144" s="9"/>
      <c r="D144" s="9"/>
      <c r="E144" s="9"/>
      <c r="F144" s="49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4">
      <c r="A145" s="7"/>
      <c r="B145" s="11"/>
      <c r="C145" s="9"/>
      <c r="D145" s="9"/>
      <c r="E145" s="9"/>
      <c r="F145" s="49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4">
      <c r="A146" s="7"/>
      <c r="B146" s="11"/>
      <c r="C146" s="9"/>
      <c r="D146" s="9"/>
      <c r="E146" s="9"/>
      <c r="F146" s="49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4">
      <c r="A147" s="7"/>
      <c r="B147" s="11"/>
      <c r="C147" s="9"/>
      <c r="D147" s="9"/>
      <c r="E147" s="9"/>
      <c r="F147" s="49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4">
      <c r="A148" s="7"/>
      <c r="B148" s="11"/>
      <c r="C148" s="9"/>
      <c r="D148" s="9"/>
      <c r="E148" s="9"/>
      <c r="F148" s="49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4">
      <c r="A149" s="7"/>
      <c r="B149" s="11"/>
      <c r="C149" s="9"/>
      <c r="D149" s="9"/>
      <c r="E149" s="9"/>
      <c r="F149" s="49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4">
      <c r="A150" s="7"/>
      <c r="B150" s="11"/>
      <c r="C150" s="9"/>
      <c r="D150" s="9"/>
      <c r="E150" s="9"/>
      <c r="F150" s="49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4">
      <c r="A151" s="7"/>
      <c r="B151" s="11"/>
      <c r="C151" s="9"/>
      <c r="D151" s="9"/>
      <c r="E151" s="9"/>
      <c r="F151" s="49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4">
      <c r="A152" s="7"/>
      <c r="B152" s="11"/>
      <c r="C152" s="9"/>
      <c r="D152" s="9"/>
      <c r="E152" s="9"/>
      <c r="F152" s="49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4">
      <c r="A153" s="7"/>
      <c r="B153" s="11"/>
      <c r="C153" s="9"/>
      <c r="D153" s="9"/>
      <c r="E153" s="9"/>
      <c r="F153" s="49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4">
      <c r="A154" s="7"/>
      <c r="B154" s="11"/>
      <c r="C154" s="9"/>
      <c r="D154" s="9"/>
      <c r="E154" s="9"/>
      <c r="F154" s="49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4">
      <c r="A155" s="7"/>
      <c r="B155" s="11"/>
      <c r="C155" s="9"/>
      <c r="D155" s="9"/>
      <c r="E155" s="9"/>
      <c r="F155" s="49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4">
      <c r="A156" s="7"/>
      <c r="B156" s="11"/>
      <c r="C156" s="9"/>
      <c r="D156" s="9"/>
      <c r="E156" s="9"/>
      <c r="F156" s="49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4">
      <c r="A157" s="7"/>
      <c r="B157" s="11"/>
      <c r="C157" s="9"/>
      <c r="D157" s="9"/>
      <c r="E157" s="9"/>
      <c r="F157" s="49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4">
      <c r="A158" s="7"/>
      <c r="B158" s="11"/>
      <c r="C158" s="9"/>
      <c r="D158" s="9"/>
      <c r="E158" s="9"/>
      <c r="F158" s="49"/>
      <c r="G158" s="9"/>
      <c r="H158" s="9"/>
      <c r="I158" s="6"/>
      <c r="J158" s="6"/>
      <c r="K158" s="6"/>
      <c r="L158" s="6"/>
      <c r="M158" s="6"/>
      <c r="N158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  <pageSetUpPr fitToPage="1"/>
  </sheetPr>
  <dimension ref="A1:O36"/>
  <sheetViews>
    <sheetView zoomScale="75" zoomScaleNormal="75" zoomScaleSheetLayoutView="80" workbookViewId="0">
      <selection activeCell="K13" sqref="K13"/>
    </sheetView>
  </sheetViews>
  <sheetFormatPr baseColWidth="10" defaultColWidth="9.1328125" defaultRowHeight="14.25" x14ac:dyDescent="0.45"/>
  <cols>
    <col min="1" max="1" width="11.3984375"/>
    <col min="2" max="2" width="28"/>
    <col min="3" max="3" width="35.59765625"/>
    <col min="4" max="4" width="11.3984375"/>
    <col min="5" max="5" width="13.1328125"/>
    <col min="6" max="7" width="11.3984375"/>
    <col min="8" max="8" width="15.73046875"/>
    <col min="9" max="9" width="15.3984375"/>
    <col min="10" max="12" width="11.3984375"/>
    <col min="13" max="13" width="15.265625"/>
    <col min="14" max="14" width="11.3984375"/>
    <col min="15" max="15" width="5.265625" customWidth="1"/>
    <col min="16" max="1025" width="11.3984375"/>
  </cols>
  <sheetData>
    <row r="1" spans="1:15" x14ac:dyDescent="0.4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x14ac:dyDescent="0.45">
      <c r="A2" s="108" t="s">
        <v>0</v>
      </c>
      <c r="B2" s="16" t="s">
        <v>43</v>
      </c>
      <c r="C2" s="63"/>
      <c r="D2" s="63"/>
      <c r="E2" s="63" t="s">
        <v>132</v>
      </c>
      <c r="F2" s="63"/>
      <c r="G2" s="63"/>
      <c r="H2" s="63"/>
      <c r="I2" s="63"/>
      <c r="J2" s="108" t="s">
        <v>1</v>
      </c>
      <c r="K2" s="91">
        <v>81</v>
      </c>
      <c r="L2" s="63"/>
      <c r="M2" s="108" t="s">
        <v>2</v>
      </c>
      <c r="N2" s="105">
        <f>FR_A0001_p+FR_A0001_m+FR_A0001_f+FR_A0001_t+FR_A0001_pa</f>
        <v>803.53705867990766</v>
      </c>
      <c r="O2" s="69"/>
    </row>
    <row r="3" spans="1:15" x14ac:dyDescent="0.45">
      <c r="A3" s="108" t="s">
        <v>3</v>
      </c>
      <c r="B3" s="16" t="s">
        <v>135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108" t="s">
        <v>4</v>
      </c>
      <c r="N3" s="89">
        <v>1</v>
      </c>
      <c r="O3" s="69"/>
    </row>
    <row r="4" spans="1:15" x14ac:dyDescent="0.45">
      <c r="A4" s="108" t="s">
        <v>5</v>
      </c>
      <c r="B4" s="99" t="s">
        <v>137</v>
      </c>
      <c r="C4" s="63"/>
      <c r="D4" s="63"/>
      <c r="E4" s="63"/>
      <c r="F4" s="63"/>
      <c r="G4" s="63"/>
      <c r="H4" s="63"/>
      <c r="I4" s="63"/>
      <c r="J4" s="111" t="s">
        <v>6</v>
      </c>
      <c r="K4" s="63"/>
      <c r="L4" s="63"/>
      <c r="M4" s="63"/>
      <c r="N4" s="63"/>
      <c r="O4" s="69"/>
    </row>
    <row r="5" spans="1:15" x14ac:dyDescent="0.45">
      <c r="A5" s="108" t="s">
        <v>7</v>
      </c>
      <c r="B5" s="19" t="s">
        <v>143</v>
      </c>
      <c r="C5" s="63"/>
      <c r="D5" s="63"/>
      <c r="E5" s="63"/>
      <c r="F5" s="63"/>
      <c r="G5" s="63"/>
      <c r="H5" s="63"/>
      <c r="I5" s="63"/>
      <c r="J5" s="111" t="s">
        <v>8</v>
      </c>
      <c r="K5" s="63"/>
      <c r="L5" s="63"/>
      <c r="M5" s="108" t="s">
        <v>9</v>
      </c>
      <c r="N5" s="81">
        <f>N2*N3</f>
        <v>803.53705867990766</v>
      </c>
      <c r="O5" s="69"/>
    </row>
    <row r="6" spans="1:15" x14ac:dyDescent="0.45">
      <c r="A6" s="108" t="s">
        <v>10</v>
      </c>
      <c r="B6" s="16" t="s">
        <v>11</v>
      </c>
      <c r="C6" s="63"/>
      <c r="D6" s="63"/>
      <c r="E6" s="63"/>
      <c r="F6" s="63"/>
      <c r="G6" s="63"/>
      <c r="H6" s="63"/>
      <c r="I6" s="63"/>
      <c r="J6" s="111" t="s">
        <v>12</v>
      </c>
      <c r="K6" s="63"/>
      <c r="L6" s="63"/>
      <c r="M6" s="63"/>
      <c r="N6" s="63"/>
      <c r="O6" s="69"/>
    </row>
    <row r="7" spans="1:15" x14ac:dyDescent="0.45">
      <c r="A7" s="108" t="s">
        <v>13</v>
      </c>
      <c r="B7" s="16" t="s">
        <v>138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9"/>
    </row>
    <row r="8" spans="1:15" x14ac:dyDescent="0.45">
      <c r="A8" s="70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9"/>
    </row>
    <row r="9" spans="1:15" x14ac:dyDescent="0.45">
      <c r="A9" s="108" t="s">
        <v>14</v>
      </c>
      <c r="B9" s="108" t="s">
        <v>15</v>
      </c>
      <c r="C9" s="108" t="s">
        <v>16</v>
      </c>
      <c r="D9" s="108" t="s">
        <v>17</v>
      </c>
      <c r="E9" s="108" t="s">
        <v>18</v>
      </c>
      <c r="F9" s="63"/>
      <c r="G9" s="63"/>
      <c r="H9" s="63"/>
      <c r="I9" s="63"/>
      <c r="J9" s="63"/>
      <c r="K9" s="63"/>
      <c r="L9" s="63"/>
      <c r="M9" s="63"/>
      <c r="N9" s="63"/>
      <c r="O9" s="69"/>
    </row>
    <row r="10" spans="1:15" x14ac:dyDescent="0.45">
      <c r="A10" s="80">
        <v>10</v>
      </c>
      <c r="B10" s="97" t="str">
        <f>'FR 01001'!B5</f>
        <v>Bend Round steel tubing</v>
      </c>
      <c r="C10" s="81">
        <f>'FR 01001'!N2</f>
        <v>23.75227908990254</v>
      </c>
      <c r="D10" s="96">
        <f>'FR 01001'!N3</f>
        <v>1</v>
      </c>
      <c r="E10" s="81">
        <f>C10*D10</f>
        <v>23.75227908990254</v>
      </c>
      <c r="F10" s="63"/>
      <c r="G10" s="63"/>
      <c r="H10" s="63"/>
      <c r="I10" s="63"/>
      <c r="J10" s="63"/>
      <c r="K10" s="63"/>
      <c r="L10" s="63"/>
      <c r="M10" s="63"/>
      <c r="N10" s="63"/>
      <c r="O10" s="69"/>
    </row>
    <row r="11" spans="1:15" x14ac:dyDescent="0.45">
      <c r="A11" s="80">
        <v>20</v>
      </c>
      <c r="B11" s="97" t="s">
        <v>141</v>
      </c>
      <c r="C11" s="81">
        <f>'FR 01002'!N2</f>
        <v>253.01039372242448</v>
      </c>
      <c r="D11" s="96">
        <f>'FR 01002'!N3</f>
        <v>1</v>
      </c>
      <c r="E11" s="81">
        <f t="shared" ref="E11:E12" si="0">C11*D11</f>
        <v>253.01039372242448</v>
      </c>
      <c r="F11" s="64"/>
      <c r="G11" s="64"/>
      <c r="H11" s="64"/>
      <c r="I11" s="64"/>
      <c r="J11" s="64"/>
      <c r="K11" s="64"/>
      <c r="L11" s="64"/>
      <c r="M11" s="64"/>
      <c r="N11" s="64"/>
      <c r="O11" s="69"/>
    </row>
    <row r="12" spans="1:15" x14ac:dyDescent="0.45">
      <c r="A12" s="80">
        <v>30</v>
      </c>
      <c r="B12" s="97" t="s">
        <v>146</v>
      </c>
      <c r="C12" s="81">
        <f>'FR 01003'!N2</f>
        <v>9.1270500000000006</v>
      </c>
      <c r="D12" s="96">
        <f>'FR 01003'!N3</f>
        <v>1</v>
      </c>
      <c r="E12" s="81">
        <f t="shared" si="0"/>
        <v>9.1270500000000006</v>
      </c>
      <c r="F12" s="64"/>
      <c r="G12" s="64"/>
      <c r="H12" s="64"/>
      <c r="I12" s="64"/>
      <c r="J12" s="64"/>
      <c r="K12" s="64"/>
      <c r="L12" s="64"/>
      <c r="M12" s="64"/>
      <c r="N12" s="64"/>
      <c r="O12" s="72"/>
    </row>
    <row r="13" spans="1:15" x14ac:dyDescent="0.45">
      <c r="A13" s="80">
        <v>40</v>
      </c>
      <c r="B13" s="100" t="s">
        <v>155</v>
      </c>
      <c r="C13" s="81">
        <f>'FR 01004'!N2</f>
        <v>3.9191256335617903</v>
      </c>
      <c r="D13" s="96">
        <f>'FR 01004'!N3</f>
        <v>4</v>
      </c>
      <c r="E13" s="81">
        <f t="shared" ref="E13" si="1">C13*D13</f>
        <v>15.676502534247161</v>
      </c>
      <c r="F13" s="64"/>
      <c r="G13" s="64"/>
      <c r="H13" s="64"/>
      <c r="I13" s="64"/>
      <c r="J13" s="64"/>
      <c r="K13" s="64"/>
      <c r="L13" s="64"/>
      <c r="M13" s="64"/>
      <c r="N13" s="64"/>
      <c r="O13" s="72"/>
    </row>
    <row r="14" spans="1:15" x14ac:dyDescent="0.45">
      <c r="A14" s="70"/>
      <c r="B14" s="63"/>
      <c r="C14" s="63"/>
      <c r="D14" s="109" t="s">
        <v>18</v>
      </c>
      <c r="E14" s="110">
        <f>SUM(E10:E13)</f>
        <v>301.56622534657419</v>
      </c>
      <c r="F14" s="64"/>
      <c r="G14" s="64"/>
      <c r="H14" s="64"/>
      <c r="I14" s="64"/>
      <c r="J14" s="64"/>
      <c r="K14" s="64"/>
      <c r="L14" s="64"/>
      <c r="M14" s="64"/>
      <c r="N14" s="64"/>
      <c r="O14" s="69"/>
    </row>
    <row r="15" spans="1:15" x14ac:dyDescent="0.45">
      <c r="A15" s="70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9"/>
    </row>
    <row r="16" spans="1:15" x14ac:dyDescent="0.45">
      <c r="A16" s="108" t="s">
        <v>14</v>
      </c>
      <c r="B16" s="108" t="s">
        <v>19</v>
      </c>
      <c r="C16" s="108" t="s">
        <v>20</v>
      </c>
      <c r="D16" s="108" t="s">
        <v>21</v>
      </c>
      <c r="E16" s="108" t="s">
        <v>22</v>
      </c>
      <c r="F16" s="108" t="s">
        <v>23</v>
      </c>
      <c r="G16" s="108" t="s">
        <v>24</v>
      </c>
      <c r="H16" s="108" t="s">
        <v>25</v>
      </c>
      <c r="I16" s="108" t="s">
        <v>26</v>
      </c>
      <c r="J16" s="108" t="s">
        <v>27</v>
      </c>
      <c r="K16" s="108" t="s">
        <v>28</v>
      </c>
      <c r="L16" s="108" t="s">
        <v>29</v>
      </c>
      <c r="M16" s="108" t="s">
        <v>17</v>
      </c>
      <c r="N16" s="108" t="s">
        <v>18</v>
      </c>
      <c r="O16" s="69"/>
    </row>
    <row r="17" spans="1:15" x14ac:dyDescent="0.45">
      <c r="A17" s="80">
        <v>10</v>
      </c>
      <c r="B17" s="80" t="s">
        <v>147</v>
      </c>
      <c r="C17" s="80" t="s">
        <v>148</v>
      </c>
      <c r="D17" s="81">
        <v>10</v>
      </c>
      <c r="E17" s="80">
        <v>3.07</v>
      </c>
      <c r="F17" s="80" t="s">
        <v>193</v>
      </c>
      <c r="G17" s="80"/>
      <c r="H17" s="82"/>
      <c r="I17" s="83"/>
      <c r="J17" s="84"/>
      <c r="K17" s="82"/>
      <c r="L17" s="82"/>
      <c r="M17" s="82">
        <f>3.07</f>
        <v>3.07</v>
      </c>
      <c r="N17" s="81">
        <f>M17*D17</f>
        <v>30.7</v>
      </c>
      <c r="O17" s="69"/>
    </row>
    <row r="18" spans="1:15" s="25" customFormat="1" x14ac:dyDescent="0.45">
      <c r="A18" s="75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108" t="s">
        <v>18</v>
      </c>
      <c r="N18" s="110">
        <f>SUM(N17:N17)</f>
        <v>30.7</v>
      </c>
      <c r="O18" s="69"/>
    </row>
    <row r="19" spans="1:15" x14ac:dyDescent="0.45">
      <c r="A19" s="70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9"/>
    </row>
    <row r="20" spans="1:15" x14ac:dyDescent="0.45">
      <c r="A20" s="108" t="s">
        <v>14</v>
      </c>
      <c r="B20" s="108" t="s">
        <v>30</v>
      </c>
      <c r="C20" s="108" t="s">
        <v>20</v>
      </c>
      <c r="D20" s="108" t="s">
        <v>21</v>
      </c>
      <c r="E20" s="108" t="s">
        <v>31</v>
      </c>
      <c r="F20" s="108" t="s">
        <v>17</v>
      </c>
      <c r="G20" s="108" t="s">
        <v>32</v>
      </c>
      <c r="H20" s="108" t="s">
        <v>33</v>
      </c>
      <c r="I20" s="108" t="s">
        <v>18</v>
      </c>
      <c r="J20" s="27"/>
      <c r="K20" s="27"/>
      <c r="L20" s="27"/>
      <c r="M20" s="27"/>
      <c r="N20" s="27"/>
      <c r="O20" s="69"/>
    </row>
    <row r="21" spans="1:15" x14ac:dyDescent="0.45">
      <c r="A21" s="80">
        <v>10</v>
      </c>
      <c r="B21" s="80" t="s">
        <v>149</v>
      </c>
      <c r="C21" s="80"/>
      <c r="D21" s="81">
        <v>0.38</v>
      </c>
      <c r="E21" s="80" t="s">
        <v>34</v>
      </c>
      <c r="F21" s="85">
        <v>993</v>
      </c>
      <c r="G21" s="85"/>
      <c r="H21" s="85"/>
      <c r="I21" s="81">
        <f>IF(H21="",D21*F21,D21*F21*H21)</f>
        <v>377.34000000000003</v>
      </c>
      <c r="J21" s="63"/>
      <c r="K21" s="63"/>
      <c r="L21" s="63"/>
      <c r="M21" s="63"/>
      <c r="N21" s="63"/>
      <c r="O21" s="69"/>
    </row>
    <row r="22" spans="1:15" x14ac:dyDescent="0.45">
      <c r="A22" s="80">
        <v>20</v>
      </c>
      <c r="B22" s="86" t="s">
        <v>149</v>
      </c>
      <c r="C22" s="80" t="s">
        <v>151</v>
      </c>
      <c r="D22" s="81">
        <v>0.38</v>
      </c>
      <c r="E22" s="86" t="s">
        <v>34</v>
      </c>
      <c r="F22" s="85">
        <v>20</v>
      </c>
      <c r="G22" s="80"/>
      <c r="H22" s="80"/>
      <c r="I22" s="81">
        <f>IF(H22="",D22*F22,D22*F22*H22)</f>
        <v>7.6</v>
      </c>
      <c r="J22" s="63"/>
      <c r="K22" s="63"/>
      <c r="L22" s="63"/>
      <c r="M22" s="63"/>
      <c r="N22" s="63"/>
      <c r="O22" s="76"/>
    </row>
    <row r="23" spans="1:15" x14ac:dyDescent="0.45">
      <c r="A23" s="80">
        <v>30</v>
      </c>
      <c r="B23" s="86" t="s">
        <v>150</v>
      </c>
      <c r="C23" s="80" t="s">
        <v>148</v>
      </c>
      <c r="D23" s="81">
        <v>5.25</v>
      </c>
      <c r="E23" s="80" t="s">
        <v>193</v>
      </c>
      <c r="F23" s="85">
        <v>3.07</v>
      </c>
      <c r="G23" s="80"/>
      <c r="H23" s="80"/>
      <c r="I23" s="81">
        <f>IF(H23="",D23*F23,D23*F23*H23)</f>
        <v>16.1175</v>
      </c>
      <c r="J23" s="63"/>
      <c r="K23" s="63"/>
      <c r="L23" s="63"/>
      <c r="M23" s="63"/>
      <c r="N23" s="63"/>
      <c r="O23" s="69"/>
    </row>
    <row r="24" spans="1:15" x14ac:dyDescent="0.45">
      <c r="A24" s="75"/>
      <c r="B24" s="27"/>
      <c r="C24" s="27"/>
      <c r="D24" s="27"/>
      <c r="E24" s="27"/>
      <c r="F24" s="27"/>
      <c r="G24" s="27"/>
      <c r="H24" s="109" t="s">
        <v>18</v>
      </c>
      <c r="I24" s="110">
        <f>SUM(I21:I23)</f>
        <v>401.05750000000006</v>
      </c>
      <c r="J24" s="63"/>
      <c r="K24" s="63"/>
      <c r="L24" s="63"/>
      <c r="M24" s="63"/>
      <c r="N24" s="63"/>
      <c r="O24" s="76"/>
    </row>
    <row r="25" spans="1:15" s="18" customFormat="1" x14ac:dyDescent="0.45">
      <c r="A25" s="70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73"/>
    </row>
    <row r="26" spans="1:15" s="28" customFormat="1" x14ac:dyDescent="0.45">
      <c r="A26" s="108" t="s">
        <v>14</v>
      </c>
      <c r="B26" s="108" t="s">
        <v>35</v>
      </c>
      <c r="C26" s="108" t="s">
        <v>20</v>
      </c>
      <c r="D26" s="108" t="s">
        <v>21</v>
      </c>
      <c r="E26" s="108" t="s">
        <v>22</v>
      </c>
      <c r="F26" s="108" t="s">
        <v>23</v>
      </c>
      <c r="G26" s="108" t="s">
        <v>24</v>
      </c>
      <c r="H26" s="108" t="s">
        <v>25</v>
      </c>
      <c r="I26" s="108" t="s">
        <v>17</v>
      </c>
      <c r="J26" s="108" t="s">
        <v>18</v>
      </c>
      <c r="K26" s="63"/>
      <c r="L26" s="63"/>
      <c r="M26" s="63"/>
      <c r="N26" s="63"/>
      <c r="O26" s="69"/>
    </row>
    <row r="27" spans="1:15" s="18" customFormat="1" x14ac:dyDescent="0.45">
      <c r="A27" s="80">
        <v>10</v>
      </c>
      <c r="B27" s="80" t="s">
        <v>36</v>
      </c>
      <c r="C27" s="80" t="s">
        <v>191</v>
      </c>
      <c r="D27" s="87">
        <v>0.17</v>
      </c>
      <c r="E27" s="88"/>
      <c r="F27" s="88"/>
      <c r="G27" s="88"/>
      <c r="H27" s="88"/>
      <c r="I27" s="89">
        <v>16</v>
      </c>
      <c r="J27" s="81">
        <f>I27*D27</f>
        <v>2.72</v>
      </c>
      <c r="K27" s="63"/>
      <c r="L27" s="63"/>
      <c r="M27" s="63"/>
      <c r="N27" s="63"/>
      <c r="O27" s="69"/>
    </row>
    <row r="28" spans="1:15" x14ac:dyDescent="0.45">
      <c r="A28" s="80">
        <v>20</v>
      </c>
      <c r="B28" s="80" t="s">
        <v>37</v>
      </c>
      <c r="C28" s="80" t="s">
        <v>192</v>
      </c>
      <c r="D28" s="87">
        <v>0.01</v>
      </c>
      <c r="E28" s="80"/>
      <c r="F28" s="90"/>
      <c r="G28" s="80"/>
      <c r="H28" s="80"/>
      <c r="I28" s="89">
        <v>16</v>
      </c>
      <c r="J28" s="81">
        <f>I28*D28</f>
        <v>0.16</v>
      </c>
      <c r="K28" s="63"/>
      <c r="L28" s="63"/>
      <c r="M28" s="63"/>
      <c r="N28" s="63"/>
      <c r="O28" s="69"/>
    </row>
    <row r="29" spans="1:15" x14ac:dyDescent="0.45">
      <c r="A29" s="75"/>
      <c r="B29" s="27"/>
      <c r="C29" s="27"/>
      <c r="D29" s="27"/>
      <c r="E29" s="27"/>
      <c r="F29" s="27"/>
      <c r="G29" s="27"/>
      <c r="H29" s="27"/>
      <c r="I29" s="109" t="s">
        <v>18</v>
      </c>
      <c r="J29" s="110">
        <f>SUM(J27:J28)</f>
        <v>2.8800000000000003</v>
      </c>
      <c r="K29" s="63"/>
      <c r="L29" s="63"/>
      <c r="M29" s="63"/>
      <c r="N29" s="63"/>
      <c r="O29" s="73"/>
    </row>
    <row r="30" spans="1:15" x14ac:dyDescent="0.45">
      <c r="A30" s="70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9"/>
    </row>
    <row r="31" spans="1:15" s="18" customFormat="1" x14ac:dyDescent="0.45">
      <c r="A31" s="108" t="s">
        <v>14</v>
      </c>
      <c r="B31" s="108" t="s">
        <v>38</v>
      </c>
      <c r="C31" s="108" t="s">
        <v>20</v>
      </c>
      <c r="D31" s="108" t="s">
        <v>21</v>
      </c>
      <c r="E31" s="108" t="s">
        <v>31</v>
      </c>
      <c r="F31" s="108" t="s">
        <v>17</v>
      </c>
      <c r="G31" s="108" t="s">
        <v>39</v>
      </c>
      <c r="H31" s="108" t="s">
        <v>40</v>
      </c>
      <c r="I31" s="108" t="s">
        <v>18</v>
      </c>
      <c r="J31" s="27"/>
      <c r="K31" s="63"/>
      <c r="L31" s="63"/>
      <c r="M31" s="63"/>
      <c r="N31" s="63"/>
      <c r="O31" s="69"/>
    </row>
    <row r="32" spans="1:15" x14ac:dyDescent="0.45">
      <c r="A32" s="80">
        <v>10</v>
      </c>
      <c r="B32" s="80" t="s">
        <v>41</v>
      </c>
      <c r="C32" s="80" t="s">
        <v>152</v>
      </c>
      <c r="D32" s="81">
        <v>500</v>
      </c>
      <c r="E32" s="80" t="s">
        <v>42</v>
      </c>
      <c r="F32" s="80">
        <v>204</v>
      </c>
      <c r="G32" s="80">
        <v>3000</v>
      </c>
      <c r="H32" s="80">
        <v>1</v>
      </c>
      <c r="I32" s="81">
        <f>D32*F32/G32*H32</f>
        <v>34</v>
      </c>
      <c r="J32" s="27"/>
      <c r="K32" s="63"/>
      <c r="L32" s="63"/>
      <c r="M32" s="63"/>
      <c r="N32" s="63"/>
      <c r="O32" s="69"/>
    </row>
    <row r="33" spans="1:15" x14ac:dyDescent="0.45">
      <c r="A33" s="85">
        <v>20</v>
      </c>
      <c r="B33" s="80" t="s">
        <v>41</v>
      </c>
      <c r="C33" s="85" t="s">
        <v>153</v>
      </c>
      <c r="D33" s="81">
        <v>500</v>
      </c>
      <c r="E33" s="80" t="s">
        <v>42</v>
      </c>
      <c r="F33" s="85">
        <v>20</v>
      </c>
      <c r="G33" s="85">
        <v>300</v>
      </c>
      <c r="H33" s="85">
        <v>1</v>
      </c>
      <c r="I33" s="81">
        <f>D33*F33/G33*H33</f>
        <v>33.333333333333336</v>
      </c>
      <c r="J33" s="64"/>
      <c r="K33" s="63"/>
      <c r="L33" s="63"/>
      <c r="M33" s="63"/>
      <c r="N33" s="63"/>
      <c r="O33" s="69"/>
    </row>
    <row r="34" spans="1:15" x14ac:dyDescent="0.45">
      <c r="A34" s="75"/>
      <c r="B34" s="27"/>
      <c r="C34" s="27"/>
      <c r="D34" s="27"/>
      <c r="E34" s="27"/>
      <c r="F34" s="27"/>
      <c r="G34" s="27"/>
      <c r="H34" s="112" t="s">
        <v>18</v>
      </c>
      <c r="I34" s="113">
        <f>SUM(I32:I33)</f>
        <v>67.333333333333343</v>
      </c>
      <c r="J34" s="27"/>
      <c r="K34" s="63"/>
      <c r="L34" s="63"/>
      <c r="M34" s="63"/>
      <c r="N34" s="63"/>
      <c r="O34" s="69"/>
    </row>
    <row r="35" spans="1:15" ht="14.65" thickBot="1" x14ac:dyDescent="0.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9"/>
    </row>
    <row r="36" spans="1:15" x14ac:dyDescent="0.45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</row>
  </sheetData>
  <hyperlinks>
    <hyperlink ref="B10" location="BR_01001" display="BR_01001" xr:uid="{00000000-0004-0000-0200-000000000000}"/>
    <hyperlink ref="B4" location="FR_A0001" display="Frame" xr:uid="{2140F8A1-1792-4867-B8EE-367BBC148698}"/>
    <hyperlink ref="B11" location="FR_01002" display="Straight round steel tubing" xr:uid="{67BF6903-2881-4F14-8D93-935AB83DE452}"/>
    <hyperlink ref="B12" location="FR_01003" display="Anti-intusion plate" xr:uid="{5F52F1BE-0B8B-423C-8182-3D6A517A5A0B}"/>
    <hyperlink ref="B13" location="'FR 01004'!A1" display="Sleeved joint" xr:uid="{0D45B743-6FDE-4216-97C7-56AFD8F90F3D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  <pageSetUpPr fitToPage="1"/>
  </sheetPr>
  <dimension ref="A1:O22"/>
  <sheetViews>
    <sheetView topLeftCell="B1" zoomScale="75" zoomScaleNormal="75" workbookViewId="0">
      <selection activeCell="B6" sqref="B6"/>
    </sheetView>
  </sheetViews>
  <sheetFormatPr baseColWidth="10" defaultColWidth="9.1328125" defaultRowHeight="14.25" x14ac:dyDescent="0.45"/>
  <cols>
    <col min="1" max="1" width="10.59765625"/>
    <col min="2" max="2" width="33.3984375"/>
    <col min="3" max="3" width="23"/>
    <col min="4" max="6" width="10.59765625"/>
    <col min="7" max="7" width="14.1328125"/>
    <col min="8" max="8" width="10.59765625"/>
    <col min="9" max="9" width="15.46484375" customWidth="1"/>
    <col min="10" max="12" width="10.59765625"/>
    <col min="13" max="13" width="15.265625"/>
    <col min="14" max="14" width="10.59765625"/>
    <col min="15" max="15" width="3.1328125" customWidth="1"/>
    <col min="16" max="1025" width="10.59765625"/>
  </cols>
  <sheetData>
    <row r="1" spans="1:15" x14ac:dyDescent="0.4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x14ac:dyDescent="0.45">
      <c r="A2" s="133" t="s">
        <v>0</v>
      </c>
      <c r="B2" s="16" t="s">
        <v>43</v>
      </c>
      <c r="C2" s="63"/>
      <c r="D2" s="63"/>
      <c r="E2" s="63"/>
      <c r="F2" s="63"/>
      <c r="G2" s="63" t="s">
        <v>132</v>
      </c>
      <c r="H2" s="63"/>
      <c r="I2" s="63"/>
      <c r="J2" s="134" t="s">
        <v>1</v>
      </c>
      <c r="K2" s="91">
        <v>81</v>
      </c>
      <c r="L2" s="63"/>
      <c r="M2" s="133" t="s">
        <v>16</v>
      </c>
      <c r="N2" s="81">
        <f>FR_01001_m+FR_01001_p</f>
        <v>23.75227908990254</v>
      </c>
      <c r="O2" s="69"/>
    </row>
    <row r="3" spans="1:15" x14ac:dyDescent="0.45">
      <c r="A3" s="133" t="s">
        <v>3</v>
      </c>
      <c r="B3" s="16" t="str">
        <f>'FR A0001'!B3</f>
        <v>Frame and Body</v>
      </c>
      <c r="C3" s="63"/>
      <c r="D3" s="133" t="s">
        <v>6</v>
      </c>
      <c r="E3" s="148"/>
      <c r="F3" s="63"/>
      <c r="G3" s="63"/>
      <c r="H3" s="63"/>
      <c r="I3" s="63"/>
      <c r="J3" s="63"/>
      <c r="K3" s="63"/>
      <c r="L3" s="63"/>
      <c r="M3" s="133" t="s">
        <v>4</v>
      </c>
      <c r="N3" s="89">
        <v>1</v>
      </c>
      <c r="O3" s="69"/>
    </row>
    <row r="4" spans="1:15" x14ac:dyDescent="0.45">
      <c r="A4" s="133" t="s">
        <v>5</v>
      </c>
      <c r="B4" s="99" t="str">
        <f>'FR A0001'!B4</f>
        <v>Frame</v>
      </c>
      <c r="C4" s="63"/>
      <c r="D4" s="133" t="s">
        <v>8</v>
      </c>
      <c r="E4" s="63"/>
      <c r="F4" s="63"/>
      <c r="G4" s="63"/>
      <c r="H4" s="63"/>
      <c r="I4" s="63"/>
      <c r="J4" s="135" t="s">
        <v>6</v>
      </c>
      <c r="K4" s="63"/>
      <c r="L4" s="63"/>
      <c r="M4" s="63"/>
      <c r="N4" s="63"/>
      <c r="O4" s="69"/>
    </row>
    <row r="5" spans="1:15" x14ac:dyDescent="0.45">
      <c r="A5" s="133" t="s">
        <v>15</v>
      </c>
      <c r="B5" s="19" t="s">
        <v>139</v>
      </c>
      <c r="C5" s="63"/>
      <c r="D5" s="133" t="s">
        <v>12</v>
      </c>
      <c r="E5" s="63"/>
      <c r="F5" s="63"/>
      <c r="G5" s="63"/>
      <c r="H5" s="63"/>
      <c r="I5" s="63"/>
      <c r="J5" s="135" t="s">
        <v>8</v>
      </c>
      <c r="K5" s="63"/>
      <c r="L5" s="63"/>
      <c r="M5" s="133" t="s">
        <v>9</v>
      </c>
      <c r="N5" s="81">
        <f>N3*N2</f>
        <v>23.75227908990254</v>
      </c>
      <c r="O5" s="69"/>
    </row>
    <row r="6" spans="1:15" x14ac:dyDescent="0.45">
      <c r="A6" s="133" t="s">
        <v>7</v>
      </c>
      <c r="B6" s="31" t="s">
        <v>136</v>
      </c>
      <c r="C6" s="63"/>
      <c r="D6" s="63"/>
      <c r="E6" s="63"/>
      <c r="F6" s="63"/>
      <c r="G6" s="63"/>
      <c r="H6" s="63"/>
      <c r="I6" s="63"/>
      <c r="J6" s="135" t="s">
        <v>12</v>
      </c>
      <c r="K6" s="63"/>
      <c r="L6" s="63"/>
      <c r="M6" s="63"/>
      <c r="N6" s="63"/>
      <c r="O6" s="69"/>
    </row>
    <row r="7" spans="1:15" x14ac:dyDescent="0.45">
      <c r="A7" s="133" t="s">
        <v>10</v>
      </c>
      <c r="B7" s="16" t="s">
        <v>11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9"/>
    </row>
    <row r="8" spans="1:15" x14ac:dyDescent="0.45">
      <c r="A8" s="133" t="s">
        <v>13</v>
      </c>
      <c r="B8" s="16" t="s">
        <v>140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9"/>
    </row>
    <row r="9" spans="1:15" x14ac:dyDescent="0.45">
      <c r="A9" s="92"/>
      <c r="B9" s="32"/>
      <c r="C9" s="32"/>
      <c r="D9" s="32"/>
      <c r="E9" s="32"/>
      <c r="F9" s="63"/>
      <c r="G9" s="63"/>
      <c r="H9" s="63"/>
      <c r="I9" s="63"/>
      <c r="J9" s="63"/>
      <c r="K9" s="63"/>
      <c r="L9" s="63"/>
      <c r="M9" s="63"/>
      <c r="N9" s="63"/>
      <c r="O9" s="69"/>
    </row>
    <row r="10" spans="1:15" x14ac:dyDescent="0.45">
      <c r="A10" s="136" t="s">
        <v>14</v>
      </c>
      <c r="B10" s="137" t="s">
        <v>19</v>
      </c>
      <c r="C10" s="137" t="s">
        <v>20</v>
      </c>
      <c r="D10" s="137" t="s">
        <v>21</v>
      </c>
      <c r="E10" s="137" t="s">
        <v>22</v>
      </c>
      <c r="F10" s="138" t="s">
        <v>23</v>
      </c>
      <c r="G10" s="138" t="s">
        <v>24</v>
      </c>
      <c r="H10" s="138" t="s">
        <v>25</v>
      </c>
      <c r="I10" s="138" t="s">
        <v>26</v>
      </c>
      <c r="J10" s="138" t="s">
        <v>27</v>
      </c>
      <c r="K10" s="138" t="s">
        <v>28</v>
      </c>
      <c r="L10" s="138" t="s">
        <v>29</v>
      </c>
      <c r="M10" s="138" t="s">
        <v>17</v>
      </c>
      <c r="N10" s="138" t="s">
        <v>18</v>
      </c>
      <c r="O10" s="69"/>
    </row>
    <row r="11" spans="1:15" s="25" customFormat="1" x14ac:dyDescent="0.45">
      <c r="A11" s="93">
        <v>10</v>
      </c>
      <c r="B11" s="33" t="s">
        <v>156</v>
      </c>
      <c r="C11" s="22" t="s">
        <v>157</v>
      </c>
      <c r="D11" s="35">
        <v>2.25</v>
      </c>
      <c r="E11" s="22">
        <v>3.5990000000000002</v>
      </c>
      <c r="F11" s="22" t="s">
        <v>167</v>
      </c>
      <c r="G11" s="22"/>
      <c r="H11" s="21"/>
      <c r="I11" s="23" t="s">
        <v>168</v>
      </c>
      <c r="J11" s="146">
        <f>((0.015)^2-(0.013)^2)*PI()</f>
        <v>1.7592918860102845E-4</v>
      </c>
      <c r="K11" s="24">
        <v>2.62</v>
      </c>
      <c r="L11" s="34">
        <v>7850</v>
      </c>
      <c r="M11" s="26">
        <v>1</v>
      </c>
      <c r="N11" s="35">
        <f>IF(J11="",D11*M11,D11*J11*K11*L11*M11)</f>
        <v>8.1412551494040439</v>
      </c>
      <c r="O11" s="74"/>
    </row>
    <row r="12" spans="1:15" s="25" customFormat="1" x14ac:dyDescent="0.45">
      <c r="A12" s="143">
        <v>20</v>
      </c>
      <c r="B12" s="33" t="s">
        <v>156</v>
      </c>
      <c r="C12" s="144" t="s">
        <v>158</v>
      </c>
      <c r="D12" s="35">
        <v>2.25</v>
      </c>
      <c r="E12" s="22">
        <v>2.0409999999999999</v>
      </c>
      <c r="F12" s="22" t="s">
        <v>167</v>
      </c>
      <c r="G12" s="22"/>
      <c r="H12" s="21"/>
      <c r="I12" s="23" t="s">
        <v>168</v>
      </c>
      <c r="J12" s="146">
        <f>((0.015)^2-(0.013)^2)*PI()</f>
        <v>1.7592918860102845E-4</v>
      </c>
      <c r="K12" s="24">
        <v>1.5</v>
      </c>
      <c r="L12" s="34">
        <v>7850</v>
      </c>
      <c r="M12" s="26">
        <v>1</v>
      </c>
      <c r="N12" s="35">
        <f>IF(J12="",D12*M12,D12*J12*K12*L12*M12)</f>
        <v>4.6610239404984979</v>
      </c>
      <c r="O12" s="74"/>
    </row>
    <row r="13" spans="1:15" x14ac:dyDescent="0.45">
      <c r="A13" s="75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139" t="s">
        <v>18</v>
      </c>
      <c r="N13" s="140">
        <f>SUM(N11:N12)</f>
        <v>12.802279089902541</v>
      </c>
      <c r="O13" s="69"/>
    </row>
    <row r="14" spans="1:15" x14ac:dyDescent="0.45">
      <c r="A14" s="70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9"/>
    </row>
    <row r="15" spans="1:15" x14ac:dyDescent="0.45">
      <c r="A15" s="141" t="s">
        <v>14</v>
      </c>
      <c r="B15" s="138" t="s">
        <v>30</v>
      </c>
      <c r="C15" s="138" t="s">
        <v>20</v>
      </c>
      <c r="D15" s="138" t="s">
        <v>21</v>
      </c>
      <c r="E15" s="138" t="s">
        <v>31</v>
      </c>
      <c r="F15" s="138" t="s">
        <v>17</v>
      </c>
      <c r="G15" s="138" t="s">
        <v>32</v>
      </c>
      <c r="H15" s="138" t="s">
        <v>33</v>
      </c>
      <c r="I15" s="138" t="s">
        <v>18</v>
      </c>
      <c r="J15" s="27"/>
      <c r="K15" s="27"/>
      <c r="L15" s="27"/>
      <c r="M15" s="27"/>
      <c r="N15" s="27"/>
      <c r="O15" s="69"/>
    </row>
    <row r="16" spans="1:15" s="28" customFormat="1" x14ac:dyDescent="0.45">
      <c r="A16" s="94">
        <v>10</v>
      </c>
      <c r="B16" s="30" t="s">
        <v>159</v>
      </c>
      <c r="C16" s="36" t="s">
        <v>162</v>
      </c>
      <c r="D16" s="37">
        <v>0.75</v>
      </c>
      <c r="E16" s="30" t="s">
        <v>165</v>
      </c>
      <c r="F16" s="30">
        <v>5</v>
      </c>
      <c r="G16" s="36"/>
      <c r="H16" s="29">
        <v>1</v>
      </c>
      <c r="I16" s="37">
        <f t="shared" ref="I16:I19" si="0">IF(H16="",D16*F16,D16*F16*H16)</f>
        <v>3.75</v>
      </c>
      <c r="J16" s="65"/>
      <c r="K16" s="65"/>
      <c r="L16" s="65"/>
      <c r="M16" s="65"/>
      <c r="N16" s="65"/>
      <c r="O16" s="76"/>
    </row>
    <row r="17" spans="1:15" x14ac:dyDescent="0.45">
      <c r="A17" s="71">
        <v>20</v>
      </c>
      <c r="B17" s="30" t="s">
        <v>159</v>
      </c>
      <c r="C17" s="36" t="s">
        <v>163</v>
      </c>
      <c r="D17" s="37">
        <v>0.75</v>
      </c>
      <c r="E17" s="30" t="s">
        <v>165</v>
      </c>
      <c r="F17" s="20">
        <v>4</v>
      </c>
      <c r="G17" s="30"/>
      <c r="H17" s="29">
        <v>1</v>
      </c>
      <c r="I17" s="35">
        <f t="shared" si="0"/>
        <v>3</v>
      </c>
      <c r="J17" s="63"/>
      <c r="K17" s="63"/>
      <c r="L17" s="63"/>
      <c r="M17" s="63"/>
      <c r="N17" s="63"/>
      <c r="O17" s="69"/>
    </row>
    <row r="18" spans="1:15" s="18" customFormat="1" x14ac:dyDescent="0.45">
      <c r="A18" s="94">
        <v>30</v>
      </c>
      <c r="B18" s="30" t="s">
        <v>160</v>
      </c>
      <c r="C18" s="29" t="s">
        <v>164</v>
      </c>
      <c r="D18" s="37">
        <v>0.15</v>
      </c>
      <c r="E18" s="30" t="s">
        <v>46</v>
      </c>
      <c r="F18" s="30">
        <v>8</v>
      </c>
      <c r="G18" s="29"/>
      <c r="H18" s="29">
        <v>1</v>
      </c>
      <c r="I18" s="35">
        <f t="shared" si="0"/>
        <v>1.2</v>
      </c>
      <c r="J18" s="64"/>
      <c r="K18" s="64"/>
      <c r="L18" s="64"/>
      <c r="M18" s="64"/>
      <c r="N18" s="64"/>
      <c r="O18" s="73"/>
    </row>
    <row r="19" spans="1:15" x14ac:dyDescent="0.45">
      <c r="A19" s="71">
        <v>40</v>
      </c>
      <c r="B19" s="30" t="s">
        <v>161</v>
      </c>
      <c r="C19" s="20"/>
      <c r="D19" s="37">
        <v>0.75</v>
      </c>
      <c r="E19" s="20" t="s">
        <v>166</v>
      </c>
      <c r="F19" s="20">
        <v>4</v>
      </c>
      <c r="G19" s="30"/>
      <c r="H19" s="29">
        <v>1</v>
      </c>
      <c r="I19" s="35">
        <f t="shared" si="0"/>
        <v>3</v>
      </c>
      <c r="J19" s="63"/>
      <c r="K19" s="63"/>
      <c r="L19" s="63"/>
      <c r="M19" s="63"/>
      <c r="N19" s="63"/>
      <c r="O19" s="69"/>
    </row>
    <row r="20" spans="1:15" x14ac:dyDescent="0.45">
      <c r="A20" s="75"/>
      <c r="B20" s="27"/>
      <c r="C20" s="27"/>
      <c r="D20" s="27"/>
      <c r="E20" s="27"/>
      <c r="F20" s="27"/>
      <c r="G20" s="27"/>
      <c r="H20" s="142" t="s">
        <v>18</v>
      </c>
      <c r="I20" s="140">
        <f>SUM(I16:I19)</f>
        <v>10.95</v>
      </c>
      <c r="J20" s="27"/>
      <c r="K20" s="27"/>
      <c r="L20" s="27"/>
      <c r="M20" s="27"/>
      <c r="N20" s="27"/>
      <c r="O20" s="69"/>
    </row>
    <row r="21" spans="1:15" x14ac:dyDescent="0.45">
      <c r="A21" s="70"/>
      <c r="B21" s="63"/>
      <c r="C21" s="63"/>
      <c r="D21" s="63"/>
      <c r="E21" s="63"/>
      <c r="F21" s="63"/>
      <c r="G21" s="63"/>
      <c r="H21" s="63"/>
      <c r="I21" s="64"/>
      <c r="J21" s="63"/>
      <c r="K21" s="63"/>
      <c r="L21" s="63"/>
      <c r="M21" s="63"/>
      <c r="N21" s="63"/>
      <c r="O21" s="69"/>
    </row>
    <row r="22" spans="1:15" ht="14.65" thickBot="1" x14ac:dyDescent="0.5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9"/>
    </row>
  </sheetData>
  <hyperlinks>
    <hyperlink ref="B4" location="BR_A0001" display="BR_A0001" xr:uid="{00000000-0004-0000-0300-000000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E944-3338-4A3B-A1AF-55BD3BA3F047}">
  <sheetPr>
    <tabColor rgb="FFFF99FF"/>
  </sheetPr>
  <dimension ref="A1:O26"/>
  <sheetViews>
    <sheetView topLeftCell="A5" workbookViewId="0">
      <selection activeCell="E24" sqref="E24"/>
    </sheetView>
  </sheetViews>
  <sheetFormatPr baseColWidth="10" defaultColWidth="9.1328125" defaultRowHeight="14.25" x14ac:dyDescent="0.45"/>
  <cols>
    <col min="2" max="2" width="14.796875" customWidth="1"/>
    <col min="3" max="3" width="26.33203125" customWidth="1"/>
    <col min="9" max="9" width="17.53125" customWidth="1"/>
    <col min="15" max="15" width="3.1328125" customWidth="1"/>
  </cols>
  <sheetData>
    <row r="1" spans="1:15" x14ac:dyDescent="0.4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x14ac:dyDescent="0.45">
      <c r="A2" s="133" t="s">
        <v>0</v>
      </c>
      <c r="B2" s="16" t="s">
        <v>43</v>
      </c>
      <c r="C2" s="63"/>
      <c r="D2" s="63"/>
      <c r="E2" s="63"/>
      <c r="F2" s="63"/>
      <c r="G2" s="63" t="s">
        <v>132</v>
      </c>
      <c r="H2" s="63"/>
      <c r="I2" s="63"/>
      <c r="J2" s="134" t="s">
        <v>1</v>
      </c>
      <c r="K2" s="91">
        <v>81</v>
      </c>
      <c r="L2" s="63"/>
      <c r="M2" s="133" t="s">
        <v>16</v>
      </c>
      <c r="N2" s="81">
        <f>FR_01002_m+FR_01002_p</f>
        <v>253.01039372242448</v>
      </c>
      <c r="O2" s="69"/>
    </row>
    <row r="3" spans="1:15" x14ac:dyDescent="0.45">
      <c r="A3" s="133" t="s">
        <v>3</v>
      </c>
      <c r="B3" s="16" t="str">
        <f>'FR A0001'!B3</f>
        <v>Frame and Body</v>
      </c>
      <c r="C3" s="63"/>
      <c r="D3" s="133" t="s">
        <v>6</v>
      </c>
      <c r="E3" s="100"/>
      <c r="F3" s="63"/>
      <c r="G3" s="63"/>
      <c r="H3" s="63"/>
      <c r="I3" s="63"/>
      <c r="J3" s="63"/>
      <c r="K3" s="63"/>
      <c r="L3" s="63"/>
      <c r="M3" s="133" t="s">
        <v>4</v>
      </c>
      <c r="N3" s="89">
        <v>1</v>
      </c>
      <c r="O3" s="69"/>
    </row>
    <row r="4" spans="1:15" x14ac:dyDescent="0.45">
      <c r="A4" s="133" t="s">
        <v>5</v>
      </c>
      <c r="B4" s="99" t="str">
        <f>'FR A0001'!B4</f>
        <v>Frame</v>
      </c>
      <c r="C4" s="63"/>
      <c r="D4" s="133" t="s">
        <v>8</v>
      </c>
      <c r="E4" s="63"/>
      <c r="F4" s="63"/>
      <c r="G4" s="63"/>
      <c r="H4" s="63"/>
      <c r="I4" s="63"/>
      <c r="J4" s="135" t="s">
        <v>6</v>
      </c>
      <c r="K4" s="63"/>
      <c r="L4" s="63"/>
      <c r="M4" s="63"/>
      <c r="N4" s="63"/>
      <c r="O4" s="69"/>
    </row>
    <row r="5" spans="1:15" x14ac:dyDescent="0.45">
      <c r="A5" s="133" t="s">
        <v>15</v>
      </c>
      <c r="B5" s="19" t="s">
        <v>141</v>
      </c>
      <c r="C5" s="63"/>
      <c r="D5" s="133" t="s">
        <v>12</v>
      </c>
      <c r="E5" s="63"/>
      <c r="F5" s="63"/>
      <c r="G5" s="63"/>
      <c r="H5" s="63"/>
      <c r="I5" s="63"/>
      <c r="J5" s="135" t="s">
        <v>8</v>
      </c>
      <c r="K5" s="63"/>
      <c r="L5" s="63"/>
      <c r="M5" s="133" t="s">
        <v>9</v>
      </c>
      <c r="N5" s="81">
        <f>N3*N2</f>
        <v>253.01039372242448</v>
      </c>
      <c r="O5" s="69"/>
    </row>
    <row r="6" spans="1:15" x14ac:dyDescent="0.45">
      <c r="A6" s="133" t="s">
        <v>7</v>
      </c>
      <c r="B6" s="31" t="s">
        <v>142</v>
      </c>
      <c r="C6" s="63"/>
      <c r="D6" s="63"/>
      <c r="E6" s="63"/>
      <c r="F6" s="63"/>
      <c r="G6" s="63"/>
      <c r="H6" s="63"/>
      <c r="I6" s="63"/>
      <c r="J6" s="135" t="s">
        <v>12</v>
      </c>
      <c r="K6" s="63"/>
      <c r="L6" s="63"/>
      <c r="M6" s="63"/>
      <c r="N6" s="63"/>
      <c r="O6" s="69"/>
    </row>
    <row r="7" spans="1:15" x14ac:dyDescent="0.45">
      <c r="A7" s="133" t="s">
        <v>10</v>
      </c>
      <c r="B7" s="16" t="s">
        <v>11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9"/>
    </row>
    <row r="8" spans="1:15" x14ac:dyDescent="0.45">
      <c r="A8" s="133" t="s">
        <v>13</v>
      </c>
      <c r="B8" s="16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9"/>
    </row>
    <row r="9" spans="1:15" x14ac:dyDescent="0.45">
      <c r="A9" s="92"/>
      <c r="B9" s="32"/>
      <c r="C9" s="32"/>
      <c r="D9" s="32"/>
      <c r="E9" s="32"/>
      <c r="F9" s="63"/>
      <c r="G9" s="63"/>
      <c r="H9" s="63"/>
      <c r="I9" s="63"/>
      <c r="J9" s="63"/>
      <c r="K9" s="63"/>
      <c r="L9" s="63"/>
      <c r="M9" s="63"/>
      <c r="N9" s="63"/>
      <c r="O9" s="69"/>
    </row>
    <row r="10" spans="1:15" x14ac:dyDescent="0.45">
      <c r="A10" s="136" t="s">
        <v>14</v>
      </c>
      <c r="B10" s="137" t="s">
        <v>19</v>
      </c>
      <c r="C10" s="137" t="s">
        <v>20</v>
      </c>
      <c r="D10" s="137" t="s">
        <v>21</v>
      </c>
      <c r="E10" s="137" t="s">
        <v>22</v>
      </c>
      <c r="F10" s="138" t="s">
        <v>23</v>
      </c>
      <c r="G10" s="138" t="s">
        <v>24</v>
      </c>
      <c r="H10" s="138" t="s">
        <v>25</v>
      </c>
      <c r="I10" s="138" t="s">
        <v>26</v>
      </c>
      <c r="J10" s="138" t="s">
        <v>27</v>
      </c>
      <c r="K10" s="138" t="s">
        <v>28</v>
      </c>
      <c r="L10" s="138" t="s">
        <v>29</v>
      </c>
      <c r="M10" s="138" t="s">
        <v>17</v>
      </c>
      <c r="N10" s="138" t="s">
        <v>18</v>
      </c>
      <c r="O10" s="69"/>
    </row>
    <row r="11" spans="1:15" s="25" customFormat="1" x14ac:dyDescent="0.45">
      <c r="A11" s="93">
        <v>10</v>
      </c>
      <c r="B11" s="33" t="s">
        <v>156</v>
      </c>
      <c r="C11" s="22" t="s">
        <v>169</v>
      </c>
      <c r="D11" s="35">
        <v>2.25</v>
      </c>
      <c r="E11" s="22">
        <v>0.76400000000000001</v>
      </c>
      <c r="F11" s="22" t="s">
        <v>167</v>
      </c>
      <c r="G11" s="22"/>
      <c r="H11" s="21"/>
      <c r="I11" s="23" t="s">
        <v>168</v>
      </c>
      <c r="J11" s="146">
        <f>((0.015)^2-(0.013)^2)*PI()</f>
        <v>1.7592918860102845E-4</v>
      </c>
      <c r="K11" s="24">
        <v>0.55300000000000005</v>
      </c>
      <c r="L11" s="34">
        <v>7850</v>
      </c>
      <c r="M11" s="26">
        <v>1</v>
      </c>
      <c r="N11" s="35">
        <f>IF(J11="",D11*M11,D11*J11*K11*L11*M11)</f>
        <v>1.7183641593971128</v>
      </c>
      <c r="O11" s="74"/>
    </row>
    <row r="12" spans="1:15" s="25" customFormat="1" ht="57" x14ac:dyDescent="0.45">
      <c r="A12" s="93">
        <v>20</v>
      </c>
      <c r="B12" s="33" t="s">
        <v>156</v>
      </c>
      <c r="C12" s="145" t="s">
        <v>170</v>
      </c>
      <c r="D12" s="35">
        <v>2.25</v>
      </c>
      <c r="E12" s="22">
        <v>12.946999999999999</v>
      </c>
      <c r="F12" s="22" t="s">
        <v>167</v>
      </c>
      <c r="G12" s="22"/>
      <c r="H12" s="21"/>
      <c r="I12" s="23" t="s">
        <v>173</v>
      </c>
      <c r="J12" s="146">
        <f t="shared" ref="J12" si="0">((0.015)^2-(0.0135)^2)*PI()</f>
        <v>1.3430308594096369E-4</v>
      </c>
      <c r="K12" s="24">
        <v>11.923</v>
      </c>
      <c r="L12" s="34">
        <v>7850</v>
      </c>
      <c r="M12" s="26">
        <v>1</v>
      </c>
      <c r="N12" s="35">
        <f t="shared" ref="N12:N14" si="1">IF(J12="",D12*M12,D12*J12*K12*L12*M12)</f>
        <v>28.282885189518968</v>
      </c>
      <c r="O12" s="74"/>
    </row>
    <row r="13" spans="1:15" s="25" customFormat="1" x14ac:dyDescent="0.45">
      <c r="A13" s="93">
        <v>30</v>
      </c>
      <c r="B13" s="33" t="s">
        <v>156</v>
      </c>
      <c r="C13" s="22" t="s">
        <v>171</v>
      </c>
      <c r="D13" s="35">
        <v>2.25</v>
      </c>
      <c r="E13" s="22">
        <f>0.444+13.064</f>
        <v>13.508000000000001</v>
      </c>
      <c r="F13" s="22" t="s">
        <v>167</v>
      </c>
      <c r="G13" s="22"/>
      <c r="H13" s="21"/>
      <c r="I13" s="23" t="s">
        <v>174</v>
      </c>
      <c r="J13" s="146">
        <f>((0.0125)^2-(0.011)^2)*PI()</f>
        <v>1.1074114103904034E-4</v>
      </c>
      <c r="K13" s="24">
        <f>14.714+0.32</f>
        <v>15.034000000000001</v>
      </c>
      <c r="L13" s="34">
        <v>7850</v>
      </c>
      <c r="M13" s="26">
        <v>1</v>
      </c>
      <c r="N13" s="35">
        <f t="shared" si="1"/>
        <v>29.405983877753222</v>
      </c>
      <c r="O13" s="74"/>
    </row>
    <row r="14" spans="1:15" s="25" customFormat="1" x14ac:dyDescent="0.45">
      <c r="A14" s="93">
        <v>40</v>
      </c>
      <c r="B14" s="33" t="s">
        <v>156</v>
      </c>
      <c r="C14" s="22" t="s">
        <v>172</v>
      </c>
      <c r="D14" s="35">
        <v>2.25</v>
      </c>
      <c r="E14" s="22">
        <v>3.0089999999999999</v>
      </c>
      <c r="F14" s="22" t="s">
        <v>167</v>
      </c>
      <c r="G14" s="22"/>
      <c r="H14" s="21"/>
      <c r="I14" s="23" t="s">
        <v>175</v>
      </c>
      <c r="J14" s="146">
        <f>((0.01)^2-(0.0085)^2)*PI()</f>
        <v>8.7179196137116748E-5</v>
      </c>
      <c r="K14" s="24">
        <f>4.471</f>
        <v>4.4710000000000001</v>
      </c>
      <c r="L14" s="34">
        <v>7850</v>
      </c>
      <c r="M14" s="26">
        <v>1</v>
      </c>
      <c r="N14" s="35">
        <f t="shared" si="1"/>
        <v>6.8844572089718277</v>
      </c>
      <c r="O14" s="74"/>
    </row>
    <row r="15" spans="1:15" s="25" customFormat="1" x14ac:dyDescent="0.45">
      <c r="A15" s="93">
        <v>50</v>
      </c>
      <c r="B15" s="33" t="s">
        <v>156</v>
      </c>
      <c r="C15" s="22" t="s">
        <v>172</v>
      </c>
      <c r="D15" s="35">
        <v>2.25</v>
      </c>
      <c r="E15" s="22">
        <v>1.877</v>
      </c>
      <c r="F15" s="22" t="s">
        <v>167</v>
      </c>
      <c r="G15" s="22"/>
      <c r="H15" s="21"/>
      <c r="I15" s="23" t="s">
        <v>176</v>
      </c>
      <c r="J15" s="146">
        <f>((0.0075)^2-(0.006)^2)*PI()</f>
        <v>6.3617251235193305E-5</v>
      </c>
      <c r="K15" s="24">
        <v>3.71</v>
      </c>
      <c r="L15" s="34">
        <v>7850</v>
      </c>
      <c r="M15" s="26">
        <v>1</v>
      </c>
      <c r="N15" s="35">
        <f>IF(J15="",D15*M15,D15*J15*K15*L15*M15)</f>
        <v>4.1687032867833427</v>
      </c>
      <c r="O15" s="74"/>
    </row>
    <row r="16" spans="1:15" s="25" customFormat="1" x14ac:dyDescent="0.45">
      <c r="A16" s="93">
        <v>60</v>
      </c>
      <c r="B16" s="33" t="s">
        <v>156</v>
      </c>
      <c r="C16" s="22" t="s">
        <v>172</v>
      </c>
      <c r="D16" s="35">
        <v>2.25</v>
      </c>
      <c r="E16" s="22">
        <v>1.877</v>
      </c>
      <c r="F16" s="22" t="s">
        <v>167</v>
      </c>
      <c r="G16" s="22"/>
      <c r="H16" s="21"/>
      <c r="I16" s="23" t="s">
        <v>188</v>
      </c>
      <c r="J16" s="146">
        <f>((0.01)^2-(0.006)^2)*PI()</f>
        <v>2.010619298297468E-4</v>
      </c>
      <c r="K16" s="24">
        <v>8.4000000000000005E-2</v>
      </c>
      <c r="L16" s="34">
        <v>7850</v>
      </c>
      <c r="M16" s="26">
        <v>1</v>
      </c>
      <c r="N16" s="35">
        <f>IF(J16="",D16*M16,D16*J16*K16*L16*M16)</f>
        <v>0.29830553219190387</v>
      </c>
      <c r="O16" s="74"/>
    </row>
    <row r="17" spans="1:15" x14ac:dyDescent="0.45">
      <c r="A17" s="75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139" t="s">
        <v>18</v>
      </c>
      <c r="N17" s="140">
        <f>SUM(N11:N15)</f>
        <v>70.46039372242447</v>
      </c>
      <c r="O17" s="69"/>
    </row>
    <row r="18" spans="1:15" x14ac:dyDescent="0.45">
      <c r="A18" s="70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9"/>
    </row>
    <row r="19" spans="1:15" x14ac:dyDescent="0.45">
      <c r="A19" s="141" t="s">
        <v>14</v>
      </c>
      <c r="B19" s="138" t="s">
        <v>30</v>
      </c>
      <c r="C19" s="138" t="s">
        <v>20</v>
      </c>
      <c r="D19" s="138" t="s">
        <v>21</v>
      </c>
      <c r="E19" s="138" t="s">
        <v>31</v>
      </c>
      <c r="F19" s="138" t="s">
        <v>17</v>
      </c>
      <c r="G19" s="138" t="s">
        <v>32</v>
      </c>
      <c r="H19" s="138" t="s">
        <v>33</v>
      </c>
      <c r="I19" s="138" t="s">
        <v>18</v>
      </c>
      <c r="J19" s="27"/>
      <c r="K19" s="27"/>
      <c r="L19" s="27"/>
      <c r="M19" s="27"/>
      <c r="N19" s="27"/>
      <c r="O19" s="69"/>
    </row>
    <row r="20" spans="1:15" s="28" customFormat="1" x14ac:dyDescent="0.45">
      <c r="A20" s="94">
        <v>10</v>
      </c>
      <c r="B20" s="30" t="s">
        <v>160</v>
      </c>
      <c r="C20" s="36" t="s">
        <v>164</v>
      </c>
      <c r="D20" s="37">
        <v>0.15</v>
      </c>
      <c r="E20" s="30" t="s">
        <v>34</v>
      </c>
      <c r="F20" s="36">
        <v>337</v>
      </c>
      <c r="G20" s="36"/>
      <c r="H20" s="36">
        <v>1</v>
      </c>
      <c r="I20" s="37">
        <f t="shared" ref="I20:I21" si="2">IF(H20="",D20*F20,D20*F20*H20)</f>
        <v>50.55</v>
      </c>
      <c r="J20" s="65"/>
      <c r="K20" s="65"/>
      <c r="L20" s="65"/>
      <c r="M20" s="65"/>
      <c r="N20" s="65"/>
      <c r="O20" s="76"/>
    </row>
    <row r="21" spans="1:15" ht="42.75" x14ac:dyDescent="0.45">
      <c r="A21" s="71">
        <v>20</v>
      </c>
      <c r="B21" s="30" t="s">
        <v>161</v>
      </c>
      <c r="C21" s="20"/>
      <c r="D21" s="35">
        <v>0.75</v>
      </c>
      <c r="E21" s="20" t="s">
        <v>166</v>
      </c>
      <c r="F21" s="38">
        <v>176</v>
      </c>
      <c r="G21" s="30"/>
      <c r="H21" s="29">
        <v>1</v>
      </c>
      <c r="I21" s="35">
        <f t="shared" si="2"/>
        <v>132</v>
      </c>
      <c r="J21" s="63"/>
      <c r="K21" s="63"/>
      <c r="L21" s="63"/>
      <c r="M21" s="63"/>
      <c r="N21" s="63"/>
      <c r="O21" s="69"/>
    </row>
    <row r="22" spans="1:15" ht="42.75" x14ac:dyDescent="0.45">
      <c r="A22" s="71">
        <v>30</v>
      </c>
      <c r="B22" s="30" t="s">
        <v>44</v>
      </c>
      <c r="C22" s="20"/>
      <c r="D22" s="35">
        <v>1.3</v>
      </c>
      <c r="E22" s="20" t="s">
        <v>34</v>
      </c>
      <c r="F22" s="38">
        <v>2</v>
      </c>
      <c r="G22" s="30"/>
      <c r="H22" s="29">
        <v>1</v>
      </c>
      <c r="I22" s="35">
        <f t="shared" ref="I22:I23" si="3">IF(H22="",D22*F22,D22*F22*H22)</f>
        <v>2.6</v>
      </c>
      <c r="J22" s="63"/>
      <c r="K22" s="63"/>
      <c r="L22" s="63"/>
      <c r="M22" s="63"/>
      <c r="N22" s="63"/>
      <c r="O22" s="69"/>
    </row>
    <row r="23" spans="1:15" x14ac:dyDescent="0.45">
      <c r="A23" s="71">
        <v>22</v>
      </c>
      <c r="B23" s="30" t="s">
        <v>185</v>
      </c>
      <c r="C23" s="20" t="s">
        <v>186</v>
      </c>
      <c r="D23" s="35">
        <v>0.04</v>
      </c>
      <c r="E23" s="20" t="s">
        <v>189</v>
      </c>
      <c r="F23" s="149">
        <v>0.82</v>
      </c>
      <c r="G23" s="30"/>
      <c r="H23" s="29">
        <v>1</v>
      </c>
      <c r="I23" s="35">
        <f t="shared" si="3"/>
        <v>3.2799999999999996E-2</v>
      </c>
      <c r="J23" s="63"/>
      <c r="K23" s="63"/>
      <c r="L23" s="63"/>
      <c r="M23" s="63"/>
      <c r="N23" s="63"/>
      <c r="O23" s="69"/>
    </row>
    <row r="24" spans="1:15" x14ac:dyDescent="0.45">
      <c r="A24" s="75"/>
      <c r="B24" s="27"/>
      <c r="C24" s="27"/>
      <c r="D24" s="27"/>
      <c r="E24" s="27"/>
      <c r="F24" s="27"/>
      <c r="G24" s="27"/>
      <c r="H24" s="142" t="s">
        <v>18</v>
      </c>
      <c r="I24" s="140">
        <f>SUM(I20:I21)</f>
        <v>182.55</v>
      </c>
      <c r="J24" s="27"/>
      <c r="K24" s="27"/>
      <c r="L24" s="27"/>
      <c r="M24" s="27"/>
      <c r="N24" s="27"/>
      <c r="O24" s="69"/>
    </row>
    <row r="25" spans="1:15" x14ac:dyDescent="0.45">
      <c r="A25" s="70"/>
      <c r="B25" s="63"/>
      <c r="C25" s="63"/>
      <c r="D25" s="63"/>
      <c r="E25" s="63"/>
      <c r="F25" s="63"/>
      <c r="G25" s="63"/>
      <c r="H25" s="63"/>
      <c r="I25" s="64"/>
      <c r="J25" s="63"/>
      <c r="K25" s="63"/>
      <c r="L25" s="63"/>
      <c r="M25" s="63"/>
      <c r="N25" s="63"/>
      <c r="O25" s="69"/>
    </row>
    <row r="26" spans="1:15" ht="14.65" thickBot="1" x14ac:dyDescent="0.5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9"/>
    </row>
  </sheetData>
  <hyperlinks>
    <hyperlink ref="B4" location="BR_A0001" display="BR_A0001" xr:uid="{817F69F5-D9F5-4DAD-B128-B61D755CFBF0}"/>
  </hyperlink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CFBA-DB78-42AF-AD42-C77473F5897E}">
  <sheetPr>
    <tabColor rgb="FFFF99FF"/>
  </sheetPr>
  <dimension ref="A1:O20"/>
  <sheetViews>
    <sheetView workbookViewId="0">
      <selection activeCell="B6" sqref="B6"/>
    </sheetView>
  </sheetViews>
  <sheetFormatPr baseColWidth="10" defaultColWidth="9.1328125" defaultRowHeight="14.25" x14ac:dyDescent="0.45"/>
  <cols>
    <col min="2" max="2" width="23.59765625" customWidth="1"/>
    <col min="3" max="3" width="19.19921875" customWidth="1"/>
    <col min="9" max="9" width="16.53125" customWidth="1"/>
    <col min="15" max="15" width="3.1328125" customWidth="1"/>
  </cols>
  <sheetData>
    <row r="1" spans="1:15" x14ac:dyDescent="0.4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x14ac:dyDescent="0.45">
      <c r="A2" s="133" t="s">
        <v>0</v>
      </c>
      <c r="B2" s="16" t="s">
        <v>43</v>
      </c>
      <c r="C2" s="63"/>
      <c r="D2" s="63"/>
      <c r="E2" s="63"/>
      <c r="F2" s="63"/>
      <c r="G2" s="63" t="s">
        <v>132</v>
      </c>
      <c r="H2" s="63"/>
      <c r="I2" s="63"/>
      <c r="J2" s="134" t="s">
        <v>1</v>
      </c>
      <c r="K2" s="91">
        <v>81</v>
      </c>
      <c r="L2" s="63"/>
      <c r="M2" s="133" t="s">
        <v>16</v>
      </c>
      <c r="N2" s="81">
        <f>FR_01003_m+FR_01003_P</f>
        <v>9.1270500000000006</v>
      </c>
      <c r="O2" s="69"/>
    </row>
    <row r="3" spans="1:15" x14ac:dyDescent="0.45">
      <c r="A3" s="133" t="s">
        <v>3</v>
      </c>
      <c r="B3" s="16" t="str">
        <f>'FR A0001'!B3</f>
        <v>Frame and Body</v>
      </c>
      <c r="C3" s="63"/>
      <c r="D3" s="133" t="s">
        <v>6</v>
      </c>
      <c r="E3" s="100"/>
      <c r="F3" s="63"/>
      <c r="G3" s="63"/>
      <c r="H3" s="63"/>
      <c r="I3" s="63"/>
      <c r="J3" s="63"/>
      <c r="K3" s="63"/>
      <c r="L3" s="63"/>
      <c r="M3" s="133" t="s">
        <v>4</v>
      </c>
      <c r="N3" s="89">
        <v>1</v>
      </c>
      <c r="O3" s="69"/>
    </row>
    <row r="4" spans="1:15" x14ac:dyDescent="0.45">
      <c r="A4" s="133" t="s">
        <v>5</v>
      </c>
      <c r="B4" s="99" t="str">
        <f>'FR A0001'!B4</f>
        <v>Frame</v>
      </c>
      <c r="C4" s="63"/>
      <c r="D4" s="133" t="s">
        <v>8</v>
      </c>
      <c r="E4" s="63"/>
      <c r="F4" s="63"/>
      <c r="G4" s="63"/>
      <c r="H4" s="63"/>
      <c r="I4" s="63"/>
      <c r="J4" s="135" t="s">
        <v>6</v>
      </c>
      <c r="K4" s="63"/>
      <c r="L4" s="63"/>
      <c r="M4" s="63"/>
      <c r="N4" s="63"/>
      <c r="O4" s="69"/>
    </row>
    <row r="5" spans="1:15" x14ac:dyDescent="0.45">
      <c r="A5" s="133" t="s">
        <v>15</v>
      </c>
      <c r="B5" s="19" t="s">
        <v>145</v>
      </c>
      <c r="C5" s="63"/>
      <c r="D5" s="133" t="s">
        <v>12</v>
      </c>
      <c r="E5" s="63"/>
      <c r="F5" s="63"/>
      <c r="G5" s="63"/>
      <c r="H5" s="63"/>
      <c r="I5" s="63"/>
      <c r="J5" s="135" t="s">
        <v>8</v>
      </c>
      <c r="K5" s="63"/>
      <c r="L5" s="63"/>
      <c r="M5" s="133" t="s">
        <v>9</v>
      </c>
      <c r="N5" s="81">
        <f>N3*N2</f>
        <v>9.1270500000000006</v>
      </c>
      <c r="O5" s="69"/>
    </row>
    <row r="6" spans="1:15" x14ac:dyDescent="0.45">
      <c r="A6" s="133" t="s">
        <v>7</v>
      </c>
      <c r="B6" s="31" t="s">
        <v>144</v>
      </c>
      <c r="C6" s="63"/>
      <c r="D6" s="63"/>
      <c r="E6" s="63"/>
      <c r="F6" s="63"/>
      <c r="G6" s="63"/>
      <c r="H6" s="63"/>
      <c r="I6" s="63"/>
      <c r="J6" s="135" t="s">
        <v>12</v>
      </c>
      <c r="K6" s="63"/>
      <c r="L6" s="63"/>
      <c r="M6" s="63"/>
      <c r="N6" s="63"/>
      <c r="O6" s="69"/>
    </row>
    <row r="7" spans="1:15" x14ac:dyDescent="0.45">
      <c r="A7" s="133" t="s">
        <v>10</v>
      </c>
      <c r="B7" s="16" t="s">
        <v>11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9"/>
    </row>
    <row r="8" spans="1:15" x14ac:dyDescent="0.45">
      <c r="A8" s="133" t="s">
        <v>13</v>
      </c>
      <c r="B8" s="16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9"/>
    </row>
    <row r="9" spans="1:15" x14ac:dyDescent="0.45">
      <c r="A9" s="92"/>
      <c r="B9" s="32"/>
      <c r="C9" s="32"/>
      <c r="D9" s="32"/>
      <c r="E9" s="32"/>
      <c r="F9" s="63"/>
      <c r="G9" s="63"/>
      <c r="H9" s="63"/>
      <c r="I9" s="63"/>
      <c r="J9" s="63"/>
      <c r="K9" s="63"/>
      <c r="L9" s="63"/>
      <c r="M9" s="63"/>
      <c r="N9" s="63"/>
      <c r="O9" s="69"/>
    </row>
    <row r="10" spans="1:15" x14ac:dyDescent="0.45">
      <c r="A10" s="136" t="s">
        <v>14</v>
      </c>
      <c r="B10" s="137" t="s">
        <v>19</v>
      </c>
      <c r="C10" s="137" t="s">
        <v>20</v>
      </c>
      <c r="D10" s="137" t="s">
        <v>21</v>
      </c>
      <c r="E10" s="137" t="s">
        <v>22</v>
      </c>
      <c r="F10" s="138" t="s">
        <v>23</v>
      </c>
      <c r="G10" s="138" t="s">
        <v>24</v>
      </c>
      <c r="H10" s="138" t="s">
        <v>25</v>
      </c>
      <c r="I10" s="138" t="s">
        <v>26</v>
      </c>
      <c r="J10" s="138" t="s">
        <v>27</v>
      </c>
      <c r="K10" s="138" t="s">
        <v>28</v>
      </c>
      <c r="L10" s="138" t="s">
        <v>29</v>
      </c>
      <c r="M10" s="138" t="s">
        <v>17</v>
      </c>
      <c r="N10" s="138" t="s">
        <v>18</v>
      </c>
      <c r="O10" s="69"/>
    </row>
    <row r="11" spans="1:15" s="25" customFormat="1" x14ac:dyDescent="0.45">
      <c r="A11" s="93">
        <v>10</v>
      </c>
      <c r="B11" s="33" t="s">
        <v>156</v>
      </c>
      <c r="C11" s="22" t="s">
        <v>151</v>
      </c>
      <c r="D11" s="35">
        <v>2.25</v>
      </c>
      <c r="E11" s="22">
        <v>1.79</v>
      </c>
      <c r="F11" s="22" t="s">
        <v>167</v>
      </c>
      <c r="G11" s="22"/>
      <c r="H11" s="21"/>
      <c r="I11" s="23" t="s">
        <v>177</v>
      </c>
      <c r="J11" s="107">
        <f>0.152</f>
        <v>0.152</v>
      </c>
      <c r="K11" s="24">
        <v>1.5E-3</v>
      </c>
      <c r="L11" s="34">
        <v>7850</v>
      </c>
      <c r="M11" s="26">
        <v>1</v>
      </c>
      <c r="N11" s="35">
        <f>IF(J11="",D11*M11,D11*J11*K11*L11*M11)</f>
        <v>4.02705</v>
      </c>
      <c r="O11" s="74"/>
    </row>
    <row r="12" spans="1:15" x14ac:dyDescent="0.45">
      <c r="A12" s="75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139" t="s">
        <v>18</v>
      </c>
      <c r="N12" s="140">
        <f>SUM(N11:N11)</f>
        <v>4.02705</v>
      </c>
      <c r="O12" s="69"/>
    </row>
    <row r="13" spans="1:15" x14ac:dyDescent="0.45">
      <c r="A13" s="70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9"/>
    </row>
    <row r="14" spans="1:15" x14ac:dyDescent="0.45">
      <c r="A14" s="141" t="s">
        <v>14</v>
      </c>
      <c r="B14" s="138" t="s">
        <v>30</v>
      </c>
      <c r="C14" s="138" t="s">
        <v>20</v>
      </c>
      <c r="D14" s="138" t="s">
        <v>21</v>
      </c>
      <c r="E14" s="138" t="s">
        <v>31</v>
      </c>
      <c r="F14" s="138" t="s">
        <v>17</v>
      </c>
      <c r="G14" s="138" t="s">
        <v>32</v>
      </c>
      <c r="H14" s="138" t="s">
        <v>33</v>
      </c>
      <c r="I14" s="138" t="s">
        <v>18</v>
      </c>
      <c r="J14" s="27"/>
      <c r="K14" s="27"/>
      <c r="L14" s="27"/>
      <c r="M14" s="27"/>
      <c r="N14" s="27"/>
      <c r="O14" s="69"/>
    </row>
    <row r="15" spans="1:15" s="28" customFormat="1" ht="28.5" x14ac:dyDescent="0.45">
      <c r="A15" s="94">
        <v>10</v>
      </c>
      <c r="B15" s="30" t="s">
        <v>44</v>
      </c>
      <c r="C15" s="36" t="s">
        <v>178</v>
      </c>
      <c r="D15" s="37">
        <v>1.3</v>
      </c>
      <c r="E15" s="30" t="s">
        <v>34</v>
      </c>
      <c r="F15" s="36">
        <v>1</v>
      </c>
      <c r="G15" s="36"/>
      <c r="H15" s="36">
        <v>1</v>
      </c>
      <c r="I15" s="37">
        <f t="shared" ref="I15:I17" si="0">IF(H15="",D15*F15,D15*F15*H15)</f>
        <v>1.3</v>
      </c>
      <c r="J15" s="65"/>
      <c r="K15" s="65"/>
      <c r="L15" s="65"/>
      <c r="M15" s="65"/>
      <c r="N15" s="65"/>
      <c r="O15" s="76"/>
    </row>
    <row r="16" spans="1:15" x14ac:dyDescent="0.45">
      <c r="A16" s="71">
        <v>20</v>
      </c>
      <c r="B16" s="30" t="s">
        <v>179</v>
      </c>
      <c r="C16" s="20" t="s">
        <v>45</v>
      </c>
      <c r="D16" s="35">
        <v>0.25</v>
      </c>
      <c r="E16" s="20" t="s">
        <v>181</v>
      </c>
      <c r="F16" s="38">
        <v>4</v>
      </c>
      <c r="G16" s="30"/>
      <c r="H16" s="29">
        <v>1</v>
      </c>
      <c r="I16" s="35">
        <f t="shared" si="0"/>
        <v>1</v>
      </c>
      <c r="J16" s="63"/>
      <c r="K16" s="63"/>
      <c r="L16" s="63"/>
      <c r="M16" s="63"/>
      <c r="N16" s="63"/>
      <c r="O16" s="69"/>
    </row>
    <row r="17" spans="1:15" s="18" customFormat="1" x14ac:dyDescent="0.45">
      <c r="A17" s="94">
        <v>30</v>
      </c>
      <c r="B17" s="30" t="s">
        <v>180</v>
      </c>
      <c r="C17" s="29"/>
      <c r="D17" s="35">
        <v>0.35</v>
      </c>
      <c r="E17" s="30" t="s">
        <v>182</v>
      </c>
      <c r="F17" s="29">
        <v>8</v>
      </c>
      <c r="G17" s="29"/>
      <c r="H17" s="29">
        <v>1</v>
      </c>
      <c r="I17" s="35">
        <f t="shared" si="0"/>
        <v>2.8</v>
      </c>
      <c r="J17" s="64"/>
      <c r="K17" s="64"/>
      <c r="L17" s="64"/>
      <c r="M17" s="64"/>
      <c r="N17" s="64"/>
      <c r="O17" s="73"/>
    </row>
    <row r="18" spans="1:15" x14ac:dyDescent="0.45">
      <c r="A18" s="75"/>
      <c r="B18" s="27"/>
      <c r="C18" s="27"/>
      <c r="D18" s="27"/>
      <c r="E18" s="27"/>
      <c r="F18" s="27"/>
      <c r="G18" s="27"/>
      <c r="H18" s="142" t="s">
        <v>18</v>
      </c>
      <c r="I18" s="140">
        <f>SUM(I15:I17)</f>
        <v>5.0999999999999996</v>
      </c>
      <c r="J18" s="27"/>
      <c r="K18" s="27"/>
      <c r="L18" s="27"/>
      <c r="M18" s="27"/>
      <c r="N18" s="27"/>
      <c r="O18" s="69"/>
    </row>
    <row r="19" spans="1:15" x14ac:dyDescent="0.45">
      <c r="A19" s="70"/>
      <c r="B19" s="63"/>
      <c r="C19" s="63"/>
      <c r="D19" s="63"/>
      <c r="E19" s="63"/>
      <c r="F19" s="63"/>
      <c r="G19" s="63"/>
      <c r="H19" s="63"/>
      <c r="I19" s="64"/>
      <c r="J19" s="63"/>
      <c r="K19" s="63"/>
      <c r="L19" s="63"/>
      <c r="M19" s="63"/>
      <c r="N19" s="63"/>
      <c r="O19" s="69"/>
    </row>
    <row r="20" spans="1:15" ht="14.65" thickBot="1" x14ac:dyDescent="0.5">
      <c r="A20" s="77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9"/>
    </row>
  </sheetData>
  <hyperlinks>
    <hyperlink ref="B4" location="BR_A0001" display="BR_A0001" xr:uid="{CD27444F-223E-4B16-9C22-33ADBCCED2B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7DD8-5F4D-4463-BB8D-7F4F79A3468E}">
  <sheetPr>
    <tabColor rgb="FFFF99FF"/>
  </sheetPr>
  <dimension ref="A1:O21"/>
  <sheetViews>
    <sheetView workbookViewId="0">
      <selection activeCell="D12" sqref="D12"/>
    </sheetView>
  </sheetViews>
  <sheetFormatPr baseColWidth="10" defaultColWidth="9.1328125" defaultRowHeight="14.25" x14ac:dyDescent="0.45"/>
  <cols>
    <col min="2" max="2" width="22.59765625" customWidth="1"/>
    <col min="3" max="3" width="17.73046875" customWidth="1"/>
    <col min="9" max="9" width="18.06640625" customWidth="1"/>
    <col min="15" max="15" width="3.1328125" customWidth="1"/>
  </cols>
  <sheetData>
    <row r="1" spans="1:15" x14ac:dyDescent="0.4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x14ac:dyDescent="0.45">
      <c r="A2" s="133" t="s">
        <v>0</v>
      </c>
      <c r="B2" s="16" t="s">
        <v>43</v>
      </c>
      <c r="C2" s="63"/>
      <c r="D2" s="63"/>
      <c r="E2" s="63"/>
      <c r="F2" s="63"/>
      <c r="G2" s="63" t="s">
        <v>132</v>
      </c>
      <c r="H2" s="63"/>
      <c r="I2" s="63"/>
      <c r="J2" s="134" t="s">
        <v>1</v>
      </c>
      <c r="K2" s="91">
        <v>81</v>
      </c>
      <c r="L2" s="63"/>
      <c r="M2" s="133" t="s">
        <v>16</v>
      </c>
      <c r="N2" s="81">
        <f>FR_01004_m+FR_01004_p</f>
        <v>3.9191256335617903</v>
      </c>
      <c r="O2" s="69"/>
    </row>
    <row r="3" spans="1:15" x14ac:dyDescent="0.45">
      <c r="A3" s="133" t="s">
        <v>3</v>
      </c>
      <c r="B3" s="16" t="str">
        <f>'FR A0001'!B3</f>
        <v>Frame and Body</v>
      </c>
      <c r="C3" s="63"/>
      <c r="D3" s="133" t="s">
        <v>6</v>
      </c>
      <c r="E3" s="100" t="s">
        <v>92</v>
      </c>
      <c r="F3" s="63"/>
      <c r="G3" s="63"/>
      <c r="H3" s="63"/>
      <c r="I3" s="63"/>
      <c r="J3" s="63"/>
      <c r="K3" s="63"/>
      <c r="L3" s="63"/>
      <c r="M3" s="133" t="s">
        <v>4</v>
      </c>
      <c r="N3" s="89">
        <v>4</v>
      </c>
      <c r="O3" s="69"/>
    </row>
    <row r="4" spans="1:15" x14ac:dyDescent="0.45">
      <c r="A4" s="133" t="s">
        <v>5</v>
      </c>
      <c r="B4" s="99" t="str">
        <f>'FR A0001'!B4</f>
        <v>Frame</v>
      </c>
      <c r="C4" s="63"/>
      <c r="D4" s="133" t="s">
        <v>8</v>
      </c>
      <c r="E4" s="63"/>
      <c r="F4" s="63"/>
      <c r="G4" s="63"/>
      <c r="H4" s="63"/>
      <c r="I4" s="63"/>
      <c r="J4" s="135" t="s">
        <v>6</v>
      </c>
      <c r="K4" s="63"/>
      <c r="L4" s="63"/>
      <c r="M4" s="63"/>
      <c r="N4" s="63"/>
      <c r="O4" s="69"/>
    </row>
    <row r="5" spans="1:15" x14ac:dyDescent="0.45">
      <c r="A5" s="133" t="s">
        <v>15</v>
      </c>
      <c r="B5" s="19" t="s">
        <v>155</v>
      </c>
      <c r="C5" s="63"/>
      <c r="D5" s="133" t="s">
        <v>12</v>
      </c>
      <c r="E5" s="63"/>
      <c r="F5" s="63"/>
      <c r="G5" s="63"/>
      <c r="H5" s="63"/>
      <c r="I5" s="63"/>
      <c r="J5" s="135" t="s">
        <v>8</v>
      </c>
      <c r="K5" s="63"/>
      <c r="L5" s="63"/>
      <c r="M5" s="133" t="s">
        <v>9</v>
      </c>
      <c r="N5" s="81">
        <f>N3*N2</f>
        <v>15.676502534247161</v>
      </c>
      <c r="O5" s="69"/>
    </row>
    <row r="6" spans="1:15" x14ac:dyDescent="0.45">
      <c r="A6" s="133" t="s">
        <v>7</v>
      </c>
      <c r="B6" s="31" t="s">
        <v>154</v>
      </c>
      <c r="C6" s="63"/>
      <c r="D6" s="63"/>
      <c r="E6" s="63"/>
      <c r="F6" s="63"/>
      <c r="G6" s="63"/>
      <c r="H6" s="63"/>
      <c r="I6" s="63"/>
      <c r="J6" s="135" t="s">
        <v>12</v>
      </c>
      <c r="K6" s="63"/>
      <c r="L6" s="63"/>
      <c r="M6" s="63"/>
      <c r="N6" s="63"/>
      <c r="O6" s="69"/>
    </row>
    <row r="7" spans="1:15" x14ac:dyDescent="0.45">
      <c r="A7" s="133" t="s">
        <v>10</v>
      </c>
      <c r="B7" s="16" t="s">
        <v>11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9"/>
    </row>
    <row r="8" spans="1:15" x14ac:dyDescent="0.45">
      <c r="A8" s="133" t="s">
        <v>13</v>
      </c>
      <c r="B8" s="16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9"/>
    </row>
    <row r="9" spans="1:15" x14ac:dyDescent="0.45">
      <c r="A9" s="92"/>
      <c r="B9" s="32"/>
      <c r="C9" s="32"/>
      <c r="D9" s="32"/>
      <c r="E9" s="32"/>
      <c r="F9" s="63"/>
      <c r="G9" s="63"/>
      <c r="H9" s="63"/>
      <c r="I9" s="63"/>
      <c r="J9" s="63"/>
      <c r="K9" s="63"/>
      <c r="L9" s="63"/>
      <c r="M9" s="63"/>
      <c r="N9" s="63"/>
      <c r="O9" s="69"/>
    </row>
    <row r="10" spans="1:15" x14ac:dyDescent="0.45">
      <c r="A10" s="136" t="s">
        <v>14</v>
      </c>
      <c r="B10" s="137" t="s">
        <v>19</v>
      </c>
      <c r="C10" s="137" t="s">
        <v>20</v>
      </c>
      <c r="D10" s="137" t="s">
        <v>21</v>
      </c>
      <c r="E10" s="137" t="s">
        <v>22</v>
      </c>
      <c r="F10" s="138" t="s">
        <v>23</v>
      </c>
      <c r="G10" s="138" t="s">
        <v>24</v>
      </c>
      <c r="H10" s="138" t="s">
        <v>25</v>
      </c>
      <c r="I10" s="138" t="s">
        <v>26</v>
      </c>
      <c r="J10" s="138" t="s">
        <v>27</v>
      </c>
      <c r="K10" s="138" t="s">
        <v>28</v>
      </c>
      <c r="L10" s="138" t="s">
        <v>29</v>
      </c>
      <c r="M10" s="138" t="s">
        <v>17</v>
      </c>
      <c r="N10" s="138" t="s">
        <v>18</v>
      </c>
      <c r="O10" s="69"/>
    </row>
    <row r="11" spans="1:15" s="25" customFormat="1" x14ac:dyDescent="0.45">
      <c r="A11" s="93">
        <v>10</v>
      </c>
      <c r="B11" s="33" t="s">
        <v>156</v>
      </c>
      <c r="C11" s="22" t="s">
        <v>183</v>
      </c>
      <c r="D11" s="35">
        <v>2.25</v>
      </c>
      <c r="E11" s="22">
        <v>0.154</v>
      </c>
      <c r="F11" s="22" t="s">
        <v>167</v>
      </c>
      <c r="G11" s="22"/>
      <c r="H11" s="21"/>
      <c r="I11" s="23" t="s">
        <v>184</v>
      </c>
      <c r="J11" s="146">
        <f>((17*10^-3)^2-(0.015)^2)*PI()</f>
        <v>2.0106192982974688E-4</v>
      </c>
      <c r="K11" s="24">
        <v>0.1</v>
      </c>
      <c r="L11" s="34">
        <v>7850</v>
      </c>
      <c r="M11" s="26">
        <v>1</v>
      </c>
      <c r="N11" s="35">
        <f>IF(J11="",D11*M11,D11*J11*K11*L11*M11)</f>
        <v>0.35512563356179044</v>
      </c>
      <c r="O11" s="74"/>
    </row>
    <row r="12" spans="1:15" x14ac:dyDescent="0.45">
      <c r="A12" s="75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139" t="s">
        <v>18</v>
      </c>
      <c r="N12" s="140">
        <f>SUM(N11:N11)</f>
        <v>0.35512563356179044</v>
      </c>
      <c r="O12" s="69"/>
    </row>
    <row r="13" spans="1:15" x14ac:dyDescent="0.45">
      <c r="A13" s="70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9"/>
    </row>
    <row r="14" spans="1:15" x14ac:dyDescent="0.45">
      <c r="A14" s="141" t="s">
        <v>14</v>
      </c>
      <c r="B14" s="138" t="s">
        <v>30</v>
      </c>
      <c r="C14" s="138" t="s">
        <v>20</v>
      </c>
      <c r="D14" s="138" t="s">
        <v>21</v>
      </c>
      <c r="E14" s="138" t="s">
        <v>31</v>
      </c>
      <c r="F14" s="138" t="s">
        <v>17</v>
      </c>
      <c r="G14" s="138" t="s">
        <v>32</v>
      </c>
      <c r="H14" s="138" t="s">
        <v>33</v>
      </c>
      <c r="I14" s="138" t="s">
        <v>18</v>
      </c>
      <c r="J14" s="27"/>
      <c r="K14" s="27"/>
      <c r="L14" s="27"/>
      <c r="M14" s="27"/>
      <c r="N14" s="27"/>
      <c r="O14" s="69"/>
    </row>
    <row r="15" spans="1:15" s="28" customFormat="1" ht="57" x14ac:dyDescent="0.45">
      <c r="A15" s="94">
        <v>10</v>
      </c>
      <c r="B15" s="30" t="s">
        <v>44</v>
      </c>
      <c r="C15" s="36"/>
      <c r="D15" s="37">
        <v>1.3</v>
      </c>
      <c r="E15" s="30" t="s">
        <v>34</v>
      </c>
      <c r="F15" s="36">
        <v>1</v>
      </c>
      <c r="G15" s="36"/>
      <c r="H15" s="36"/>
      <c r="I15" s="37">
        <f t="shared" ref="I15:I17" si="0">IF(H15="",D15*F15,D15*F15*H15)</f>
        <v>1.3</v>
      </c>
      <c r="J15" s="65"/>
      <c r="K15" s="65"/>
      <c r="L15" s="65"/>
      <c r="M15" s="65"/>
      <c r="N15" s="65"/>
      <c r="O15" s="76"/>
    </row>
    <row r="16" spans="1:15" x14ac:dyDescent="0.45">
      <c r="A16" s="71">
        <v>20</v>
      </c>
      <c r="B16" s="30" t="s">
        <v>185</v>
      </c>
      <c r="C16" s="20" t="s">
        <v>186</v>
      </c>
      <c r="D16" s="35">
        <v>0.04</v>
      </c>
      <c r="E16" s="20" t="s">
        <v>189</v>
      </c>
      <c r="F16" s="147">
        <v>21.6</v>
      </c>
      <c r="G16" s="30"/>
      <c r="H16" s="29"/>
      <c r="I16" s="35">
        <f t="shared" si="0"/>
        <v>0.8640000000000001</v>
      </c>
      <c r="J16" s="63"/>
      <c r="K16" s="63"/>
      <c r="L16" s="63"/>
      <c r="M16" s="63"/>
      <c r="N16" s="63"/>
      <c r="O16" s="69"/>
    </row>
    <row r="17" spans="1:15" s="18" customFormat="1" ht="57" x14ac:dyDescent="0.45">
      <c r="A17" s="94">
        <v>30</v>
      </c>
      <c r="B17" s="30" t="s">
        <v>187</v>
      </c>
      <c r="C17" s="29"/>
      <c r="D17" s="35">
        <v>0.35</v>
      </c>
      <c r="E17" s="30" t="s">
        <v>182</v>
      </c>
      <c r="F17" s="29">
        <v>4</v>
      </c>
      <c r="G17" s="29"/>
      <c r="H17" s="29"/>
      <c r="I17" s="35">
        <f t="shared" si="0"/>
        <v>1.4</v>
      </c>
      <c r="J17" s="64"/>
      <c r="K17" s="64"/>
      <c r="L17" s="64"/>
      <c r="M17" s="64"/>
      <c r="N17" s="64"/>
      <c r="O17" s="73"/>
    </row>
    <row r="18" spans="1:15" x14ac:dyDescent="0.45">
      <c r="A18" s="75"/>
      <c r="B18" s="27"/>
      <c r="C18" s="27"/>
      <c r="D18" s="27"/>
      <c r="E18" s="27"/>
      <c r="F18" s="27"/>
      <c r="G18" s="27"/>
      <c r="H18" s="142" t="s">
        <v>18</v>
      </c>
      <c r="I18" s="140">
        <f>SUM(I15:I17)</f>
        <v>3.5640000000000001</v>
      </c>
      <c r="J18" s="27"/>
      <c r="K18" s="27"/>
      <c r="L18" s="27"/>
      <c r="M18" s="27"/>
      <c r="N18" s="27"/>
      <c r="O18" s="69"/>
    </row>
    <row r="19" spans="1:15" x14ac:dyDescent="0.45">
      <c r="A19" s="70"/>
      <c r="B19" s="63"/>
      <c r="C19" s="63"/>
      <c r="D19" s="63"/>
      <c r="E19" s="63"/>
      <c r="F19" s="63"/>
      <c r="G19" s="63"/>
      <c r="H19" s="63"/>
      <c r="I19" s="64"/>
      <c r="J19" s="63"/>
      <c r="K19" s="63"/>
      <c r="L19" s="63"/>
      <c r="M19" s="63"/>
      <c r="N19" s="63"/>
      <c r="O19" s="69"/>
    </row>
    <row r="20" spans="1:15" x14ac:dyDescent="0.45">
      <c r="A20" s="95"/>
      <c r="B20" s="64"/>
      <c r="C20" s="64"/>
      <c r="D20" s="64"/>
      <c r="E20" s="64"/>
      <c r="F20" s="64"/>
      <c r="G20" s="64"/>
      <c r="H20" s="17"/>
      <c r="I20" s="39"/>
      <c r="J20" s="64"/>
      <c r="K20" s="63"/>
      <c r="L20" s="63"/>
      <c r="M20" s="63"/>
      <c r="N20" s="63"/>
      <c r="O20" s="69"/>
    </row>
    <row r="21" spans="1:15" ht="14.65" thickBot="1" x14ac:dyDescent="0.5">
      <c r="A21" s="77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9"/>
    </row>
  </sheetData>
  <hyperlinks>
    <hyperlink ref="B4" location="BR_A0001" display="BR_A0001" xr:uid="{3D8EE626-6780-4899-8924-E7CCF5E9EDAF}"/>
    <hyperlink ref="E3" location="'dFR 01004'!A1" display="Drawing" xr:uid="{F73D190D-835F-47A1-A266-7591A15311F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  <pageSetUpPr fitToPage="1"/>
  </sheetPr>
  <dimension ref="A1:B1"/>
  <sheetViews>
    <sheetView workbookViewId="0"/>
  </sheetViews>
  <sheetFormatPr baseColWidth="10" defaultRowHeight="14.25" x14ac:dyDescent="0.45"/>
  <cols>
    <col min="1" max="1" width="14" customWidth="1"/>
  </cols>
  <sheetData>
    <row r="1" spans="1:2" x14ac:dyDescent="0.45">
      <c r="A1" t="s">
        <v>190</v>
      </c>
      <c r="B1" s="100" t="s">
        <v>154</v>
      </c>
    </row>
  </sheetData>
  <hyperlinks>
    <hyperlink ref="B1" location="'FR 01004'!A1" display="FR 01004" xr:uid="{D19A6941-363F-4BE2-9CF8-964DED6446F8}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49</vt:i4>
      </vt:variant>
    </vt:vector>
  </HeadingPairs>
  <TitlesOfParts>
    <vt:vector size="57" baseType="lpstr">
      <vt:lpstr>Instructions</vt:lpstr>
      <vt:lpstr>BOM</vt:lpstr>
      <vt:lpstr>FR A0001</vt:lpstr>
      <vt:lpstr>FR 01001</vt:lpstr>
      <vt:lpstr>FR 01002</vt:lpstr>
      <vt:lpstr>FR 01003</vt:lpstr>
      <vt:lpstr>FR 01004</vt:lpstr>
      <vt:lpstr>dFR 01004</vt:lpstr>
      <vt:lpstr>BR_01001</vt:lpstr>
      <vt:lpstr>BR_01001_m</vt:lpstr>
      <vt:lpstr>BR_01001_p</vt:lpstr>
      <vt:lpstr>BR_01001_q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dFR_01004</vt:lpstr>
      <vt:lpstr>EL_01001</vt:lpstr>
      <vt:lpstr>EL_01001_m</vt:lpstr>
      <vt:lpstr>EL_01001_p</vt:lpstr>
      <vt:lpstr>EL_01001_q</vt:lpstr>
      <vt:lpstr>EL_A0001</vt:lpstr>
      <vt:lpstr>EL_A0001_f</vt:lpstr>
      <vt:lpstr>El_A0001_m</vt:lpstr>
      <vt:lpstr>EL_A0001_p</vt:lpstr>
      <vt:lpstr>EL_A0001_q</vt:lpstr>
      <vt:lpstr>EL_A0001_t</vt:lpstr>
      <vt:lpstr>FR_01001</vt:lpstr>
      <vt:lpstr>FR_01001_m</vt:lpstr>
      <vt:lpstr>FR_01001_p</vt:lpstr>
      <vt:lpstr>FR_01001_q</vt:lpstr>
      <vt:lpstr>FR_01002</vt:lpstr>
      <vt:lpstr>FR_01002_m</vt:lpstr>
      <vt:lpstr>FR_01002_p</vt:lpstr>
      <vt:lpstr>FR_01002_q</vt:lpstr>
      <vt:lpstr>FR_01003</vt:lpstr>
      <vt:lpstr>FR_01003_m</vt:lpstr>
      <vt:lpstr>FR_01003_P</vt:lpstr>
      <vt:lpstr>FR_01003_q</vt:lpstr>
      <vt:lpstr>FR_01004</vt:lpstr>
      <vt:lpstr>FR_01004_m</vt:lpstr>
      <vt:lpstr>FR_01004_p</vt:lpstr>
      <vt:lpstr>FR_01004_q</vt:lpstr>
      <vt:lpstr>FR_A0001</vt:lpstr>
      <vt:lpstr>FR_A0001_f</vt:lpstr>
      <vt:lpstr>FR_A0001_m</vt:lpstr>
      <vt:lpstr>FR_A0001_p</vt:lpstr>
      <vt:lpstr>FR_A0001_pa</vt:lpstr>
      <vt:lpstr>FR_A0001_q</vt:lpstr>
      <vt:lpstr>FR_A0001_t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Antoine Elain</cp:lastModifiedBy>
  <cp:revision>0</cp:revision>
  <dcterms:created xsi:type="dcterms:W3CDTF">2015-05-29T18:57:13Z</dcterms:created>
  <dcterms:modified xsi:type="dcterms:W3CDTF">2018-03-27T11:58:42Z</dcterms:modified>
  <dc:language>fr-FR</dc:language>
</cp:coreProperties>
</file>