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<sst xmlns="http://schemas.openxmlformats.org/spreadsheetml/2006/main" count="172" uniqueCount="100">
  <si>
    <t xml:space="preserve">Using Linest</t>
  </si>
  <si>
    <t xml:space="preserve">Straight Line</t>
  </si>
  <si>
    <t xml:space="preserve">Quadratic</t>
  </si>
  <si>
    <t xml:space="preserve">Cubic</t>
  </si>
  <si>
    <t xml:space="preserve">y = a + bx</t>
  </si>
  <si>
    <t xml:space="preserve">y = a + bx + cx²</t>
  </si>
  <si>
    <t xml:space="preserve">y = a + bx + cx² + dx³</t>
  </si>
  <si>
    <t xml:space="preserve">Tranposed Linest</t>
  </si>
  <si>
    <t xml:space="preserve">Coeffs</t>
  </si>
  <si>
    <t xml:space="preserve">SE Coeffs</t>
  </si>
  <si>
    <t xml:space="preserve">d</t>
  </si>
  <si>
    <t xml:space="preserve">c</t>
  </si>
  <si>
    <t xml:space="preserve">b</t>
  </si>
  <si>
    <t xml:space="preserve">a</t>
  </si>
  <si>
    <t xml:space="preserve">Sample Series</t>
  </si>
  <si>
    <t xml:space="preserve">Polynomial (Predicted)</t>
  </si>
  <si>
    <t xml:space="preserve">Basic Properties</t>
  </si>
  <si>
    <t xml:space="preserve">Correlation Calculation</t>
  </si>
  <si>
    <r>
      <rPr>
        <b val="true"/>
        <sz val="10.5"/>
        <rFont val="Calibri"/>
        <family val="2"/>
        <charset val="1"/>
      </rPr>
      <t xml:space="preserve">1</t>
    </r>
    <r>
      <rPr>
        <b val="true"/>
        <vertAlign val="superscript"/>
        <sz val="10.5"/>
        <rFont val="Calibri"/>
        <family val="2"/>
        <charset val="1"/>
      </rPr>
      <t xml:space="preserve">st</t>
    </r>
    <r>
      <rPr>
        <b val="true"/>
        <sz val="10.5"/>
        <rFont val="Calibri"/>
        <family val="2"/>
        <charset val="1"/>
      </rPr>
      <t xml:space="preserve"> Order Residual: Linear</t>
    </r>
  </si>
  <si>
    <r>
      <rPr>
        <b val="true"/>
        <sz val="10.5"/>
        <rFont val="Calibri"/>
        <family val="2"/>
        <charset val="1"/>
      </rPr>
      <t xml:space="preserve">2</t>
    </r>
    <r>
      <rPr>
        <b val="true"/>
        <vertAlign val="superscript"/>
        <sz val="10.5"/>
        <rFont val="Calibri"/>
        <family val="2"/>
        <charset val="1"/>
      </rPr>
      <t xml:space="preserve">nd</t>
    </r>
    <r>
      <rPr>
        <b val="true"/>
        <sz val="10.5"/>
        <rFont val="Calibri"/>
        <family val="2"/>
        <charset val="1"/>
      </rPr>
      <t xml:space="preserve"> Order Residual: Quadratic</t>
    </r>
  </si>
  <si>
    <r>
      <rPr>
        <b val="true"/>
        <sz val="10.5"/>
        <rFont val="Calibri"/>
        <family val="2"/>
        <charset val="1"/>
      </rPr>
      <t xml:space="preserve">3</t>
    </r>
    <r>
      <rPr>
        <b val="true"/>
        <vertAlign val="superscript"/>
        <sz val="10.5"/>
        <rFont val="Calibri"/>
        <family val="2"/>
        <charset val="1"/>
      </rPr>
      <t xml:space="preserve">rd</t>
    </r>
    <r>
      <rPr>
        <b val="true"/>
        <sz val="10.5"/>
        <rFont val="Calibri"/>
        <family val="2"/>
        <charset val="1"/>
      </rPr>
      <t xml:space="preserve"> Order Residual: Cubic</t>
    </r>
  </si>
  <si>
    <t xml:space="preserve">xᵢ observed</t>
  </si>
  <si>
    <t xml:space="preserve">yᵢ observed</t>
  </si>
  <si>
    <t xml:space="preserve">Ŷ1ᵢ = fit1(xᵢ)</t>
  </si>
  <si>
    <t xml:space="preserve">Ŷ2ᵢ = fit2(xᵢ)</t>
  </si>
  <si>
    <t xml:space="preserve">Ŷ3ᵢ = fit3(xᵢ)</t>
  </si>
  <si>
    <t xml:space="preserve">xᵢ-x̄</t>
  </si>
  <si>
    <t xml:space="preserve">yᵢ-ȳ</t>
  </si>
  <si>
    <t xml:space="preserve">(xᵢ-x̄)²</t>
  </si>
  <si>
    <t xml:space="preserve">(yᵢ-ȳ)²</t>
  </si>
  <si>
    <t xml:space="preserve">(xᵢ-x̄)(yᵢ-ȳ)</t>
  </si>
  <si>
    <t xml:space="preserve">ϵ1ᵢ</t>
  </si>
  <si>
    <t xml:space="preserve">ϵ1ᵢ²</t>
  </si>
  <si>
    <t xml:space="preserve">ϵ2ᵢ</t>
  </si>
  <si>
    <t xml:space="preserve">ϵ2ᵢ²</t>
  </si>
  <si>
    <t xml:space="preserve">ϵ3ᵢ</t>
  </si>
  <si>
    <t xml:space="preserve">ϵ3ᵢ²</t>
  </si>
  <si>
    <t xml:space="preserve">`</t>
  </si>
  <si>
    <t xml:space="preserve">∑x (total)</t>
  </si>
  <si>
    <t xml:space="preserve">∑y (total)</t>
  </si>
  <si>
    <t xml:space="preserve">∑(xᵢ-x̄)</t>
  </si>
  <si>
    <t xml:space="preserve">∑(yᵢ-ȳ)</t>
  </si>
  <si>
    <t xml:space="preserve">TSSₓ = ∑(xᵢ-x̄)²</t>
  </si>
  <si>
    <t xml:space="preserve">SST = ∑(yᵢ-ȳ)²</t>
  </si>
  <si>
    <t xml:space="preserve">∑(xᵢ-x̄)(yᵢ-ȳ)</t>
  </si>
  <si>
    <t xml:space="preserve">SSR = ∑ϵᵢ²</t>
  </si>
  <si>
    <t xml:space="preserve">sample count</t>
  </si>
  <si>
    <t xml:space="preserve">degrees of freedom = n - p - 1</t>
  </si>
  <si>
    <t xml:space="preserve">unbiased estimate</t>
  </si>
  <si>
    <t xml:space="preserve">∑(xᵢ-x̄)²/(n-1)</t>
  </si>
  <si>
    <t xml:space="preserve">∑(yᵢ-ȳ)²/(n-1)</t>
  </si>
  <si>
    <t xml:space="preserve">∑(xᵢ-x̄)(yᵢ-ȳ)/(n-1)</t>
  </si>
  <si>
    <t xml:space="preserve">coefficient of determination</t>
  </si>
  <si>
    <t xml:space="preserve">n</t>
  </si>
  <si>
    <t xml:space="preserve">df1 =  n-2</t>
  </si>
  <si>
    <t xml:space="preserve">df2 =  n-3</t>
  </si>
  <si>
    <t xml:space="preserve">df3 =  n-4</t>
  </si>
  <si>
    <t xml:space="preserve">n-1</t>
  </si>
  <si>
    <t xml:space="preserve">sₓ² (variance)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</si>
  <si>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² (variance)</t>
    </r>
  </si>
  <si>
    <t xml:space="preserve">covariance</t>
  </si>
  <si>
    <t xml:space="preserve">R²</t>
  </si>
  <si>
    <r>
      <rPr>
        <sz val="10.5"/>
        <rFont val="Calibri"/>
        <family val="2"/>
        <charset val="1"/>
      </rPr>
      <t xml:space="preserve">R²</t>
    </r>
    <r>
      <rPr>
        <vertAlign val="subscript"/>
        <sz val="10.5"/>
        <rFont val="Calibri"/>
        <family val="2"/>
        <charset val="1"/>
      </rPr>
      <t xml:space="preserve">adj</t>
    </r>
  </si>
  <si>
    <t xml:space="preserve">sample mean</t>
  </si>
  <si>
    <t xml:space="preserve">√(∑(xᵢ-x̄)²/(n-1))</t>
  </si>
  <si>
    <t xml:space="preserve">√(∑(yᵢ-ȳ)²/(n-1))</t>
  </si>
  <si>
    <r>
      <rPr>
        <sz val="10.5"/>
        <rFont val="Calibri"/>
        <family val="2"/>
        <charset val="1"/>
      </rPr>
      <t xml:space="preserve">cov/sₓs</t>
    </r>
    <r>
      <rPr>
        <vertAlign val="subscript"/>
        <sz val="10.5"/>
        <rFont val="Calibri"/>
        <family val="2"/>
        <charset val="1"/>
      </rPr>
      <t xml:space="preserve">y</t>
    </r>
  </si>
  <si>
    <t xml:space="preserve">Standard Error of the Estimate</t>
  </si>
  <si>
    <t xml:space="preserve">x̄ (mean)</t>
  </si>
  <si>
    <t xml:space="preserve">ȳ (mean)</t>
  </si>
  <si>
    <t xml:space="preserve">sₓ (std dev)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</si>
  <si>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 (std dev)</t>
    </r>
  </si>
  <si>
    <t xml:space="preserve">r (pearson)</t>
  </si>
  <si>
    <t xml:space="preserve">MSE = SSR/df</t>
  </si>
  <si>
    <t xml:space="preserve">SEE</t>
  </si>
  <si>
    <t xml:space="preserve">Polynomial Calculation</t>
  </si>
  <si>
    <t xml:space="preserve">T-value and p-value</t>
  </si>
  <si>
    <r>
      <rPr>
        <sz val="10.5"/>
        <rFont val="Calibri"/>
        <family val="2"/>
        <charset val="1"/>
      </rPr>
      <t xml:space="preserve">Gram Matrix  (Aᵗ.A) 1</t>
    </r>
    <r>
      <rPr>
        <vertAlign val="superscript"/>
        <sz val="10.5"/>
        <rFont val="Calibri"/>
        <family val="2"/>
        <charset val="1"/>
      </rPr>
      <t xml:space="preserve">st</t>
    </r>
  </si>
  <si>
    <r>
      <rPr>
        <sz val="10.5"/>
        <rFont val="Calibri"/>
        <family val="2"/>
        <charset val="1"/>
      </rPr>
      <t xml:space="preserve">Gram Matrix  (Aᵗ.A) 2</t>
    </r>
    <r>
      <rPr>
        <vertAlign val="superscript"/>
        <sz val="10.5"/>
        <rFont val="Calibri"/>
        <family val="2"/>
        <charset val="1"/>
      </rPr>
      <t xml:space="preserve">nd</t>
    </r>
    <r>
      <rPr>
        <sz val="10.5"/>
        <rFont val="Calibri"/>
        <family val="2"/>
        <charset val="1"/>
      </rPr>
      <t xml:space="preserve"> Order</t>
    </r>
  </si>
  <si>
    <r>
      <rPr>
        <sz val="10.5"/>
        <rFont val="Calibri"/>
        <family val="2"/>
        <charset val="1"/>
      </rPr>
      <t xml:space="preserve">Gram Matrix  (Aᵗ.A) 3</t>
    </r>
    <r>
      <rPr>
        <vertAlign val="superscript"/>
        <sz val="10.5"/>
        <rFont val="Calibri"/>
        <family val="2"/>
        <charset val="1"/>
      </rPr>
      <t xml:space="preserve">rd</t>
    </r>
    <r>
      <rPr>
        <sz val="10.5"/>
        <rFont val="Calibri"/>
        <family val="2"/>
        <charset val="1"/>
      </rPr>
      <t xml:space="preserve"> Order</t>
    </r>
  </si>
  <si>
    <t xml:space="preserve">Inverse Matrix  (Aᵗ.A)ˉ¹</t>
  </si>
  <si>
    <t xml:space="preserve">Inverse Gram Matrix  (Aᵗ.A)ˉ¹ 2nd Order</t>
  </si>
  <si>
    <t xml:space="preserve">Inverse Gram Matrix  (Aᵗ.A)ˉ¹ 3rd Order</t>
  </si>
  <si>
    <t xml:space="preserve">linear</t>
  </si>
  <si>
    <t xml:space="preserve">diag|Aᵗ.Aˉ¹|j</t>
  </si>
  <si>
    <t xml:space="preserve">quadratic</t>
  </si>
  <si>
    <t xml:space="preserve">cubic</t>
  </si>
  <si>
    <t xml:space="preserve">Aᵗ.B</t>
  </si>
  <si>
    <t xml:space="preserve">RHS (Aᵗ.B)</t>
  </si>
  <si>
    <t xml:space="preserve">std err (SE)</t>
  </si>
  <si>
    <t xml:space="preserve">SE(a)</t>
  </si>
  <si>
    <t xml:space="preserve">SE(b)</t>
  </si>
  <si>
    <t xml:space="preserve">SE(c)</t>
  </si>
  <si>
    <t xml:space="preserve">SE(d)</t>
  </si>
  <si>
    <t xml:space="preserve">Coefficients</t>
  </si>
  <si>
    <t xml:space="preserve">t-value</t>
  </si>
  <si>
    <t xml:space="preserve">β̅/SE(β)</t>
  </si>
  <si>
    <t xml:space="preserve">p-value</t>
  </si>
  <si>
    <t xml:space="preserve">two tailed</t>
  </si>
  <si>
    <t xml:space="preserve">``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</si>
</sst>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"/>
    <numFmt numFmtId="166" formatCode="0.00"/>
    <numFmt numFmtId="167" formatCode="0"/>
    <numFmt numFmtId="168" formatCode="#,##0"/>
    <numFmt numFmtId="169" formatCode="0.0000"/>
    <numFmt numFmtId="170" formatCode="0.00E+00"/>
    <numFmt numFmtId="171" formatCode="#,##0.00000000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  <font>
      <b val="true"/>
      <vertAlign val="superscript"/>
      <sz val="10.5"/>
      <name val="Calibri"/>
      <family val="2"/>
      <charset val="1"/>
    </font>
    <font>
      <vertAlign val="subscript"/>
      <sz val="10.5"/>
      <name val="Calibri"/>
      <family val="2"/>
      <charset val="1"/>
    </font>
    <font>
      <vertAlign val="superscript"/>
      <sz val="10.5"/>
      <name val="Calibri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54F"/>
        <bgColor rgb="FFFFE082"/>
      </patternFill>
    </fill>
    <fill>
      <patternFill patternType="solid">
        <fgColor rgb="FFFFE082"/>
        <bgColor rgb="FFFFECB3"/>
      </patternFill>
    </fill>
    <fill>
      <patternFill patternType="solid">
        <fgColor rgb="FFFFECB3"/>
        <bgColor rgb="FFFFF8E1"/>
      </patternFill>
    </fill>
    <fill>
      <patternFill patternType="solid">
        <fgColor rgb="FFB2DFDB"/>
        <bgColor rgb="FFC0C0C0"/>
      </patternFill>
    </fill>
    <fill>
      <patternFill patternType="solid">
        <fgColor rgb="FFE0F2F1"/>
        <bgColor rgb="FFCCFFFF"/>
      </patternFill>
    </fill>
    <fill>
      <patternFill patternType="solid">
        <fgColor rgb="FFFFF8E1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/>
      <right/>
      <top/>
      <bottom style="thin">
        <color rgb="FF009688"/>
      </bottom>
      <diagonal/>
    </border>
    <border diagonalUp="false" diagonalDown="false">
      <left/>
      <right/>
      <top style="thin">
        <color rgb="FF009688"/>
      </top>
      <bottom style="thin">
        <color rgb="FF009688"/>
      </bottom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 style="thin">
        <color rgb="FF795548"/>
      </right>
      <top/>
      <bottom/>
      <diagonal/>
    </border>
    <border diagonalUp="false" diagonalDown="false">
      <left style="thin">
        <color rgb="FF795548"/>
      </left>
      <right style="thin">
        <color rgb="FF795548"/>
      </right>
      <top/>
      <bottom/>
      <diagonal/>
    </border>
    <border diagonalUp="false" diagonalDown="false">
      <left style="thin">
        <color rgb="FF795548"/>
      </left>
      <right/>
      <top/>
      <bottom/>
      <diagonal/>
    </border>
    <border diagonalUp="false" diagonalDown="false">
      <left style="thin">
        <color rgb="FF009688"/>
      </left>
      <right style="thin">
        <color rgb="FF009688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7" fillId="7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C0C0C0"/>
      <rgbColor rgb="FF808080"/>
      <rgbColor rgb="FF9999FF"/>
      <rgbColor rgb="FF993366"/>
      <rgbColor rgb="FFFFF8E1"/>
      <rgbColor rgb="FFE0F2F1"/>
      <rgbColor rgb="FF660066"/>
      <rgbColor rgb="FFFF8080"/>
      <rgbColor rgb="FF0066CC"/>
      <rgbColor rgb="FFB2DF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CB3"/>
      <rgbColor rgb="FF90CAF9"/>
      <rgbColor rgb="FFFF99CC"/>
      <rgbColor rgb="FFCC99FF"/>
      <rgbColor rgb="FFFFE082"/>
      <rgbColor rgb="FF3366FF"/>
      <rgbColor rgb="FF33CCCC"/>
      <rgbColor rgb="FF99CC00"/>
      <rgbColor rgb="FFFFD54F"/>
      <rgbColor rgb="FFFF9900"/>
      <rgbColor rgb="FFFF6600"/>
      <rgbColor rgb="FF795548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Y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69" activeCellId="0" sqref="A1:Y69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1" width="12.76"/>
    <col collapsed="false" customWidth="true" hidden="false" outlineLevel="0" max="7" min="7" style="2" width="12.76"/>
    <col collapsed="false" customWidth="true" hidden="false" outlineLevel="0" max="8" min="8" style="2" width="2.55"/>
    <col collapsed="false" customWidth="true" hidden="false" outlineLevel="0" max="11" min="11" style="2" width="2.55"/>
    <col collapsed="false" customWidth="true" hidden="false" outlineLevel="0" max="13" min="12" style="2" width="14.06"/>
    <col collapsed="false" customWidth="true" hidden="false" outlineLevel="0" max="15" min="14" style="2" width="15.32"/>
    <col collapsed="false" customWidth="true" hidden="false" outlineLevel="0" max="16" min="16" style="2" width="2.55"/>
    <col collapsed="false" customWidth="true" hidden="false" outlineLevel="0" max="18" min="17" style="2" width="12.76"/>
    <col collapsed="false" customWidth="true" hidden="false" outlineLevel="0" max="19" min="19" style="2" width="2.55"/>
    <col collapsed="false" customWidth="true" hidden="false" outlineLevel="0" max="21" min="20" style="2" width="12.76"/>
    <col collapsed="false" customWidth="true" hidden="false" outlineLevel="0" max="22" min="22" style="2" width="2.55"/>
    <col collapsed="false" customWidth="true" hidden="false" outlineLevel="0" max="24" min="23" style="2" width="12.76"/>
    <col collapsed="false" customWidth="true" hidden="false" outlineLevel="0" max="25" min="25" style="2" width="2.55"/>
  </cols>
  <sheetData>
    <row r="1" customFormat="false" ht="7.1" hidden="false" customHeight="true" outlineLevel="0" collapsed="false">
      <c r="A1" s="2"/>
      <c r="B1" s="2"/>
      <c r="C1" s="2"/>
      <c r="D1" s="3"/>
      <c r="G1" s="1"/>
    </row>
    <row r="2" customFormat="false" ht="15" hidden="false" customHeight="false" outlineLevel="0" collapsed="false">
      <c r="A2" s="2"/>
      <c r="B2" s="4" t="s">
        <v>0</v>
      </c>
      <c r="C2" s="4"/>
      <c r="D2" s="3"/>
      <c r="E2" s="5" t="s">
        <v>1</v>
      </c>
      <c r="F2" s="6" t="s">
        <v>2</v>
      </c>
      <c r="G2" s="5" t="s">
        <v>3</v>
      </c>
    </row>
    <row r="3" customFormat="false" ht="14.15" hidden="false" customHeight="true" outlineLevel="0" collapsed="false">
      <c r="A3" s="2"/>
      <c r="B3" s="2"/>
      <c r="C3" s="2"/>
      <c r="D3" s="3"/>
      <c r="E3" s="7" t="s">
        <v>4</v>
      </c>
      <c r="F3" s="7" t="s">
        <v>5</v>
      </c>
      <c r="G3" s="7" t="s">
        <v>6</v>
      </c>
      <c r="H3" s="1"/>
      <c r="K3" s="1"/>
      <c r="O3" s="1"/>
      <c r="P3" s="1"/>
      <c r="S3" s="1"/>
      <c r="V3" s="1"/>
      <c r="Y3" s="1"/>
    </row>
    <row r="4" customFormat="false" ht="7.1" hidden="false" customHeight="true" outlineLevel="0" collapsed="false">
      <c r="A4" s="2"/>
      <c r="B4" s="2"/>
      <c r="C4" s="2"/>
      <c r="D4" s="3"/>
      <c r="G4" s="1"/>
    </row>
    <row r="5" customFormat="false" ht="14.15" hidden="false" customHeight="true" outlineLevel="0" collapsed="false">
      <c r="A5" s="2"/>
      <c r="B5" s="5" t="s">
        <v>7</v>
      </c>
      <c r="C5" s="5"/>
      <c r="D5" s="3"/>
      <c r="G5" s="1"/>
      <c r="N5" s="5" t="s">
        <v>7</v>
      </c>
      <c r="O5" s="5"/>
      <c r="Q5" s="8" t="s">
        <v>8</v>
      </c>
      <c r="R5" s="9" t="s">
        <v>9</v>
      </c>
      <c r="T5" s="8" t="s">
        <v>8</v>
      </c>
      <c r="U5" s="9" t="s">
        <v>9</v>
      </c>
      <c r="W5" s="8" t="s">
        <v>8</v>
      </c>
      <c r="X5" s="9" t="s">
        <v>9</v>
      </c>
    </row>
    <row r="6" customFormat="false" ht="15" hidden="false" customHeight="false" outlineLevel="0" collapsed="false">
      <c r="A6" s="2"/>
      <c r="B6" s="2"/>
      <c r="C6" s="10" t="s">
        <v>10</v>
      </c>
      <c r="D6" s="3"/>
      <c r="E6" s="2"/>
      <c r="F6" s="2"/>
      <c r="G6" s="11" t="n">
        <f aca="false" t="array" ref="G6:G9">TRANSPOSE(LINEST(C13:C25,B13:B25^{1,2,3}))</f>
        <v>2</v>
      </c>
      <c r="O6" s="10" t="s">
        <v>10</v>
      </c>
      <c r="W6" s="12" t="n">
        <f aca="false" t="array" ref="W6:X9">TRANSPOSE(LINEST(C13:C25,B13:B25^{1,2,3},1,1))</f>
        <v>2</v>
      </c>
      <c r="X6" s="12" t="n">
        <v>2.42035633856246E-015</v>
      </c>
    </row>
    <row r="7" customFormat="false" ht="15" hidden="false" customHeight="false" outlineLevel="0" collapsed="false">
      <c r="A7" s="2"/>
      <c r="B7" s="2"/>
      <c r="C7" s="13" t="s">
        <v>11</v>
      </c>
      <c r="D7" s="3"/>
      <c r="E7" s="2"/>
      <c r="F7" s="11" t="n">
        <f aca="false" t="array" ref="F7:F9">TRANSPOSE(LINEST(C13:C25,B13:B25^{1,2}))</f>
        <v>39</v>
      </c>
      <c r="G7" s="14" t="n">
        <v>2.99999999999999</v>
      </c>
      <c r="O7" s="13" t="s">
        <v>11</v>
      </c>
      <c r="T7" s="12" t="n">
        <f aca="false" t="array" ref="T7:U9">TRANSPOSE(LINEST(C13:C25,B13:B25^{1,2},1,1))</f>
        <v>39</v>
      </c>
      <c r="U7" s="12" t="n">
        <v>2.02837021134844</v>
      </c>
      <c r="W7" s="15" t="n">
        <v>2.99999999999999</v>
      </c>
      <c r="X7" s="15" t="n">
        <v>4.42525415656703E-014</v>
      </c>
    </row>
    <row r="8" customFormat="false" ht="15" hidden="false" customHeight="false" outlineLevel="0" collapsed="false">
      <c r="A8" s="2"/>
      <c r="B8" s="2"/>
      <c r="C8" s="16" t="s">
        <v>12</v>
      </c>
      <c r="D8" s="3"/>
      <c r="E8" s="17" t="n">
        <f aca="false" t="array" ref="E8:E9">TRANSPOSE(LINEST(C13:C25,B13:B25))</f>
        <v>306</v>
      </c>
      <c r="F8" s="14" t="n">
        <v>-162</v>
      </c>
      <c r="G8" s="14" t="n">
        <v>4.00000000000001</v>
      </c>
      <c r="O8" s="16" t="s">
        <v>12</v>
      </c>
      <c r="Q8" s="18" t="n">
        <f aca="false" t="array" ref="Q8:R9">TRANSPOSE(LINEST(C13:C25,B13:B25,1,1))</f>
        <v>306</v>
      </c>
      <c r="R8" s="18" t="n">
        <v>39.5239529544156</v>
      </c>
      <c r="T8" s="15" t="n">
        <v>-162</v>
      </c>
      <c r="U8" s="15" t="n">
        <v>25.2530054788392</v>
      </c>
      <c r="W8" s="15" t="n">
        <v>4.00000000000001</v>
      </c>
      <c r="X8" s="15" t="n">
        <v>2.22926325219824E-013</v>
      </c>
    </row>
    <row r="9" customFormat="false" ht="15" hidden="false" customHeight="false" outlineLevel="0" collapsed="false">
      <c r="A9" s="2"/>
      <c r="B9" s="2"/>
      <c r="C9" s="19" t="s">
        <v>13</v>
      </c>
      <c r="D9" s="3"/>
      <c r="E9" s="20" t="n">
        <v>-721</v>
      </c>
      <c r="F9" s="21" t="n">
        <v>137</v>
      </c>
      <c r="G9" s="21" t="n">
        <v>5.00000000000023</v>
      </c>
      <c r="O9" s="19" t="s">
        <v>13</v>
      </c>
      <c r="Q9" s="22" t="n">
        <v>-721</v>
      </c>
      <c r="R9" s="22" t="n">
        <v>279.476551533654</v>
      </c>
      <c r="T9" s="15" t="n">
        <v>137</v>
      </c>
      <c r="U9" s="15" t="n">
        <v>65.2240096020738</v>
      </c>
      <c r="W9" s="15" t="n">
        <v>5.00000000000023</v>
      </c>
      <c r="X9" s="15" t="n">
        <v>2.96347194327798E-013</v>
      </c>
    </row>
    <row r="10" customFormat="false" ht="8.25" hidden="false" customHeight="true" outlineLevel="0" collapsed="false">
      <c r="A10" s="2"/>
      <c r="B10" s="2"/>
      <c r="C10" s="2"/>
      <c r="D10" s="3"/>
      <c r="G10" s="1"/>
    </row>
    <row r="11" customFormat="false" ht="15" hidden="false" customHeight="false" outlineLevel="0" collapsed="false">
      <c r="B11" s="23" t="s">
        <v>14</v>
      </c>
      <c r="C11" s="23"/>
      <c r="E11" s="23" t="s">
        <v>15</v>
      </c>
      <c r="F11" s="23"/>
      <c r="G11" s="23"/>
      <c r="I11" s="23" t="s">
        <v>16</v>
      </c>
      <c r="J11" s="23"/>
      <c r="L11" s="23" t="s">
        <v>17</v>
      </c>
      <c r="M11" s="23"/>
      <c r="N11" s="23"/>
      <c r="Q11" s="23" t="s">
        <v>18</v>
      </c>
      <c r="R11" s="23"/>
      <c r="T11" s="23" t="s">
        <v>19</v>
      </c>
      <c r="U11" s="23"/>
      <c r="W11" s="23" t="s">
        <v>20</v>
      </c>
      <c r="X11" s="23"/>
    </row>
    <row r="12" customFormat="false" ht="15" hidden="false" customHeight="false" outlineLevel="0" collapsed="false">
      <c r="B12" s="24" t="s">
        <v>21</v>
      </c>
      <c r="C12" s="25" t="s">
        <v>22</v>
      </c>
      <c r="E12" s="26" t="s">
        <v>23</v>
      </c>
      <c r="F12" s="27" t="s">
        <v>24</v>
      </c>
      <c r="G12" s="28" t="s">
        <v>25</v>
      </c>
      <c r="I12" s="24" t="s">
        <v>26</v>
      </c>
      <c r="J12" s="25" t="s">
        <v>27</v>
      </c>
      <c r="L12" s="24" t="s">
        <v>28</v>
      </c>
      <c r="M12" s="25" t="s">
        <v>29</v>
      </c>
      <c r="N12" s="29" t="s">
        <v>30</v>
      </c>
      <c r="Q12" s="8" t="s">
        <v>31</v>
      </c>
      <c r="R12" s="9" t="s">
        <v>32</v>
      </c>
      <c r="T12" s="8" t="s">
        <v>33</v>
      </c>
      <c r="U12" s="9" t="s">
        <v>34</v>
      </c>
      <c r="W12" s="8" t="s">
        <v>35</v>
      </c>
      <c r="X12" s="9" t="s">
        <v>36</v>
      </c>
    </row>
    <row r="13" customFormat="false" ht="15" hidden="false" customHeight="false" outlineLevel="0" collapsed="false">
      <c r="B13" s="30" t="n">
        <v>0</v>
      </c>
      <c r="C13" s="31" t="n">
        <v>5</v>
      </c>
      <c r="E13" s="32" t="n">
        <f aca="false">$E$9+$E$8*B13</f>
        <v>-721</v>
      </c>
      <c r="F13" s="33" t="n">
        <f aca="false">$F$9+$F$8*B13+$F$7*B13^2</f>
        <v>137</v>
      </c>
      <c r="G13" s="33" t="n">
        <f aca="false">$G$9+$G$8*B13+$G$7*B13^2+$G$6*B13^3</f>
        <v>5.00000000000023</v>
      </c>
      <c r="I13" s="30" t="n">
        <f aca="false">B13-$B$36</f>
        <v>-6</v>
      </c>
      <c r="J13" s="31" t="n">
        <f aca="false">C13-$C$36</f>
        <v>-1110</v>
      </c>
      <c r="L13" s="30" t="n">
        <f aca="false">I13^2</f>
        <v>36</v>
      </c>
      <c r="M13" s="31" t="n">
        <f aca="false">J13^2</f>
        <v>1232100</v>
      </c>
      <c r="N13" s="31" t="n">
        <f aca="false">I13*J13</f>
        <v>6660</v>
      </c>
      <c r="Q13" s="34" t="n">
        <f aca="false">$C13-E13</f>
        <v>726</v>
      </c>
      <c r="R13" s="31" t="n">
        <f aca="false">Q13^2</f>
        <v>527076</v>
      </c>
      <c r="T13" s="34" t="n">
        <f aca="false">$C13-F13</f>
        <v>-132</v>
      </c>
      <c r="U13" s="31" t="n">
        <f aca="false">T13^2</f>
        <v>17424.0000000001</v>
      </c>
      <c r="W13" s="34" t="n">
        <f aca="false">$C13-G13</f>
        <v>-2.27373675443232E-013</v>
      </c>
      <c r="X13" s="31" t="n">
        <f aca="false">W13^2</f>
        <v>5.16987882845642E-026</v>
      </c>
    </row>
    <row r="14" customFormat="false" ht="15" hidden="false" customHeight="false" outlineLevel="0" collapsed="false">
      <c r="B14" s="30" t="n">
        <f aca="false">B13+1</f>
        <v>1</v>
      </c>
      <c r="C14" s="31" t="n">
        <v>14</v>
      </c>
      <c r="E14" s="32" t="n">
        <f aca="false">$E$9+$E$8*B14</f>
        <v>-415</v>
      </c>
      <c r="F14" s="33" t="n">
        <f aca="false">$F$9+$F$8*B14+$F$7*B14^2</f>
        <v>14.0000000000003</v>
      </c>
      <c r="G14" s="33" t="n">
        <f aca="false">$G$9+$G$8*B14+$G$7*B14^2+$G$6*B14^3</f>
        <v>14.0000000000002</v>
      </c>
      <c r="I14" s="30" t="n">
        <f aca="false">B14-$B$36</f>
        <v>-5</v>
      </c>
      <c r="J14" s="31" t="n">
        <f aca="false">C14-$C$36</f>
        <v>-1101</v>
      </c>
      <c r="L14" s="30" t="n">
        <f aca="false">I14^2</f>
        <v>25</v>
      </c>
      <c r="M14" s="31" t="n">
        <f aca="false">J14^2</f>
        <v>1212201</v>
      </c>
      <c r="N14" s="31" t="n">
        <f aca="false">I14*J14</f>
        <v>5505</v>
      </c>
      <c r="Q14" s="34" t="n">
        <f aca="false">$C14-E14</f>
        <v>429</v>
      </c>
      <c r="R14" s="31" t="n">
        <f aca="false">Q14^2</f>
        <v>184041</v>
      </c>
      <c r="T14" s="34" t="n">
        <f aca="false">$C14-F14</f>
        <v>-2.8421709430404E-013</v>
      </c>
      <c r="U14" s="31" t="n">
        <f aca="false">T14^2</f>
        <v>8.07793566946316E-026</v>
      </c>
      <c r="W14" s="34" t="n">
        <f aca="false">$C14-G14</f>
        <v>-2.20268248085631E-013</v>
      </c>
      <c r="X14" s="31" t="n">
        <f aca="false">W14^2</f>
        <v>4.85181011147131E-026</v>
      </c>
    </row>
    <row r="15" customFormat="false" ht="15" hidden="false" customHeight="false" outlineLevel="0" collapsed="false">
      <c r="B15" s="30" t="n">
        <f aca="false">B14+1</f>
        <v>2</v>
      </c>
      <c r="C15" s="31" t="n">
        <v>41</v>
      </c>
      <c r="E15" s="32" t="n">
        <f aca="false">$E$9+$E$8*B15</f>
        <v>-109</v>
      </c>
      <c r="F15" s="33" t="n">
        <f aca="false">$F$9+$F$8*B15+$F$7*B15^2</f>
        <v>-30.9999999999998</v>
      </c>
      <c r="G15" s="33" t="n">
        <f aca="false">$G$9+$G$8*B15+$G$7*B15^2+$G$6*B15^3</f>
        <v>41.0000000000002</v>
      </c>
      <c r="I15" s="30" t="n">
        <f aca="false">B15-$B$36</f>
        <v>-4</v>
      </c>
      <c r="J15" s="31" t="n">
        <f aca="false">C15-$C$36</f>
        <v>-1074</v>
      </c>
      <c r="L15" s="30" t="n">
        <f aca="false">I15^2</f>
        <v>16</v>
      </c>
      <c r="M15" s="31" t="n">
        <f aca="false">J15^2</f>
        <v>1153476</v>
      </c>
      <c r="N15" s="31" t="n">
        <f aca="false">I15*J15</f>
        <v>4296</v>
      </c>
      <c r="Q15" s="34" t="n">
        <f aca="false">$C15-E15</f>
        <v>150</v>
      </c>
      <c r="R15" s="31" t="n">
        <f aca="false">Q15^2</f>
        <v>22500</v>
      </c>
      <c r="T15" s="34" t="n">
        <f aca="false">$C15-F15</f>
        <v>71.9999999999998</v>
      </c>
      <c r="U15" s="31" t="n">
        <f aca="false">T15^2</f>
        <v>5183.99999999997</v>
      </c>
      <c r="W15" s="34" t="n">
        <f aca="false">$C15-G15</f>
        <v>-1.84741111297626E-013</v>
      </c>
      <c r="X15" s="31" t="n">
        <f aca="false">W15^2</f>
        <v>3.41292782034819E-026</v>
      </c>
    </row>
    <row r="16" customFormat="false" ht="15" hidden="false" customHeight="false" outlineLevel="0" collapsed="false">
      <c r="B16" s="30" t="n">
        <f aca="false">B15+1</f>
        <v>3</v>
      </c>
      <c r="C16" s="31" t="n">
        <v>98</v>
      </c>
      <c r="E16" s="32" t="n">
        <f aca="false">$E$9+$E$8*B16</f>
        <v>197</v>
      </c>
      <c r="F16" s="33" t="n">
        <f aca="false">$F$9+$F$8*B16+$F$7*B16^2</f>
        <v>2.00000000000017</v>
      </c>
      <c r="G16" s="33" t="n">
        <f aca="false">$G$9+$G$8*B16+$G$7*B16^2+$G$6*B16^3</f>
        <v>98.0000000000001</v>
      </c>
      <c r="I16" s="30" t="n">
        <f aca="false">B16-$B$36</f>
        <v>-3</v>
      </c>
      <c r="J16" s="31" t="n">
        <f aca="false">C16-$C$36</f>
        <v>-1017</v>
      </c>
      <c r="L16" s="30" t="n">
        <f aca="false">I16^2</f>
        <v>9</v>
      </c>
      <c r="M16" s="31" t="n">
        <f aca="false">J16^2</f>
        <v>1034289</v>
      </c>
      <c r="N16" s="31" t="n">
        <f aca="false">I16*J16</f>
        <v>3051</v>
      </c>
      <c r="Q16" s="34" t="n">
        <f aca="false">$C16-E16</f>
        <v>-99</v>
      </c>
      <c r="R16" s="31" t="n">
        <f aca="false">Q16^2</f>
        <v>9801</v>
      </c>
      <c r="T16" s="34" t="n">
        <f aca="false">$C16-F16</f>
        <v>95.9999999999998</v>
      </c>
      <c r="U16" s="31" t="n">
        <f aca="false">T16^2</f>
        <v>9215.99999999997</v>
      </c>
      <c r="W16" s="34" t="n">
        <f aca="false">$C16-G16</f>
        <v>0</v>
      </c>
      <c r="X16" s="31" t="n">
        <f aca="false">W16^2</f>
        <v>0</v>
      </c>
    </row>
    <row r="17" customFormat="false" ht="15" hidden="false" customHeight="false" outlineLevel="0" collapsed="false">
      <c r="B17" s="30" t="n">
        <f aca="false">B16+1</f>
        <v>4</v>
      </c>
      <c r="C17" s="31" t="n">
        <v>197</v>
      </c>
      <c r="E17" s="32" t="n">
        <f aca="false">$E$9+$E$8*B17</f>
        <v>503</v>
      </c>
      <c r="F17" s="33" t="n">
        <f aca="false">$F$9+$F$8*B17+$F$7*B17^2</f>
        <v>113</v>
      </c>
      <c r="G17" s="33" t="n">
        <f aca="false">$G$9+$G$8*B17+$G$7*B17^2+$G$6*B17^3</f>
        <v>197</v>
      </c>
      <c r="I17" s="30" t="n">
        <f aca="false">B17-$B$36</f>
        <v>-2</v>
      </c>
      <c r="J17" s="31" t="n">
        <f aca="false">C17-$C$36</f>
        <v>-918</v>
      </c>
      <c r="L17" s="30" t="n">
        <f aca="false">I17^2</f>
        <v>4</v>
      </c>
      <c r="M17" s="31" t="n">
        <f aca="false">J17^2</f>
        <v>842724</v>
      </c>
      <c r="N17" s="31" t="n">
        <f aca="false">I17*J17</f>
        <v>1836</v>
      </c>
      <c r="Q17" s="34" t="n">
        <f aca="false">$C17-E17</f>
        <v>-306</v>
      </c>
      <c r="R17" s="31" t="n">
        <f aca="false">Q17^2</f>
        <v>93636</v>
      </c>
      <c r="T17" s="34" t="n">
        <f aca="false">$C17-F17</f>
        <v>83.9999999999999</v>
      </c>
      <c r="U17" s="31" t="n">
        <f aca="false">T17^2</f>
        <v>7055.99999999998</v>
      </c>
      <c r="W17" s="34" t="n">
        <f aca="false">$C17-G17</f>
        <v>0</v>
      </c>
      <c r="X17" s="31" t="n">
        <f aca="false">W17^2</f>
        <v>0</v>
      </c>
    </row>
    <row r="18" customFormat="false" ht="15" hidden="false" customHeight="false" outlineLevel="0" collapsed="false">
      <c r="B18" s="30" t="n">
        <f aca="false">B17+1</f>
        <v>5</v>
      </c>
      <c r="C18" s="31" t="n">
        <v>350</v>
      </c>
      <c r="E18" s="32" t="n">
        <f aca="false">$E$9+$E$8*B18</f>
        <v>809</v>
      </c>
      <c r="F18" s="33" t="n">
        <f aca="false">$F$9+$F$8*B18+$F$7*B18^2</f>
        <v>302</v>
      </c>
      <c r="G18" s="33" t="n">
        <f aca="false">$G$9+$G$8*B18+$G$7*B18^2+$G$6*B18^3</f>
        <v>350</v>
      </c>
      <c r="I18" s="30" t="n">
        <f aca="false">B18-$B$36</f>
        <v>-1</v>
      </c>
      <c r="J18" s="31" t="n">
        <f aca="false">C18-$C$36</f>
        <v>-765</v>
      </c>
      <c r="L18" s="30" t="n">
        <f aca="false">I18^2</f>
        <v>1</v>
      </c>
      <c r="M18" s="31" t="n">
        <f aca="false">J18^2</f>
        <v>585225</v>
      </c>
      <c r="N18" s="31" t="n">
        <f aca="false">I18*J18</f>
        <v>765</v>
      </c>
      <c r="Q18" s="34" t="n">
        <f aca="false">$C18-E18</f>
        <v>-459</v>
      </c>
      <c r="R18" s="31" t="n">
        <f aca="false">Q18^2</f>
        <v>210681</v>
      </c>
      <c r="T18" s="34" t="n">
        <f aca="false">$C18-F18</f>
        <v>47.9999999999999</v>
      </c>
      <c r="U18" s="31" t="n">
        <f aca="false">T18^2</f>
        <v>2303.99999999999</v>
      </c>
      <c r="W18" s="34" t="n">
        <f aca="false">$C18-G18</f>
        <v>0</v>
      </c>
      <c r="X18" s="31" t="n">
        <f aca="false">W18^2</f>
        <v>0</v>
      </c>
    </row>
    <row r="19" customFormat="false" ht="15" hidden="false" customHeight="false" outlineLevel="0" collapsed="false">
      <c r="B19" s="30" t="n">
        <f aca="false">B18+1</f>
        <v>6</v>
      </c>
      <c r="C19" s="31" t="n">
        <v>569</v>
      </c>
      <c r="E19" s="32" t="n">
        <f aca="false">$E$9+$E$8*B19</f>
        <v>1115</v>
      </c>
      <c r="F19" s="33" t="n">
        <f aca="false">$F$9+$F$8*B19+$F$7*B19^2</f>
        <v>569</v>
      </c>
      <c r="G19" s="33" t="n">
        <f aca="false">$G$9+$G$8*B19+$G$7*B19^2+$G$6*B19^3</f>
        <v>569</v>
      </c>
      <c r="I19" s="30" t="n">
        <f aca="false">B19-$B$36</f>
        <v>0</v>
      </c>
      <c r="J19" s="31" t="n">
        <f aca="false">C19-$C$36</f>
        <v>-546</v>
      </c>
      <c r="L19" s="30" t="n">
        <f aca="false">I19^2</f>
        <v>0</v>
      </c>
      <c r="M19" s="31" t="n">
        <f aca="false">J19^2</f>
        <v>298116</v>
      </c>
      <c r="N19" s="31" t="n">
        <f aca="false">I19*J19</f>
        <v>-0</v>
      </c>
      <c r="Q19" s="34" t="n">
        <f aca="false">$C19-E19</f>
        <v>-546</v>
      </c>
      <c r="R19" s="31" t="n">
        <f aca="false">Q19^2</f>
        <v>298116</v>
      </c>
      <c r="T19" s="34" t="n">
        <f aca="false">$C19-F19</f>
        <v>0</v>
      </c>
      <c r="U19" s="31" t="n">
        <f aca="false">T19^2</f>
        <v>0</v>
      </c>
      <c r="W19" s="34" t="n">
        <f aca="false">$C19-G19</f>
        <v>0</v>
      </c>
      <c r="X19" s="31" t="n">
        <f aca="false">W19^2</f>
        <v>0</v>
      </c>
    </row>
    <row r="20" customFormat="false" ht="15" hidden="false" customHeight="false" outlineLevel="0" collapsed="false">
      <c r="B20" s="30" t="n">
        <f aca="false">B19+1</f>
        <v>7</v>
      </c>
      <c r="C20" s="31" t="n">
        <v>866</v>
      </c>
      <c r="E20" s="32" t="n">
        <f aca="false">$E$9+$E$8*B20</f>
        <v>1421</v>
      </c>
      <c r="F20" s="33" t="n">
        <f aca="false">$F$9+$F$8*B20+$F$7*B20^2</f>
        <v>914</v>
      </c>
      <c r="G20" s="33" t="n">
        <f aca="false">$G$9+$G$8*B20+$G$7*B20^2+$G$6*B20^3</f>
        <v>866</v>
      </c>
      <c r="I20" s="30" t="n">
        <f aca="false">B20-$B$36</f>
        <v>1</v>
      </c>
      <c r="J20" s="31" t="n">
        <f aca="false">C20-$C$36</f>
        <v>-249</v>
      </c>
      <c r="L20" s="30" t="n">
        <f aca="false">I20^2</f>
        <v>1</v>
      </c>
      <c r="M20" s="31" t="n">
        <f aca="false">J20^2</f>
        <v>62001</v>
      </c>
      <c r="N20" s="31" t="n">
        <f aca="false">I20*J20</f>
        <v>-249</v>
      </c>
      <c r="Q20" s="34" t="n">
        <f aca="false">$C20-E20</f>
        <v>-555</v>
      </c>
      <c r="R20" s="31" t="n">
        <f aca="false">Q20^2</f>
        <v>308025</v>
      </c>
      <c r="T20" s="34" t="n">
        <f aca="false">$C20-F20</f>
        <v>-47.9999999999999</v>
      </c>
      <c r="U20" s="31" t="n">
        <f aca="false">T20^2</f>
        <v>2303.99999999999</v>
      </c>
      <c r="W20" s="34" t="n">
        <f aca="false">$C20-G20</f>
        <v>0</v>
      </c>
      <c r="X20" s="31" t="n">
        <f aca="false">W20^2</f>
        <v>0</v>
      </c>
    </row>
    <row r="21" customFormat="false" ht="15" hidden="false" customHeight="false" outlineLevel="0" collapsed="false">
      <c r="B21" s="30" t="n">
        <f aca="false">B20+1</f>
        <v>8</v>
      </c>
      <c r="C21" s="31" t="n">
        <v>1253</v>
      </c>
      <c r="E21" s="32" t="n">
        <f aca="false">$E$9+$E$8*B21</f>
        <v>1727</v>
      </c>
      <c r="F21" s="33" t="n">
        <f aca="false">$F$9+$F$8*B21+$F$7*B21^2</f>
        <v>1337</v>
      </c>
      <c r="G21" s="33" t="n">
        <f aca="false">$G$9+$G$8*B21+$G$7*B21^2+$G$6*B21^3</f>
        <v>1253</v>
      </c>
      <c r="I21" s="30" t="n">
        <f aca="false">B21-$B$36</f>
        <v>2</v>
      </c>
      <c r="J21" s="31" t="n">
        <f aca="false">C21-$C$36</f>
        <v>138</v>
      </c>
      <c r="L21" s="30" t="n">
        <f aca="false">I21^2</f>
        <v>4</v>
      </c>
      <c r="M21" s="31" t="n">
        <f aca="false">J21^2</f>
        <v>19044</v>
      </c>
      <c r="N21" s="31" t="n">
        <f aca="false">I21*J21</f>
        <v>276</v>
      </c>
      <c r="Q21" s="34" t="n">
        <f aca="false">$C21-E21</f>
        <v>-474</v>
      </c>
      <c r="R21" s="31" t="n">
        <f aca="false">Q21^2</f>
        <v>224676</v>
      </c>
      <c r="T21" s="34" t="n">
        <f aca="false">$C21-F21</f>
        <v>-84</v>
      </c>
      <c r="U21" s="31" t="n">
        <f aca="false">T21^2</f>
        <v>7056</v>
      </c>
      <c r="W21" s="34" t="n">
        <f aca="false">$C21-G21</f>
        <v>0</v>
      </c>
      <c r="X21" s="31" t="n">
        <f aca="false">W21^2</f>
        <v>0</v>
      </c>
    </row>
    <row r="22" customFormat="false" ht="15" hidden="false" customHeight="false" outlineLevel="0" collapsed="false">
      <c r="B22" s="30" t="n">
        <f aca="false">B21+1</f>
        <v>9</v>
      </c>
      <c r="C22" s="31" t="n">
        <v>1742</v>
      </c>
      <c r="E22" s="32" t="n">
        <f aca="false">$E$9+$E$8*B22</f>
        <v>2033</v>
      </c>
      <c r="F22" s="33" t="n">
        <f aca="false">$F$9+$F$8*B22+$F$7*B22^2</f>
        <v>1838</v>
      </c>
      <c r="G22" s="33" t="n">
        <f aca="false">$G$9+$G$8*B22+$G$7*B22^2+$G$6*B22^3</f>
        <v>1742</v>
      </c>
      <c r="I22" s="30" t="n">
        <f aca="false">B22-$B$36</f>
        <v>3</v>
      </c>
      <c r="J22" s="31" t="n">
        <f aca="false">C22-$C$36</f>
        <v>627</v>
      </c>
      <c r="L22" s="30" t="n">
        <f aca="false">I22^2</f>
        <v>9</v>
      </c>
      <c r="M22" s="31" t="n">
        <f aca="false">J22^2</f>
        <v>393129</v>
      </c>
      <c r="N22" s="31" t="n">
        <f aca="false">I22*J22</f>
        <v>1881</v>
      </c>
      <c r="Q22" s="34" t="n">
        <f aca="false">$C22-E22</f>
        <v>-291</v>
      </c>
      <c r="R22" s="31" t="n">
        <f aca="false">Q22^2</f>
        <v>84681</v>
      </c>
      <c r="T22" s="34" t="n">
        <f aca="false">$C22-F22</f>
        <v>-96</v>
      </c>
      <c r="U22" s="31" t="n">
        <f aca="false">T22^2</f>
        <v>9216</v>
      </c>
      <c r="W22" s="34" t="n">
        <f aca="false">$C22-G22</f>
        <v>0</v>
      </c>
      <c r="X22" s="31" t="n">
        <f aca="false">W22^2</f>
        <v>0</v>
      </c>
    </row>
    <row r="23" customFormat="false" ht="15" hidden="false" customHeight="false" outlineLevel="0" collapsed="false">
      <c r="B23" s="30" t="n">
        <f aca="false">B22+1</f>
        <v>10</v>
      </c>
      <c r="C23" s="31" t="n">
        <v>2345</v>
      </c>
      <c r="E23" s="32" t="n">
        <f aca="false">$E$9+$E$8*B23</f>
        <v>2339</v>
      </c>
      <c r="F23" s="33" t="n">
        <f aca="false">$F$9+$F$8*B23+$F$7*B23^2</f>
        <v>2417</v>
      </c>
      <c r="G23" s="33" t="n">
        <f aca="false">$G$9+$G$8*B23+$G$7*B23^2+$G$6*B23^3</f>
        <v>2345</v>
      </c>
      <c r="I23" s="30" t="n">
        <f aca="false">B23-$B$36</f>
        <v>4</v>
      </c>
      <c r="J23" s="31" t="n">
        <f aca="false">C23-$C$36</f>
        <v>1230</v>
      </c>
      <c r="L23" s="30" t="n">
        <f aca="false">I23^2</f>
        <v>16</v>
      </c>
      <c r="M23" s="31" t="n">
        <f aca="false">J23^2</f>
        <v>1512900</v>
      </c>
      <c r="N23" s="31" t="n">
        <f aca="false">I23*J23</f>
        <v>4920</v>
      </c>
      <c r="Q23" s="34" t="n">
        <f aca="false">$C23-E23</f>
        <v>6</v>
      </c>
      <c r="R23" s="31" t="n">
        <f aca="false">Q23^2</f>
        <v>36</v>
      </c>
      <c r="T23" s="34" t="n">
        <f aca="false">$C23-F23</f>
        <v>-72</v>
      </c>
      <c r="U23" s="31" t="n">
        <f aca="false">T23^2</f>
        <v>5184</v>
      </c>
      <c r="W23" s="34" t="n">
        <f aca="false">$C23-G23</f>
        <v>0</v>
      </c>
      <c r="X23" s="31" t="n">
        <f aca="false">W23^2</f>
        <v>0</v>
      </c>
    </row>
    <row r="24" customFormat="false" ht="15" hidden="false" customHeight="false" outlineLevel="0" collapsed="false">
      <c r="B24" s="30" t="n">
        <f aca="false">B23+1</f>
        <v>11</v>
      </c>
      <c r="C24" s="31" t="n">
        <v>3074</v>
      </c>
      <c r="E24" s="32" t="n">
        <f aca="false">$E$9+$E$8*B24</f>
        <v>2645</v>
      </c>
      <c r="F24" s="33" t="n">
        <f aca="false">$F$9+$F$8*B24+$F$7*B24^2</f>
        <v>3074</v>
      </c>
      <c r="G24" s="33" t="n">
        <f aca="false">$G$9+$G$8*B24+$G$7*B24^2+$G$6*B24^3</f>
        <v>3074</v>
      </c>
      <c r="I24" s="30" t="n">
        <f aca="false">B24-$B$36</f>
        <v>5</v>
      </c>
      <c r="J24" s="31" t="n">
        <f aca="false">C24-$C$36</f>
        <v>1959</v>
      </c>
      <c r="L24" s="30" t="n">
        <f aca="false">I24^2</f>
        <v>25</v>
      </c>
      <c r="M24" s="31" t="n">
        <f aca="false">J24^2</f>
        <v>3837681</v>
      </c>
      <c r="N24" s="31" t="n">
        <f aca="false">I24*J24</f>
        <v>9795</v>
      </c>
      <c r="Q24" s="34" t="n">
        <f aca="false">$C24-E24</f>
        <v>429</v>
      </c>
      <c r="R24" s="31" t="n">
        <f aca="false">Q24^2</f>
        <v>184041</v>
      </c>
      <c r="S24" s="2" t="s">
        <v>37</v>
      </c>
      <c r="T24" s="34" t="n">
        <f aca="false">$C24-F24</f>
        <v>0</v>
      </c>
      <c r="U24" s="31" t="n">
        <f aca="false">T24^2</f>
        <v>0</v>
      </c>
      <c r="W24" s="34" t="n">
        <f aca="false">$C24-G24</f>
        <v>0</v>
      </c>
      <c r="X24" s="31" t="n">
        <f aca="false">W24^2</f>
        <v>0</v>
      </c>
    </row>
    <row r="25" customFormat="false" ht="15" hidden="false" customHeight="false" outlineLevel="0" collapsed="false">
      <c r="B25" s="30" t="n">
        <f aca="false">B24+1</f>
        <v>12</v>
      </c>
      <c r="C25" s="31" t="n">
        <v>3941</v>
      </c>
      <c r="E25" s="32" t="n">
        <f aca="false">$E$9+$E$8*B25</f>
        <v>2951</v>
      </c>
      <c r="F25" s="33" t="n">
        <f aca="false">$F$9+$F$8*B25+$F$7*B25^2</f>
        <v>3809</v>
      </c>
      <c r="G25" s="33" t="n">
        <f aca="false">$G$9+$G$8*B25+$G$7*B25^2+$G$6*B25^3</f>
        <v>3941</v>
      </c>
      <c r="I25" s="30" t="n">
        <f aca="false">B25-$B$36</f>
        <v>6</v>
      </c>
      <c r="J25" s="31" t="n">
        <f aca="false">C25-$C$36</f>
        <v>2826</v>
      </c>
      <c r="L25" s="30" t="n">
        <f aca="false">I25^2</f>
        <v>36</v>
      </c>
      <c r="M25" s="31" t="n">
        <f aca="false">J25^2</f>
        <v>7986276</v>
      </c>
      <c r="N25" s="31" t="n">
        <f aca="false">I25*J25</f>
        <v>16956</v>
      </c>
      <c r="Q25" s="34" t="n">
        <f aca="false">$C25-E25</f>
        <v>990</v>
      </c>
      <c r="R25" s="31" t="n">
        <f aca="false">Q25^2</f>
        <v>980100</v>
      </c>
      <c r="T25" s="34" t="n">
        <f aca="false">$C25-F25</f>
        <v>132</v>
      </c>
      <c r="U25" s="31" t="n">
        <f aca="false">T25^2</f>
        <v>17424.0000000001</v>
      </c>
      <c r="W25" s="34" t="n">
        <f aca="false">$C25-G25</f>
        <v>0</v>
      </c>
      <c r="X25" s="31" t="n">
        <f aca="false">W25^2</f>
        <v>0</v>
      </c>
    </row>
    <row r="26" customFormat="false" ht="8.25" hidden="false" customHeight="true" outlineLevel="0" collapsed="false">
      <c r="A26" s="2"/>
      <c r="B26" s="2"/>
      <c r="C26" s="2"/>
      <c r="D26" s="3"/>
      <c r="G26" s="1"/>
      <c r="I26" s="35"/>
      <c r="J26" s="36"/>
      <c r="L26" s="35"/>
      <c r="M26" s="36"/>
      <c r="N26" s="36"/>
    </row>
    <row r="27" customFormat="false" ht="14.15" hidden="false" customHeight="true" outlineLevel="0" collapsed="false">
      <c r="B27" s="24" t="s">
        <v>38</v>
      </c>
      <c r="C27" s="25" t="s">
        <v>39</v>
      </c>
      <c r="I27" s="24" t="s">
        <v>40</v>
      </c>
      <c r="J27" s="25" t="s">
        <v>41</v>
      </c>
      <c r="L27" s="24" t="s">
        <v>42</v>
      </c>
      <c r="M27" s="25" t="s">
        <v>43</v>
      </c>
      <c r="N27" s="29" t="s">
        <v>44</v>
      </c>
      <c r="R27" s="8" t="s">
        <v>45</v>
      </c>
      <c r="U27" s="8" t="s">
        <v>45</v>
      </c>
      <c r="X27" s="8" t="s">
        <v>45</v>
      </c>
    </row>
    <row r="28" customFormat="false" ht="14.15" hidden="false" customHeight="true" outlineLevel="0" collapsed="false">
      <c r="B28" s="37" t="n">
        <f aca="false">SUM(B13:B25)</f>
        <v>78</v>
      </c>
      <c r="C28" s="31" t="n">
        <f aca="false">SUM(C13:C25)</f>
        <v>14495</v>
      </c>
      <c r="I28" s="37" t="n">
        <f aca="false">SUM(I13:I25)</f>
        <v>0</v>
      </c>
      <c r="J28" s="31" t="n">
        <f aca="false">SUM(J13:J25)</f>
        <v>0</v>
      </c>
      <c r="L28" s="37" t="n">
        <f aca="false">SUM(L13:L25)</f>
        <v>182</v>
      </c>
      <c r="M28" s="31" t="n">
        <f aca="false">SUM(M13:M25)</f>
        <v>20169162</v>
      </c>
      <c r="N28" s="31" t="n">
        <f aca="false">SUM(N13:N25)</f>
        <v>55692</v>
      </c>
      <c r="R28" s="34" t="n">
        <f aca="false">SUM(R13:R25)</f>
        <v>3127410</v>
      </c>
      <c r="U28" s="34" t="n">
        <f aca="false">SUM(U13:U25)</f>
        <v>82368.0000000001</v>
      </c>
      <c r="X28" s="34" t="n">
        <f aca="false">SUM(X13:X25)</f>
        <v>1.34346167602759E-025</v>
      </c>
    </row>
    <row r="29" customFormat="false" ht="8.5" hidden="false" customHeight="true" outlineLevel="0" collapsed="false">
      <c r="B29" s="38"/>
      <c r="C29" s="38"/>
      <c r="I29" s="38"/>
      <c r="J29" s="38"/>
      <c r="L29" s="38"/>
      <c r="M29" s="38"/>
      <c r="N29" s="38"/>
    </row>
    <row r="30" customFormat="false" ht="14.15" hidden="false" customHeight="true" outlineLevel="0" collapsed="false">
      <c r="B30" s="39" t="s">
        <v>46</v>
      </c>
      <c r="C30" s="39"/>
      <c r="E30" s="39" t="s">
        <v>47</v>
      </c>
      <c r="F30" s="39"/>
      <c r="G30" s="39"/>
      <c r="I30" s="39" t="s">
        <v>48</v>
      </c>
      <c r="J30" s="39"/>
      <c r="L30" s="24" t="s">
        <v>49</v>
      </c>
      <c r="M30" s="25" t="s">
        <v>50</v>
      </c>
      <c r="N30" s="29" t="s">
        <v>51</v>
      </c>
      <c r="Q30" s="39" t="s">
        <v>52</v>
      </c>
      <c r="R30" s="39"/>
      <c r="T30" s="39" t="s">
        <v>52</v>
      </c>
      <c r="U30" s="39"/>
      <c r="W30" s="39" t="s">
        <v>52</v>
      </c>
      <c r="X30" s="39"/>
    </row>
    <row r="31" customFormat="false" ht="14.15" hidden="false" customHeight="true" outlineLevel="0" collapsed="false">
      <c r="B31" s="24" t="s">
        <v>53</v>
      </c>
      <c r="C31" s="25" t="s">
        <v>53</v>
      </c>
      <c r="E31" s="24" t="s">
        <v>54</v>
      </c>
      <c r="F31" s="40" t="s">
        <v>55</v>
      </c>
      <c r="G31" s="29" t="s">
        <v>56</v>
      </c>
      <c r="I31" s="24" t="s">
        <v>57</v>
      </c>
      <c r="J31" s="25" t="s">
        <v>57</v>
      </c>
      <c r="L31" s="24" t="s">
        <v>58</v>
      </c>
      <c r="M31" s="41" t="s">
        <v>59</v>
      </c>
      <c r="N31" s="8" t="s">
        <v>60</v>
      </c>
      <c r="Q31" s="8" t="s">
        <v>61</v>
      </c>
      <c r="R31" s="39" t="s">
        <v>62</v>
      </c>
      <c r="T31" s="8" t="s">
        <v>61</v>
      </c>
      <c r="U31" s="39" t="s">
        <v>62</v>
      </c>
      <c r="W31" s="8" t="s">
        <v>61</v>
      </c>
      <c r="X31" s="39" t="s">
        <v>62</v>
      </c>
    </row>
    <row r="32" customFormat="false" ht="14.15" hidden="false" customHeight="true" outlineLevel="0" collapsed="false">
      <c r="B32" s="37" t="n">
        <f aca="false">COUNT(B13:B25)</f>
        <v>13</v>
      </c>
      <c r="C32" s="31" t="n">
        <f aca="false">COUNT(C13:C25)</f>
        <v>13</v>
      </c>
      <c r="E32" s="37" t="n">
        <f aca="false">COUNT($B$13:$B$25)-2</f>
        <v>11</v>
      </c>
      <c r="F32" s="42" t="n">
        <f aca="false">COUNT($B$13:$B$25)-3</f>
        <v>10</v>
      </c>
      <c r="G32" s="31" t="n">
        <f aca="false">COUNT($B$13:$B$25)-4</f>
        <v>9</v>
      </c>
      <c r="I32" s="37" t="n">
        <f aca="false">COUNT(F13:F25)-1</f>
        <v>12</v>
      </c>
      <c r="J32" s="31" t="n">
        <f aca="false">COUNT(G13:G25)-1</f>
        <v>12</v>
      </c>
      <c r="L32" s="43" t="n">
        <f aca="false">L28/I32</f>
        <v>15.1666666666667</v>
      </c>
      <c r="M32" s="33" t="n">
        <f aca="false">M28/J32</f>
        <v>1680763.5</v>
      </c>
      <c r="N32" s="33" t="n">
        <f aca="false">N28/I32</f>
        <v>4641</v>
      </c>
      <c r="Q32" s="44" t="n">
        <f aca="false">1-($R$28/$M$28)</f>
        <v>0.844941004489924</v>
      </c>
      <c r="R32" s="44" t="n">
        <f aca="false">1-((1-Q32)*($B$32-1)/$E32)</f>
        <v>0.830844732170826</v>
      </c>
      <c r="T32" s="44" t="n">
        <f aca="false">1-($U$28/$M$28)</f>
        <v>0.995916141682039</v>
      </c>
      <c r="U32" s="44" t="n">
        <f aca="false">1-((1-T32)*($B$32-1)/$E32)</f>
        <v>0.995544881834952</v>
      </c>
      <c r="W32" s="44" t="n">
        <f aca="false">1-($X$28/$M$28)</f>
        <v>1</v>
      </c>
      <c r="X32" s="44" t="n">
        <f aca="false">1-((1-W32)*($B$32-1)/$E32)</f>
        <v>1</v>
      </c>
    </row>
    <row r="33" customFormat="false" ht="8.5" hidden="false" customHeight="true" outlineLevel="0" collapsed="false">
      <c r="B33" s="38"/>
      <c r="C33" s="38"/>
      <c r="I33" s="38"/>
      <c r="J33" s="38"/>
      <c r="L33" s="38"/>
      <c r="M33" s="38"/>
      <c r="N33" s="38"/>
    </row>
    <row r="34" customFormat="false" ht="14.15" hidden="false" customHeight="true" outlineLevel="0" collapsed="false">
      <c r="B34" s="39" t="s">
        <v>63</v>
      </c>
      <c r="C34" s="39"/>
      <c r="L34" s="24" t="s">
        <v>64</v>
      </c>
      <c r="M34" s="25" t="s">
        <v>65</v>
      </c>
      <c r="N34" s="29" t="s">
        <v>66</v>
      </c>
      <c r="Q34" s="39" t="s">
        <v>67</v>
      </c>
      <c r="R34" s="39"/>
      <c r="T34" s="39" t="s">
        <v>67</v>
      </c>
      <c r="U34" s="39"/>
      <c r="W34" s="39" t="s">
        <v>67</v>
      </c>
      <c r="X34" s="39"/>
    </row>
    <row r="35" customFormat="false" ht="14.15" hidden="false" customHeight="true" outlineLevel="0" collapsed="false">
      <c r="B35" s="24" t="s">
        <v>68</v>
      </c>
      <c r="C35" s="25" t="s">
        <v>69</v>
      </c>
      <c r="L35" s="24" t="s">
        <v>70</v>
      </c>
      <c r="M35" s="41" t="s">
        <v>71</v>
      </c>
      <c r="N35" s="8" t="s">
        <v>72</v>
      </c>
      <c r="Q35" s="8" t="s">
        <v>73</v>
      </c>
      <c r="R35" s="39" t="s">
        <v>74</v>
      </c>
      <c r="T35" s="8" t="s">
        <v>73</v>
      </c>
      <c r="U35" s="39" t="s">
        <v>74</v>
      </c>
      <c r="W35" s="8" t="s">
        <v>73</v>
      </c>
      <c r="X35" s="39" t="s">
        <v>74</v>
      </c>
    </row>
    <row r="36" customFormat="false" ht="14.15" hidden="false" customHeight="true" outlineLevel="0" collapsed="false">
      <c r="B36" s="43" t="n">
        <f aca="false">B28/B32</f>
        <v>6</v>
      </c>
      <c r="C36" s="33" t="n">
        <f aca="false">C28/C32</f>
        <v>1115</v>
      </c>
      <c r="L36" s="43" t="n">
        <f aca="false">SQRT(L32)</f>
        <v>3.89444048184931</v>
      </c>
      <c r="M36" s="33" t="n">
        <f aca="false">SQRT(M32)</f>
        <v>1296.44263274547</v>
      </c>
      <c r="N36" s="45" t="n">
        <f aca="false">N32/(L36*M36)</f>
        <v>0.919206725655292</v>
      </c>
      <c r="Q36" s="34" t="n">
        <f aca="false">R28/$E$32</f>
        <v>284310</v>
      </c>
      <c r="R36" s="32" t="n">
        <f aca="false">SQRT(Q36)</f>
        <v>533.207276769551</v>
      </c>
      <c r="T36" s="34" t="n">
        <f aca="false">U28/$F$32</f>
        <v>8236.80000000001</v>
      </c>
      <c r="U36" s="32" t="n">
        <f aca="false">SQRT(T36)</f>
        <v>90.7568179257074</v>
      </c>
      <c r="W36" s="34" t="n">
        <f aca="false">X28/$G$32</f>
        <v>1.49273519558621E-026</v>
      </c>
      <c r="X36" s="32" t="n">
        <f aca="false">SQRT(W36)</f>
        <v>1.22177542764054E-013</v>
      </c>
    </row>
    <row r="37" customFormat="false" ht="8.5" hidden="false" customHeight="true" outlineLevel="0" collapsed="false">
      <c r="L37" s="38"/>
      <c r="M37" s="38"/>
      <c r="N37" s="38"/>
    </row>
    <row r="38" customFormat="false" ht="14.15" hidden="false" customHeight="true" outlineLevel="0" collapsed="false">
      <c r="B38" s="5" t="s">
        <v>75</v>
      </c>
      <c r="C38" s="5"/>
      <c r="L38" s="38"/>
      <c r="M38" s="38"/>
      <c r="N38" s="38"/>
      <c r="Q38" s="5" t="s">
        <v>76</v>
      </c>
      <c r="R38" s="5"/>
    </row>
    <row r="39" customFormat="false" ht="8.5" hidden="false" customHeight="true" outlineLevel="0" collapsed="false">
      <c r="L39" s="38"/>
      <c r="M39" s="38"/>
      <c r="N39" s="38"/>
    </row>
    <row r="40" customFormat="false" ht="14.15" hidden="false" customHeight="true" outlineLevel="0" collapsed="false">
      <c r="B40" s="39" t="s">
        <v>77</v>
      </c>
      <c r="C40" s="39"/>
      <c r="E40" s="39" t="s">
        <v>78</v>
      </c>
      <c r="F40" s="39"/>
      <c r="G40" s="39"/>
      <c r="L40" s="39" t="s">
        <v>79</v>
      </c>
      <c r="M40" s="39"/>
      <c r="N40" s="39"/>
      <c r="O40" s="39"/>
    </row>
    <row r="41" customFormat="false" ht="14.15" hidden="false" customHeight="true" outlineLevel="0" collapsed="false">
      <c r="B41" s="46" t="n">
        <f aca="false" t="array" ref="B41:C42">MMULT(TRANSPOSE(CHOOSE({1,2}, 1, B13:B25)),CHOOSE({1,2}, 1, B13:B25))</f>
        <v>13</v>
      </c>
      <c r="C41" s="47" t="n">
        <v>78</v>
      </c>
      <c r="E41" s="46" t="n">
        <f aca="false" t="array" ref="E41:G43">MMULT(TRANSPOSE(CHOOSE({1,2,3}, 1, B13:B25, B13:B25^2)),CHOOSE({1,2,3}, 1, B13:B25, B13:B25^2))</f>
        <v>13</v>
      </c>
      <c r="F41" s="48" t="n">
        <v>78</v>
      </c>
      <c r="G41" s="47" t="n">
        <v>650</v>
      </c>
      <c r="L41" s="46" t="n">
        <f aca="false" t="array" ref="L41:O44">MMULT(TRANSPOSE(CHOOSE({1,2,3,4}, 1, B13:B25, B13:B25^2, B13:B25^3)),CHOOSE({1,2,3,4}, 1, B13:B25, B13:B25^2, B13:B25^3))</f>
        <v>13</v>
      </c>
      <c r="M41" s="48" t="n">
        <v>78</v>
      </c>
      <c r="N41" s="48" t="n">
        <v>650</v>
      </c>
      <c r="O41" s="47" t="n">
        <v>6084</v>
      </c>
    </row>
    <row r="42" customFormat="false" ht="14.15" hidden="false" customHeight="true" outlineLevel="0" collapsed="false">
      <c r="B42" s="46" t="n">
        <v>78</v>
      </c>
      <c r="C42" s="47" t="n">
        <v>650</v>
      </c>
      <c r="E42" s="46" t="n">
        <v>78</v>
      </c>
      <c r="F42" s="48" t="n">
        <v>650</v>
      </c>
      <c r="G42" s="47" t="n">
        <v>6084</v>
      </c>
      <c r="L42" s="46" t="n">
        <v>78</v>
      </c>
      <c r="M42" s="48" t="n">
        <v>650</v>
      </c>
      <c r="N42" s="48" t="n">
        <v>6084</v>
      </c>
      <c r="O42" s="47" t="n">
        <v>60710</v>
      </c>
    </row>
    <row r="43" customFormat="false" ht="14.15" hidden="false" customHeight="true" outlineLevel="0" collapsed="false">
      <c r="E43" s="46" t="n">
        <v>650</v>
      </c>
      <c r="F43" s="48" t="n">
        <v>6084</v>
      </c>
      <c r="G43" s="47" t="n">
        <v>60710</v>
      </c>
      <c r="L43" s="46" t="n">
        <v>650</v>
      </c>
      <c r="M43" s="48" t="n">
        <v>6084</v>
      </c>
      <c r="N43" s="48" t="n">
        <v>60710</v>
      </c>
      <c r="O43" s="47" t="n">
        <v>630708</v>
      </c>
    </row>
    <row r="44" customFormat="false" ht="14.15" hidden="false" customHeight="true" outlineLevel="0" collapsed="false">
      <c r="L44" s="46" t="n">
        <v>6084</v>
      </c>
      <c r="M44" s="48" t="n">
        <v>60710</v>
      </c>
      <c r="N44" s="48" t="n">
        <v>630708</v>
      </c>
      <c r="O44" s="47" t="n">
        <v>6735950</v>
      </c>
    </row>
    <row r="45" customFormat="false" ht="8.5" hidden="false" customHeight="true" outlineLevel="0" collapsed="false"/>
    <row r="46" customFormat="false" ht="14.15" hidden="false" customHeight="true" outlineLevel="0" collapsed="false">
      <c r="B46" s="39" t="s">
        <v>80</v>
      </c>
      <c r="C46" s="39"/>
      <c r="E46" s="39" t="s">
        <v>81</v>
      </c>
      <c r="F46" s="39"/>
      <c r="G46" s="39"/>
      <c r="L46" s="39" t="s">
        <v>82</v>
      </c>
      <c r="M46" s="39"/>
      <c r="N46" s="39"/>
      <c r="O46" s="39"/>
      <c r="Q46" s="8" t="s">
        <v>83</v>
      </c>
      <c r="R46" s="39" t="s">
        <v>84</v>
      </c>
      <c r="T46" s="8" t="s">
        <v>85</v>
      </c>
      <c r="U46" s="39" t="s">
        <v>84</v>
      </c>
      <c r="W46" s="8" t="s">
        <v>86</v>
      </c>
      <c r="X46" s="39" t="s">
        <v>84</v>
      </c>
    </row>
    <row r="47" customFormat="false" ht="14.15" hidden="false" customHeight="true" outlineLevel="0" collapsed="false">
      <c r="B47" s="49" t="n">
        <f aca="false" t="array" ref="B47:C48">MINVERSE(B41:C42)</f>
        <v>0.274725274725275</v>
      </c>
      <c r="C47" s="50" t="n">
        <v>-0.032967032967033</v>
      </c>
      <c r="E47" s="49" t="n">
        <f aca="false" t="array" ref="E47:G49">MINVERSE(E41:G43)</f>
        <v>0.516483516483517</v>
      </c>
      <c r="F47" s="51" t="n">
        <v>-0.164835164835165</v>
      </c>
      <c r="G47" s="50" t="n">
        <v>0.010989010989011</v>
      </c>
      <c r="L47" s="49" t="n">
        <f aca="false" t="array" ref="L47:O50">MINVERSE(L41:O44)</f>
        <v>0.728021978021982</v>
      </c>
      <c r="M47" s="51" t="n">
        <v>-0.430860805860809</v>
      </c>
      <c r="N47" s="51" t="n">
        <v>0.0686813186813193</v>
      </c>
      <c r="O47" s="50" t="n">
        <v>-0.00320512820512824</v>
      </c>
      <c r="Q47" s="52" t="s">
        <v>13</v>
      </c>
      <c r="R47" s="53" t="n">
        <f aca="false">INDEX(B47:C48,1,1)</f>
        <v>0.274725274725275</v>
      </c>
      <c r="T47" s="52" t="s">
        <v>13</v>
      </c>
      <c r="U47" s="53" t="n">
        <f aca="false">INDEX(E47:G49,1,1)</f>
        <v>0.516483516483517</v>
      </c>
      <c r="W47" s="52" t="s">
        <v>13</v>
      </c>
      <c r="X47" s="53" t="n">
        <f aca="false">INDEX(L47:O50,1,1)</f>
        <v>0.728021978021982</v>
      </c>
    </row>
    <row r="48" customFormat="false" ht="14.15" hidden="false" customHeight="true" outlineLevel="0" collapsed="false">
      <c r="B48" s="54" t="n">
        <v>-0.032967032967033</v>
      </c>
      <c r="C48" s="55" t="n">
        <v>0.00549450549450549</v>
      </c>
      <c r="E48" s="54" t="n">
        <v>-0.164835164835165</v>
      </c>
      <c r="F48" s="56" t="n">
        <v>0.0774225774225774</v>
      </c>
      <c r="G48" s="50" t="n">
        <v>-0.00599400599400599</v>
      </c>
      <c r="L48" s="54" t="n">
        <v>-0.430860805860808</v>
      </c>
      <c r="M48" s="56" t="n">
        <v>0.411969974469976</v>
      </c>
      <c r="N48" s="51" t="n">
        <v>-0.0785464535464539</v>
      </c>
      <c r="O48" s="50" t="n">
        <v>0.00403069153069155</v>
      </c>
      <c r="Q48" s="57" t="s">
        <v>12</v>
      </c>
      <c r="R48" s="53" t="n">
        <f aca="false">INDEX(B47:C48,2,2)</f>
        <v>0.00549450549450549</v>
      </c>
      <c r="T48" s="57" t="s">
        <v>12</v>
      </c>
      <c r="U48" s="53" t="n">
        <f aca="false">INDEX(E47:G49,2,2)</f>
        <v>0.0774225774225774</v>
      </c>
      <c r="W48" s="57" t="s">
        <v>12</v>
      </c>
      <c r="X48" s="53" t="n">
        <f aca="false">INDEX(L47:O50,2,2)</f>
        <v>0.411969974469976</v>
      </c>
    </row>
    <row r="49" customFormat="false" ht="14.15" hidden="false" customHeight="true" outlineLevel="0" collapsed="false">
      <c r="E49" s="54" t="n">
        <v>0.010989010989011</v>
      </c>
      <c r="F49" s="51" t="n">
        <v>-0.005994005994006</v>
      </c>
      <c r="G49" s="55" t="n">
        <v>0.000499500499500499</v>
      </c>
      <c r="L49" s="54" t="n">
        <v>0.068681318681319</v>
      </c>
      <c r="M49" s="51" t="n">
        <v>-0.0785464535464538</v>
      </c>
      <c r="N49" s="56" t="n">
        <v>0.0162337662337663</v>
      </c>
      <c r="O49" s="50" t="n">
        <v>-0.000874125874125876</v>
      </c>
      <c r="T49" s="57" t="s">
        <v>11</v>
      </c>
      <c r="U49" s="53" t="n">
        <f aca="false">INDEX(E47:G49,3,3)</f>
        <v>0.000499500499500499</v>
      </c>
      <c r="W49" s="57" t="s">
        <v>11</v>
      </c>
      <c r="X49" s="53" t="n">
        <f aca="false">INDEX(L47:O50,3,3)</f>
        <v>0.0162337662337663</v>
      </c>
    </row>
    <row r="50" customFormat="false" ht="14.15" hidden="false" customHeight="true" outlineLevel="0" collapsed="false">
      <c r="L50" s="54" t="n">
        <v>-0.00320512820512822</v>
      </c>
      <c r="M50" s="51" t="n">
        <v>0.00403069153069154</v>
      </c>
      <c r="N50" s="51" t="n">
        <v>-0.000874125874125876</v>
      </c>
      <c r="O50" s="55" t="n">
        <v>4.85625485625486E-005</v>
      </c>
      <c r="W50" s="57" t="s">
        <v>10</v>
      </c>
      <c r="X50" s="53" t="n">
        <f aca="false">INDEX(L47:O50,4,4)</f>
        <v>4.85625485625486E-005</v>
      </c>
    </row>
    <row r="51" customFormat="false" ht="8.5" hidden="false" customHeight="true" outlineLevel="0" collapsed="false"/>
    <row r="52" customFormat="false" ht="14.15" hidden="false" customHeight="true" outlineLevel="0" collapsed="false">
      <c r="B52" s="39" t="s">
        <v>87</v>
      </c>
      <c r="C52" s="58"/>
      <c r="E52" s="39" t="s">
        <v>87</v>
      </c>
      <c r="F52" s="2"/>
      <c r="L52" s="39" t="s">
        <v>88</v>
      </c>
      <c r="R52" s="39" t="s">
        <v>89</v>
      </c>
      <c r="U52" s="39" t="s">
        <v>89</v>
      </c>
      <c r="X52" s="39" t="s">
        <v>89</v>
      </c>
    </row>
    <row r="53" customFormat="false" ht="14.15" hidden="false" customHeight="true" outlineLevel="0" collapsed="false">
      <c r="B53" s="59" t="n">
        <f aca="false" t="array" ref="B53:B54">MMULT(TRANSPOSE(CHOOSE({1,2}, 1, B13:B25)),C13:C25)</f>
        <v>14495</v>
      </c>
      <c r="C53" s="58"/>
      <c r="D53" s="58"/>
      <c r="E53" s="59" t="n">
        <f aca="false" t="array" ref="E53:E55">MMULT(TRANSPOSE(CHOOSE({1,2,3}, 1, B13:B25, B13:B25^2)),C13:C25)</f>
        <v>14495</v>
      </c>
      <c r="F53" s="58"/>
      <c r="G53" s="58"/>
      <c r="H53" s="60"/>
      <c r="I53" s="60"/>
      <c r="J53" s="60"/>
      <c r="K53" s="60"/>
      <c r="L53" s="59" t="n">
        <f aca="false" t="array" ref="L53:L56">MMULT(TRANSPOSE(CHOOSE({1,2,3,4}, 1, B13:B25, B13:B25^2, B13:B25^3)),C13:C25)</f>
        <v>14495</v>
      </c>
      <c r="M53" s="58"/>
      <c r="N53" s="58"/>
      <c r="O53" s="58"/>
      <c r="Q53" s="52" t="s">
        <v>90</v>
      </c>
      <c r="R53" s="53" t="n">
        <f aca="false">SQRT($Q$36*R47)</f>
        <v>279.476551533654</v>
      </c>
      <c r="T53" s="52" t="s">
        <v>90</v>
      </c>
      <c r="U53" s="53" t="n">
        <f aca="false">SQRT($T$36*U47)</f>
        <v>65.224009602074</v>
      </c>
      <c r="W53" s="52" t="s">
        <v>90</v>
      </c>
      <c r="X53" s="53" t="n">
        <f aca="false">SQRT($W$36*X47)</f>
        <v>1.04247015772813E-013</v>
      </c>
    </row>
    <row r="54" customFormat="false" ht="14.15" hidden="false" customHeight="true" outlineLevel="0" collapsed="false">
      <c r="B54" s="59" t="n">
        <v>142662</v>
      </c>
      <c r="C54" s="58"/>
      <c r="D54" s="58"/>
      <c r="E54" s="59" t="n">
        <v>142662</v>
      </c>
      <c r="F54" s="58"/>
      <c r="G54" s="58"/>
      <c r="H54" s="60"/>
      <c r="I54" s="60"/>
      <c r="J54" s="60"/>
      <c r="K54" s="60"/>
      <c r="L54" s="59" t="n">
        <v>142662</v>
      </c>
      <c r="M54" s="58"/>
      <c r="N54" s="58"/>
      <c r="O54" s="58"/>
      <c r="Q54" s="57" t="s">
        <v>91</v>
      </c>
      <c r="R54" s="53" t="n">
        <f aca="false">SQRT($Q$36*R48)</f>
        <v>39.5239529544156</v>
      </c>
      <c r="T54" s="57" t="s">
        <v>91</v>
      </c>
      <c r="U54" s="53" t="n">
        <f aca="false">SQRT($T$36*U48)</f>
        <v>25.2530054788393</v>
      </c>
      <c r="W54" s="57" t="s">
        <v>91</v>
      </c>
      <c r="X54" s="53" t="n">
        <f aca="false">SQRT($W$36*X48)</f>
        <v>7.84195180051553E-014</v>
      </c>
    </row>
    <row r="55" customFormat="false" ht="14.15" hidden="false" customHeight="true" outlineLevel="0" collapsed="false">
      <c r="B55" s="58"/>
      <c r="C55" s="58"/>
      <c r="D55" s="58"/>
      <c r="E55" s="59" t="n">
        <v>1471132</v>
      </c>
      <c r="F55" s="58"/>
      <c r="G55" s="58"/>
      <c r="H55" s="60"/>
      <c r="I55" s="60"/>
      <c r="J55" s="60"/>
      <c r="K55" s="60"/>
      <c r="L55" s="59" t="n">
        <v>1471132</v>
      </c>
      <c r="M55" s="58"/>
      <c r="N55" s="58"/>
      <c r="O55" s="58"/>
      <c r="T55" s="57" t="s">
        <v>92</v>
      </c>
      <c r="U55" s="53" t="n">
        <f aca="false">SQRT($T$36*U49)</f>
        <v>2.02837021134844</v>
      </c>
      <c r="W55" s="57" t="s">
        <v>92</v>
      </c>
      <c r="X55" s="53" t="n">
        <f aca="false">SQRT($W$36*X49)</f>
        <v>1.55668603816126E-014</v>
      </c>
    </row>
    <row r="56" customFormat="false" ht="14.15" hidden="false" customHeight="true" outlineLevel="0" collapsed="false">
      <c r="B56" s="58"/>
      <c r="C56" s="58"/>
      <c r="D56" s="58"/>
      <c r="E56" s="58"/>
      <c r="F56" s="58"/>
      <c r="G56" s="60"/>
      <c r="H56" s="60"/>
      <c r="I56" s="60"/>
      <c r="J56" s="60"/>
      <c r="K56" s="60"/>
      <c r="L56" s="59" t="n">
        <v>15637284</v>
      </c>
      <c r="M56" s="58"/>
      <c r="N56" s="58"/>
      <c r="O56" s="58"/>
      <c r="W56" s="57" t="s">
        <v>93</v>
      </c>
      <c r="X56" s="53" t="n">
        <f aca="false">SQRT($W$36*X50)</f>
        <v>8.51416616156163E-016</v>
      </c>
    </row>
    <row r="57" customFormat="false" ht="8.5" hidden="false" customHeight="true" outlineLevel="0" collapsed="false">
      <c r="B57" s="58"/>
      <c r="C57" s="58"/>
      <c r="D57" s="58"/>
      <c r="E57" s="58"/>
      <c r="F57" s="58"/>
      <c r="G57" s="60"/>
      <c r="H57" s="60"/>
      <c r="I57" s="60"/>
      <c r="J57" s="60"/>
      <c r="K57" s="60"/>
      <c r="L57" s="60"/>
      <c r="M57" s="60"/>
      <c r="N57" s="60"/>
      <c r="O57" s="60"/>
    </row>
    <row r="58" customFormat="false" ht="14.15" hidden="false" customHeight="true" outlineLevel="0" collapsed="false">
      <c r="B58" s="39" t="s">
        <v>94</v>
      </c>
      <c r="C58" s="58"/>
      <c r="E58" s="39" t="s">
        <v>94</v>
      </c>
      <c r="F58" s="2"/>
      <c r="L58" s="39" t="s">
        <v>94</v>
      </c>
      <c r="Q58" s="8" t="s">
        <v>95</v>
      </c>
      <c r="R58" s="39" t="s">
        <v>96</v>
      </c>
      <c r="T58" s="8" t="s">
        <v>95</v>
      </c>
      <c r="U58" s="39" t="s">
        <v>96</v>
      </c>
      <c r="W58" s="8" t="s">
        <v>95</v>
      </c>
      <c r="X58" s="39" t="s">
        <v>96</v>
      </c>
    </row>
    <row r="59" customFormat="false" ht="14.15" hidden="false" customHeight="true" outlineLevel="0" collapsed="false">
      <c r="B59" s="61" t="n">
        <f aca="false" t="array" ref="B59:B60">MMULT(B47:C48,B53:B54)</f>
        <v>-720.999999999999</v>
      </c>
      <c r="C59" s="58"/>
      <c r="D59" s="58"/>
      <c r="E59" s="61" t="n">
        <f aca="false" t="array" ref="E59:E61">MMULT(E47:G49,E53:E55)</f>
        <v>136.999999999987</v>
      </c>
      <c r="F59" s="58"/>
      <c r="G59" s="58"/>
      <c r="H59" s="60"/>
      <c r="I59" s="60"/>
      <c r="J59" s="60"/>
      <c r="K59" s="60"/>
      <c r="L59" s="62" t="n">
        <f aca="false" t="array" ref="L59:L62">MMULT(L47:O50,L53:L56)</f>
        <v>5.00000000000728</v>
      </c>
      <c r="M59" s="58"/>
      <c r="N59" s="58"/>
      <c r="O59" s="58"/>
      <c r="Q59" s="52" t="s">
        <v>13</v>
      </c>
      <c r="R59" s="53" t="n">
        <f aca="false">B59/R53</f>
        <v>-2.57982287259323</v>
      </c>
      <c r="T59" s="52" t="s">
        <v>13</v>
      </c>
      <c r="U59" s="63" t="n">
        <f aca="false">E59/U53</f>
        <v>2.10045351145709</v>
      </c>
      <c r="W59" s="52" t="s">
        <v>13</v>
      </c>
      <c r="X59" s="63" t="n">
        <f aca="false">L59/X53</f>
        <v>47963003669130.1</v>
      </c>
    </row>
    <row r="60" customFormat="false" ht="14.15" hidden="false" customHeight="true" outlineLevel="0" collapsed="false">
      <c r="B60" s="61" t="n">
        <v>306</v>
      </c>
      <c r="C60" s="58"/>
      <c r="D60" s="58"/>
      <c r="E60" s="61" t="n">
        <v>-161.999999999995</v>
      </c>
      <c r="F60" s="58"/>
      <c r="G60" s="58"/>
      <c r="H60" s="60"/>
      <c r="I60" s="60"/>
      <c r="J60" s="60"/>
      <c r="K60" s="60"/>
      <c r="L60" s="62" t="n">
        <v>4.00000000000819</v>
      </c>
      <c r="M60" s="58"/>
      <c r="N60" s="58"/>
      <c r="O60" s="58"/>
      <c r="Q60" s="57" t="s">
        <v>12</v>
      </c>
      <c r="R60" s="53" t="n">
        <f aca="false">B60/R54</f>
        <v>7.74214057872503</v>
      </c>
      <c r="T60" s="57" t="s">
        <v>12</v>
      </c>
      <c r="U60" s="63" t="n">
        <f aca="false">E60/U54</f>
        <v>-6.41507800470495</v>
      </c>
      <c r="W60" s="57" t="s">
        <v>12</v>
      </c>
      <c r="X60" s="63" t="n">
        <f aca="false">L60/X54</f>
        <v>51007709582520.3</v>
      </c>
    </row>
    <row r="61" customFormat="false" ht="14.15" hidden="false" customHeight="true" outlineLevel="0" collapsed="false">
      <c r="B61" s="58"/>
      <c r="C61" s="58"/>
      <c r="D61" s="58"/>
      <c r="E61" s="61" t="n">
        <v>38.9999999999997</v>
      </c>
      <c r="F61" s="58"/>
      <c r="G61" s="58"/>
      <c r="H61" s="60"/>
      <c r="I61" s="60"/>
      <c r="J61" s="60"/>
      <c r="K61" s="60"/>
      <c r="L61" s="62" t="n">
        <v>3.00000000000296</v>
      </c>
      <c r="M61" s="58"/>
      <c r="N61" s="58"/>
      <c r="O61" s="58"/>
      <c r="T61" s="57" t="s">
        <v>11</v>
      </c>
      <c r="U61" s="63" t="n">
        <f aca="false">E61/U55</f>
        <v>19.2272592950736</v>
      </c>
      <c r="W61" s="57" t="s">
        <v>11</v>
      </c>
      <c r="X61" s="63" t="n">
        <f aca="false">L61/X55</f>
        <v>192717087868696</v>
      </c>
    </row>
    <row r="62" customFormat="false" ht="14.15" hidden="false" customHeight="true" outlineLevel="0" collapsed="false">
      <c r="B62" s="58"/>
      <c r="C62" s="58"/>
      <c r="D62" s="58"/>
      <c r="E62" s="58"/>
      <c r="F62" s="58"/>
      <c r="G62" s="60"/>
      <c r="H62" s="60"/>
      <c r="I62" s="60"/>
      <c r="J62" s="60"/>
      <c r="K62" s="60"/>
      <c r="L62" s="62" t="n">
        <v>1.99999999999996</v>
      </c>
      <c r="M62" s="58"/>
      <c r="N62" s="58"/>
      <c r="O62" s="58"/>
      <c r="W62" s="57" t="s">
        <v>10</v>
      </c>
      <c r="X62" s="63" t="n">
        <f aca="false">L62/X56</f>
        <v>2349026272272251</v>
      </c>
    </row>
    <row r="63" customFormat="false" ht="8.5" hidden="false" customHeight="true" outlineLevel="0" collapsed="false"/>
    <row r="64" customFormat="false" ht="15" hidden="false" customHeight="false" outlineLevel="0" collapsed="false">
      <c r="Q64" s="8" t="s">
        <v>97</v>
      </c>
      <c r="R64" s="39" t="s">
        <v>98</v>
      </c>
      <c r="T64" s="8" t="s">
        <v>97</v>
      </c>
      <c r="U64" s="39" t="s">
        <v>98</v>
      </c>
      <c r="W64" s="8" t="s">
        <v>97</v>
      </c>
      <c r="X64" s="39" t="s">
        <v>98</v>
      </c>
    </row>
    <row r="65" customFormat="false" ht="15" hidden="false" customHeight="false" outlineLevel="0" collapsed="false">
      <c r="Q65" s="52" t="s">
        <v>13</v>
      </c>
      <c r="R65" s="64" t="n">
        <f aca="false">_xlfn.T.DIST.2T(ABS(R59),$E$32)</f>
        <v>0.0255983855295944</v>
      </c>
      <c r="T65" s="52" t="s">
        <v>13</v>
      </c>
      <c r="U65" s="64" t="n">
        <f aca="false">_xlfn.T.DIST.2T(ABS(U59),$F$32)</f>
        <v>0.0620299422471469</v>
      </c>
      <c r="W65" s="52" t="s">
        <v>13</v>
      </c>
      <c r="X65" s="64" t="n">
        <f aca="false">_xlfn.T.DIST.2T(ABS(X59),$G$32)</f>
        <v>3.7906481575111E-120</v>
      </c>
    </row>
    <row r="66" customFormat="false" ht="15" hidden="false" customHeight="false" outlineLevel="0" collapsed="false">
      <c r="Q66" s="57" t="s">
        <v>12</v>
      </c>
      <c r="R66" s="64" t="n">
        <f aca="false">_xlfn.T.DIST.2T(ABS(R60),$E$32)</f>
        <v>8.90736413654875E-006</v>
      </c>
      <c r="T66" s="57" t="s">
        <v>12</v>
      </c>
      <c r="U66" s="64" t="n">
        <f aca="false">_xlfn.T.DIST.2T(ABS(U60),$F$32)</f>
        <v>7.68281202590906E-005</v>
      </c>
      <c r="W66" s="57" t="s">
        <v>12</v>
      </c>
      <c r="X66" s="64" t="n">
        <f aca="false">_xlfn.T.DIST.2T(ABS(X60),$G$32)</f>
        <v>2.17845416682972E-120</v>
      </c>
    </row>
    <row r="67" customFormat="false" ht="15" hidden="false" customHeight="false" outlineLevel="0" collapsed="false">
      <c r="T67" s="57" t="s">
        <v>11</v>
      </c>
      <c r="U67" s="64" t="n">
        <f aca="false">_xlfn.T.DIST.2T(ABS(U61),$F$32)</f>
        <v>3.15348246062046E-009</v>
      </c>
      <c r="W67" s="57" t="s">
        <v>11</v>
      </c>
      <c r="X67" s="64" t="n">
        <f aca="false">_xlfn.T.DIST.2T(ABS(X61),$G$32)</f>
        <v>1.38863725082844E-125</v>
      </c>
    </row>
    <row r="68" customFormat="false" ht="15" hidden="false" customHeight="false" outlineLevel="0" collapsed="false">
      <c r="W68" s="57" t="s">
        <v>10</v>
      </c>
      <c r="X68" s="64" t="n">
        <f aca="false">_xlfn.T.DIST.2T(ABS(X62),$G$32)</f>
        <v>2.33819089191502E-135</v>
      </c>
    </row>
    <row r="69" customFormat="false" ht="8.5" hidden="false" customHeight="true" outlineLevel="0" collapsed="false"/>
    <row r="70" customFormat="false" ht="15" hidden="false" customHeight="false" outlineLevel="0" collapsed="false">
      <c r="T70" s="2" t="s">
        <v>99</v>
      </c>
    </row>
  </sheetData>
  <mergeCells count="28">
    <mergeCell ref="B2:C2"/>
    <mergeCell ref="B5:C5"/>
    <mergeCell ref="N5:O5"/>
    <mergeCell ref="B11:C11"/>
    <mergeCell ref="E11:G11"/>
    <mergeCell ref="I11:J11"/>
    <mergeCell ref="L11:N11"/>
    <mergeCell ref="Q11:R11"/>
    <mergeCell ref="T11:U11"/>
    <mergeCell ref="W11:X11"/>
    <mergeCell ref="B30:C30"/>
    <mergeCell ref="E30:G30"/>
    <mergeCell ref="I30:J30"/>
    <mergeCell ref="Q30:R30"/>
    <mergeCell ref="T30:U30"/>
    <mergeCell ref="W30:X30"/>
    <mergeCell ref="B34:C34"/>
    <mergeCell ref="Q34:R34"/>
    <mergeCell ref="T34:U34"/>
    <mergeCell ref="W34:X34"/>
    <mergeCell ref="B38:C38"/>
    <mergeCell ref="Q38:R38"/>
    <mergeCell ref="B40:C40"/>
    <mergeCell ref="E40:G40"/>
    <mergeCell ref="L40:O40"/>
    <mergeCell ref="B46:C46"/>
    <mergeCell ref="E46:G46"/>
    <mergeCell ref="L46:O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2025-04-29T17:32:18Z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