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t²" sheetId="1" state="visible" r:id="rId3"/>
    <sheet name="manual" sheetId="2" state="visible" r:id="rId4"/>
    <sheet name="built-in" sheetId="3" state="visible" r:id="rId5"/>
    <sheet name="prop" sheetId="4" state="visible" r:id="rId6"/>
    <sheet name="alternate" sheetId="5" state="visible" r:id="rId7"/>
    <sheet name="compar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<sst xmlns="http://schemas.openxmlformats.org/spreadsheetml/2006/main" count="368" uniqueCount="187">
  <si>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</si>
  <si>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</si>
  <si>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</si>
  <si>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</si>
  <si>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</si>
  <si>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</si>
  <si>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</si>
  <si>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x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</si>
  <si>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</si>
  <si>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</si>
  <si>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</si>
  <si>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</si>
  <si>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</si>
  <si>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</si>
  <si>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</si>
  <si>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</si>
  <si>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</si>
  <si>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</si>
  <si>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</si>
  <si>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</si>
  <si>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</si>
  <si>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</si>
  <si>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</si>
  <si>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</si>
  <si>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</si>
  <si>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</si>
  <si>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</si>
  <si>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</si>
  <si>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</si>
  <si>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</si>
  <si>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</si>
  <si>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</si>
  <si>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</si>
  <si>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</si>
  <si>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</si>
  <si>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</si>
  <si>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</si>
  <si>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</si>
  <si>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</si>
  <si>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</si>
  <si>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</si>
  <si>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</si>
  <si>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</si>
  <si>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</si>
  <si>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</si>
  <si>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</si>
  <si>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</si>
  <si>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</si>
  <si>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</si>
  <si>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</si>
  <si>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</si>
  <si>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</si>
  <si>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</si>
  <si>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</si>
  <si>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</si>
  <si>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</si>
  <si>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</si>
  <si>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</si>
  <si>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</si>
  <si>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</si>
  <si>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</si>
  <si>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</si>
  <si>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</si>
  <si>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Fit</t>
  </si>
  <si>
    <t xml:space="preserve">Statistic Properties</t>
  </si>
  <si>
    <t xml:space="preserve">xᵢ observed</t>
  </si>
  <si>
    <t xml:space="preserve">yᵢ observed</t>
  </si>
  <si>
    <t xml:space="preserve">ŷᵢ predicted</t>
  </si>
  <si>
    <t xml:space="preserve">properties</t>
  </si>
  <si>
    <t xml:space="preserve">value</t>
  </si>
  <si>
    <t xml:space="preserve">∑x</t>
  </si>
  <si>
    <t xml:space="preserve">=SUM(x_observed)</t>
  </si>
  <si>
    <t xml:space="preserve">∑y</t>
  </si>
  <si>
    <t xml:space="preserve">=SUM(y_observed)</t>
  </si>
  <si>
    <t xml:space="preserve">=COUNT(x_observed)</t>
  </si>
  <si>
    <t xml:space="preserve">=G9-1</t>
  </si>
  <si>
    <t xml:space="preserve">df = n-k-1</t>
  </si>
  <si>
    <t xml:space="preserve">=G9-2</t>
  </si>
  <si>
    <t xml:space="preserve">=AVERAGE(x_observed)</t>
  </si>
  <si>
    <t xml:space="preserve">=AVERAGE(y_observed)</t>
  </si>
  <si>
    <t xml:space="preserve">{=SUMSQ(x_observed-$G$12)}</t>
  </si>
  <si>
    <t xml:space="preserve">{=SUMSQ(y_observed-$G$13)}</t>
  </si>
  <si>
    <t xml:space="preserve">=SUMPRODUCT((x_observed-$G$12),(y_observed-$G$13))</t>
  </si>
  <si>
    <t xml:space="preserve">β̅₁ = m (slope)</t>
  </si>
  <si>
    <t xml:space="preserve">=G16/G14</t>
  </si>
  <si>
    <t xml:space="preserve">β̅₀ = b (intercept)</t>
  </si>
  <si>
    <t xml:space="preserve">=G13-G17*G12</t>
  </si>
  <si>
    <t xml:space="preserve">sₓ²=∑(xᵢ-x̄)²/(n-1)</t>
  </si>
  <si>
    <t xml:space="preserve">=G14/G10</t>
  </si>
  <si>
    <t xml:space="preserve">sy²=∑(yᵢ-ȳ)²/(n-1)</t>
  </si>
  <si>
    <t xml:space="preserve">=G15/G10</t>
  </si>
  <si>
    <t xml:space="preserve">cov=∑(xᵢ-x̄)(yᵢ-ȳ)/(n-1)</t>
  </si>
  <si>
    <t xml:space="preserve">=G16/G10</t>
  </si>
  <si>
    <t xml:space="preserve">=SQRT(G19)</t>
  </si>
  <si>
    <t xml:space="preserve">sy (std dev)</t>
  </si>
  <si>
    <t xml:space="preserve">=SQRT(G20)</t>
  </si>
  <si>
    <t xml:space="preserve">r (pearson)=cov/sₓsy</t>
  </si>
  <si>
    <t xml:space="preserve">=G21/(G22*G23)</t>
  </si>
  <si>
    <t xml:space="preserve">=G24^2</t>
  </si>
  <si>
    <t xml:space="preserve">=1-(1-G25)*G10/G11</t>
  </si>
  <si>
    <t xml:space="preserve">SSE = ∑ϵᵢ²</t>
  </si>
  <si>
    <t xml:space="preserve">=SUMSQ(y_observed-y_predicted)</t>
  </si>
  <si>
    <t xml:space="preserve">MSE = SSE/df</t>
  </si>
  <si>
    <t xml:space="preserve">=G27/G11</t>
  </si>
  <si>
    <t xml:space="preserve">SE(β₁) = std err slope</t>
  </si>
  <si>
    <t xml:space="preserve">=SQRT(G28/G14)</t>
  </si>
  <si>
    <t xml:space="preserve">t-value = β̅₁/SE(β₁)</t>
  </si>
  <si>
    <t xml:space="preserve">=G17/G29</t>
  </si>
  <si>
    <t xml:space="preserve">=T.DIST.2T(G30;G11)</t>
  </si>
  <si>
    <t xml:space="preserve">=SUM(x_sample)</t>
  </si>
  <si>
    <t xml:space="preserve">=SUM(y_sample)</t>
  </si>
  <si>
    <t xml:space="preserve">=COUNT(x_sample)</t>
  </si>
  <si>
    <t xml:space="preserve">=AVERAGE(x_sample)</t>
  </si>
  <si>
    <t xml:space="preserve">=AVERAGE(y_sample)</t>
  </si>
  <si>
    <t xml:space="preserve">{=SUMSQ(x_sample-$G$12)}</t>
  </si>
  <si>
    <t xml:space="preserve">{=SUMSQ(y_sample-$G$13)}</t>
  </si>
  <si>
    <t xml:space="preserve">=SUMPRODUCT((x_sample-$G$12),(y_sample-$G$13))</t>
  </si>
  <si>
    <t xml:space="preserve">=SLOPE(y_sample,x_sample)</t>
  </si>
  <si>
    <t xml:space="preserve">=INTERCEPT(y_sample,x_sample)</t>
  </si>
  <si>
    <t xml:space="preserve">=VAR.S(x_sample)</t>
  </si>
  <si>
    <t xml:space="preserve">sy² (variance)</t>
  </si>
  <si>
    <t xml:space="preserve">=VAR.S(y_sample)</t>
  </si>
  <si>
    <t xml:space="preserve">=COVARIANCE.S(x_sample,y_sample)</t>
  </si>
  <si>
    <t xml:space="preserve">=STDEV.S(x_sample)</t>
  </si>
  <si>
    <t xml:space="preserve">=STDEV.S(y_sample)</t>
  </si>
  <si>
    <t xml:space="preserve">=PEARSON(x_sample,y_sample)</t>
  </si>
  <si>
    <t xml:space="preserve">R² coeff</t>
  </si>
  <si>
    <t xml:space="preserve">=RSQ(y_sample,x_sample)</t>
  </si>
  <si>
    <t xml:space="preserve">{=SUMSQ(C7:C19-D7:D19)}</t>
  </si>
  <si>
    <t xml:space="preserve">Statistic Properties of Sample</t>
  </si>
  <si>
    <t xml:space="preserve">Series</t>
  </si>
  <si>
    <t xml:space="preserve">x data</t>
  </si>
  <si>
    <t xml:space="preserve">y data</t>
  </si>
  <si>
    <t xml:space="preserve">method</t>
  </si>
  <si>
    <t xml:space="preserve">prop: x</t>
  </si>
  <si>
    <t xml:space="preserve">prop: y</t>
  </si>
  <si>
    <t xml:space="preserve">sum</t>
  </si>
  <si>
    <t xml:space="preserve">count</t>
  </si>
  <si>
    <t xml:space="preserve">mean</t>
  </si>
  <si>
    <t xml:space="preserve">calculation</t>
  </si>
  <si>
    <t xml:space="preserve">variance</t>
  </si>
  <si>
    <t xml:space="preserve">std-dev</t>
  </si>
  <si>
    <t xml:space="preserve">SEM</t>
  </si>
  <si>
    <t xml:space="preserve">prop: x, y</t>
  </si>
  <si>
    <t xml:space="preserve">pearson</t>
  </si>
  <si>
    <t xml:space="preserve">Using Linest</t>
  </si>
  <si>
    <t xml:space="preserve">The easy way</t>
  </si>
  <si>
    <t xml:space="preserve">slope (m)</t>
  </si>
  <si>
    <t xml:space="preserve">m</t>
  </si>
  <si>
    <t xml:space="preserve">b</t>
  </si>
  <si>
    <t xml:space="preserve">intercept (b)</t>
  </si>
  <si>
    <t xml:space="preserve">adj. R² coeff</t>
  </si>
  <si>
    <t xml:space="preserve">SEE</t>
  </si>
  <si>
    <t xml:space="preserve">MSE</t>
  </si>
  <si>
    <t xml:space="preserve">Tabular Calculation in Details</t>
  </si>
  <si>
    <t xml:space="preserve">Coefficient of Determination</t>
  </si>
  <si>
    <t xml:space="preserve">(xᵢ-x̄).(yᵢ-ȳ)</t>
  </si>
  <si>
    <t xml:space="preserve">fit(x)</t>
  </si>
  <si>
    <t xml:space="preserve">ϵ (residual)</t>
  </si>
  <si>
    <t xml:space="preserve">ϵ²</t>
  </si>
  <si>
    <t xml:space="preserve">∑(xᵢ-x̄).(yᵢ-ȳ)</t>
  </si>
  <si>
    <t xml:space="preserve">misc</t>
  </si>
  <si>
    <t xml:space="preserve">SSR = ∑ϵ²</t>
  </si>
  <si>
    <t xml:space="preserve">Standard Error of Estimate</t>
  </si>
  <si>
    <t xml:space="preserve">MSE (s²)</t>
  </si>
  <si>
    <t xml:space="preserve">Mean Squared Error</t>
  </si>
  <si>
    <t xml:space="preserve">Linear Equation</t>
  </si>
  <si>
    <t xml:space="preserve">Second Order Polynomial</t>
  </si>
  <si>
    <t xml:space="preserve">Third Order Polynomial</t>
  </si>
  <si>
    <t xml:space="preserve">y = a + bx</t>
  </si>
  <si>
    <t xml:space="preserve">y = a + bx + cx²</t>
  </si>
  <si>
    <t xml:space="preserve">y = a + bx + cx² + dx³</t>
  </si>
  <si>
    <t xml:space="preserve">coeff.</t>
  </si>
  <si>
    <t xml:space="preserve">a</t>
  </si>
  <si>
    <t xml:space="preserve">c</t>
  </si>
  <si>
    <t xml:space="preserve">d</t>
  </si>
  <si>
    <t xml:space="preserve">x-sum</t>
  </si>
  <si>
    <t xml:space="preserve">y-sum</t>
  </si>
  <si>
    <t xml:space="preserve">x-count</t>
  </si>
  <si>
    <t xml:space="preserve">y-count</t>
  </si>
  <si>
    <t xml:space="preserve">x -mean</t>
  </si>
  <si>
    <t xml:space="preserve">y-mean</t>
  </si>
  <si>
    <t xml:space="preserve">x-variance</t>
  </si>
  <si>
    <t xml:space="preserve">y-variance</t>
  </si>
  <si>
    <t xml:space="preserve">x-std-dev</t>
  </si>
  <si>
    <t xml:space="preserve">y-std-dev</t>
  </si>
  <si>
    <t xml:space="preserve">m-slope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</si>
</sst>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#,##0.00"/>
    <numFmt numFmtId="168" formatCode="#,##0.0000000000"/>
    <numFmt numFmtId="169" formatCode="#,##0.0000"/>
    <numFmt numFmtId="170" formatCode="00\.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9C4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9C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>
        <color rgb="FF9E9E9E"/>
      </left>
      <right style="thin">
        <color rgb="FF9E9E9E"/>
      </right>
      <top/>
      <bottom/>
      <diagonal/>
    </border>
    <border diagonalUp="false" diagonalDown="false">
      <left/>
      <right style="thin">
        <color rgb="FF9E9E9E"/>
      </right>
      <top/>
      <bottom/>
      <diagonal/>
    </border>
    <border diagonalUp="true" diagonalDown="true">
      <left style="thin">
        <color rgb="FF009688"/>
      </left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9C4"/>
      <rgbColor rgb="FFE0F2F1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x_observed" displayName="x_observed" ref="B7:B19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x_sample" displayName="x_sample" ref="B7:B1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y_fit" displayName="y_fit" ref="D7:D1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y_observed" displayName="y_observed" ref="C7:C19" headerRowCount="1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y_predicted" displayName="y_predicted" ref="D7:D19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y_sample" displayName="y_sample" ref="C7:C19" headerRowCount="1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4.xml"/><Relationship Id="rId3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S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  <col collapsed="false" customWidth="true" hidden="false" outlineLevel="0" max="13" min="11" style="2" width="12.76"/>
    <col collapsed="false" customWidth="true" hidden="false" outlineLevel="0" max="14" min="14" style="1" width="2.56"/>
    <col collapsed="false" customWidth="true" hidden="false" outlineLevel="0" max="18" min="15" style="2" width="12.76"/>
    <col collapsed="false" customWidth="true" hidden="false" outlineLevel="0" max="19" min="19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4</v>
      </c>
      <c r="I5" s="6"/>
      <c r="J5" s="4"/>
      <c r="K5" s="6" t="s">
        <v>5</v>
      </c>
      <c r="L5" s="6"/>
      <c r="M5" s="6"/>
      <c r="N5" s="4"/>
      <c r="O5" s="6" t="s">
        <v>6</v>
      </c>
      <c r="P5" s="6"/>
      <c r="Q5" s="6"/>
      <c r="R5" s="4"/>
      <c r="S5" s="4"/>
    </row>
    <row r="6" customFormat="false" ht="14.15" hidden="false" customHeight="true" outlineLevel="0" collapsed="false">
      <c r="A6" s="3"/>
      <c r="B6" s="7" t="s">
        <v>7</v>
      </c>
      <c r="C6" s="8" t="s">
        <v>8</v>
      </c>
      <c r="D6" s="4"/>
      <c r="E6" s="7" t="s">
        <v>9</v>
      </c>
      <c r="F6" s="8" t="s">
        <v>10</v>
      </c>
      <c r="G6" s="4"/>
      <c r="H6" s="7" t="s">
        <v>11</v>
      </c>
      <c r="I6" s="8" t="s">
        <v>12</v>
      </c>
      <c r="J6" s="4"/>
      <c r="K6" s="7" t="s">
        <v>11</v>
      </c>
      <c r="L6" s="8" t="s">
        <v>13</v>
      </c>
      <c r="M6" s="9" t="s">
        <v>12</v>
      </c>
      <c r="N6" s="4"/>
      <c r="O6" s="7" t="s">
        <v>14</v>
      </c>
      <c r="P6" s="8" t="s">
        <v>15</v>
      </c>
      <c r="Q6" s="10" t="s">
        <v>16</v>
      </c>
      <c r="R6" s="4"/>
      <c r="S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4"/>
      <c r="E7" s="13" t="n">
        <f aca="false">B7-$B$30</f>
        <v>-6</v>
      </c>
      <c r="F7" s="12" t="n">
        <f aca="false">C7-$C$30</f>
        <v>-174</v>
      </c>
      <c r="G7" s="4"/>
      <c r="H7" s="13" t="n">
        <f aca="false">E7^2</f>
        <v>36</v>
      </c>
      <c r="I7" s="12" t="n">
        <f aca="false">E7*F7</f>
        <v>1044</v>
      </c>
      <c r="J7" s="4"/>
      <c r="K7" s="13" t="n">
        <f aca="false">E7^2</f>
        <v>36</v>
      </c>
      <c r="L7" s="12" t="n">
        <f aca="false">F7^2</f>
        <v>30276</v>
      </c>
      <c r="M7" s="12" t="n">
        <f aca="false">E7*F7</f>
        <v>1044</v>
      </c>
      <c r="N7" s="4"/>
      <c r="O7" s="13" t="n">
        <f aca="false">$I$26+$H$26*B7</f>
        <v>-61</v>
      </c>
      <c r="P7" s="12" t="n">
        <f aca="false">C7-O7</f>
        <v>66</v>
      </c>
      <c r="Q7" s="12" t="n">
        <f aca="false">P7^2</f>
        <v>4356</v>
      </c>
      <c r="R7" s="4"/>
      <c r="S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4"/>
      <c r="E8" s="13" t="n">
        <f aca="false">B8-$B$30</f>
        <v>-5</v>
      </c>
      <c r="F8" s="12" t="n">
        <f aca="false">C8-$C$30</f>
        <v>-167</v>
      </c>
      <c r="G8" s="4"/>
      <c r="H8" s="13" t="n">
        <f aca="false">E8^2</f>
        <v>25</v>
      </c>
      <c r="I8" s="12" t="n">
        <f aca="false">E8*F8</f>
        <v>835</v>
      </c>
      <c r="J8" s="4"/>
      <c r="K8" s="13" t="n">
        <f aca="false">E8^2</f>
        <v>25</v>
      </c>
      <c r="L8" s="12" t="n">
        <f aca="false">F8^2</f>
        <v>27889</v>
      </c>
      <c r="M8" s="12" t="n">
        <f aca="false">E8*F8</f>
        <v>835</v>
      </c>
      <c r="N8" s="4"/>
      <c r="O8" s="13" t="n">
        <f aca="false">$I$26+$H$26*B8</f>
        <v>-21</v>
      </c>
      <c r="P8" s="12" t="n">
        <f aca="false">C8-O8</f>
        <v>33</v>
      </c>
      <c r="Q8" s="12" t="n">
        <f aca="false">P8^2</f>
        <v>1089</v>
      </c>
      <c r="R8" s="4"/>
      <c r="S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4"/>
      <c r="E9" s="13" t="n">
        <f aca="false">B9-$B$30</f>
        <v>-4</v>
      </c>
      <c r="F9" s="12" t="n">
        <f aca="false">C9-$C$30</f>
        <v>-154</v>
      </c>
      <c r="G9" s="4"/>
      <c r="H9" s="13" t="n">
        <f aca="false">E9^2</f>
        <v>16</v>
      </c>
      <c r="I9" s="12" t="n">
        <f aca="false">E9*F9</f>
        <v>616</v>
      </c>
      <c r="J9" s="4"/>
      <c r="K9" s="13" t="n">
        <f aca="false">E9^2</f>
        <v>16</v>
      </c>
      <c r="L9" s="12" t="n">
        <f aca="false">F9^2</f>
        <v>23716</v>
      </c>
      <c r="M9" s="12" t="n">
        <f aca="false">E9*F9</f>
        <v>616</v>
      </c>
      <c r="N9" s="4"/>
      <c r="O9" s="13" t="n">
        <f aca="false">$I$26+$H$26*B9</f>
        <v>19</v>
      </c>
      <c r="P9" s="12" t="n">
        <f aca="false">C9-O9</f>
        <v>6</v>
      </c>
      <c r="Q9" s="12" t="n">
        <f aca="false">P9^2</f>
        <v>36</v>
      </c>
      <c r="R9" s="4"/>
      <c r="S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4"/>
      <c r="E10" s="13" t="n">
        <f aca="false">B10-$B$30</f>
        <v>-3</v>
      </c>
      <c r="F10" s="12" t="n">
        <f aca="false">C10-$C$30</f>
        <v>-135</v>
      </c>
      <c r="G10" s="4"/>
      <c r="H10" s="13" t="n">
        <f aca="false">E10^2</f>
        <v>9</v>
      </c>
      <c r="I10" s="12" t="n">
        <f aca="false">E10*F10</f>
        <v>405</v>
      </c>
      <c r="J10" s="4"/>
      <c r="K10" s="13" t="n">
        <f aca="false">E10^2</f>
        <v>9</v>
      </c>
      <c r="L10" s="12" t="n">
        <f aca="false">F10^2</f>
        <v>18225</v>
      </c>
      <c r="M10" s="12" t="n">
        <f aca="false">E10*F10</f>
        <v>405</v>
      </c>
      <c r="N10" s="4"/>
      <c r="O10" s="13" t="n">
        <f aca="false">$I$26+$H$26*B10</f>
        <v>59</v>
      </c>
      <c r="P10" s="12" t="n">
        <f aca="false">C10-O10</f>
        <v>-15</v>
      </c>
      <c r="Q10" s="12" t="n">
        <f aca="false">P10^2</f>
        <v>225</v>
      </c>
      <c r="R10" s="4"/>
      <c r="S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4"/>
      <c r="E11" s="13" t="n">
        <f aca="false">B11-$B$30</f>
        <v>-2</v>
      </c>
      <c r="F11" s="12" t="n">
        <f aca="false">C11-$C$30</f>
        <v>-110</v>
      </c>
      <c r="G11" s="4"/>
      <c r="H11" s="13" t="n">
        <f aca="false">E11^2</f>
        <v>4</v>
      </c>
      <c r="I11" s="12" t="n">
        <f aca="false">E11*F11</f>
        <v>220</v>
      </c>
      <c r="J11" s="4"/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N11" s="4"/>
      <c r="O11" s="13" t="n">
        <f aca="false">$I$26+$H$26*B11</f>
        <v>99</v>
      </c>
      <c r="P11" s="12" t="n">
        <f aca="false">C11-O11</f>
        <v>-30</v>
      </c>
      <c r="Q11" s="12" t="n">
        <f aca="false">P11^2</f>
        <v>900</v>
      </c>
      <c r="R11" s="4"/>
      <c r="S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4"/>
      <c r="E12" s="13" t="n">
        <f aca="false">B12-$B$30</f>
        <v>-1</v>
      </c>
      <c r="F12" s="12" t="n">
        <f aca="false">C12-$C$30</f>
        <v>-79</v>
      </c>
      <c r="G12" s="4"/>
      <c r="H12" s="13" t="n">
        <f aca="false">E12^2</f>
        <v>1</v>
      </c>
      <c r="I12" s="12" t="n">
        <f aca="false">E12*F12</f>
        <v>79</v>
      </c>
      <c r="J12" s="4"/>
      <c r="K12" s="13" t="n">
        <f aca="false">E12^2</f>
        <v>1</v>
      </c>
      <c r="L12" s="12" t="n">
        <f aca="false">F12^2</f>
        <v>6241</v>
      </c>
      <c r="M12" s="12" t="n">
        <f aca="false">E12*F12</f>
        <v>79</v>
      </c>
      <c r="N12" s="4"/>
      <c r="O12" s="13" t="n">
        <f aca="false">$I$26+$H$26*B12</f>
        <v>139</v>
      </c>
      <c r="P12" s="12" t="n">
        <f aca="false">C12-O12</f>
        <v>-39</v>
      </c>
      <c r="Q12" s="12" t="n">
        <f aca="false">P12^2</f>
        <v>1521</v>
      </c>
      <c r="R12" s="4"/>
      <c r="S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4"/>
      <c r="E13" s="13" t="n">
        <f aca="false">B13-$B$30</f>
        <v>0</v>
      </c>
      <c r="F13" s="12" t="n">
        <f aca="false">C13-$C$30</f>
        <v>-42</v>
      </c>
      <c r="G13" s="4"/>
      <c r="H13" s="13" t="n">
        <f aca="false">E13^2</f>
        <v>0</v>
      </c>
      <c r="I13" s="12" t="n">
        <f aca="false">E13*F13</f>
        <v>-0</v>
      </c>
      <c r="J13" s="4"/>
      <c r="K13" s="13" t="n">
        <f aca="false">E13^2</f>
        <v>0</v>
      </c>
      <c r="L13" s="12" t="n">
        <f aca="false">F13^2</f>
        <v>1764</v>
      </c>
      <c r="M13" s="12" t="n">
        <f aca="false">E13*F13</f>
        <v>-0</v>
      </c>
      <c r="N13" s="4"/>
      <c r="O13" s="13" t="n">
        <f aca="false">$I$26+$H$26*B13</f>
        <v>179</v>
      </c>
      <c r="P13" s="12" t="n">
        <f aca="false">C13-O13</f>
        <v>-42</v>
      </c>
      <c r="Q13" s="12" t="n">
        <f aca="false">P13^2</f>
        <v>1764</v>
      </c>
      <c r="R13" s="4"/>
      <c r="S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4"/>
      <c r="E14" s="13" t="n">
        <f aca="false">B14-$B$30</f>
        <v>1</v>
      </c>
      <c r="F14" s="12" t="n">
        <f aca="false">C14-$C$30</f>
        <v>1</v>
      </c>
      <c r="G14" s="4"/>
      <c r="H14" s="13" t="n">
        <f aca="false">E14^2</f>
        <v>1</v>
      </c>
      <c r="I14" s="12" t="n">
        <f aca="false">E14*F14</f>
        <v>1</v>
      </c>
      <c r="J14" s="4"/>
      <c r="K14" s="13" t="n">
        <f aca="false">E14^2</f>
        <v>1</v>
      </c>
      <c r="L14" s="12" t="n">
        <f aca="false">F14^2</f>
        <v>1</v>
      </c>
      <c r="M14" s="12" t="n">
        <f aca="false">E14*F14</f>
        <v>1</v>
      </c>
      <c r="N14" s="4"/>
      <c r="O14" s="13" t="n">
        <f aca="false">$I$26+$H$26*B14</f>
        <v>219</v>
      </c>
      <c r="P14" s="12" t="n">
        <f aca="false">C14-O14</f>
        <v>-39</v>
      </c>
      <c r="Q14" s="12" t="n">
        <f aca="false">P14^2</f>
        <v>1521</v>
      </c>
      <c r="R14" s="4"/>
      <c r="S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4"/>
      <c r="E15" s="13" t="n">
        <f aca="false">B15-$B$30</f>
        <v>2</v>
      </c>
      <c r="F15" s="12" t="n">
        <f aca="false">C15-$C$30</f>
        <v>50</v>
      </c>
      <c r="G15" s="4"/>
      <c r="H15" s="13" t="n">
        <f aca="false">E15^2</f>
        <v>4</v>
      </c>
      <c r="I15" s="12" t="n">
        <f aca="false">E15*F15</f>
        <v>100</v>
      </c>
      <c r="J15" s="4"/>
      <c r="K15" s="13" t="n">
        <f aca="false">E15^2</f>
        <v>4</v>
      </c>
      <c r="L15" s="12" t="n">
        <f aca="false">F15^2</f>
        <v>2500</v>
      </c>
      <c r="M15" s="12" t="n">
        <f aca="false">E15*F15</f>
        <v>100</v>
      </c>
      <c r="N15" s="4"/>
      <c r="O15" s="13" t="n">
        <f aca="false">$I$26+$H$26*B15</f>
        <v>259</v>
      </c>
      <c r="P15" s="12" t="n">
        <f aca="false">C15-O15</f>
        <v>-30</v>
      </c>
      <c r="Q15" s="12" t="n">
        <f aca="false">P15^2</f>
        <v>900</v>
      </c>
      <c r="R15" s="4"/>
      <c r="S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4"/>
      <c r="E16" s="13" t="n">
        <f aca="false">B16-$B$30</f>
        <v>3</v>
      </c>
      <c r="F16" s="12" t="n">
        <f aca="false">C16-$C$30</f>
        <v>105</v>
      </c>
      <c r="G16" s="4"/>
      <c r="H16" s="13" t="n">
        <f aca="false">E16^2</f>
        <v>9</v>
      </c>
      <c r="I16" s="12" t="n">
        <f aca="false">E16*F16</f>
        <v>315</v>
      </c>
      <c r="J16" s="4"/>
      <c r="K16" s="13" t="n">
        <f aca="false">E16^2</f>
        <v>9</v>
      </c>
      <c r="L16" s="12" t="n">
        <f aca="false">F16^2</f>
        <v>11025</v>
      </c>
      <c r="M16" s="12" t="n">
        <f aca="false">E16*F16</f>
        <v>315</v>
      </c>
      <c r="N16" s="4"/>
      <c r="O16" s="13" t="n">
        <f aca="false">$I$26+$H$26*B16</f>
        <v>299</v>
      </c>
      <c r="P16" s="12" t="n">
        <f aca="false">C16-O16</f>
        <v>-15</v>
      </c>
      <c r="Q16" s="12" t="n">
        <f aca="false">P16^2</f>
        <v>225</v>
      </c>
      <c r="R16" s="4"/>
      <c r="S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4"/>
      <c r="E17" s="13" t="n">
        <f aca="false">B17-$B$30</f>
        <v>4</v>
      </c>
      <c r="F17" s="12" t="n">
        <f aca="false">C17-$C$30</f>
        <v>166</v>
      </c>
      <c r="G17" s="4"/>
      <c r="H17" s="13" t="n">
        <f aca="false">E17^2</f>
        <v>16</v>
      </c>
      <c r="I17" s="12" t="n">
        <f aca="false">E17*F17</f>
        <v>664</v>
      </c>
      <c r="J17" s="4"/>
      <c r="K17" s="13" t="n">
        <f aca="false">E17^2</f>
        <v>16</v>
      </c>
      <c r="L17" s="12" t="n">
        <f aca="false">F17^2</f>
        <v>27556</v>
      </c>
      <c r="M17" s="12" t="n">
        <f aca="false">E17*F17</f>
        <v>664</v>
      </c>
      <c r="N17" s="4"/>
      <c r="O17" s="13" t="n">
        <f aca="false">$I$26+$H$26*B17</f>
        <v>339</v>
      </c>
      <c r="P17" s="12" t="n">
        <f aca="false">C17-O17</f>
        <v>6</v>
      </c>
      <c r="Q17" s="12" t="n">
        <f aca="false">P17^2</f>
        <v>36</v>
      </c>
      <c r="R17" s="4"/>
      <c r="S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4"/>
      <c r="E18" s="13" t="n">
        <f aca="false">B18-$B$30</f>
        <v>5</v>
      </c>
      <c r="F18" s="12" t="n">
        <f aca="false">C18-$C$30</f>
        <v>233</v>
      </c>
      <c r="G18" s="4"/>
      <c r="H18" s="13" t="n">
        <f aca="false">E18^2</f>
        <v>25</v>
      </c>
      <c r="I18" s="12" t="n">
        <f aca="false">E18*F18</f>
        <v>1165</v>
      </c>
      <c r="J18" s="4"/>
      <c r="K18" s="13" t="n">
        <f aca="false">E18^2</f>
        <v>25</v>
      </c>
      <c r="L18" s="12" t="n">
        <f aca="false">F18^2</f>
        <v>54289</v>
      </c>
      <c r="M18" s="12" t="n">
        <f aca="false">E18*F18</f>
        <v>1165</v>
      </c>
      <c r="N18" s="4"/>
      <c r="O18" s="13" t="n">
        <f aca="false">$I$26+$H$26*B18</f>
        <v>379</v>
      </c>
      <c r="P18" s="12" t="n">
        <f aca="false">C18-O18</f>
        <v>33</v>
      </c>
      <c r="Q18" s="12" t="n">
        <f aca="false">P18^2</f>
        <v>1089</v>
      </c>
      <c r="R18" s="4"/>
      <c r="S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4"/>
      <c r="E19" s="13" t="n">
        <f aca="false">B19-$B$30</f>
        <v>6</v>
      </c>
      <c r="F19" s="12" t="n">
        <f aca="false">C19-$C$30</f>
        <v>306</v>
      </c>
      <c r="G19" s="4"/>
      <c r="H19" s="13" t="n">
        <f aca="false">E19^2</f>
        <v>36</v>
      </c>
      <c r="I19" s="12" t="n">
        <f aca="false">E19*F19</f>
        <v>1836</v>
      </c>
      <c r="J19" s="4"/>
      <c r="K19" s="13" t="n">
        <f aca="false">E19^2</f>
        <v>36</v>
      </c>
      <c r="L19" s="12" t="n">
        <f aca="false">F19^2</f>
        <v>93636</v>
      </c>
      <c r="M19" s="12" t="n">
        <f aca="false">E19*F19</f>
        <v>1836</v>
      </c>
      <c r="N19" s="4"/>
      <c r="O19" s="13" t="n">
        <f aca="false">$I$26+$H$26*B19</f>
        <v>419</v>
      </c>
      <c r="P19" s="12" t="n">
        <f aca="false">C19-O19</f>
        <v>66</v>
      </c>
      <c r="Q19" s="12" t="n">
        <f aca="false">P19^2</f>
        <v>4356</v>
      </c>
      <c r="R19" s="4"/>
      <c r="S19" s="4"/>
    </row>
    <row r="20" customFormat="false" ht="8.25" hidden="false" customHeight="true" outlineLevel="0" collapsed="false">
      <c r="A20" s="3"/>
      <c r="B20" s="14"/>
      <c r="C20" s="15"/>
      <c r="D20" s="4"/>
      <c r="E20" s="14"/>
      <c r="F20" s="15"/>
      <c r="G20" s="4"/>
      <c r="H20" s="14"/>
      <c r="I20" s="15"/>
      <c r="J20" s="4"/>
      <c r="K20" s="14"/>
      <c r="L20" s="15"/>
      <c r="M20" s="15"/>
      <c r="N20" s="4"/>
      <c r="O20" s="16"/>
      <c r="P20" s="16"/>
      <c r="Q20" s="16"/>
      <c r="R20" s="4"/>
      <c r="S20" s="4"/>
    </row>
    <row r="21" customFormat="false" ht="14.15" hidden="false" customHeight="true" outlineLevel="0" collapsed="false">
      <c r="A21" s="4"/>
      <c r="B21" s="7" t="s">
        <v>17</v>
      </c>
      <c r="C21" s="8" t="s">
        <v>18</v>
      </c>
      <c r="D21" s="4"/>
      <c r="E21" s="7" t="s">
        <v>19</v>
      </c>
      <c r="F21" s="8" t="s">
        <v>20</v>
      </c>
      <c r="G21" s="4"/>
      <c r="H21" s="7" t="s">
        <v>21</v>
      </c>
      <c r="I21" s="8" t="s">
        <v>22</v>
      </c>
      <c r="J21" s="4"/>
      <c r="K21" s="7" t="s">
        <v>21</v>
      </c>
      <c r="L21" s="8" t="s">
        <v>23</v>
      </c>
      <c r="M21" s="9" t="s">
        <v>22</v>
      </c>
      <c r="N21" s="4"/>
      <c r="O21" s="3"/>
      <c r="P21" s="3"/>
      <c r="Q21" s="17" t="s">
        <v>24</v>
      </c>
      <c r="R21" s="4"/>
      <c r="S21" s="4"/>
    </row>
    <row r="22" customFormat="false" ht="14.15" hidden="false" customHeight="true" outlineLevel="0" collapsed="false">
      <c r="A22" s="4"/>
      <c r="B22" s="11" t="n">
        <f aca="false">SUM(B7:B19)</f>
        <v>78</v>
      </c>
      <c r="C22" s="12" t="n">
        <f aca="false">SUM(C7:C19)</f>
        <v>2327</v>
      </c>
      <c r="D22" s="4"/>
      <c r="E22" s="11" t="n">
        <f aca="false">SUM(E7:E19)</f>
        <v>0</v>
      </c>
      <c r="F22" s="12" t="n">
        <f aca="false">SUM(F7:F19)</f>
        <v>0</v>
      </c>
      <c r="G22" s="4"/>
      <c r="H22" s="11" t="n">
        <f aca="false">SUM(H7:H19)</f>
        <v>182</v>
      </c>
      <c r="I22" s="12" t="n">
        <f aca="false">SUM(I7:I19)</f>
        <v>7280</v>
      </c>
      <c r="J22" s="4"/>
      <c r="K22" s="11" t="n">
        <f aca="false">SUM(K7:K19)</f>
        <v>182</v>
      </c>
      <c r="L22" s="12" t="n">
        <f aca="false">SUM(L7:L19)</f>
        <v>309218</v>
      </c>
      <c r="M22" s="12" t="n">
        <f aca="false">SUM(M7:M19)</f>
        <v>7280</v>
      </c>
      <c r="N22" s="4"/>
      <c r="O22" s="3"/>
      <c r="P22" s="3"/>
      <c r="Q22" s="18" t="n">
        <f aca="false">SUM(Q7:Q19)</f>
        <v>18018</v>
      </c>
      <c r="R22" s="4"/>
      <c r="S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4"/>
    </row>
    <row r="24" customFormat="false" ht="14.15" hidden="false" customHeight="true" outlineLevel="0" collapsed="false">
      <c r="A24" s="3"/>
      <c r="B24" s="17" t="s">
        <v>25</v>
      </c>
      <c r="C24" s="17"/>
      <c r="D24" s="4"/>
      <c r="E24" s="17" t="s">
        <v>26</v>
      </c>
      <c r="F24" s="17"/>
      <c r="G24" s="4"/>
      <c r="H24" s="7" t="s">
        <v>27</v>
      </c>
      <c r="I24" s="8" t="s">
        <v>28</v>
      </c>
      <c r="J24" s="4"/>
      <c r="K24" s="7" t="s">
        <v>29</v>
      </c>
      <c r="L24" s="8" t="s">
        <v>30</v>
      </c>
      <c r="M24" s="9" t="s">
        <v>31</v>
      </c>
      <c r="N24" s="4"/>
      <c r="O24" s="3"/>
      <c r="P24" s="3"/>
      <c r="Q24" s="17" t="s">
        <v>32</v>
      </c>
      <c r="R24" s="4"/>
      <c r="S24" s="4"/>
    </row>
    <row r="25" customFormat="false" ht="14.15" hidden="false" customHeight="true" outlineLevel="0" collapsed="false">
      <c r="A25" s="4"/>
      <c r="B25" s="7" t="s">
        <v>33</v>
      </c>
      <c r="C25" s="8" t="s">
        <v>33</v>
      </c>
      <c r="D25" s="4"/>
      <c r="E25" s="7" t="s">
        <v>34</v>
      </c>
      <c r="F25" s="8" t="s">
        <v>34</v>
      </c>
      <c r="G25" s="4"/>
      <c r="H25" s="7" t="s">
        <v>35</v>
      </c>
      <c r="I25" s="8" t="s">
        <v>36</v>
      </c>
      <c r="J25" s="4"/>
      <c r="K25" s="7" t="s">
        <v>37</v>
      </c>
      <c r="L25" s="19" t="s">
        <v>38</v>
      </c>
      <c r="M25" s="17" t="s">
        <v>39</v>
      </c>
      <c r="N25" s="4"/>
      <c r="O25" s="3"/>
      <c r="P25" s="3"/>
      <c r="Q25" s="18" t="n">
        <f aca="false">Q22/$E$30</f>
        <v>1638</v>
      </c>
      <c r="R25" s="4"/>
      <c r="S25" s="4"/>
    </row>
    <row r="26" customFormat="false" ht="14.15" hidden="false" customHeight="true" outlineLevel="0" collapsed="false">
      <c r="A26" s="4"/>
      <c r="B26" s="11" t="n">
        <f aca="false">COUNT(B7:B19)</f>
        <v>13</v>
      </c>
      <c r="C26" s="12" t="n">
        <f aca="false">COUNT(C7:C19)</f>
        <v>13</v>
      </c>
      <c r="D26" s="4"/>
      <c r="E26" s="11" t="n">
        <f aca="false">COUNT(B7:B19)-1</f>
        <v>12</v>
      </c>
      <c r="F26" s="12" t="n">
        <f aca="false">COUNT(C7:C19)-1</f>
        <v>12</v>
      </c>
      <c r="G26" s="4"/>
      <c r="H26" s="20" t="n">
        <f aca="false">I22/H22</f>
        <v>40</v>
      </c>
      <c r="I26" s="21" t="n">
        <f aca="false">C30-H26*B30</f>
        <v>-61</v>
      </c>
      <c r="J26" s="4"/>
      <c r="K26" s="20" t="n">
        <f aca="false">K22/E26</f>
        <v>15.1666666666667</v>
      </c>
      <c r="L26" s="21" t="n">
        <f aca="false">L22/F26</f>
        <v>25768.1666666667</v>
      </c>
      <c r="M26" s="21" t="n">
        <f aca="false">M22/E26</f>
        <v>606.666666666667</v>
      </c>
      <c r="N26" s="4"/>
      <c r="O26" s="3"/>
      <c r="P26" s="3"/>
      <c r="Q26" s="3"/>
      <c r="R26" s="4"/>
      <c r="S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4"/>
    </row>
    <row r="28" customFormat="false" ht="14.15" hidden="false" customHeight="true" outlineLevel="0" collapsed="false">
      <c r="A28" s="3"/>
      <c r="B28" s="17" t="s">
        <v>40</v>
      </c>
      <c r="C28" s="17"/>
      <c r="D28" s="4"/>
      <c r="E28" s="17" t="s">
        <v>41</v>
      </c>
      <c r="F28" s="17"/>
      <c r="G28" s="4"/>
      <c r="H28" s="3"/>
      <c r="I28" s="3"/>
      <c r="J28" s="4"/>
      <c r="K28" s="7" t="s">
        <v>42</v>
      </c>
      <c r="L28" s="8" t="s">
        <v>43</v>
      </c>
      <c r="M28" s="9" t="s">
        <v>44</v>
      </c>
      <c r="N28" s="4"/>
      <c r="O28" s="3"/>
      <c r="P28" s="3"/>
      <c r="Q28" s="17" t="s">
        <v>45</v>
      </c>
      <c r="R28" s="4"/>
      <c r="S28" s="4"/>
    </row>
    <row r="29" customFormat="false" ht="14.15" hidden="false" customHeight="true" outlineLevel="0" collapsed="false">
      <c r="A29" s="4"/>
      <c r="B29" s="7" t="s">
        <v>46</v>
      </c>
      <c r="C29" s="8" t="s">
        <v>47</v>
      </c>
      <c r="D29" s="4"/>
      <c r="E29" s="17" t="s">
        <v>48</v>
      </c>
      <c r="F29" s="3"/>
      <c r="G29" s="4"/>
      <c r="H29" s="22" t="s">
        <v>49</v>
      </c>
      <c r="I29" s="22"/>
      <c r="J29" s="4"/>
      <c r="K29" s="7" t="s">
        <v>50</v>
      </c>
      <c r="L29" s="19" t="s">
        <v>51</v>
      </c>
      <c r="M29" s="17" t="s">
        <v>52</v>
      </c>
      <c r="N29" s="4"/>
      <c r="O29" s="3"/>
      <c r="P29" s="3"/>
      <c r="Q29" s="17" t="s">
        <v>53</v>
      </c>
      <c r="R29" s="4"/>
      <c r="S29" s="4"/>
    </row>
    <row r="30" customFormat="false" ht="14.15" hidden="false" customHeight="true" outlineLevel="0" collapsed="false">
      <c r="A30" s="4"/>
      <c r="B30" s="20" t="n">
        <f aca="false">B22/B26</f>
        <v>6</v>
      </c>
      <c r="C30" s="21" t="n">
        <f aca="false">C22/C26</f>
        <v>179</v>
      </c>
      <c r="D30" s="4"/>
      <c r="E30" s="18" t="n">
        <f aca="false">COUNT(B7:B19)-2</f>
        <v>11</v>
      </c>
      <c r="F30" s="3"/>
      <c r="G30" s="4"/>
      <c r="H30" s="4" t="str">
        <f aca="false">CONCATENATE("y = ",TEXT(I26,"#.##0,00")," + ",TEXT(H26,"#.##0,00"),".x")</f>
        <v>y = -61.00000 + 40.00000.x</v>
      </c>
      <c r="I30" s="3"/>
      <c r="J30" s="4"/>
      <c r="K30" s="20" t="n">
        <f aca="false">SQRT(K26)</f>
        <v>3.89444048184931</v>
      </c>
      <c r="L30" s="21" t="n">
        <f aca="false">SQRT(L26)</f>
        <v>160.524660618444</v>
      </c>
      <c r="M30" s="21" t="n">
        <f aca="false">M26/(K30*L30)</f>
        <v>0.970427962120067</v>
      </c>
      <c r="N30" s="4"/>
      <c r="O30" s="3"/>
      <c r="P30" s="3"/>
      <c r="Q30" s="23" t="n">
        <f aca="false">SQRT(Q25/K22)</f>
        <v>3</v>
      </c>
      <c r="R30" s="4"/>
      <c r="S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  <c r="K32" s="22" t="s">
        <v>54</v>
      </c>
      <c r="L32" s="22"/>
      <c r="M32" s="8" t="s">
        <v>55</v>
      </c>
      <c r="N32" s="4"/>
      <c r="O32" s="3"/>
      <c r="P32" s="3"/>
      <c r="Q32" s="3"/>
      <c r="R32" s="4"/>
      <c r="S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  <c r="K33" s="24" t="s">
        <v>56</v>
      </c>
      <c r="L33" s="24"/>
      <c r="M33" s="21" t="n">
        <f aca="false">M30^2</f>
        <v>0.941730429664507</v>
      </c>
      <c r="N33" s="4"/>
      <c r="O33" s="3"/>
      <c r="P33" s="3"/>
      <c r="Q33" s="17" t="s">
        <v>57</v>
      </c>
      <c r="R33" s="25" t="s">
        <v>58</v>
      </c>
      <c r="S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  <c r="K34" s="22" t="s">
        <v>54</v>
      </c>
      <c r="L34" s="22"/>
      <c r="M34" s="8" t="s">
        <v>59</v>
      </c>
      <c r="N34" s="4"/>
      <c r="O34" s="3"/>
      <c r="P34" s="3"/>
      <c r="Q34" s="17" t="s">
        <v>60</v>
      </c>
      <c r="R34" s="25" t="s">
        <v>61</v>
      </c>
      <c r="S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  <c r="K35" s="24" t="s">
        <v>62</v>
      </c>
      <c r="L35" s="24"/>
      <c r="M35" s="21" t="n">
        <f aca="false">1-(1-M33)*(B26-1)/(B26-1-1)</f>
        <v>0.936433195997644</v>
      </c>
      <c r="N35" s="4"/>
      <c r="O35" s="3"/>
      <c r="P35" s="3"/>
      <c r="Q35" s="23" t="n">
        <f aca="false">H26/Q30</f>
        <v>13.3333333333333</v>
      </c>
      <c r="R35" s="26" t="n">
        <f aca="false">_xlfn.T.DIST.2T(Q35,$E$30)</f>
        <v>3.91117071946834E-008</v>
      </c>
      <c r="S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4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4" min="2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5.9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63</v>
      </c>
      <c r="E5" s="4"/>
      <c r="F5" s="31" t="s">
        <v>64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8" t="s">
        <v>67</v>
      </c>
      <c r="E6" s="4"/>
      <c r="F6" s="32" t="s">
        <v>68</v>
      </c>
      <c r="G6" s="33" t="s">
        <v>69</v>
      </c>
      <c r="H6" s="19"/>
      <c r="I6" s="32" t="s">
        <v>61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$G$18+$G$17*B7</f>
        <v>-61</v>
      </c>
      <c r="E7" s="4"/>
      <c r="F7" s="34" t="s">
        <v>70</v>
      </c>
      <c r="G7" s="35" t="n">
        <f aca="false">SUM(x_observed)</f>
        <v>78</v>
      </c>
      <c r="H7" s="36"/>
      <c r="I7" s="37" t="s">
        <v>71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$G$18+$G$17*B8</f>
        <v>-21</v>
      </c>
      <c r="E8" s="4"/>
      <c r="F8" s="34" t="s">
        <v>72</v>
      </c>
      <c r="G8" s="35" t="n">
        <f aca="false">SUM(y_observed)</f>
        <v>2327</v>
      </c>
      <c r="H8" s="36"/>
      <c r="I8" s="37" t="s">
        <v>73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$G$18+$G$17*B9</f>
        <v>19</v>
      </c>
      <c r="E9" s="4"/>
      <c r="F9" s="34" t="s">
        <v>33</v>
      </c>
      <c r="G9" s="35" t="n">
        <f aca="false">COUNT(x_observed)</f>
        <v>13</v>
      </c>
      <c r="H9" s="36"/>
      <c r="I9" s="37" t="s">
        <v>74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$G$18+$G$17*B10</f>
        <v>59</v>
      </c>
      <c r="E10" s="4"/>
      <c r="F10" s="34" t="s">
        <v>34</v>
      </c>
      <c r="G10" s="35" t="n">
        <f aca="false">G9-1</f>
        <v>12</v>
      </c>
      <c r="H10" s="36"/>
      <c r="I10" s="37" t="s">
        <v>75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$G$18+$G$17*B11</f>
        <v>99</v>
      </c>
      <c r="E11" s="4"/>
      <c r="F11" s="34" t="s">
        <v>76</v>
      </c>
      <c r="G11" s="35" t="n">
        <f aca="false">G9-2</f>
        <v>11</v>
      </c>
      <c r="H11" s="36"/>
      <c r="I11" s="37" t="s">
        <v>77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$G$18+$G$17*B12</f>
        <v>139</v>
      </c>
      <c r="E12" s="4"/>
      <c r="F12" s="34" t="s">
        <v>46</v>
      </c>
      <c r="G12" s="38" t="n">
        <f aca="false">AVERAGE(x_observed)</f>
        <v>6</v>
      </c>
      <c r="H12" s="39"/>
      <c r="I12" s="40" t="s">
        <v>78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$G$18+$G$17*B13</f>
        <v>179</v>
      </c>
      <c r="E13" s="4"/>
      <c r="F13" s="34" t="s">
        <v>47</v>
      </c>
      <c r="G13" s="38" t="n">
        <f aca="false">AVERAGE(y_observed)</f>
        <v>179</v>
      </c>
      <c r="H13" s="39"/>
      <c r="I13" s="40" t="s">
        <v>79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$G$18+$G$17*B14</f>
        <v>219</v>
      </c>
      <c r="E14" s="4"/>
      <c r="F14" s="34" t="s">
        <v>21</v>
      </c>
      <c r="G14" s="38" t="n">
        <f aca="false">SUMSQ(x_observed-$G$12)</f>
        <v>182</v>
      </c>
      <c r="H14" s="39"/>
      <c r="I14" s="40" t="s">
        <v>80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$G$18+$G$17*B15</f>
        <v>259</v>
      </c>
      <c r="E15" s="4"/>
      <c r="F15" s="34" t="s">
        <v>23</v>
      </c>
      <c r="G15" s="38" t="n">
        <f aca="false">SUMSQ(y_observed-$G$13)</f>
        <v>309218</v>
      </c>
      <c r="H15" s="39"/>
      <c r="I15" s="40" t="s">
        <v>81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$G$18+$G$17*B16</f>
        <v>299</v>
      </c>
      <c r="E16" s="4"/>
      <c r="F16" s="34" t="s">
        <v>22</v>
      </c>
      <c r="G16" s="38" t="n">
        <f aca="false">SUMPRODUCT((x_observed-$G$12),(y_observed-$G$13))</f>
        <v>7280</v>
      </c>
      <c r="H16" s="39"/>
      <c r="I16" s="40" t="s">
        <v>82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$G$18+$G$17*B17</f>
        <v>339</v>
      </c>
      <c r="E17" s="4"/>
      <c r="F17" s="34" t="s">
        <v>83</v>
      </c>
      <c r="G17" s="38" t="n">
        <f aca="false">G16/G14</f>
        <v>40</v>
      </c>
      <c r="H17" s="39"/>
      <c r="I17" s="40" t="s">
        <v>84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$G$18+$G$17*B18</f>
        <v>379</v>
      </c>
      <c r="E18" s="4"/>
      <c r="F18" s="34" t="s">
        <v>85</v>
      </c>
      <c r="G18" s="38" t="n">
        <f aca="false">G13-G17*G12</f>
        <v>-61</v>
      </c>
      <c r="H18" s="39"/>
      <c r="I18" s="40" t="s">
        <v>86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$G$18+$G$17*B19</f>
        <v>419</v>
      </c>
      <c r="E19" s="4"/>
      <c r="F19" s="34" t="s">
        <v>87</v>
      </c>
      <c r="G19" s="38" t="n">
        <f aca="false">G14/G10</f>
        <v>15.1666666666667</v>
      </c>
      <c r="H19" s="39"/>
      <c r="I19" s="40" t="s">
        <v>88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89</v>
      </c>
      <c r="G20" s="38" t="n">
        <f aca="false">G15/G10</f>
        <v>25768.1666666667</v>
      </c>
      <c r="H20" s="39"/>
      <c r="I20" s="40" t="s">
        <v>90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91</v>
      </c>
      <c r="G21" s="38" t="n">
        <f aca="false">G16/G10</f>
        <v>606.666666666667</v>
      </c>
      <c r="H21" s="39"/>
      <c r="I21" s="40" t="s">
        <v>92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50</v>
      </c>
      <c r="G22" s="38" t="n">
        <f aca="false">SQRT(G19)</f>
        <v>3.89444048184931</v>
      </c>
      <c r="H22" s="39"/>
      <c r="I22" s="40" t="s">
        <v>93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94</v>
      </c>
      <c r="G23" s="38" t="n">
        <f aca="false">SQRT(G20)</f>
        <v>160.524660618444</v>
      </c>
      <c r="H23" s="39"/>
      <c r="I23" s="40" t="s">
        <v>95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96</v>
      </c>
      <c r="G24" s="38" t="n">
        <f aca="false">G21/(G22*G23)</f>
        <v>0.970427962120068</v>
      </c>
      <c r="H24" s="39"/>
      <c r="I24" s="40" t="s">
        <v>97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56</v>
      </c>
      <c r="G25" s="41" t="n">
        <f aca="false">G24^2</f>
        <v>0.941730429664508</v>
      </c>
      <c r="H25" s="39"/>
      <c r="I25" s="40" t="s">
        <v>98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59</v>
      </c>
      <c r="G26" s="41" t="n">
        <f aca="false">1-(1-G25)*G10/G11</f>
        <v>0.936433195997646</v>
      </c>
      <c r="H26" s="39"/>
      <c r="I26" s="40" t="s">
        <v>99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100</v>
      </c>
      <c r="G27" s="38" t="n">
        <f aca="false">SUMSQ(y_observed-y_predicted)</f>
        <v>18018</v>
      </c>
      <c r="H27" s="39"/>
      <c r="I27" s="40" t="s">
        <v>101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102</v>
      </c>
      <c r="G28" s="38" t="n">
        <f aca="false">G27/G11</f>
        <v>1638</v>
      </c>
      <c r="H28" s="39"/>
      <c r="I28" s="40" t="s">
        <v>103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104</v>
      </c>
      <c r="G29" s="38" t="n">
        <f aca="false">SQRT(G28/G14)</f>
        <v>3</v>
      </c>
      <c r="H29" s="39"/>
      <c r="I29" s="40" t="s">
        <v>105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106</v>
      </c>
      <c r="G30" s="38" t="n">
        <f aca="false">G17/G29</f>
        <v>13.3333333333333</v>
      </c>
      <c r="H30" s="39"/>
      <c r="I30" s="40" t="s">
        <v>107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58</v>
      </c>
      <c r="G31" s="42" t="n">
        <f aca="false">_xlfn.T.DIST.2T(G30,G11)</f>
        <v>3.91117071946834E-008</v>
      </c>
      <c r="H31" s="43"/>
      <c r="I31" s="44" t="s">
        <v>108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4" min="2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5.9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63</v>
      </c>
      <c r="E5" s="4"/>
      <c r="F5" s="31" t="s">
        <v>64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8" t="s">
        <v>67</v>
      </c>
      <c r="E6" s="4"/>
      <c r="F6" s="32" t="s">
        <v>68</v>
      </c>
      <c r="G6" s="33" t="s">
        <v>69</v>
      </c>
      <c r="H6" s="19"/>
      <c r="I6" s="32" t="s">
        <v>61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$G$18+$G$17*B7</f>
        <v>-61</v>
      </c>
      <c r="E7" s="4"/>
      <c r="F7" s="34" t="s">
        <v>70</v>
      </c>
      <c r="G7" s="35" t="n">
        <f aca="false">SUM(x_sample)</f>
        <v>78</v>
      </c>
      <c r="H7" s="36"/>
      <c r="I7" s="37" t="s">
        <v>109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$G$18+$G$17*B8</f>
        <v>-21</v>
      </c>
      <c r="E8" s="4"/>
      <c r="F8" s="34" t="s">
        <v>72</v>
      </c>
      <c r="G8" s="35" t="n">
        <f aca="false">SUM(y_sample)</f>
        <v>2327</v>
      </c>
      <c r="H8" s="36"/>
      <c r="I8" s="37" t="s">
        <v>110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$G$18+$G$17*B9</f>
        <v>19</v>
      </c>
      <c r="E9" s="4"/>
      <c r="F9" s="34" t="s">
        <v>33</v>
      </c>
      <c r="G9" s="35" t="n">
        <f aca="false">COUNT(x_sample)</f>
        <v>13</v>
      </c>
      <c r="H9" s="36"/>
      <c r="I9" s="37" t="s">
        <v>111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$G$18+$G$17*B10</f>
        <v>59</v>
      </c>
      <c r="E10" s="4"/>
      <c r="F10" s="34" t="s">
        <v>34</v>
      </c>
      <c r="G10" s="35" t="n">
        <f aca="false">G9-1</f>
        <v>12</v>
      </c>
      <c r="H10" s="36"/>
      <c r="I10" s="37" t="s">
        <v>75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$G$18+$G$17*B11</f>
        <v>99</v>
      </c>
      <c r="E11" s="4"/>
      <c r="F11" s="34" t="s">
        <v>76</v>
      </c>
      <c r="G11" s="35" t="n">
        <f aca="false">G9-1-1</f>
        <v>11</v>
      </c>
      <c r="H11" s="36"/>
      <c r="I11" s="37" t="s">
        <v>77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$G$18+$G$17*B12</f>
        <v>139</v>
      </c>
      <c r="E12" s="4"/>
      <c r="F12" s="34" t="s">
        <v>46</v>
      </c>
      <c r="G12" s="38" t="n">
        <f aca="false">AVERAGE(x_sample)</f>
        <v>6</v>
      </c>
      <c r="H12" s="39"/>
      <c r="I12" s="40" t="s">
        <v>112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$G$18+$G$17*B13</f>
        <v>179</v>
      </c>
      <c r="E13" s="4"/>
      <c r="F13" s="34" t="s">
        <v>47</v>
      </c>
      <c r="G13" s="38" t="n">
        <f aca="false">AVERAGE(y_sample)</f>
        <v>179</v>
      </c>
      <c r="H13" s="39"/>
      <c r="I13" s="40" t="s">
        <v>113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$G$18+$G$17*B14</f>
        <v>219</v>
      </c>
      <c r="E14" s="4"/>
      <c r="F14" s="34" t="s">
        <v>21</v>
      </c>
      <c r="G14" s="38" t="n">
        <f aca="false" t="array" ref="G14:G14">SUMSQ(x_sample-$G$12)</f>
        <v>182</v>
      </c>
      <c r="H14" s="39"/>
      <c r="I14" s="40" t="s">
        <v>114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$G$18+$G$17*B15</f>
        <v>259</v>
      </c>
      <c r="E15" s="4"/>
      <c r="F15" s="34" t="s">
        <v>23</v>
      </c>
      <c r="G15" s="38" t="n">
        <f aca="false" t="array" ref="G15:G15">SUMSQ(y_sample-$G$13)</f>
        <v>309218</v>
      </c>
      <c r="H15" s="39"/>
      <c r="I15" s="40" t="s">
        <v>115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$G$18+$G$17*B16</f>
        <v>299</v>
      </c>
      <c r="E16" s="4"/>
      <c r="F16" s="34" t="s">
        <v>22</v>
      </c>
      <c r="G16" s="38" t="n">
        <f aca="false">SUMPRODUCT((x_sample-$G$12),(y_sample-$G$13))</f>
        <v>7280</v>
      </c>
      <c r="H16" s="39"/>
      <c r="I16" s="40" t="s">
        <v>116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$G$18+$G$17*B17</f>
        <v>339</v>
      </c>
      <c r="E17" s="4"/>
      <c r="F17" s="34" t="s">
        <v>83</v>
      </c>
      <c r="G17" s="38" t="n">
        <f aca="false">SLOPE(y_sample,x_sample)</f>
        <v>40</v>
      </c>
      <c r="H17" s="39"/>
      <c r="I17" s="40" t="s">
        <v>117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$G$18+$G$17*B18</f>
        <v>379</v>
      </c>
      <c r="E18" s="4"/>
      <c r="F18" s="34" t="s">
        <v>85</v>
      </c>
      <c r="G18" s="38" t="n">
        <f aca="false">INTERCEPT(y_sample,x_sample)</f>
        <v>-61</v>
      </c>
      <c r="H18" s="39"/>
      <c r="I18" s="40" t="s">
        <v>118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$G$18+$G$17*B19</f>
        <v>419</v>
      </c>
      <c r="E19" s="4"/>
      <c r="F19" s="34" t="s">
        <v>37</v>
      </c>
      <c r="G19" s="38" t="n">
        <f aca="false">_xlfn.VAR.S(x_sample)</f>
        <v>15.1666666666667</v>
      </c>
      <c r="H19" s="39"/>
      <c r="I19" s="40" t="s">
        <v>119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120</v>
      </c>
      <c r="G20" s="38" t="n">
        <f aca="false">_xlfn.VAR.S(y_sample)</f>
        <v>25768.1666666667</v>
      </c>
      <c r="H20" s="39"/>
      <c r="I20" s="40" t="s">
        <v>121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39</v>
      </c>
      <c r="G21" s="38" t="n">
        <f aca="false">_xlfn.COVARIANCE.S(x_sample,y_sample)</f>
        <v>606.666666666667</v>
      </c>
      <c r="H21" s="39"/>
      <c r="I21" s="40" t="s">
        <v>122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50</v>
      </c>
      <c r="G22" s="38" t="n">
        <f aca="false">_xlfn.STDEV.S(x_sample)</f>
        <v>3.89444048184931</v>
      </c>
      <c r="H22" s="39"/>
      <c r="I22" s="40" t="s">
        <v>123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94</v>
      </c>
      <c r="G23" s="38" t="n">
        <f aca="false">_xlfn.STDEV.S(y_sample)</f>
        <v>160.524660618444</v>
      </c>
      <c r="H23" s="39"/>
      <c r="I23" s="40" t="s">
        <v>124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52</v>
      </c>
      <c r="G24" s="38" t="n">
        <f aca="false">PEARSON(x_sample,y_sample)</f>
        <v>0.970427962120068</v>
      </c>
      <c r="H24" s="39"/>
      <c r="I24" s="40" t="s">
        <v>125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126</v>
      </c>
      <c r="G25" s="41" t="n">
        <f aca="false">RSQ(y_sample,x_sample)</f>
        <v>0.941730429664509</v>
      </c>
      <c r="H25" s="39"/>
      <c r="I25" s="40" t="s">
        <v>127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59</v>
      </c>
      <c r="G26" s="41" t="n">
        <f aca="false">1-(1-G25)*G10/G11</f>
        <v>0.936433195997646</v>
      </c>
      <c r="H26" s="39"/>
      <c r="I26" s="40" t="s">
        <v>99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100</v>
      </c>
      <c r="G27" s="38" t="n">
        <f aca="false" t="array" ref="G27:G27">SUMSQ(y_sample-y_fit)</f>
        <v>18018</v>
      </c>
      <c r="H27" s="39"/>
      <c r="I27" s="40" t="s">
        <v>128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102</v>
      </c>
      <c r="G28" s="38" t="n">
        <f aca="false">G27/G11</f>
        <v>1638</v>
      </c>
      <c r="H28" s="39"/>
      <c r="I28" s="40" t="s">
        <v>103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104</v>
      </c>
      <c r="G29" s="38" t="n">
        <f aca="false">SQRT(G28/G14)</f>
        <v>3</v>
      </c>
      <c r="H29" s="39"/>
      <c r="I29" s="40" t="s">
        <v>105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106</v>
      </c>
      <c r="G30" s="38" t="n">
        <f aca="false">G17/G29</f>
        <v>13.3333333333333</v>
      </c>
      <c r="H30" s="39"/>
      <c r="I30" s="40" t="s">
        <v>107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58</v>
      </c>
      <c r="G31" s="42" t="n">
        <f aca="false">_xlfn.T.DIST.2T(G30,G11)</f>
        <v>3.91117071946834E-008</v>
      </c>
      <c r="H31" s="43"/>
      <c r="I31" s="44" t="s">
        <v>108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I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11.24"/>
    <col collapsed="false" customWidth="true" hidden="false" outlineLevel="0" max="8" min="6" style="1" width="10.2"/>
    <col collapsed="false" customWidth="true" hidden="false" outlineLevel="0" max="9" min="9" style="1" width="2.56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129</v>
      </c>
      <c r="C2" s="46"/>
      <c r="D2" s="46"/>
      <c r="I2" s="2"/>
    </row>
    <row r="3" customFormat="false" ht="8.25" hidden="false" customHeight="true" outlineLevel="0" collapsed="false">
      <c r="A3" s="45"/>
    </row>
    <row r="4" customFormat="false" ht="13.5" hidden="false" customHeight="true" outlineLevel="0" collapsed="false">
      <c r="A4" s="45"/>
      <c r="B4" s="47" t="s">
        <v>130</v>
      </c>
      <c r="C4" s="47"/>
      <c r="I4" s="2"/>
    </row>
    <row r="5" customFormat="false" ht="13.5" hidden="false" customHeight="true" outlineLevel="0" collapsed="false">
      <c r="A5" s="45"/>
      <c r="B5" s="7" t="s">
        <v>131</v>
      </c>
      <c r="C5" s="8" t="s">
        <v>132</v>
      </c>
      <c r="E5" s="17" t="s">
        <v>68</v>
      </c>
      <c r="F5" s="8" t="s">
        <v>133</v>
      </c>
      <c r="G5" s="9" t="s">
        <v>134</v>
      </c>
      <c r="H5" s="8" t="s">
        <v>135</v>
      </c>
      <c r="I5" s="2"/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34" t="s">
        <v>136</v>
      </c>
      <c r="F6" s="48" t="s">
        <v>61</v>
      </c>
      <c r="G6" s="21" t="n">
        <f aca="false">SUM(B6:B18)</f>
        <v>78</v>
      </c>
      <c r="H6" s="21" t="n">
        <f aca="false">SUM(C6:C18)</f>
        <v>2327</v>
      </c>
      <c r="I6" s="2"/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34" t="s">
        <v>137</v>
      </c>
      <c r="F7" s="48" t="s">
        <v>61</v>
      </c>
      <c r="G7" s="21" t="n">
        <f aca="false">COUNT(B6:B18)</f>
        <v>13</v>
      </c>
      <c r="H7" s="21" t="n">
        <f aca="false">COUNT(C6:C18)</f>
        <v>13</v>
      </c>
      <c r="I7" s="2"/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34" t="s">
        <v>138</v>
      </c>
      <c r="F8" s="48" t="s">
        <v>61</v>
      </c>
      <c r="G8" s="21" t="n">
        <f aca="false">AVERAGE(B6:B18)</f>
        <v>6</v>
      </c>
      <c r="H8" s="21" t="n">
        <f aca="false">AVERAGE(C6:C18)</f>
        <v>179</v>
      </c>
      <c r="I8" s="2"/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34" t="s">
        <v>138</v>
      </c>
      <c r="F9" s="48" t="s">
        <v>139</v>
      </c>
      <c r="G9" s="21" t="n">
        <f aca="false">SUM(B6:B18)/COUNT(B6:B18)</f>
        <v>6</v>
      </c>
      <c r="H9" s="21" t="n">
        <f aca="false">SUM(C6:C18)/COUNT(C6:C18)</f>
        <v>179</v>
      </c>
      <c r="I9" s="2"/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34" t="s">
        <v>140</v>
      </c>
      <c r="F10" s="48" t="s">
        <v>61</v>
      </c>
      <c r="G10" s="21" t="n">
        <f aca="false">_xlfn.VAR.S(B6:B18)</f>
        <v>15.1666666666667</v>
      </c>
      <c r="H10" s="21" t="n">
        <f aca="false">_xlfn.VAR.S(C6:C18)</f>
        <v>25768.1666666667</v>
      </c>
      <c r="I10" s="2"/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34" t="s">
        <v>140</v>
      </c>
      <c r="F11" s="48" t="s">
        <v>139</v>
      </c>
      <c r="G11" s="21" t="n">
        <f aca="false" t="array" ref="G11:G11">SUM((B6:B18 - G9)^2)/(COUNT(B6:B18)-1)</f>
        <v>15.1666666666667</v>
      </c>
      <c r="H11" s="21" t="n">
        <f aca="false" t="array" ref="H11:H11">SUM((C6:C18 - H9)^2)/(COUNT(C6:C18)-1)</f>
        <v>25768.1666666667</v>
      </c>
      <c r="I11" s="2"/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34" t="s">
        <v>141</v>
      </c>
      <c r="F12" s="48" t="s">
        <v>61</v>
      </c>
      <c r="G12" s="21" t="n">
        <f aca="false">_xlfn.STDEV.S(B6:B18)</f>
        <v>3.89444048184931</v>
      </c>
      <c r="H12" s="21" t="n">
        <f aca="false">_xlfn.STDEV.S(C6:C18)</f>
        <v>160.524660618444</v>
      </c>
      <c r="I12" s="2"/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34" t="s">
        <v>141</v>
      </c>
      <c r="F13" s="48" t="s">
        <v>139</v>
      </c>
      <c r="G13" s="21" t="n">
        <f aca="false">SQRT(G11)</f>
        <v>3.89444048184931</v>
      </c>
      <c r="H13" s="21" t="n">
        <f aca="false">SQRT(H11)</f>
        <v>160.524660618444</v>
      </c>
      <c r="I13" s="2"/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34" t="s">
        <v>142</v>
      </c>
      <c r="F14" s="48" t="s">
        <v>139</v>
      </c>
      <c r="G14" s="21" t="n">
        <f aca="false">G12/SQRT(G7)</f>
        <v>1.08012344973464</v>
      </c>
      <c r="H14" s="21" t="n">
        <f aca="false">H12/SQRT(H7)</f>
        <v>44.5215303720196</v>
      </c>
      <c r="I14" s="2"/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2"/>
      <c r="F15" s="2"/>
      <c r="G15" s="2"/>
      <c r="H15" s="2"/>
      <c r="I15" s="2"/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17" t="s">
        <v>68</v>
      </c>
      <c r="F16" s="8" t="s">
        <v>133</v>
      </c>
      <c r="G16" s="9" t="s">
        <v>143</v>
      </c>
      <c r="H16" s="2"/>
      <c r="I16" s="2"/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34" t="s">
        <v>39</v>
      </c>
      <c r="F17" s="48" t="s">
        <v>61</v>
      </c>
      <c r="G17" s="21" t="n">
        <f aca="false">_xlfn.COVARIANCE.S(B6:B18,C6:C18)</f>
        <v>606.666666666667</v>
      </c>
      <c r="H17" s="2"/>
      <c r="I17" s="2"/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34" t="s">
        <v>39</v>
      </c>
      <c r="F18" s="48" t="s">
        <v>139</v>
      </c>
      <c r="G18" s="21" t="n">
        <f aca="false" t="array" ref="G18:G18">SUM((B6:B18-G9)*(C6:C18-H9))/(COUNT(B6:B18)-1)</f>
        <v>606.666666666667</v>
      </c>
      <c r="H18" s="2"/>
      <c r="I18" s="2"/>
    </row>
    <row r="19" customFormat="false" ht="15" hidden="false" customHeight="false" outlineLevel="0" collapsed="false">
      <c r="A19" s="45"/>
      <c r="E19" s="34" t="s">
        <v>144</v>
      </c>
      <c r="F19" s="48" t="s">
        <v>61</v>
      </c>
      <c r="G19" s="21" t="n">
        <f aca="false">PEARSON(B6:B18,C6:C18)</f>
        <v>0.970427962120068</v>
      </c>
      <c r="H19" s="2"/>
      <c r="I19" s="2"/>
    </row>
    <row r="20" customFormat="false" ht="15" hidden="false" customHeight="false" outlineLevel="0" collapsed="false">
      <c r="A20" s="45"/>
      <c r="B20" s="5" t="s">
        <v>145</v>
      </c>
      <c r="E20" s="34" t="s">
        <v>144</v>
      </c>
      <c r="F20" s="48" t="s">
        <v>139</v>
      </c>
      <c r="G20" s="21" t="n">
        <f aca="false">G18/(G13*H13)</f>
        <v>0.970427962120068</v>
      </c>
      <c r="H20" s="2"/>
      <c r="I20" s="2"/>
    </row>
    <row r="21" customFormat="false" ht="15" hidden="false" customHeight="false" outlineLevel="0" collapsed="false">
      <c r="A21" s="45"/>
      <c r="B21" s="3" t="s">
        <v>146</v>
      </c>
      <c r="E21" s="34" t="s">
        <v>144</v>
      </c>
      <c r="F21" s="48" t="s">
        <v>139</v>
      </c>
      <c r="G21" s="21" t="n">
        <f aca="false" t="array" ref="G21:G21">SUM((B6:B18 - G9)*(C6:C18 - H9))/SQRT(SUM((B6:B18 - G9)^2)*SUM((C6:C18 - H9)^2))</f>
        <v>0.970427962120068</v>
      </c>
      <c r="H21" s="2"/>
      <c r="I21" s="2"/>
    </row>
    <row r="22" customFormat="false" ht="15" hidden="false" customHeight="false" outlineLevel="0" collapsed="false">
      <c r="A22" s="45"/>
      <c r="E22" s="34" t="s">
        <v>147</v>
      </c>
      <c r="F22" s="48" t="s">
        <v>61</v>
      </c>
      <c r="G22" s="21" t="n">
        <f aca="false" t="array" ref="G22:G22">SLOPE(C6:C18,B6:B18)</f>
        <v>40</v>
      </c>
      <c r="H22" s="2"/>
      <c r="I22" s="2"/>
    </row>
    <row r="23" customFormat="false" ht="15" hidden="false" customHeight="false" outlineLevel="0" collapsed="false">
      <c r="A23" s="45"/>
      <c r="B23" s="7" t="s">
        <v>148</v>
      </c>
      <c r="C23" s="8" t="s">
        <v>149</v>
      </c>
      <c r="E23" s="34" t="s">
        <v>147</v>
      </c>
      <c r="F23" s="48" t="s">
        <v>139</v>
      </c>
      <c r="G23" s="21" t="n">
        <f aca="false" t="array" ref="G23:G23">SUM((B6:B18 - G9)*(C6:C18 - H9))/SUM((B6:B18 - G9)^2)</f>
        <v>40</v>
      </c>
      <c r="H23" s="2"/>
      <c r="I23" s="2"/>
    </row>
    <row r="24" customFormat="false" ht="15" hidden="false" customHeight="false" outlineLevel="0" collapsed="false">
      <c r="A24" s="45"/>
      <c r="B24" s="11" t="n">
        <f aca="false" t="array" ref="B24:C24">LINEST(C6:C18,B6:B18)</f>
        <v>40</v>
      </c>
      <c r="C24" s="12" t="n">
        <v>-61</v>
      </c>
      <c r="E24" s="34" t="s">
        <v>150</v>
      </c>
      <c r="F24" s="48" t="s">
        <v>61</v>
      </c>
      <c r="G24" s="21" t="n">
        <f aca="false" t="array" ref="G24:G24">INTERCEPT(C6:C18,B6:B18)</f>
        <v>-61</v>
      </c>
      <c r="H24" s="2"/>
      <c r="I24" s="2"/>
    </row>
    <row r="25" customFormat="false" ht="15" hidden="false" customHeight="false" outlineLevel="0" collapsed="false">
      <c r="A25" s="45"/>
      <c r="E25" s="34" t="s">
        <v>150</v>
      </c>
      <c r="F25" s="48" t="s">
        <v>139</v>
      </c>
      <c r="G25" s="21" t="n">
        <f aca="false">H8-G23*G8</f>
        <v>-61</v>
      </c>
      <c r="H25" s="2"/>
      <c r="I25" s="2"/>
    </row>
    <row r="26" customFormat="false" ht="15" hidden="false" customHeight="false" outlineLevel="0" collapsed="false">
      <c r="A26" s="45"/>
      <c r="E26" s="34" t="s">
        <v>126</v>
      </c>
      <c r="F26" s="48" t="s">
        <v>61</v>
      </c>
      <c r="G26" s="21" t="n">
        <f aca="false" t="array" ref="G26:G26">RSQ(C6:C18,B6:B18)</f>
        <v>0.941730429664509</v>
      </c>
      <c r="H26" s="2"/>
    </row>
    <row r="27" customFormat="false" ht="15" hidden="false" customHeight="false" outlineLevel="0" collapsed="false">
      <c r="A27" s="45"/>
      <c r="E27" s="34" t="s">
        <v>126</v>
      </c>
      <c r="F27" s="48" t="s">
        <v>139</v>
      </c>
      <c r="G27" s="21" t="n">
        <f aca="false" t="array" ref="G27:G27">1-SUM((C6:C18 - (B6:B18*G22+G24))^2)/SUM((C6:C18 - H9)^2)</f>
        <v>0.941730429664509</v>
      </c>
      <c r="H27" s="2"/>
    </row>
    <row r="28" customFormat="false" ht="15" hidden="false" customHeight="false" outlineLevel="0" collapsed="false">
      <c r="A28" s="45"/>
      <c r="E28" s="34" t="s">
        <v>151</v>
      </c>
      <c r="F28" s="48" t="s">
        <v>139</v>
      </c>
      <c r="G28" s="21" t="n">
        <f aca="false">1-(1-G26)*(G7-1)/(G7-1-1)</f>
        <v>0.936433195997646</v>
      </c>
      <c r="H28" s="2"/>
    </row>
    <row r="29" customFormat="false" ht="15" hidden="false" customHeight="false" outlineLevel="0" collapsed="false">
      <c r="A29" s="45"/>
      <c r="E29" s="34" t="s">
        <v>152</v>
      </c>
      <c r="F29" s="48" t="s">
        <v>139</v>
      </c>
      <c r="G29" s="21" t="n">
        <f aca="false" t="array" ref="G29:G29">SQRT(SUM((C6:C18 - (B6:B18*G22+G24))^2)/(G7-1))</f>
        <v>38.7491935399951</v>
      </c>
      <c r="H29" s="2"/>
    </row>
    <row r="30" customFormat="false" ht="15" hidden="false" customHeight="false" outlineLevel="0" collapsed="false">
      <c r="A30" s="45"/>
      <c r="E30" s="34" t="s">
        <v>153</v>
      </c>
      <c r="F30" s="48" t="s">
        <v>139</v>
      </c>
      <c r="G30" s="21" t="n">
        <f aca="false" t="array" ref="G30:G30">SUM((C6:C18 - (B6:B18*G22+G24))^2)/(G7-2)</f>
        <v>1638</v>
      </c>
      <c r="H30" s="2"/>
    </row>
    <row r="31" customFormat="false" ht="8.25" hidden="false" customHeight="true" outlineLevel="0" collapsed="false">
      <c r="A31" s="45"/>
      <c r="G31" s="2"/>
      <c r="H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M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2" width="11.24"/>
    <col collapsed="false" customWidth="true" hidden="false" outlineLevel="0" max="9" min="6" style="2" width="10.2"/>
    <col collapsed="false" customWidth="true" hidden="false" outlineLevel="0" max="10" min="10" style="2" width="12.76"/>
    <col collapsed="false" customWidth="true" hidden="false" outlineLevel="0" max="13" min="11" style="2" width="10.2"/>
    <col collapsed="false" customWidth="true" hidden="false" outlineLevel="0" max="14" min="14" style="2" width="2.55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129</v>
      </c>
      <c r="C2" s="46"/>
      <c r="D2" s="46"/>
    </row>
    <row r="3" customFormat="false" ht="8.25" hidden="false" customHeight="true" outlineLevel="0" collapsed="false">
      <c r="A3" s="45"/>
      <c r="E3" s="1"/>
      <c r="F3" s="1"/>
      <c r="I3" s="1"/>
    </row>
    <row r="4" customFormat="false" ht="13.5" hidden="false" customHeight="true" outlineLevel="0" collapsed="false">
      <c r="A4" s="45"/>
      <c r="B4" s="47" t="s">
        <v>130</v>
      </c>
      <c r="C4" s="47"/>
      <c r="E4" s="49" t="s">
        <v>154</v>
      </c>
      <c r="F4" s="49"/>
      <c r="G4" s="49"/>
      <c r="H4" s="49"/>
      <c r="I4" s="49"/>
      <c r="K4" s="49" t="s">
        <v>155</v>
      </c>
      <c r="L4" s="49"/>
      <c r="M4" s="49"/>
    </row>
    <row r="5" customFormat="false" ht="13.5" hidden="false" customHeight="true" outlineLevel="0" collapsed="false">
      <c r="A5" s="45"/>
      <c r="B5" s="7" t="s">
        <v>131</v>
      </c>
      <c r="C5" s="8" t="s">
        <v>132</v>
      </c>
      <c r="E5" s="7" t="s">
        <v>9</v>
      </c>
      <c r="F5" s="8" t="s">
        <v>10</v>
      </c>
      <c r="G5" s="50" t="s">
        <v>156</v>
      </c>
      <c r="H5" s="51" t="s">
        <v>11</v>
      </c>
      <c r="I5" s="10" t="s">
        <v>13</v>
      </c>
      <c r="J5" s="18"/>
      <c r="K5" s="52" t="s">
        <v>157</v>
      </c>
      <c r="L5" s="53" t="s">
        <v>158</v>
      </c>
      <c r="M5" s="10" t="s">
        <v>159</v>
      </c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54" t="n">
        <f aca="false">B6-$B$28</f>
        <v>-6</v>
      </c>
      <c r="F6" s="55" t="n">
        <f aca="false">C6-$C$28</f>
        <v>-174</v>
      </c>
      <c r="G6" s="55" t="n">
        <f aca="false">E6*F6</f>
        <v>1044</v>
      </c>
      <c r="H6" s="55" t="n">
        <f aca="false">E6^2</f>
        <v>36</v>
      </c>
      <c r="I6" s="56" t="n">
        <f aca="false">F6^2</f>
        <v>30276</v>
      </c>
      <c r="J6" s="18"/>
      <c r="K6" s="54" t="n">
        <f aca="false">$J$24*B6+$J$25</f>
        <v>-61</v>
      </c>
      <c r="L6" s="56" t="n">
        <f aca="false">C6-K6</f>
        <v>66</v>
      </c>
      <c r="M6" s="56" t="n">
        <f aca="false">L6^2</f>
        <v>4356</v>
      </c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54" t="n">
        <f aca="false">B7-$B$28</f>
        <v>-5</v>
      </c>
      <c r="F7" s="55" t="n">
        <f aca="false">C7-$C$28</f>
        <v>-167</v>
      </c>
      <c r="G7" s="55" t="n">
        <f aca="false">E7*F7</f>
        <v>835</v>
      </c>
      <c r="H7" s="55" t="n">
        <f aca="false">E7^2</f>
        <v>25</v>
      </c>
      <c r="I7" s="56" t="n">
        <f aca="false">F7^2</f>
        <v>27889</v>
      </c>
      <c r="J7" s="18"/>
      <c r="K7" s="54" t="n">
        <f aca="false">$J$24*B7+$J$25</f>
        <v>-21</v>
      </c>
      <c r="L7" s="56" t="n">
        <f aca="false">C7-K7</f>
        <v>33</v>
      </c>
      <c r="M7" s="56" t="n">
        <f aca="false">L7^2</f>
        <v>1089</v>
      </c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54" t="n">
        <f aca="false">B8-$B$28</f>
        <v>-4</v>
      </c>
      <c r="F8" s="55" t="n">
        <f aca="false">C8-$C$28</f>
        <v>-154</v>
      </c>
      <c r="G8" s="55" t="n">
        <f aca="false">E8*F8</f>
        <v>616</v>
      </c>
      <c r="H8" s="55" t="n">
        <f aca="false">E8^2</f>
        <v>16</v>
      </c>
      <c r="I8" s="56" t="n">
        <f aca="false">F8^2</f>
        <v>23716</v>
      </c>
      <c r="J8" s="18"/>
      <c r="K8" s="54" t="n">
        <f aca="false">$J$24*B8+$J$25</f>
        <v>19</v>
      </c>
      <c r="L8" s="56" t="n">
        <f aca="false">C8-K8</f>
        <v>6</v>
      </c>
      <c r="M8" s="56" t="n">
        <f aca="false">L8^2</f>
        <v>36</v>
      </c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54" t="n">
        <f aca="false">B9-$B$28</f>
        <v>-3</v>
      </c>
      <c r="F9" s="55" t="n">
        <f aca="false">C9-$C$28</f>
        <v>-135</v>
      </c>
      <c r="G9" s="55" t="n">
        <f aca="false">E9*F9</f>
        <v>405</v>
      </c>
      <c r="H9" s="55" t="n">
        <f aca="false">E9^2</f>
        <v>9</v>
      </c>
      <c r="I9" s="56" t="n">
        <f aca="false">F9^2</f>
        <v>18225</v>
      </c>
      <c r="J9" s="18"/>
      <c r="K9" s="54" t="n">
        <f aca="false">$J$24*B9+$J$25</f>
        <v>59</v>
      </c>
      <c r="L9" s="56" t="n">
        <f aca="false">C9-K9</f>
        <v>-15</v>
      </c>
      <c r="M9" s="56" t="n">
        <f aca="false">L9^2</f>
        <v>225</v>
      </c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54" t="n">
        <f aca="false">B10-$B$28</f>
        <v>-2</v>
      </c>
      <c r="F10" s="55" t="n">
        <f aca="false">C10-$C$28</f>
        <v>-110</v>
      </c>
      <c r="G10" s="55" t="n">
        <f aca="false">E10*F10</f>
        <v>220</v>
      </c>
      <c r="H10" s="55" t="n">
        <f aca="false">E10^2</f>
        <v>4</v>
      </c>
      <c r="I10" s="56" t="n">
        <f aca="false">F10^2</f>
        <v>12100</v>
      </c>
      <c r="J10" s="18"/>
      <c r="K10" s="54" t="n">
        <f aca="false">$J$24*B10+$J$25</f>
        <v>99</v>
      </c>
      <c r="L10" s="56" t="n">
        <f aca="false">C10-K10</f>
        <v>-30</v>
      </c>
      <c r="M10" s="56" t="n">
        <f aca="false">L10^2</f>
        <v>900</v>
      </c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54" t="n">
        <f aca="false">B11-$B$28</f>
        <v>-1</v>
      </c>
      <c r="F11" s="55" t="n">
        <f aca="false">C11-$C$28</f>
        <v>-79</v>
      </c>
      <c r="G11" s="55" t="n">
        <f aca="false">E11*F11</f>
        <v>79</v>
      </c>
      <c r="H11" s="55" t="n">
        <f aca="false">E11^2</f>
        <v>1</v>
      </c>
      <c r="I11" s="56" t="n">
        <f aca="false">F11^2</f>
        <v>6241</v>
      </c>
      <c r="J11" s="18"/>
      <c r="K11" s="54" t="n">
        <f aca="false">$J$24*B11+$J$25</f>
        <v>139</v>
      </c>
      <c r="L11" s="56" t="n">
        <f aca="false">C11-K11</f>
        <v>-39</v>
      </c>
      <c r="M11" s="56" t="n">
        <f aca="false">L11^2</f>
        <v>1521</v>
      </c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54" t="n">
        <f aca="false">B12-$B$28</f>
        <v>0</v>
      </c>
      <c r="F12" s="55" t="n">
        <f aca="false">C12-$C$28</f>
        <v>-42</v>
      </c>
      <c r="G12" s="55" t="n">
        <f aca="false">E12*F12</f>
        <v>-0</v>
      </c>
      <c r="H12" s="55" t="n">
        <f aca="false">E12^2</f>
        <v>0</v>
      </c>
      <c r="I12" s="56" t="n">
        <f aca="false">F12^2</f>
        <v>1764</v>
      </c>
      <c r="J12" s="18"/>
      <c r="K12" s="54" t="n">
        <f aca="false">$J$24*B12+$J$25</f>
        <v>179</v>
      </c>
      <c r="L12" s="56" t="n">
        <f aca="false">C12-K12</f>
        <v>-42</v>
      </c>
      <c r="M12" s="56" t="n">
        <f aca="false">L12^2</f>
        <v>1764</v>
      </c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54" t="n">
        <f aca="false">B13-$B$28</f>
        <v>1</v>
      </c>
      <c r="F13" s="55" t="n">
        <f aca="false">C13-$C$28</f>
        <v>1</v>
      </c>
      <c r="G13" s="55" t="n">
        <f aca="false">E13*F13</f>
        <v>1</v>
      </c>
      <c r="H13" s="55" t="n">
        <f aca="false">E13^2</f>
        <v>1</v>
      </c>
      <c r="I13" s="56" t="n">
        <f aca="false">F13^2</f>
        <v>1</v>
      </c>
      <c r="J13" s="18"/>
      <c r="K13" s="54" t="n">
        <f aca="false">$J$24*B13+$J$25</f>
        <v>219</v>
      </c>
      <c r="L13" s="56" t="n">
        <f aca="false">C13-K13</f>
        <v>-39</v>
      </c>
      <c r="M13" s="56" t="n">
        <f aca="false">L13^2</f>
        <v>1521</v>
      </c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54" t="n">
        <f aca="false">B14-$B$28</f>
        <v>2</v>
      </c>
      <c r="F14" s="55" t="n">
        <f aca="false">C14-$C$28</f>
        <v>50</v>
      </c>
      <c r="G14" s="55" t="n">
        <f aca="false">E14*F14</f>
        <v>100</v>
      </c>
      <c r="H14" s="55" t="n">
        <f aca="false">E14^2</f>
        <v>4</v>
      </c>
      <c r="I14" s="56" t="n">
        <f aca="false">F14^2</f>
        <v>2500</v>
      </c>
      <c r="J14" s="18"/>
      <c r="K14" s="54" t="n">
        <f aca="false">$J$24*B14+$J$25</f>
        <v>259</v>
      </c>
      <c r="L14" s="56" t="n">
        <f aca="false">C14-K14</f>
        <v>-30</v>
      </c>
      <c r="M14" s="56" t="n">
        <f aca="false">L14^2</f>
        <v>900</v>
      </c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54" t="n">
        <f aca="false">B15-$B$28</f>
        <v>3</v>
      </c>
      <c r="F15" s="55" t="n">
        <f aca="false">C15-$C$28</f>
        <v>105</v>
      </c>
      <c r="G15" s="55" t="n">
        <f aca="false">E15*F15</f>
        <v>315</v>
      </c>
      <c r="H15" s="55" t="n">
        <f aca="false">E15^2</f>
        <v>9</v>
      </c>
      <c r="I15" s="56" t="n">
        <f aca="false">F15^2</f>
        <v>11025</v>
      </c>
      <c r="J15" s="18"/>
      <c r="K15" s="54" t="n">
        <f aca="false">$J$24*B15+$J$25</f>
        <v>299</v>
      </c>
      <c r="L15" s="56" t="n">
        <f aca="false">C15-K15</f>
        <v>-15</v>
      </c>
      <c r="M15" s="56" t="n">
        <f aca="false">L15^2</f>
        <v>225</v>
      </c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54" t="n">
        <f aca="false">B16-$B$28</f>
        <v>4</v>
      </c>
      <c r="F16" s="55" t="n">
        <f aca="false">C16-$C$28</f>
        <v>166</v>
      </c>
      <c r="G16" s="55" t="n">
        <f aca="false">E16*F16</f>
        <v>664</v>
      </c>
      <c r="H16" s="55" t="n">
        <f aca="false">E16^2</f>
        <v>16</v>
      </c>
      <c r="I16" s="56" t="n">
        <f aca="false">F16^2</f>
        <v>27556</v>
      </c>
      <c r="J16" s="18"/>
      <c r="K16" s="54" t="n">
        <f aca="false">$J$24*B16+$J$25</f>
        <v>339</v>
      </c>
      <c r="L16" s="56" t="n">
        <f aca="false">C16-K16</f>
        <v>6</v>
      </c>
      <c r="M16" s="56" t="n">
        <f aca="false">L16^2</f>
        <v>36</v>
      </c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54" t="n">
        <f aca="false">B17-$B$28</f>
        <v>5</v>
      </c>
      <c r="F17" s="55" t="n">
        <f aca="false">C17-$C$28</f>
        <v>233</v>
      </c>
      <c r="G17" s="55" t="n">
        <f aca="false">E17*F17</f>
        <v>1165</v>
      </c>
      <c r="H17" s="55" t="n">
        <f aca="false">E17^2</f>
        <v>25</v>
      </c>
      <c r="I17" s="56" t="n">
        <f aca="false">F17^2</f>
        <v>54289</v>
      </c>
      <c r="J17" s="18"/>
      <c r="K17" s="54" t="n">
        <f aca="false">$J$24*B17+$J$25</f>
        <v>379</v>
      </c>
      <c r="L17" s="56" t="n">
        <f aca="false">C17-K17</f>
        <v>33</v>
      </c>
      <c r="M17" s="56" t="n">
        <f aca="false">L17^2</f>
        <v>1089</v>
      </c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54" t="n">
        <f aca="false">B18-$B$28</f>
        <v>6</v>
      </c>
      <c r="F18" s="55" t="n">
        <f aca="false">C18-$C$28</f>
        <v>306</v>
      </c>
      <c r="G18" s="55" t="n">
        <f aca="false">E18*F18</f>
        <v>1836</v>
      </c>
      <c r="H18" s="55" t="n">
        <f aca="false">E18^2</f>
        <v>36</v>
      </c>
      <c r="I18" s="56" t="n">
        <f aca="false">F18^2</f>
        <v>93636</v>
      </c>
      <c r="J18" s="18"/>
      <c r="K18" s="54" t="n">
        <f aca="false">$J$24*B18+$J$25</f>
        <v>419</v>
      </c>
      <c r="L18" s="56" t="n">
        <f aca="false">C18-K18</f>
        <v>66</v>
      </c>
      <c r="M18" s="56" t="n">
        <f aca="false">L18^2</f>
        <v>4356</v>
      </c>
    </row>
    <row r="19" customFormat="false" ht="15" hidden="false" customHeight="false" outlineLevel="0" collapsed="false">
      <c r="A19" s="45"/>
      <c r="B19" s="7" t="s">
        <v>17</v>
      </c>
      <c r="C19" s="8" t="s">
        <v>18</v>
      </c>
      <c r="E19" s="7" t="s">
        <v>19</v>
      </c>
      <c r="F19" s="8" t="s">
        <v>20</v>
      </c>
      <c r="G19" s="50" t="s">
        <v>160</v>
      </c>
      <c r="H19" s="51" t="s">
        <v>21</v>
      </c>
      <c r="I19" s="10" t="s">
        <v>23</v>
      </c>
      <c r="J19" s="53" t="s">
        <v>161</v>
      </c>
      <c r="M19" s="10" t="s">
        <v>162</v>
      </c>
    </row>
    <row r="20" customFormat="false" ht="15" hidden="false" customHeight="false" outlineLevel="0" collapsed="false">
      <c r="A20" s="45"/>
      <c r="B20" s="23" t="n">
        <f aca="false">SUM(B6:B18)</f>
        <v>78</v>
      </c>
      <c r="C20" s="21" t="n">
        <f aca="false">SUM(C6:C18)</f>
        <v>2327</v>
      </c>
      <c r="E20" s="54" t="n">
        <f aca="false">SUM(E6:E18)</f>
        <v>0</v>
      </c>
      <c r="F20" s="55" t="n">
        <f aca="false">SUM(F6:F18)</f>
        <v>0</v>
      </c>
      <c r="G20" s="55" t="n">
        <f aca="false">SUM(G6:G18)</f>
        <v>7280</v>
      </c>
      <c r="H20" s="55" t="n">
        <f aca="false">SUM(H6:H18)</f>
        <v>182</v>
      </c>
      <c r="I20" s="56" t="n">
        <f aca="false">SUM(I6:I18)</f>
        <v>309218</v>
      </c>
      <c r="J20" s="56"/>
      <c r="M20" s="56" t="n">
        <f aca="false">SUM(M6:M18)</f>
        <v>18018</v>
      </c>
    </row>
    <row r="21" customFormat="false" ht="15" hidden="false" customHeight="false" outlineLevel="0" collapsed="false">
      <c r="A21" s="45"/>
      <c r="B21" s="3"/>
      <c r="C21" s="3"/>
      <c r="E21" s="34" t="s">
        <v>140</v>
      </c>
      <c r="F21" s="48"/>
      <c r="G21" s="57"/>
      <c r="H21" s="21" t="n">
        <f aca="false">H20/(B24-1)</f>
        <v>15.1666666666667</v>
      </c>
      <c r="I21" s="58" t="n">
        <f aca="false">I20/(C24-1)</f>
        <v>25768.1666666667</v>
      </c>
      <c r="J21" s="21"/>
      <c r="M21" s="21"/>
    </row>
    <row r="22" customFormat="false" ht="15" hidden="false" customHeight="false" outlineLevel="0" collapsed="false">
      <c r="A22" s="45"/>
      <c r="B22" s="17" t="s">
        <v>25</v>
      </c>
      <c r="C22" s="17"/>
      <c r="E22" s="34" t="s">
        <v>39</v>
      </c>
      <c r="F22" s="48"/>
      <c r="G22" s="57" t="n">
        <f aca="false">G20/(B24-1)</f>
        <v>606.666666666667</v>
      </c>
      <c r="H22" s="48"/>
      <c r="I22" s="58"/>
      <c r="J22" s="21"/>
      <c r="M22" s="21"/>
    </row>
    <row r="23" customFormat="false" ht="15" hidden="false" customHeight="false" outlineLevel="0" collapsed="false">
      <c r="A23" s="45"/>
      <c r="B23" s="7" t="s">
        <v>33</v>
      </c>
      <c r="C23" s="8" t="s">
        <v>33</v>
      </c>
      <c r="E23" s="34" t="s">
        <v>144</v>
      </c>
      <c r="F23" s="48"/>
      <c r="G23" s="57"/>
      <c r="H23" s="48"/>
      <c r="I23" s="57"/>
      <c r="J23" s="21" t="n">
        <f aca="false">G20/SQRT(H20*I20)</f>
        <v>0.970427962120068</v>
      </c>
      <c r="M23" s="21"/>
    </row>
    <row r="24" customFormat="false" ht="15" hidden="false" customHeight="false" outlineLevel="0" collapsed="false">
      <c r="A24" s="45"/>
      <c r="B24" s="23" t="n">
        <f aca="false">COUNT(B6:B18)</f>
        <v>13</v>
      </c>
      <c r="C24" s="21" t="n">
        <f aca="false">COUNT(C6:C18)</f>
        <v>13</v>
      </c>
      <c r="E24" s="34" t="s">
        <v>147</v>
      </c>
      <c r="F24" s="48"/>
      <c r="G24" s="57"/>
      <c r="H24" s="48"/>
      <c r="I24" s="57"/>
      <c r="J24" s="21" t="n">
        <f aca="false">G20/H20</f>
        <v>40</v>
      </c>
      <c r="M24" s="21"/>
    </row>
    <row r="25" customFormat="false" ht="15" hidden="false" customHeight="false" outlineLevel="0" collapsed="false">
      <c r="A25" s="45"/>
      <c r="B25" s="3"/>
      <c r="C25" s="3"/>
      <c r="E25" s="34" t="s">
        <v>150</v>
      </c>
      <c r="F25" s="48"/>
      <c r="G25" s="57"/>
      <c r="H25" s="48"/>
      <c r="I25" s="57"/>
      <c r="J25" s="21" t="n">
        <f aca="false">C28-J24*B28</f>
        <v>-61</v>
      </c>
      <c r="M25" s="21"/>
    </row>
    <row r="26" customFormat="false" ht="15" hidden="false" customHeight="false" outlineLevel="0" collapsed="false">
      <c r="A26" s="45"/>
      <c r="B26" s="17" t="s">
        <v>40</v>
      </c>
      <c r="C26" s="17"/>
      <c r="E26" s="34" t="s">
        <v>126</v>
      </c>
      <c r="F26" s="48"/>
      <c r="G26" s="57"/>
      <c r="H26" s="48"/>
      <c r="I26" s="57"/>
      <c r="J26" s="21"/>
      <c r="M26" s="58" t="n">
        <f aca="false">1-M20/I20</f>
        <v>0.941730429664509</v>
      </c>
    </row>
    <row r="27" customFormat="false" ht="15" hidden="false" customHeight="false" outlineLevel="0" collapsed="false">
      <c r="A27" s="45"/>
      <c r="B27" s="7" t="s">
        <v>46</v>
      </c>
      <c r="C27" s="8" t="s">
        <v>47</v>
      </c>
      <c r="E27" s="34" t="s">
        <v>152</v>
      </c>
      <c r="F27" s="48" t="s">
        <v>163</v>
      </c>
      <c r="G27" s="48"/>
      <c r="H27" s="48"/>
      <c r="I27" s="48"/>
      <c r="J27" s="21"/>
      <c r="M27" s="58" t="n">
        <f aca="false">SQRT(M20/(B24-1))</f>
        <v>38.7491935399951</v>
      </c>
    </row>
    <row r="28" customFormat="false" ht="15" hidden="false" customHeight="false" outlineLevel="0" collapsed="false">
      <c r="A28" s="45"/>
      <c r="B28" s="23" t="n">
        <f aca="false">AVERAGE(B6:B18)</f>
        <v>6</v>
      </c>
      <c r="C28" s="21" t="n">
        <f aca="false">AVERAGE(C6:C18)</f>
        <v>179</v>
      </c>
      <c r="E28" s="34" t="s">
        <v>164</v>
      </c>
      <c r="F28" s="48" t="s">
        <v>165</v>
      </c>
      <c r="G28" s="48"/>
      <c r="H28" s="48"/>
      <c r="I28" s="48"/>
      <c r="J28" s="21"/>
      <c r="M28" s="58" t="n">
        <f aca="false">M20/(B24-2)</f>
        <v>1638</v>
      </c>
    </row>
    <row r="29" customFormat="false" ht="8.25" hidden="false" customHeight="true" outlineLevel="0" collapsed="false">
      <c r="A29" s="45"/>
      <c r="E29" s="1"/>
      <c r="F29" s="1"/>
      <c r="I29" s="1"/>
    </row>
    <row r="30" customFormat="false" ht="15" hidden="false" customHeight="false" outlineLevel="0" collapsed="false">
      <c r="A30" s="45"/>
    </row>
    <row r="31" customFormat="false" ht="8.25" hidden="false" customHeight="true" outlineLevel="0" collapsed="false">
      <c r="A31" s="45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  <row r="36" customFormat="false" ht="15" hidden="false" customHeight="false" outlineLevel="0" collapsed="false">
      <c r="B36" s="2"/>
      <c r="C36" s="2"/>
      <c r="D36" s="2"/>
    </row>
    <row r="37" customFormat="false" ht="15" hidden="false" customHeight="false" outlineLevel="0" collapsed="false">
      <c r="B37" s="2"/>
      <c r="C37" s="2"/>
      <c r="D37" s="2"/>
    </row>
    <row r="38" customFormat="false" ht="15" hidden="false" customHeight="false" outlineLevel="0" collapsed="false">
      <c r="B38" s="2"/>
      <c r="C38" s="2"/>
      <c r="D38" s="2"/>
    </row>
    <row r="39" customFormat="false" ht="15" hidden="false" customHeight="false" outlineLevel="0" collapsed="false">
      <c r="B39" s="2"/>
      <c r="C39" s="2"/>
      <c r="D39" s="2"/>
    </row>
    <row r="40" customFormat="false" ht="15" hidden="false" customHeight="false" outlineLevel="0" collapsed="false">
      <c r="B40" s="2"/>
      <c r="C40" s="2"/>
      <c r="D40" s="2"/>
    </row>
    <row r="41" customFormat="false" ht="15" hidden="false" customHeight="false" outlineLevel="0" collapsed="false">
      <c r="B41" s="2"/>
      <c r="C41" s="2"/>
      <c r="D41" s="2"/>
    </row>
    <row r="42" customFormat="false" ht="15" hidden="false" customHeight="false" outlineLevel="0" collapsed="false">
      <c r="B42" s="2"/>
      <c r="C42" s="2"/>
      <c r="D42" s="2"/>
    </row>
    <row r="43" customFormat="false" ht="15" hidden="false" customHeight="false" outlineLevel="0" collapsed="false">
      <c r="B43" s="2"/>
      <c r="C43" s="2"/>
      <c r="D43" s="2"/>
    </row>
    <row r="44" customFormat="false" ht="15" hidden="false" customHeight="false" outlineLevel="0" collapsed="false">
      <c r="B44" s="2"/>
      <c r="C44" s="2"/>
      <c r="D44" s="2"/>
    </row>
    <row r="45" customFormat="false" ht="15" hidden="false" customHeight="false" outlineLevel="0" collapsed="false">
      <c r="B45" s="2"/>
      <c r="C45" s="2"/>
      <c r="D45" s="2"/>
    </row>
    <row r="46" customFormat="false" ht="15" hidden="false" customHeight="false" outlineLevel="0" collapsed="false">
      <c r="B46" s="3"/>
      <c r="C46" s="3"/>
      <c r="D46" s="3"/>
    </row>
  </sheetData>
  <mergeCells count="7">
    <mergeCell ref="B4:C4"/>
    <mergeCell ref="E4:I4"/>
    <mergeCell ref="K4:M4"/>
    <mergeCell ref="B22:C22"/>
    <mergeCell ref="B26:C26"/>
    <mergeCell ref="F27:I27"/>
    <mergeCell ref="F28:I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2.56"/>
    <col collapsed="false" customWidth="true" hidden="false" outlineLevel="0" max="9" min="9" style="1" width="5.11"/>
    <col collapsed="false" customWidth="true" hidden="false" outlineLevel="0" max="11" min="10" style="1" width="10.2"/>
    <col collapsed="false" customWidth="true" hidden="false" outlineLevel="0" max="12" min="12" style="1" width="5.11"/>
    <col collapsed="false" customWidth="true" hidden="false" outlineLevel="0" max="13" min="13" style="1" width="2.56"/>
    <col collapsed="false" customWidth="true" hidden="false" outlineLevel="0" max="17" min="17" style="1" width="5.11"/>
    <col collapsed="false" customWidth="true" hidden="false" outlineLevel="0" max="19" min="18" style="1" width="10.2"/>
    <col collapsed="false" customWidth="true" hidden="false" outlineLevel="0" max="20" min="20" style="1" width="5.11"/>
    <col collapsed="false" customWidth="true" hidden="false" outlineLevel="0" max="21" min="21" style="1" width="2.56"/>
    <col collapsed="false" customWidth="true" hidden="false" outlineLevel="0" max="25" min="25" style="1" width="2.56"/>
  </cols>
  <sheetData>
    <row r="1" customFormat="false" ht="8.25" hidden="false" customHeight="true" outlineLevel="0" collapsed="false">
      <c r="A1" s="45"/>
      <c r="I1" s="45"/>
      <c r="Q1" s="45"/>
    </row>
    <row r="2" customFormat="false" ht="16.5" hidden="false" customHeight="true" outlineLevel="0" collapsed="false">
      <c r="A2" s="45"/>
      <c r="B2" s="5" t="s">
        <v>129</v>
      </c>
      <c r="C2" s="46"/>
      <c r="D2" s="46"/>
      <c r="E2" s="2"/>
      <c r="I2" s="2"/>
      <c r="J2" s="2"/>
      <c r="K2" s="2"/>
      <c r="L2" s="2"/>
      <c r="M2" s="2"/>
      <c r="Q2" s="2"/>
      <c r="R2" s="2"/>
      <c r="S2" s="2"/>
      <c r="T2" s="2"/>
      <c r="U2" s="2"/>
      <c r="Y2" s="2"/>
    </row>
    <row r="3" customFormat="false" ht="8.25" hidden="false" customHeight="true" outlineLevel="0" collapsed="false">
      <c r="A3" s="45"/>
      <c r="I3" s="45"/>
      <c r="Q3" s="45"/>
    </row>
    <row r="4" customFormat="false" ht="16.5" hidden="false" customHeight="true" outlineLevel="0" collapsed="false">
      <c r="A4" s="45"/>
      <c r="B4" s="59" t="s">
        <v>166</v>
      </c>
      <c r="C4" s="60"/>
      <c r="E4" s="2"/>
      <c r="I4" s="2"/>
      <c r="J4" s="59" t="s">
        <v>167</v>
      </c>
      <c r="K4" s="61"/>
      <c r="L4" s="2"/>
      <c r="M4" s="2"/>
      <c r="Q4" s="2"/>
      <c r="R4" s="59" t="s">
        <v>168</v>
      </c>
      <c r="S4" s="61"/>
      <c r="T4" s="2"/>
      <c r="U4" s="2"/>
      <c r="Y4" s="2"/>
    </row>
    <row r="5" customFormat="false" ht="16.5" hidden="false" customHeight="true" outlineLevel="0" collapsed="false">
      <c r="A5" s="45"/>
      <c r="B5" s="4" t="s">
        <v>169</v>
      </c>
      <c r="E5" s="2"/>
      <c r="I5" s="45"/>
      <c r="J5" s="4" t="s">
        <v>170</v>
      </c>
      <c r="M5" s="2"/>
      <c r="Q5" s="45"/>
      <c r="R5" s="4" t="s">
        <v>171</v>
      </c>
      <c r="U5" s="2"/>
      <c r="Y5" s="2"/>
    </row>
    <row r="6" customFormat="false" ht="8.25" hidden="false" customHeight="true" outlineLevel="0" collapsed="false">
      <c r="A6" s="45"/>
      <c r="E6" s="2"/>
      <c r="I6" s="45"/>
      <c r="M6" s="2"/>
      <c r="Q6" s="45"/>
      <c r="U6" s="2"/>
      <c r="Y6" s="2"/>
    </row>
    <row r="7" customFormat="false" ht="13.5" hidden="false" customHeight="true" outlineLevel="0" collapsed="false">
      <c r="A7" s="45"/>
      <c r="B7" s="7" t="s">
        <v>172</v>
      </c>
      <c r="C7" s="8" t="s">
        <v>69</v>
      </c>
      <c r="E7" s="2"/>
      <c r="I7" s="45"/>
      <c r="J7" s="7" t="s">
        <v>172</v>
      </c>
      <c r="K7" s="8" t="s">
        <v>69</v>
      </c>
      <c r="M7" s="2"/>
      <c r="Q7" s="45"/>
      <c r="R7" s="7" t="s">
        <v>172</v>
      </c>
      <c r="S7" s="8" t="s">
        <v>69</v>
      </c>
      <c r="U7" s="2"/>
      <c r="Y7" s="2"/>
    </row>
    <row r="8" customFormat="false" ht="13.5" hidden="false" customHeight="true" outlineLevel="0" collapsed="false">
      <c r="A8" s="45"/>
      <c r="B8" s="62" t="s">
        <v>173</v>
      </c>
      <c r="C8" s="12" t="n">
        <v>5</v>
      </c>
      <c r="E8" s="2"/>
      <c r="I8" s="45"/>
      <c r="J8" s="62" t="s">
        <v>173</v>
      </c>
      <c r="K8" s="12" t="n">
        <v>5</v>
      </c>
      <c r="M8" s="2"/>
      <c r="Q8" s="45"/>
      <c r="R8" s="62" t="s">
        <v>173</v>
      </c>
      <c r="S8" s="12" t="n">
        <v>5</v>
      </c>
      <c r="U8" s="2"/>
      <c r="Y8" s="2"/>
    </row>
    <row r="9" customFormat="false" ht="13.5" hidden="false" customHeight="true" outlineLevel="0" collapsed="false">
      <c r="A9" s="45"/>
      <c r="B9" s="62" t="s">
        <v>149</v>
      </c>
      <c r="C9" s="12" t="n">
        <v>4</v>
      </c>
      <c r="E9" s="2"/>
      <c r="I9" s="45"/>
      <c r="J9" s="62" t="s">
        <v>149</v>
      </c>
      <c r="K9" s="12" t="n">
        <v>4</v>
      </c>
      <c r="M9" s="2"/>
      <c r="Q9" s="45"/>
      <c r="R9" s="62" t="s">
        <v>149</v>
      </c>
      <c r="S9" s="12" t="n">
        <v>4</v>
      </c>
      <c r="U9" s="2"/>
      <c r="Y9" s="2"/>
    </row>
    <row r="10" customFormat="false" ht="13.5" hidden="false" customHeight="true" outlineLevel="0" collapsed="false">
      <c r="A10" s="45"/>
      <c r="B10" s="2"/>
      <c r="C10" s="2"/>
      <c r="E10" s="2"/>
      <c r="I10" s="45"/>
      <c r="J10" s="62" t="s">
        <v>174</v>
      </c>
      <c r="K10" s="12" t="n">
        <v>3</v>
      </c>
      <c r="M10" s="2"/>
      <c r="Q10" s="45"/>
      <c r="R10" s="62" t="s">
        <v>174</v>
      </c>
      <c r="S10" s="12" t="n">
        <v>3</v>
      </c>
      <c r="U10" s="2"/>
      <c r="Y10" s="2"/>
    </row>
    <row r="11" customFormat="false" ht="13.5" hidden="false" customHeight="true" outlineLevel="0" collapsed="false">
      <c r="A11" s="45"/>
      <c r="B11" s="2"/>
      <c r="C11" s="2"/>
      <c r="E11" s="2"/>
      <c r="I11" s="45"/>
      <c r="J11" s="2"/>
      <c r="K11" s="2"/>
      <c r="M11" s="2"/>
      <c r="Q11" s="45"/>
      <c r="R11" s="62" t="s">
        <v>175</v>
      </c>
      <c r="S11" s="12" t="n">
        <v>2</v>
      </c>
      <c r="U11" s="2"/>
      <c r="Y11" s="2"/>
    </row>
    <row r="12" customFormat="false" ht="8.25" hidden="false" customHeight="true" outlineLevel="0" collapsed="false">
      <c r="A12" s="45"/>
      <c r="E12" s="2"/>
      <c r="I12" s="45"/>
      <c r="M12" s="2"/>
      <c r="Q12" s="45"/>
      <c r="U12" s="2"/>
      <c r="Y12" s="2"/>
    </row>
    <row r="13" customFormat="false" ht="13.5" hidden="false" customHeight="true" outlineLevel="0" collapsed="false">
      <c r="A13" s="45"/>
      <c r="B13" s="7" t="s">
        <v>7</v>
      </c>
      <c r="C13" s="8" t="s">
        <v>8</v>
      </c>
      <c r="E13" s="2"/>
      <c r="F13" s="7" t="s">
        <v>68</v>
      </c>
      <c r="G13" s="8" t="s">
        <v>61</v>
      </c>
      <c r="H13" s="9" t="s">
        <v>139</v>
      </c>
      <c r="I13" s="45"/>
      <c r="J13" s="7" t="s">
        <v>7</v>
      </c>
      <c r="K13" s="8" t="s">
        <v>8</v>
      </c>
      <c r="M13" s="2"/>
      <c r="N13" s="7" t="s">
        <v>68</v>
      </c>
      <c r="O13" s="8" t="s">
        <v>61</v>
      </c>
      <c r="P13" s="9" t="s">
        <v>139</v>
      </c>
      <c r="Q13" s="45"/>
      <c r="R13" s="7" t="s">
        <v>7</v>
      </c>
      <c r="S13" s="8" t="s">
        <v>8</v>
      </c>
      <c r="U13" s="2"/>
      <c r="V13" s="7" t="s">
        <v>68</v>
      </c>
      <c r="W13" s="8" t="s">
        <v>61</v>
      </c>
      <c r="X13" s="9" t="s">
        <v>139</v>
      </c>
      <c r="Y13" s="2"/>
    </row>
    <row r="14" customFormat="false" ht="13.5" hidden="false" customHeight="true" outlineLevel="0" collapsed="false">
      <c r="A14" s="45"/>
      <c r="B14" s="13" t="n">
        <v>0</v>
      </c>
      <c r="C14" s="12" t="n">
        <f aca="false">$C$8+$C$9*B14</f>
        <v>5</v>
      </c>
      <c r="E14" s="2"/>
      <c r="F14" s="34" t="s">
        <v>176</v>
      </c>
      <c r="G14" s="21" t="n">
        <f aca="false">SUM(B14:B26)</f>
        <v>78</v>
      </c>
      <c r="H14" s="63"/>
      <c r="I14" s="45"/>
      <c r="J14" s="13" t="n">
        <v>0</v>
      </c>
      <c r="K14" s="12" t="n">
        <f aca="false">$K$8+$K$9*J14+$K$10*J14^2</f>
        <v>5</v>
      </c>
      <c r="M14" s="2"/>
      <c r="N14" s="34" t="s">
        <v>176</v>
      </c>
      <c r="O14" s="21" t="n">
        <f aca="false">SUM(J14:J26)</f>
        <v>78</v>
      </c>
      <c r="P14" s="63"/>
      <c r="Q14" s="45"/>
      <c r="R14" s="13" t="n">
        <v>0</v>
      </c>
      <c r="S14" s="12" t="n">
        <f aca="false">$S$8+$S$9*R14+$S$10*R14^2+$S$11*R14^3</f>
        <v>5</v>
      </c>
      <c r="U14" s="2"/>
      <c r="V14" s="34" t="s">
        <v>176</v>
      </c>
      <c r="W14" s="21" t="n">
        <f aca="false">SUM(R14:R26)</f>
        <v>78</v>
      </c>
      <c r="X14" s="63"/>
      <c r="Y14" s="2"/>
    </row>
    <row r="15" customFormat="false" ht="13.5" hidden="false" customHeight="true" outlineLevel="0" collapsed="false">
      <c r="A15" s="45"/>
      <c r="B15" s="13" t="n">
        <f aca="false">B14+1</f>
        <v>1</v>
      </c>
      <c r="C15" s="12" t="n">
        <f aca="false">$C$8+$C$9*B15</f>
        <v>9</v>
      </c>
      <c r="E15" s="2"/>
      <c r="F15" s="34" t="s">
        <v>177</v>
      </c>
      <c r="G15" s="21" t="n">
        <f aca="false">SUM(C14:C26)</f>
        <v>377</v>
      </c>
      <c r="H15" s="63"/>
      <c r="I15" s="45"/>
      <c r="J15" s="13" t="n">
        <f aca="false">J14+1</f>
        <v>1</v>
      </c>
      <c r="K15" s="12" t="n">
        <f aca="false">$K$8+$K$9*J15+$K$10*J15^2</f>
        <v>12</v>
      </c>
      <c r="M15" s="2"/>
      <c r="N15" s="34" t="s">
        <v>177</v>
      </c>
      <c r="O15" s="21" t="n">
        <f aca="false">SUM(K14:K26)</f>
        <v>2327</v>
      </c>
      <c r="P15" s="63"/>
      <c r="Q15" s="45"/>
      <c r="R15" s="13" t="n">
        <f aca="false">R14+1</f>
        <v>1</v>
      </c>
      <c r="S15" s="12" t="n">
        <f aca="false">$S$8+$S$9*R15+$S$10*R15^2+$S$11*R15^3</f>
        <v>14</v>
      </c>
      <c r="U15" s="2"/>
      <c r="V15" s="34" t="s">
        <v>177</v>
      </c>
      <c r="W15" s="21" t="n">
        <f aca="false">SUM(S14:S26)</f>
        <v>14495</v>
      </c>
      <c r="X15" s="63"/>
      <c r="Y15" s="2"/>
    </row>
    <row r="16" customFormat="false" ht="13.5" hidden="false" customHeight="true" outlineLevel="0" collapsed="false">
      <c r="A16" s="45"/>
      <c r="B16" s="13" t="n">
        <f aca="false">B15+1</f>
        <v>2</v>
      </c>
      <c r="C16" s="12" t="n">
        <f aca="false">$C$8+$C$9*B16</f>
        <v>13</v>
      </c>
      <c r="E16" s="2"/>
      <c r="F16" s="34" t="s">
        <v>178</v>
      </c>
      <c r="G16" s="21" t="n">
        <f aca="false">COUNT(B14:B26)</f>
        <v>13</v>
      </c>
      <c r="H16" s="63"/>
      <c r="I16" s="45"/>
      <c r="J16" s="13" t="n">
        <f aca="false">J15+1</f>
        <v>2</v>
      </c>
      <c r="K16" s="12" t="n">
        <f aca="false">$K$8+$K$9*J16+$K$10*J16^2</f>
        <v>25</v>
      </c>
      <c r="M16" s="2"/>
      <c r="N16" s="34" t="s">
        <v>178</v>
      </c>
      <c r="O16" s="21" t="n">
        <f aca="false">COUNT(J14:J26)</f>
        <v>13</v>
      </c>
      <c r="P16" s="63"/>
      <c r="Q16" s="45"/>
      <c r="R16" s="13" t="n">
        <f aca="false">R15+1</f>
        <v>2</v>
      </c>
      <c r="S16" s="12" t="n">
        <f aca="false">$S$8+$S$9*R16+$S$10*R16^2+$S$11*R16^3</f>
        <v>41</v>
      </c>
      <c r="U16" s="2"/>
      <c r="V16" s="34" t="s">
        <v>178</v>
      </c>
      <c r="W16" s="21" t="n">
        <f aca="false">COUNT(R14:R26)</f>
        <v>13</v>
      </c>
      <c r="X16" s="63"/>
      <c r="Y16" s="2"/>
    </row>
    <row r="17" customFormat="false" ht="13.5" hidden="false" customHeight="true" outlineLevel="0" collapsed="false">
      <c r="A17" s="45"/>
      <c r="B17" s="13" t="n">
        <f aca="false">B16+1</f>
        <v>3</v>
      </c>
      <c r="C17" s="12" t="n">
        <f aca="false">$C$8+$C$9*B17</f>
        <v>17</v>
      </c>
      <c r="E17" s="2"/>
      <c r="F17" s="34" t="s">
        <v>179</v>
      </c>
      <c r="G17" s="21" t="n">
        <f aca="false">COUNT(C14:C26)</f>
        <v>13</v>
      </c>
      <c r="H17" s="63"/>
      <c r="I17" s="45"/>
      <c r="J17" s="13" t="n">
        <f aca="false">J16+1</f>
        <v>3</v>
      </c>
      <c r="K17" s="12" t="n">
        <f aca="false">$K$8+$K$9*J17+$K$10*J17^2</f>
        <v>44</v>
      </c>
      <c r="M17" s="2"/>
      <c r="N17" s="34" t="s">
        <v>179</v>
      </c>
      <c r="O17" s="21" t="n">
        <f aca="false">COUNT(K14:K26)</f>
        <v>13</v>
      </c>
      <c r="P17" s="63"/>
      <c r="Q17" s="45"/>
      <c r="R17" s="13" t="n">
        <f aca="false">R16+1</f>
        <v>3</v>
      </c>
      <c r="S17" s="12" t="n">
        <f aca="false">$S$8+$S$9*R17+$S$10*R17^2+$S$11*R17^3</f>
        <v>98</v>
      </c>
      <c r="U17" s="2"/>
      <c r="V17" s="34" t="s">
        <v>179</v>
      </c>
      <c r="W17" s="21" t="n">
        <f aca="false">COUNT(S14:S26)</f>
        <v>13</v>
      </c>
      <c r="X17" s="63"/>
      <c r="Y17" s="2"/>
    </row>
    <row r="18" customFormat="false" ht="13.5" hidden="false" customHeight="true" outlineLevel="0" collapsed="false">
      <c r="A18" s="45"/>
      <c r="B18" s="13" t="n">
        <f aca="false">B17+1</f>
        <v>4</v>
      </c>
      <c r="C18" s="12" t="n">
        <f aca="false">$C$8+$C$9*B18</f>
        <v>21</v>
      </c>
      <c r="E18" s="2"/>
      <c r="F18" s="34" t="s">
        <v>180</v>
      </c>
      <c r="G18" s="21" t="n">
        <f aca="false">AVERAGE(B14:B26)</f>
        <v>6</v>
      </c>
      <c r="H18" s="21" t="n">
        <f aca="false">SUM(B14:B26)/COUNT(B14:B26)</f>
        <v>6</v>
      </c>
      <c r="I18" s="45"/>
      <c r="J18" s="13" t="n">
        <f aca="false">J17+1</f>
        <v>4</v>
      </c>
      <c r="K18" s="12" t="n">
        <f aca="false">$K$8+$K$9*J18+$K$10*J18^2</f>
        <v>69</v>
      </c>
      <c r="M18" s="2"/>
      <c r="N18" s="34" t="s">
        <v>180</v>
      </c>
      <c r="O18" s="21" t="n">
        <f aca="false">AVERAGE(J14:J26)</f>
        <v>6</v>
      </c>
      <c r="P18" s="21" t="n">
        <f aca="false">SUM(J14:J26)/COUNT(J14:J26)</f>
        <v>6</v>
      </c>
      <c r="Q18" s="45"/>
      <c r="R18" s="13" t="n">
        <f aca="false">R17+1</f>
        <v>4</v>
      </c>
      <c r="S18" s="12" t="n">
        <f aca="false">$S$8+$S$9*R18+$S$10*R18^2+$S$11*R18^3</f>
        <v>197</v>
      </c>
      <c r="U18" s="2"/>
      <c r="V18" s="34" t="s">
        <v>180</v>
      </c>
      <c r="W18" s="21" t="n">
        <f aca="false">AVERAGE(R14:R26)</f>
        <v>6</v>
      </c>
      <c r="X18" s="21" t="n">
        <f aca="false">SUM(R14:R26)/COUNT(R14:R26)</f>
        <v>6</v>
      </c>
      <c r="Y18" s="2"/>
    </row>
    <row r="19" customFormat="false" ht="13.5" hidden="false" customHeight="true" outlineLevel="0" collapsed="false">
      <c r="A19" s="45"/>
      <c r="B19" s="13" t="n">
        <f aca="false">B18+1</f>
        <v>5</v>
      </c>
      <c r="C19" s="12" t="n">
        <f aca="false">$C$8+$C$9*B19</f>
        <v>25</v>
      </c>
      <c r="E19" s="2"/>
      <c r="F19" s="34" t="s">
        <v>181</v>
      </c>
      <c r="G19" s="21" t="n">
        <f aca="false">AVERAGE(C14:C26)</f>
        <v>29</v>
      </c>
      <c r="H19" s="21" t="n">
        <f aca="false">SUM(C14:C26)/COUNT(C14:C26)</f>
        <v>29</v>
      </c>
      <c r="I19" s="45"/>
      <c r="J19" s="13" t="n">
        <f aca="false">J18+1</f>
        <v>5</v>
      </c>
      <c r="K19" s="12" t="n">
        <f aca="false">$K$8+$K$9*J19+$K$10*J19^2</f>
        <v>100</v>
      </c>
      <c r="M19" s="2"/>
      <c r="N19" s="34" t="s">
        <v>181</v>
      </c>
      <c r="O19" s="21" t="n">
        <f aca="false">AVERAGE(K14:K26)</f>
        <v>179</v>
      </c>
      <c r="P19" s="21" t="n">
        <f aca="false">SUM(K14:K26)/COUNT(K14:K26)</f>
        <v>179</v>
      </c>
      <c r="Q19" s="45"/>
      <c r="R19" s="13" t="n">
        <f aca="false">R18+1</f>
        <v>5</v>
      </c>
      <c r="S19" s="12" t="n">
        <f aca="false">$S$8+$S$9*R19+$S$10*R19^2+$S$11*R19^3</f>
        <v>350</v>
      </c>
      <c r="U19" s="2"/>
      <c r="V19" s="34" t="s">
        <v>181</v>
      </c>
      <c r="W19" s="21" t="n">
        <f aca="false">AVERAGE(S14:S26)</f>
        <v>1115</v>
      </c>
      <c r="X19" s="21" t="n">
        <f aca="false">SUM(S14:S26)/COUNT(S14:S26)</f>
        <v>1115</v>
      </c>
      <c r="Y19" s="2"/>
    </row>
    <row r="20" customFormat="false" ht="13.5" hidden="false" customHeight="true" outlineLevel="0" collapsed="false">
      <c r="A20" s="45"/>
      <c r="B20" s="13" t="n">
        <f aca="false">B19+1</f>
        <v>6</v>
      </c>
      <c r="C20" s="12" t="n">
        <f aca="false">$C$8+$C$9*B20</f>
        <v>29</v>
      </c>
      <c r="E20" s="2"/>
      <c r="F20" s="34" t="s">
        <v>182</v>
      </c>
      <c r="G20" s="21" t="n">
        <f aca="false">_xlfn.VAR.S(B14:B26)</f>
        <v>15.1666666666667</v>
      </c>
      <c r="H20" s="21" t="n">
        <f aca="false" t="array" ref="H20:H20">SUM(POWER(B14:B26 - H18,2))/(COUNT(B14:B26)-1)</f>
        <v>15.1666666666667</v>
      </c>
      <c r="I20" s="45"/>
      <c r="J20" s="13" t="n">
        <f aca="false">J19+1</f>
        <v>6</v>
      </c>
      <c r="K20" s="12" t="n">
        <f aca="false">$K$8+$K$9*J20+$K$10*J20^2</f>
        <v>137</v>
      </c>
      <c r="M20" s="2"/>
      <c r="N20" s="34" t="s">
        <v>182</v>
      </c>
      <c r="O20" s="21" t="n">
        <f aca="false">_xlfn.VAR.S(J14:J26)</f>
        <v>15.1666666666667</v>
      </c>
      <c r="P20" s="21" t="n">
        <f aca="false" t="array" ref="P20:P20">SUM(POWER(J14:J26 - P18,2))/(COUNT(J14:J26)-1)</f>
        <v>15.1666666666667</v>
      </c>
      <c r="Q20" s="45"/>
      <c r="R20" s="13" t="n">
        <f aca="false">R19+1</f>
        <v>6</v>
      </c>
      <c r="S20" s="12" t="n">
        <f aca="false">$S$8+$S$9*R20+$S$10*R20^2+$S$11*R20^3</f>
        <v>569</v>
      </c>
      <c r="U20" s="2"/>
      <c r="V20" s="34" t="s">
        <v>182</v>
      </c>
      <c r="W20" s="21" t="n">
        <f aca="false">_xlfn.VAR.S(R14:R26)</f>
        <v>15.1666666666667</v>
      </c>
      <c r="X20" s="21" t="n">
        <f aca="false" t="array" ref="X20:X20">SUM(POWER(R14:R26 - X18,2))/(COUNT(R14:R26)-1)</f>
        <v>15.1666666666667</v>
      </c>
      <c r="Y20" s="2"/>
    </row>
    <row r="21" customFormat="false" ht="15" hidden="false" customHeight="false" outlineLevel="0" collapsed="false">
      <c r="A21" s="45"/>
      <c r="B21" s="13" t="n">
        <f aca="false">B20+1</f>
        <v>7</v>
      </c>
      <c r="C21" s="12" t="n">
        <f aca="false">$C$8+$C$9*B21</f>
        <v>33</v>
      </c>
      <c r="E21" s="2"/>
      <c r="F21" s="34" t="s">
        <v>183</v>
      </c>
      <c r="G21" s="21" t="n">
        <f aca="false">_xlfn.VAR.S(C14:C26)</f>
        <v>242.666666666667</v>
      </c>
      <c r="H21" s="21" t="n">
        <f aca="false" t="array" ref="H21:H21">SUM(POWER(C14:C26 - H19,2))/(COUNT(C14:C26)-1)</f>
        <v>242.666666666667</v>
      </c>
      <c r="I21" s="45"/>
      <c r="J21" s="13" t="n">
        <f aca="false">J20+1</f>
        <v>7</v>
      </c>
      <c r="K21" s="12" t="n">
        <f aca="false">$K$8+$K$9*J21+$K$10*J21^2</f>
        <v>180</v>
      </c>
      <c r="M21" s="2"/>
      <c r="N21" s="34" t="s">
        <v>183</v>
      </c>
      <c r="O21" s="21" t="n">
        <f aca="false">_xlfn.VAR.S(K14:K26)</f>
        <v>25768.1666666667</v>
      </c>
      <c r="P21" s="21" t="n">
        <f aca="false" t="array" ref="P21:P21">SUM(POWER(K14:K26 - P19,2))/(COUNT(K14:K26)-1)</f>
        <v>25768.1666666667</v>
      </c>
      <c r="Q21" s="45"/>
      <c r="R21" s="13" t="n">
        <f aca="false">R20+1</f>
        <v>7</v>
      </c>
      <c r="S21" s="12" t="n">
        <f aca="false">$S$8+$S$9*R21+$S$10*R21^2+$S$11*R21^3</f>
        <v>866</v>
      </c>
      <c r="U21" s="2"/>
      <c r="V21" s="34" t="s">
        <v>183</v>
      </c>
      <c r="W21" s="21" t="n">
        <f aca="false">_xlfn.VAR.S(S14:S26)</f>
        <v>1680763.5</v>
      </c>
      <c r="X21" s="21" t="n">
        <f aca="false" t="array" ref="X21:X21">SUM(POWER(S14:S26 - X19,2))/(COUNT(S14:S26)-1)</f>
        <v>1680763.5</v>
      </c>
      <c r="Y21" s="2"/>
    </row>
    <row r="22" customFormat="false" ht="15" hidden="false" customHeight="false" outlineLevel="0" collapsed="false">
      <c r="A22" s="45"/>
      <c r="B22" s="13" t="n">
        <f aca="false">B21+1</f>
        <v>8</v>
      </c>
      <c r="C22" s="12" t="n">
        <f aca="false">$C$8+$C$9*B22</f>
        <v>37</v>
      </c>
      <c r="E22" s="2"/>
      <c r="F22" s="34" t="s">
        <v>184</v>
      </c>
      <c r="G22" s="21" t="n">
        <f aca="false">_xlfn.STDEV.S(B14:B26)</f>
        <v>3.89444048184931</v>
      </c>
      <c r="H22" s="21" t="n">
        <f aca="false">SQRT(H20)</f>
        <v>3.89444048184931</v>
      </c>
      <c r="I22" s="45"/>
      <c r="J22" s="13" t="n">
        <f aca="false">J21+1</f>
        <v>8</v>
      </c>
      <c r="K22" s="12" t="n">
        <f aca="false">$K$8+$K$9*J22+$K$10*J22^2</f>
        <v>229</v>
      </c>
      <c r="M22" s="2"/>
      <c r="N22" s="34" t="s">
        <v>184</v>
      </c>
      <c r="O22" s="21" t="n">
        <f aca="false">_xlfn.STDEV.S(J14:J26)</f>
        <v>3.89444048184931</v>
      </c>
      <c r="P22" s="21" t="n">
        <f aca="false">SQRT(P20)</f>
        <v>3.89444048184931</v>
      </c>
      <c r="Q22" s="45"/>
      <c r="R22" s="13" t="n">
        <f aca="false">R21+1</f>
        <v>8</v>
      </c>
      <c r="S22" s="12" t="n">
        <f aca="false">$S$8+$S$9*R22+$S$10*R22^2+$S$11*R22^3</f>
        <v>1253</v>
      </c>
      <c r="U22" s="2"/>
      <c r="V22" s="34" t="s">
        <v>184</v>
      </c>
      <c r="W22" s="21" t="n">
        <f aca="false">_xlfn.STDEV.S(R14:R26)</f>
        <v>3.89444048184931</v>
      </c>
      <c r="X22" s="21" t="n">
        <f aca="false">SQRT(X20)</f>
        <v>3.89444048184931</v>
      </c>
      <c r="Y22" s="2"/>
    </row>
    <row r="23" customFormat="false" ht="15" hidden="false" customHeight="false" outlineLevel="0" collapsed="false">
      <c r="A23" s="45"/>
      <c r="B23" s="13" t="n">
        <f aca="false">B22+1</f>
        <v>9</v>
      </c>
      <c r="C23" s="12" t="n">
        <f aca="false">$C$8+$C$9*B23</f>
        <v>41</v>
      </c>
      <c r="E23" s="2"/>
      <c r="F23" s="34" t="s">
        <v>185</v>
      </c>
      <c r="G23" s="21" t="n">
        <f aca="false">_xlfn.STDEV.S(C14:C26)</f>
        <v>15.5777619273972</v>
      </c>
      <c r="H23" s="21" t="n">
        <f aca="false">SQRT(H21)</f>
        <v>15.5777619273972</v>
      </c>
      <c r="I23" s="45"/>
      <c r="J23" s="13" t="n">
        <f aca="false">J22+1</f>
        <v>9</v>
      </c>
      <c r="K23" s="12" t="n">
        <f aca="false">$K$8+$K$9*J23+$K$10*J23^2</f>
        <v>284</v>
      </c>
      <c r="M23" s="2"/>
      <c r="N23" s="34" t="s">
        <v>185</v>
      </c>
      <c r="O23" s="21" t="n">
        <f aca="false">_xlfn.STDEV.S(K14:K26)</f>
        <v>160.524660618444</v>
      </c>
      <c r="P23" s="21" t="n">
        <f aca="false">SQRT(P21)</f>
        <v>160.524660618444</v>
      </c>
      <c r="Q23" s="45"/>
      <c r="R23" s="13" t="n">
        <f aca="false">R22+1</f>
        <v>9</v>
      </c>
      <c r="S23" s="12" t="n">
        <f aca="false">$S$8+$S$9*R23+$S$10*R23^2+$S$11*R23^3</f>
        <v>1742</v>
      </c>
      <c r="U23" s="2"/>
      <c r="V23" s="34" t="s">
        <v>185</v>
      </c>
      <c r="W23" s="21" t="n">
        <f aca="false">_xlfn.STDEV.S(S14:S26)</f>
        <v>1296.44263274547</v>
      </c>
      <c r="X23" s="21" t="n">
        <f aca="false">SQRT(X21)</f>
        <v>1296.44263274547</v>
      </c>
      <c r="Y23" s="2"/>
    </row>
    <row r="24" customFormat="false" ht="15" hidden="false" customHeight="false" outlineLevel="0" collapsed="false">
      <c r="A24" s="45"/>
      <c r="B24" s="13" t="n">
        <f aca="false">B23+1</f>
        <v>10</v>
      </c>
      <c r="C24" s="12" t="n">
        <f aca="false">$C$8+$C$9*B24</f>
        <v>45</v>
      </c>
      <c r="E24" s="2"/>
      <c r="F24" s="34" t="s">
        <v>39</v>
      </c>
      <c r="G24" s="21" t="n">
        <f aca="false">_xlfn.COVARIANCE.S(B14:B26,C14:C26)</f>
        <v>60.6666666666667</v>
      </c>
      <c r="H24" s="21" t="n">
        <f aca="false" t="array" ref="H24:H24">SUM((B14:B26-H18)*(C14:C26-H19))/(COUNT(B14:B26)-1)</f>
        <v>60.6666666666667</v>
      </c>
      <c r="I24" s="45"/>
      <c r="J24" s="13" t="n">
        <f aca="false">J23+1</f>
        <v>10</v>
      </c>
      <c r="K24" s="12" t="n">
        <f aca="false">$K$8+$K$9*J24+$K$10*J24^2</f>
        <v>345</v>
      </c>
      <c r="M24" s="2"/>
      <c r="N24" s="34" t="s">
        <v>39</v>
      </c>
      <c r="O24" s="21" t="n">
        <f aca="false">_xlfn.COVARIANCE.S(J14:J26,K14:K26)</f>
        <v>606.666666666667</v>
      </c>
      <c r="P24" s="21" t="n">
        <f aca="false" t="array" ref="P24:P24">SUM((J14:J26-P18)*(K14:K26-P19))/(COUNT(J14:J26)-1)</f>
        <v>606.666666666667</v>
      </c>
      <c r="Q24" s="45"/>
      <c r="R24" s="13" t="n">
        <f aca="false">R23+1</f>
        <v>10</v>
      </c>
      <c r="S24" s="12" t="n">
        <f aca="false">$S$8+$S$9*R24+$S$10*R24^2+$S$11*R24^3</f>
        <v>2345</v>
      </c>
      <c r="U24" s="2"/>
      <c r="V24" s="34" t="s">
        <v>39</v>
      </c>
      <c r="W24" s="21" t="n">
        <f aca="false">_xlfn.COVARIANCE.S(R14:R26,S14:S26)</f>
        <v>4641</v>
      </c>
      <c r="X24" s="21" t="n">
        <f aca="false" t="array" ref="X24:X24">SUM((R14:R26-X18)*(S14:S26-X19))/(COUNT(R14:R26)-1)</f>
        <v>4641</v>
      </c>
      <c r="Y24" s="2"/>
    </row>
    <row r="25" customFormat="false" ht="15" hidden="false" customHeight="false" outlineLevel="0" collapsed="false">
      <c r="A25" s="45"/>
      <c r="B25" s="13" t="n">
        <f aca="false">B24+1</f>
        <v>11</v>
      </c>
      <c r="C25" s="12" t="n">
        <f aca="false">$C$8+$C$9*B25</f>
        <v>49</v>
      </c>
      <c r="E25" s="2"/>
      <c r="F25" s="34" t="s">
        <v>144</v>
      </c>
      <c r="G25" s="21" t="n">
        <f aca="false">PEARSON(B14:B26,C14:C26)</f>
        <v>1</v>
      </c>
      <c r="H25" s="21" t="n">
        <f aca="false">H24/(H22*H23)</f>
        <v>1</v>
      </c>
      <c r="I25" s="45"/>
      <c r="J25" s="13" t="n">
        <f aca="false">J24+1</f>
        <v>11</v>
      </c>
      <c r="K25" s="12" t="n">
        <f aca="false">$K$8+$K$9*J25+$K$10*J25^2</f>
        <v>412</v>
      </c>
      <c r="M25" s="2"/>
      <c r="N25" s="34" t="s">
        <v>144</v>
      </c>
      <c r="O25" s="21" t="n">
        <f aca="false">PEARSON(J14:J26,K14:K26)</f>
        <v>0.970427962120068</v>
      </c>
      <c r="P25" s="21" t="n">
        <f aca="false">P24/(P22*P23)</f>
        <v>0.970427962120068</v>
      </c>
      <c r="Q25" s="45"/>
      <c r="R25" s="13" t="n">
        <f aca="false">R24+1</f>
        <v>11</v>
      </c>
      <c r="S25" s="12" t="n">
        <f aca="false">$S$8+$S$9*R25+$S$10*R25^2+$S$11*R25^3</f>
        <v>3074</v>
      </c>
      <c r="U25" s="2"/>
      <c r="V25" s="34" t="s">
        <v>144</v>
      </c>
      <c r="W25" s="21" t="n">
        <f aca="false">PEARSON(R14:R26,S14:S26)</f>
        <v>0.919206725655292</v>
      </c>
      <c r="X25" s="21" t="n">
        <f aca="false">X24/(X22*X23)</f>
        <v>0.919206725655292</v>
      </c>
      <c r="Y25" s="2"/>
    </row>
    <row r="26" customFormat="false" ht="15" hidden="false" customHeight="false" outlineLevel="0" collapsed="false">
      <c r="A26" s="45"/>
      <c r="B26" s="13" t="n">
        <f aca="false">B25+1</f>
        <v>12</v>
      </c>
      <c r="C26" s="12" t="n">
        <f aca="false">$C$8+$C$9*B26</f>
        <v>53</v>
      </c>
      <c r="E26" s="2"/>
      <c r="F26" s="34"/>
      <c r="G26" s="21"/>
      <c r="H26" s="21" t="n">
        <f aca="false" t="array" ref="H26:H26">SUM((B14:B26 - H18)*(C14:C26 - H19))/SQRT(SUM(POWER(B14:B26 - H18,2))*SUM(POWER(C14:C26 - H19,2)))</f>
        <v>1</v>
      </c>
      <c r="I26" s="45"/>
      <c r="J26" s="13" t="n">
        <f aca="false">J25+1</f>
        <v>12</v>
      </c>
      <c r="K26" s="12" t="n">
        <f aca="false">$K$8+$K$9*J26+$K$10*J26^2</f>
        <v>485</v>
      </c>
      <c r="M26" s="2"/>
      <c r="N26" s="34"/>
      <c r="O26" s="21"/>
      <c r="P26" s="21" t="n">
        <f aca="false" t="array" ref="P26:P26">SUM((J14:J26 - P18)*(K14:K26 - P19))/SQRT(SUM(POWER(J14:J26 - P18,2))*SUM(POWER(K14:K26 - P19,2)))</f>
        <v>0.970427962120068</v>
      </c>
      <c r="Q26" s="45"/>
      <c r="R26" s="13" t="n">
        <f aca="false">R25+1</f>
        <v>12</v>
      </c>
      <c r="S26" s="12" t="n">
        <f aca="false">$S$8+$S$9*R26+$S$10*R26^2+$S$11*R26^3</f>
        <v>3941</v>
      </c>
      <c r="U26" s="2"/>
      <c r="V26" s="34"/>
      <c r="W26" s="21"/>
      <c r="X26" s="21" t="n">
        <f aca="false" t="array" ref="X26:X26">SUM((R14:R26 - X18)*(S14:S26 - X19))/SQRT(SUM(POWER(R14:R26 - X18,2))*SUM(POWER(S14:S26 - X19,2)))</f>
        <v>0.919206725655292</v>
      </c>
      <c r="Y26" s="2"/>
    </row>
    <row r="27" customFormat="false" ht="15" hidden="false" customHeight="false" outlineLevel="0" collapsed="false">
      <c r="A27" s="45"/>
      <c r="B27" s="2"/>
      <c r="C27" s="2"/>
      <c r="E27" s="2"/>
      <c r="F27" s="34" t="s">
        <v>186</v>
      </c>
      <c r="G27" s="21" t="n">
        <f aca="false">SLOPE(B14:B26,C14:C26)</f>
        <v>0.25</v>
      </c>
      <c r="H27" s="21" t="n">
        <f aca="false" t="array" ref="H27:H27">SUM((B14:B26 - H18)*(C14:C26 - H19))/SUM(POWER((B14:B26 - H18),2))</f>
        <v>4</v>
      </c>
      <c r="I27" s="45"/>
      <c r="J27" s="2"/>
      <c r="K27" s="2"/>
      <c r="M27" s="2"/>
      <c r="N27" s="34" t="s">
        <v>186</v>
      </c>
      <c r="O27" s="21" t="n">
        <f aca="false">SLOPE(J14:J26,K14:K26)</f>
        <v>0.0235432607416127</v>
      </c>
      <c r="P27" s="21" t="n">
        <f aca="false" t="array" ref="P27:P27">SUM((J14:J26 - P18)*(K14:K26 - P19))/SUM(POWER((J14:J26 - P18),2))</f>
        <v>40</v>
      </c>
      <c r="Q27" s="45"/>
      <c r="R27" s="2"/>
      <c r="S27" s="2"/>
      <c r="U27" s="2"/>
      <c r="V27" s="34" t="s">
        <v>186</v>
      </c>
      <c r="W27" s="21" t="n">
        <f aca="false">SLOPE(R14:R26,S14:S26)</f>
        <v>0.00276124511271217</v>
      </c>
      <c r="X27" s="21" t="n">
        <f aca="false" t="array" ref="X27:X27">SUM((R14:R26 - X18)*(S14:S26 - X19))/SUM(POWER((R14:R26 - X18),2))</f>
        <v>306</v>
      </c>
      <c r="Y27" s="2"/>
    </row>
    <row r="28" customFormat="false" ht="8.25" hidden="false" customHeight="true" outlineLevel="0" collapsed="false">
      <c r="A28" s="45"/>
      <c r="I28" s="45"/>
      <c r="Q28" s="45"/>
    </row>
    <row r="29" customFormat="false" ht="13.5" hidden="false" customHeight="true" outlineLevel="0" collapsed="false">
      <c r="A29" s="45"/>
      <c r="B29" s="2"/>
      <c r="C29" s="2"/>
      <c r="D29" s="2"/>
      <c r="I29" s="45"/>
      <c r="J29" s="2"/>
      <c r="K29" s="2"/>
      <c r="L29" s="2"/>
      <c r="Q29" s="45"/>
      <c r="R29" s="2"/>
      <c r="S29" s="2"/>
      <c r="T29" s="2"/>
    </row>
    <row r="30" customFormat="false" ht="15" hidden="false" customHeight="false" outlineLevel="0" collapsed="false">
      <c r="B30" s="2"/>
      <c r="C30" s="2"/>
      <c r="D30" s="2"/>
      <c r="J30" s="2"/>
      <c r="K30" s="2"/>
      <c r="L30" s="2"/>
      <c r="R30" s="2"/>
      <c r="S30" s="2"/>
      <c r="T30" s="2"/>
    </row>
    <row r="31" customFormat="false" ht="15" hidden="false" customHeight="false" outlineLevel="0" collapsed="false">
      <c r="B31" s="2"/>
      <c r="C31" s="2"/>
      <c r="D31" s="2"/>
      <c r="J31" s="2"/>
      <c r="K31" s="2"/>
      <c r="L31" s="2"/>
      <c r="R31" s="2"/>
      <c r="S31" s="2"/>
      <c r="T31" s="2"/>
    </row>
    <row r="32" customFormat="false" ht="15" hidden="false" customHeight="false" outlineLevel="0" collapsed="false">
      <c r="B32" s="2"/>
      <c r="C32" s="2"/>
      <c r="D32" s="2"/>
      <c r="J32" s="2"/>
      <c r="K32" s="2"/>
      <c r="L32" s="2"/>
      <c r="R32" s="2"/>
      <c r="S32" s="2"/>
      <c r="T32" s="2"/>
    </row>
    <row r="33" customFormat="false" ht="15" hidden="false" customHeight="false" outlineLevel="0" collapsed="false">
      <c r="B33" s="2"/>
      <c r="C33" s="2"/>
      <c r="D33" s="2"/>
      <c r="J33" s="2"/>
      <c r="K33" s="2"/>
      <c r="L33" s="2"/>
      <c r="R33" s="2"/>
      <c r="S33" s="2"/>
      <c r="T33" s="2"/>
    </row>
    <row r="34" customFormat="false" ht="15" hidden="false" customHeight="false" outlineLevel="0" collapsed="false">
      <c r="B34" s="2"/>
      <c r="C34" s="2"/>
      <c r="D34" s="2"/>
      <c r="J34" s="2"/>
      <c r="K34" s="2"/>
      <c r="L34" s="2"/>
      <c r="R34" s="2"/>
      <c r="S34" s="2"/>
      <c r="T34" s="2"/>
    </row>
    <row r="35" customFormat="false" ht="15" hidden="false" customHeight="false" outlineLevel="0" collapsed="false">
      <c r="B35" s="2"/>
      <c r="C35" s="2"/>
      <c r="D35" s="2"/>
      <c r="J35" s="2"/>
      <c r="K35" s="2"/>
      <c r="L35" s="2"/>
      <c r="R35" s="2"/>
      <c r="S35" s="2"/>
      <c r="T35" s="2"/>
    </row>
    <row r="36" customFormat="false" ht="15" hidden="false" customHeight="false" outlineLevel="0" collapsed="false">
      <c r="B36" s="2"/>
      <c r="C36" s="2"/>
      <c r="D36" s="2"/>
      <c r="J36" s="2"/>
      <c r="K36" s="2"/>
      <c r="L36" s="2"/>
      <c r="R36" s="2"/>
      <c r="S36" s="2"/>
      <c r="T36" s="2"/>
    </row>
    <row r="37" customFormat="false" ht="15" hidden="false" customHeight="false" outlineLevel="0" collapsed="false">
      <c r="B37" s="2"/>
      <c r="C37" s="2"/>
      <c r="D37" s="2"/>
      <c r="J37" s="2"/>
      <c r="K37" s="2"/>
      <c r="L37" s="2"/>
      <c r="R37" s="2"/>
      <c r="S37" s="2"/>
      <c r="T37" s="2"/>
    </row>
    <row r="38" customFormat="false" ht="15" hidden="false" customHeight="false" outlineLevel="0" collapsed="false">
      <c r="B38" s="2"/>
      <c r="C38" s="2"/>
      <c r="D38" s="2"/>
      <c r="J38" s="2"/>
      <c r="K38" s="2"/>
      <c r="L38" s="2"/>
      <c r="R38" s="2"/>
      <c r="S38" s="2"/>
      <c r="T38" s="2"/>
    </row>
    <row r="39" customFormat="false" ht="15" hidden="false" customHeight="false" outlineLevel="0" collapsed="false">
      <c r="B39" s="2"/>
      <c r="C39" s="2"/>
      <c r="D39" s="2"/>
      <c r="J39" s="2"/>
      <c r="K39" s="2"/>
      <c r="L39" s="2"/>
      <c r="R39" s="2"/>
      <c r="S39" s="2"/>
      <c r="T39" s="2"/>
    </row>
    <row r="40" customFormat="false" ht="15" hidden="false" customHeight="false" outlineLevel="0" collapsed="false">
      <c r="B40" s="2"/>
      <c r="C40" s="2"/>
      <c r="D40" s="2"/>
      <c r="J40" s="2"/>
      <c r="K40" s="2"/>
      <c r="L40" s="2"/>
      <c r="R40" s="2"/>
      <c r="S40" s="2"/>
      <c r="T40" s="2"/>
    </row>
    <row r="41" customFormat="false" ht="15" hidden="false" customHeight="false" outlineLevel="0" collapsed="false">
      <c r="B41" s="2"/>
      <c r="C41" s="2"/>
      <c r="D41" s="2"/>
      <c r="J41" s="2"/>
      <c r="K41" s="2"/>
      <c r="L41" s="2"/>
      <c r="R41" s="2"/>
      <c r="S41" s="2"/>
      <c r="T41" s="2"/>
    </row>
    <row r="42" customFormat="false" ht="15" hidden="false" customHeight="false" outlineLevel="0" collapsed="false">
      <c r="B42" s="2"/>
      <c r="C42" s="2"/>
      <c r="D42" s="2"/>
      <c r="J42" s="2"/>
      <c r="K42" s="2"/>
      <c r="L42" s="2"/>
      <c r="R42" s="2"/>
      <c r="S42" s="2"/>
      <c r="T42" s="2"/>
    </row>
    <row r="43" customFormat="false" ht="15" hidden="false" customHeight="false" outlineLevel="0" collapsed="false">
      <c r="B43" s="3"/>
      <c r="C43" s="3"/>
      <c r="D43" s="3"/>
      <c r="J43" s="3"/>
      <c r="K43" s="3"/>
      <c r="L43" s="3"/>
      <c r="R43" s="3"/>
      <c r="S43" s="3"/>
      <c r="T43" s="3"/>
    </row>
    <row r="1048576" customFormat="false" ht="12.8" hidden="false" customHeight="false" outlineLevel="0" collapsed="false"/>
  </sheetData>
  <mergeCells count="3">
    <mergeCell ref="H14:H17"/>
    <mergeCell ref="P14:P17"/>
    <mergeCell ref="X14:X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2024-03-14T21:42:58Z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