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st²" sheetId="1" state="visible" r:id="rId3"/>
    <sheet name="example" sheetId="2" state="visible" r:id="rId4"/>
    <sheet name="least²-all" sheetId="3" state="visible" r:id="rId5"/>
    <sheet name="compar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<sst xmlns="http://schemas.openxmlformats.org/spreadsheetml/2006/main" count="333" uniqueCount="135">
  <si>
    <t xml:space="preserve">Least Square</t>
  </si>
  <si>
    <t xml:space="preserve">y = b + mx</t>
  </si>
  <si>
    <t xml:space="preserve">Sample Series</t>
  </si>
  <si>
    <t xml:space="preserve">Basic Properties</t>
  </si>
  <si>
    <t xml:space="preserve">Least Square Calculation</t>
  </si>
  <si>
    <t xml:space="preserve">Correlation Calculation</t>
  </si>
  <si>
    <t xml:space="preserve">Residual Calculation (yᵢ = β̅₀ + β̅₁xᵢ)</t>
  </si>
  <si>
    <t xml:space="preserve">x</t>
  </si>
  <si>
    <t xml:space="preserve">y value</t>
  </si>
  <si>
    <t xml:space="preserve">xᵢ-x̄</t>
  </si>
  <si>
    <t xml:space="preserve">yᵢ-ȳ</t>
  </si>
  <si>
    <t xml:space="preserve">(xᵢ-x̄)²</t>
  </si>
  <si>
    <t xml:space="preserve">(xᵢ-x̄)(yᵢ-ȳ)</t>
  </si>
  <si>
    <t xml:space="preserve">(yᵢ-ȳ)²</t>
  </si>
  <si>
    <t xml:space="preserve">fit(xᵢ)</t>
  </si>
  <si>
    <t xml:space="preserve">ϵᵢ (residual)</t>
  </si>
  <si>
    <t xml:space="preserve">ϵᵢ²</t>
  </si>
  <si>
    <t xml:space="preserve">∑x (total)</t>
  </si>
  <si>
    <t xml:space="preserve">∑y (total)</t>
  </si>
  <si>
    <t xml:space="preserve">∑(xᵢ-x̄)</t>
  </si>
  <si>
    <t xml:space="preserve">∑(yᵢ-ȳ)</t>
  </si>
  <si>
    <t xml:space="preserve">∑(xᵢ-x̄)²</t>
  </si>
  <si>
    <t xml:space="preserve">∑(xᵢ-x̄)(yᵢ-ȳ)</t>
  </si>
  <si>
    <t xml:space="preserve">∑(yᵢ-ȳ)²</t>
  </si>
  <si>
    <t xml:space="preserve">SSR = ∑ϵᵢ²</t>
  </si>
  <si>
    <t xml:space="preserve">sample count</t>
  </si>
  <si>
    <t xml:space="preserve">unbiased estimate</t>
  </si>
  <si>
    <t xml:space="preserve">β̅₁</t>
  </si>
  <si>
    <t xml:space="preserve">β̅₀</t>
  </si>
  <si>
    <t xml:space="preserve">∑(xᵢ-x̄)²/(n-1)</t>
  </si>
  <si>
    <t xml:space="preserve">∑(yᵢ-ȳ)²/(n-1)</t>
  </si>
  <si>
    <t xml:space="preserve">∑(xᵢ-x̄)(yᵢ-ȳ)/(n-1)</t>
  </si>
  <si>
    <t xml:space="preserve">MSE = SSR/df</t>
  </si>
  <si>
    <t xml:space="preserve">n</t>
  </si>
  <si>
    <t xml:space="preserve">n-1</t>
  </si>
  <si>
    <t xml:space="preserve">m (slope)</t>
  </si>
  <si>
    <t xml:space="preserve">b (intercept)</t>
  </si>
  <si>
    <t xml:space="preserve">sₓ² (variance)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</si>
  <si>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² (variance)</t>
    </r>
  </si>
  <si>
    <t xml:space="preserve">covariance</t>
  </si>
  <si>
    <t xml:space="preserve">sample mean</t>
  </si>
  <si>
    <t xml:space="preserve">degree of freedom</t>
  </si>
  <si>
    <t xml:space="preserve">√(∑(xᵢ-x̄)²/(n-1))</t>
  </si>
  <si>
    <t xml:space="preserve">√(∑(yᵢ-ȳ)²/(n-1))</t>
  </si>
  <si>
    <r>
      <rPr>
        <sz val="10.5"/>
        <rFont val="Calibri"/>
        <family val="2"/>
        <charset val="1"/>
      </rPr>
      <t xml:space="preserve">cov/sₓs</t>
    </r>
    <r>
      <rPr>
        <vertAlign val="subscript"/>
        <sz val="10.5"/>
        <rFont val="Calibri"/>
        <family val="2"/>
        <charset val="1"/>
      </rPr>
      <t xml:space="preserve">y</t>
    </r>
  </si>
  <si>
    <t xml:space="preserve">std err slope</t>
  </si>
  <si>
    <t xml:space="preserve">x̄ (mean)</t>
  </si>
  <si>
    <t xml:space="preserve">ȳ (mean)</t>
  </si>
  <si>
    <t xml:space="preserve">df</t>
  </si>
  <si>
    <t xml:space="preserve">Equation (y = b + mx)</t>
  </si>
  <si>
    <t xml:space="preserve">sₓ (std dev)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</si>
  <si>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 (std dev)</t>
    </r>
  </si>
  <si>
    <t xml:space="preserve">r (pearson)</t>
  </si>
  <si>
    <t xml:space="preserve">SE(β₁)</t>
  </si>
  <si>
    <t xml:space="preserve">Note</t>
  </si>
  <si>
    <t xml:space="preserve">R²</t>
  </si>
  <si>
    <t xml:space="preserve">R² for linear is r²</t>
  </si>
  <si>
    <t xml:space="preserve">t-value</t>
  </si>
  <si>
    <t xml:space="preserve">p-value</t>
  </si>
  <si>
    <t xml:space="preserve">adjusted R²</t>
  </si>
  <si>
    <t xml:space="preserve">β̅₁/SE(β₁)</t>
  </si>
  <si>
    <t xml:space="preserve">formula</t>
  </si>
  <si>
    <t xml:space="preserve">Not necessarry for simple LQ</t>
  </si>
  <si>
    <t xml:space="preserve">Statistic Properties of Sample</t>
  </si>
  <si>
    <t xml:space="preserve">Series</t>
  </si>
  <si>
    <t xml:space="preserve">Tabular Calculation in Details</t>
  </si>
  <si>
    <t xml:space="preserve">Coefficient of Determination</t>
  </si>
  <si>
    <t xml:space="preserve">x data</t>
  </si>
  <si>
    <t xml:space="preserve">y data</t>
  </si>
  <si>
    <t xml:space="preserve">properties</t>
  </si>
  <si>
    <t xml:space="preserve">method</t>
  </si>
  <si>
    <t xml:space="preserve">prop: x</t>
  </si>
  <si>
    <t xml:space="preserve">prop: y</t>
  </si>
  <si>
    <t xml:space="preserve">(xᵢ-x̄).(yᵢ-ȳ)</t>
  </si>
  <si>
    <t xml:space="preserve">fit(x)</t>
  </si>
  <si>
    <t xml:space="preserve">ϵ (residual)</t>
  </si>
  <si>
    <t xml:space="preserve">ϵ²</t>
  </si>
  <si>
    <t xml:space="preserve">sum</t>
  </si>
  <si>
    <t xml:space="preserve">count</t>
  </si>
  <si>
    <t xml:space="preserve">mean</t>
  </si>
  <si>
    <t xml:space="preserve">calculation</t>
  </si>
  <si>
    <t xml:space="preserve">variance</t>
  </si>
  <si>
    <t xml:space="preserve">std-dev</t>
  </si>
  <si>
    <t xml:space="preserve">SEM</t>
  </si>
  <si>
    <t xml:space="preserve">prop: x, y</t>
  </si>
  <si>
    <t xml:space="preserve">pearson</t>
  </si>
  <si>
    <t xml:space="preserve">∑(xᵢ-x̄).(yᵢ-ȳ)</t>
  </si>
  <si>
    <t xml:space="preserve">misc</t>
  </si>
  <si>
    <t xml:space="preserve">SSR = ∑ϵ²</t>
  </si>
  <si>
    <t xml:space="preserve">Using Linest</t>
  </si>
  <si>
    <t xml:space="preserve">The easy way</t>
  </si>
  <si>
    <t xml:space="preserve">slope (m)</t>
  </si>
  <si>
    <t xml:space="preserve">m</t>
  </si>
  <si>
    <t xml:space="preserve">b</t>
  </si>
  <si>
    <t xml:space="preserve">intercept (b)</t>
  </si>
  <si>
    <t xml:space="preserve">R² coeff</t>
  </si>
  <si>
    <t xml:space="preserve">SEE</t>
  </si>
  <si>
    <t xml:space="preserve">Standard Error of Estimate</t>
  </si>
  <si>
    <t xml:space="preserve">adj. R² coeff</t>
  </si>
  <si>
    <t xml:space="preserve">MSE (s²)</t>
  </si>
  <si>
    <t xml:space="preserve">Mean Squared Error</t>
  </si>
  <si>
    <t xml:space="preserve">MSE</t>
  </si>
  <si>
    <t xml:space="preserve">Additional</t>
  </si>
  <si>
    <t xml:space="preserve">Not required to find solution</t>
  </si>
  <si>
    <t xml:space="preserve">a.∑1 + b.∑x = ∑y</t>
  </si>
  <si>
    <t xml:space="preserve">∑1</t>
  </si>
  <si>
    <t xml:space="preserve">∑x</t>
  </si>
  <si>
    <t xml:space="preserve">*</t>
  </si>
  <si>
    <t xml:space="preserve">a</t>
  </si>
  <si>
    <t xml:space="preserve">=</t>
  </si>
  <si>
    <t xml:space="preserve">∑y</t>
  </si>
  <si>
    <t xml:space="preserve">a.∑x + b.∑x² = ∑xy</t>
  </si>
  <si>
    <t xml:space="preserve">∑x²</t>
  </si>
  <si>
    <t xml:space="preserve">∑xy</t>
  </si>
  <si>
    <t xml:space="preserve">Linear Equation</t>
  </si>
  <si>
    <t xml:space="preserve">Second Order Polynomial</t>
  </si>
  <si>
    <t xml:space="preserve">Third Order Polynomial</t>
  </si>
  <si>
    <t xml:space="preserve">y = a + bx</t>
  </si>
  <si>
    <t xml:space="preserve">y = a + bx + cx²</t>
  </si>
  <si>
    <t xml:space="preserve">y = a + bx + cx² + dx³</t>
  </si>
  <si>
    <t xml:space="preserve">coeff.</t>
  </si>
  <si>
    <t xml:space="preserve">value</t>
  </si>
  <si>
    <t xml:space="preserve">c</t>
  </si>
  <si>
    <t xml:space="preserve">d</t>
  </si>
  <si>
    <t xml:space="preserve">x-sum</t>
  </si>
  <si>
    <t xml:space="preserve">y-sum</t>
  </si>
  <si>
    <t xml:space="preserve">x-count</t>
  </si>
  <si>
    <t xml:space="preserve">y-count</t>
  </si>
  <si>
    <t xml:space="preserve">x -mean</t>
  </si>
  <si>
    <t xml:space="preserve">y-mean</t>
  </si>
  <si>
    <t xml:space="preserve">x-variance</t>
  </si>
  <si>
    <t xml:space="preserve">y-variance</t>
  </si>
  <si>
    <t xml:space="preserve">x-std-dev</t>
  </si>
  <si>
    <t xml:space="preserve">y-std-dev</t>
  </si>
  <si>
    <t xml:space="preserve">m-slope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</si>
</sst>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#,##0.00"/>
    <numFmt numFmtId="168" formatCode="#,##0.0000000000"/>
    <numFmt numFmtId="169" formatCode="00\.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.5"/>
      <name val="Calibri"/>
      <family val="2"/>
      <charset val="1"/>
    </font>
    <font>
      <b val="true"/>
      <sz val="10.5"/>
      <name val="Calibri"/>
      <family val="2"/>
      <charset val="1"/>
    </font>
    <font>
      <vertAlign val="subscript"/>
      <sz val="10.5"/>
      <name val="Calibri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176"/>
        <bgColor rgb="FFFFF9C4"/>
      </patternFill>
    </fill>
    <fill>
      <patternFill patternType="solid">
        <fgColor rgb="FFE0F2F1"/>
        <bgColor rgb="FFCCFFFF"/>
      </patternFill>
    </fill>
    <fill>
      <patternFill patternType="solid">
        <fgColor rgb="FFB2DFDB"/>
        <bgColor rgb="FFC0C0C0"/>
      </patternFill>
    </fill>
    <fill>
      <patternFill patternType="solid">
        <fgColor rgb="FFFFF9C4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 style="thin">
        <color rgb="FF9E9E9E"/>
      </left>
      <right/>
      <top/>
      <bottom/>
      <diagonal/>
    </border>
    <border diagonalUp="false" diagonalDown="false">
      <left style="thin">
        <color rgb="FF9E9E9E"/>
      </left>
      <right style="thin">
        <color rgb="FF9E9E9E"/>
      </right>
      <top/>
      <bottom/>
      <diagonal/>
    </border>
    <border diagonalUp="false" diagonalDown="false">
      <left/>
      <right style="thin">
        <color rgb="FF9E9E9E"/>
      </right>
      <top/>
      <bottom/>
      <diagonal/>
    </border>
    <border diagonalUp="false" diagonalDown="false">
      <left style="thin">
        <color rgb="FF009688"/>
      </left>
      <right style="thin">
        <color rgb="FF009688"/>
      </right>
      <top/>
      <bottom/>
      <diagonal/>
    </border>
    <border diagonalUp="true" diagonalDown="true">
      <left style="thin">
        <color rgb="FF009688"/>
      </left>
      <right/>
      <top/>
      <bottom/>
      <diagonal style="hair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C0C0C0"/>
      <rgbColor rgb="FF808080"/>
      <rgbColor rgb="FF9999FF"/>
      <rgbColor rgb="FF993366"/>
      <rgbColor rgb="FFFFF9C4"/>
      <rgbColor rgb="FFE0F2F1"/>
      <rgbColor rgb="FF660066"/>
      <rgbColor rgb="FFFF8080"/>
      <rgbColor rgb="FF1976D2"/>
      <rgbColor rgb="FFB2DF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176"/>
      <rgbColor rgb="FF90CAF9"/>
      <rgbColor rgb="FFFF99CC"/>
      <rgbColor rgb="FFCC99FF"/>
      <rgbColor rgb="FFFFCC99"/>
      <rgbColor rgb="FF3366FF"/>
      <rgbColor rgb="FF64B5F6"/>
      <rgbColor rgb="FF99CC00"/>
      <rgbColor rgb="FFFFCC00"/>
      <rgbColor rgb="FFFF9900"/>
      <rgbColor rgb="FFFF6600"/>
      <rgbColor rgb="FF666699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S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6" min="5" style="2" width="10.2"/>
    <col collapsed="false" customWidth="true" hidden="false" outlineLevel="0" max="7" min="7" style="1" width="2.56"/>
    <col collapsed="false" customWidth="true" hidden="false" outlineLevel="0" max="9" min="8" style="2" width="12.76"/>
    <col collapsed="false" customWidth="true" hidden="false" outlineLevel="0" max="10" min="10" style="1" width="2.56"/>
    <col collapsed="false" customWidth="true" hidden="false" outlineLevel="0" max="13" min="11" style="2" width="12.76"/>
    <col collapsed="false" customWidth="true" hidden="false" outlineLevel="0" max="14" min="14" style="1" width="2.56"/>
    <col collapsed="false" customWidth="true" hidden="false" outlineLevel="0" max="18" min="15" style="0" width="12.76"/>
    <col collapsed="false" customWidth="true" hidden="false" outlineLevel="0" max="19" min="19" style="1" width="2.56"/>
  </cols>
  <sheetData>
    <row r="1" customFormat="false" ht="8.25" hidden="false" customHeight="true" outlineLevel="0" collapsed="false">
      <c r="A1" s="3"/>
      <c r="B1" s="4"/>
      <c r="C1" s="4"/>
      <c r="D1" s="4"/>
      <c r="E1" s="3"/>
      <c r="F1" s="3"/>
      <c r="G1" s="4"/>
      <c r="H1" s="3"/>
      <c r="I1" s="3"/>
      <c r="J1" s="4"/>
      <c r="K1" s="3"/>
      <c r="L1" s="3"/>
      <c r="M1" s="3"/>
      <c r="N1" s="4"/>
      <c r="O1" s="3"/>
      <c r="P1" s="3"/>
      <c r="Q1" s="3"/>
      <c r="R1" s="4"/>
      <c r="S1" s="4"/>
    </row>
    <row r="2" customFormat="false" ht="17" hidden="false" customHeight="true" outlineLevel="0" collapsed="false">
      <c r="A2" s="3"/>
      <c r="B2" s="5" t="s">
        <v>0</v>
      </c>
      <c r="C2" s="5"/>
      <c r="D2" s="4"/>
      <c r="E2" s="3"/>
      <c r="F2" s="3"/>
      <c r="G2" s="4"/>
      <c r="H2" s="3"/>
      <c r="I2" s="3"/>
      <c r="J2" s="4"/>
      <c r="K2" s="3"/>
      <c r="L2" s="3"/>
      <c r="M2" s="3"/>
      <c r="N2" s="4"/>
      <c r="O2" s="3"/>
      <c r="P2" s="3"/>
      <c r="Q2" s="3"/>
      <c r="R2" s="4"/>
      <c r="S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3"/>
      <c r="F3" s="3"/>
      <c r="G3" s="4"/>
      <c r="H3" s="3"/>
      <c r="I3" s="3"/>
      <c r="J3" s="4"/>
      <c r="K3" s="3"/>
      <c r="L3" s="3"/>
      <c r="M3" s="3"/>
      <c r="N3" s="4"/>
      <c r="O3" s="3"/>
      <c r="P3" s="3"/>
      <c r="Q3" s="3"/>
      <c r="R3" s="4"/>
      <c r="S3" s="4"/>
    </row>
    <row r="4" customFormat="false" ht="8.25" hidden="false" customHeight="true" outlineLevel="0" collapsed="false">
      <c r="A4" s="3"/>
      <c r="B4" s="4"/>
      <c r="C4" s="4"/>
      <c r="D4" s="4"/>
      <c r="E4" s="3"/>
      <c r="F4" s="3"/>
      <c r="G4" s="4"/>
      <c r="H4" s="3"/>
      <c r="I4" s="3"/>
      <c r="J4" s="4"/>
      <c r="K4" s="3"/>
      <c r="L4" s="3"/>
      <c r="M4" s="3"/>
      <c r="N4" s="4"/>
      <c r="O4" s="3"/>
      <c r="P4" s="3"/>
      <c r="Q4" s="3"/>
      <c r="R4" s="4"/>
      <c r="S4" s="4"/>
    </row>
    <row r="5" customFormat="false" ht="14.15" hidden="false" customHeight="true" outlineLevel="0" collapsed="false">
      <c r="A5" s="3"/>
      <c r="B5" s="6" t="s">
        <v>2</v>
      </c>
      <c r="C5" s="6"/>
      <c r="D5" s="4"/>
      <c r="E5" s="6" t="s">
        <v>3</v>
      </c>
      <c r="F5" s="6"/>
      <c r="G5" s="4"/>
      <c r="H5" s="6" t="s">
        <v>4</v>
      </c>
      <c r="I5" s="6"/>
      <c r="J5" s="4"/>
      <c r="K5" s="6" t="s">
        <v>5</v>
      </c>
      <c r="L5" s="6"/>
      <c r="M5" s="6"/>
      <c r="N5" s="4"/>
      <c r="O5" s="6" t="s">
        <v>6</v>
      </c>
      <c r="P5" s="6"/>
      <c r="Q5" s="6"/>
      <c r="R5" s="4"/>
      <c r="S5" s="4"/>
    </row>
    <row r="6" customFormat="false" ht="14.15" hidden="false" customHeight="true" outlineLevel="0" collapsed="false">
      <c r="A6" s="3"/>
      <c r="B6" s="7" t="s">
        <v>7</v>
      </c>
      <c r="C6" s="8" t="s">
        <v>8</v>
      </c>
      <c r="D6" s="4"/>
      <c r="E6" s="7" t="s">
        <v>9</v>
      </c>
      <c r="F6" s="8" t="s">
        <v>10</v>
      </c>
      <c r="G6" s="4"/>
      <c r="H6" s="7" t="s">
        <v>11</v>
      </c>
      <c r="I6" s="8" t="s">
        <v>12</v>
      </c>
      <c r="J6" s="4"/>
      <c r="K6" s="7" t="s">
        <v>11</v>
      </c>
      <c r="L6" s="8" t="s">
        <v>13</v>
      </c>
      <c r="M6" s="9" t="s">
        <v>12</v>
      </c>
      <c r="N6" s="4"/>
      <c r="O6" s="7" t="s">
        <v>14</v>
      </c>
      <c r="P6" s="8" t="s">
        <v>15</v>
      </c>
      <c r="Q6" s="10" t="s">
        <v>16</v>
      </c>
      <c r="R6" s="4"/>
      <c r="S6" s="4"/>
    </row>
    <row r="7" customFormat="false" ht="14.15" hidden="false" customHeight="true" outlineLevel="0" collapsed="false">
      <c r="A7" s="3"/>
      <c r="B7" s="11" t="n">
        <v>0</v>
      </c>
      <c r="C7" s="12" t="n">
        <v>4.99999999999795</v>
      </c>
      <c r="D7" s="4"/>
      <c r="E7" s="13" t="n">
        <f aca="false">B7-$B$30</f>
        <v>-6</v>
      </c>
      <c r="F7" s="12" t="n">
        <f aca="false">C7-$C$30</f>
        <v>-174.000000000002</v>
      </c>
      <c r="G7" s="4"/>
      <c r="H7" s="13" t="n">
        <f aca="false">E7^2</f>
        <v>36</v>
      </c>
      <c r="I7" s="12" t="n">
        <f aca="false">E7*F7</f>
        <v>1044.00000000001</v>
      </c>
      <c r="J7" s="4"/>
      <c r="K7" s="13" t="n">
        <f aca="false">E7^2</f>
        <v>36</v>
      </c>
      <c r="L7" s="12" t="n">
        <f aca="false">F7^2</f>
        <v>30276.0000000009</v>
      </c>
      <c r="M7" s="12" t="n">
        <f aca="false">E7*F7</f>
        <v>1044.00000000001</v>
      </c>
      <c r="N7" s="4"/>
      <c r="O7" s="13" t="n">
        <f aca="false">$I$26+$H$26*B7</f>
        <v>-61.0000000000011</v>
      </c>
      <c r="P7" s="12" t="n">
        <f aca="false">C7-O7</f>
        <v>65.999999999999</v>
      </c>
      <c r="Q7" s="12" t="n">
        <f aca="false">P7^2</f>
        <v>4355.99999999987</v>
      </c>
      <c r="R7" s="4"/>
      <c r="S7" s="4"/>
    </row>
    <row r="8" customFormat="false" ht="14.15" hidden="false" customHeight="true" outlineLevel="0" collapsed="false">
      <c r="A8" s="3"/>
      <c r="B8" s="11" t="n">
        <v>1</v>
      </c>
      <c r="C8" s="12" t="n">
        <v>11.9999999999987</v>
      </c>
      <c r="D8" s="4"/>
      <c r="E8" s="13" t="n">
        <f aca="false">B8-$B$30</f>
        <v>-5</v>
      </c>
      <c r="F8" s="12" t="n">
        <f aca="false">C8-$C$30</f>
        <v>-167.000000000002</v>
      </c>
      <c r="G8" s="4"/>
      <c r="H8" s="13" t="n">
        <f aca="false">E8^2</f>
        <v>25</v>
      </c>
      <c r="I8" s="12" t="n">
        <f aca="false">E8*F8</f>
        <v>835.000000000009</v>
      </c>
      <c r="J8" s="4"/>
      <c r="K8" s="13" t="n">
        <f aca="false">E8^2</f>
        <v>25</v>
      </c>
      <c r="L8" s="12" t="n">
        <f aca="false">F8^2</f>
        <v>27889.0000000006</v>
      </c>
      <c r="M8" s="12" t="n">
        <f aca="false">E8*F8</f>
        <v>835.000000000009</v>
      </c>
      <c r="N8" s="4"/>
      <c r="O8" s="13" t="n">
        <f aca="false">$I$26+$H$26*B8</f>
        <v>-21.0000000000008</v>
      </c>
      <c r="P8" s="12" t="n">
        <f aca="false">C8-O8</f>
        <v>32.9999999999995</v>
      </c>
      <c r="Q8" s="12" t="n">
        <f aca="false">P8^2</f>
        <v>1088.99999999997</v>
      </c>
      <c r="R8" s="4"/>
      <c r="S8" s="4"/>
    </row>
    <row r="9" customFormat="false" ht="14.15" hidden="false" customHeight="true" outlineLevel="0" collapsed="false">
      <c r="A9" s="3"/>
      <c r="B9" s="11" t="n">
        <v>2</v>
      </c>
      <c r="C9" s="12" t="n">
        <v>24.9999999999993</v>
      </c>
      <c r="D9" s="4"/>
      <c r="E9" s="13" t="n">
        <f aca="false">B9-$B$30</f>
        <v>-4</v>
      </c>
      <c r="F9" s="12" t="n">
        <f aca="false">C9-$C$30</f>
        <v>-154.000000000001</v>
      </c>
      <c r="G9" s="4"/>
      <c r="H9" s="13" t="n">
        <f aca="false">E9^2</f>
        <v>16</v>
      </c>
      <c r="I9" s="12" t="n">
        <f aca="false">E9*F9</f>
        <v>616.000000000004</v>
      </c>
      <c r="J9" s="4"/>
      <c r="K9" s="13" t="n">
        <f aca="false">E9^2</f>
        <v>16</v>
      </c>
      <c r="L9" s="12" t="n">
        <f aca="false">F9^2</f>
        <v>23716.0000000003</v>
      </c>
      <c r="M9" s="12" t="n">
        <f aca="false">E9*F9</f>
        <v>616.000000000004</v>
      </c>
      <c r="N9" s="4"/>
      <c r="O9" s="13" t="n">
        <f aca="false">$I$26+$H$26*B9</f>
        <v>18.9999999999994</v>
      </c>
      <c r="P9" s="12" t="n">
        <f aca="false">C9-O9</f>
        <v>5.99999999999987</v>
      </c>
      <c r="Q9" s="12" t="n">
        <f aca="false">P9^2</f>
        <v>35.9999999999984</v>
      </c>
      <c r="R9" s="4"/>
      <c r="S9" s="4"/>
    </row>
    <row r="10" customFormat="false" ht="14.15" hidden="false" customHeight="true" outlineLevel="0" collapsed="false">
      <c r="A10" s="3"/>
      <c r="B10" s="11" t="n">
        <v>3</v>
      </c>
      <c r="C10" s="12" t="n">
        <v>43.9999999999998</v>
      </c>
      <c r="D10" s="4"/>
      <c r="E10" s="13" t="n">
        <f aca="false">B10-$B$30</f>
        <v>-3</v>
      </c>
      <c r="F10" s="12" t="n">
        <f aca="false">C10-$C$30</f>
        <v>-135.000000000001</v>
      </c>
      <c r="G10" s="4"/>
      <c r="H10" s="13" t="n">
        <f aca="false">E10^2</f>
        <v>9</v>
      </c>
      <c r="I10" s="12" t="n">
        <f aca="false">E10*F10</f>
        <v>405.000000000002</v>
      </c>
      <c r="J10" s="4"/>
      <c r="K10" s="13" t="n">
        <f aca="false">E10^2</f>
        <v>9</v>
      </c>
      <c r="L10" s="12" t="n">
        <f aca="false">F10^2</f>
        <v>18225.0000000002</v>
      </c>
      <c r="M10" s="12" t="n">
        <f aca="false">E10*F10</f>
        <v>405.000000000002</v>
      </c>
      <c r="N10" s="4"/>
      <c r="O10" s="13" t="n">
        <f aca="false">$I$26+$H$26*B10</f>
        <v>58.9999999999997</v>
      </c>
      <c r="P10" s="12" t="n">
        <f aca="false">C10-O10</f>
        <v>-14.9999999999999</v>
      </c>
      <c r="Q10" s="12" t="n">
        <f aca="false">P10^2</f>
        <v>224.999999999996</v>
      </c>
      <c r="R10" s="4"/>
      <c r="S10" s="4"/>
    </row>
    <row r="11" customFormat="false" ht="14.15" hidden="false" customHeight="true" outlineLevel="0" collapsed="false">
      <c r="A11" s="3"/>
      <c r="B11" s="11" t="n">
        <v>4</v>
      </c>
      <c r="C11" s="12" t="n">
        <v>69.0000000000003</v>
      </c>
      <c r="D11" s="4"/>
      <c r="E11" s="13" t="n">
        <f aca="false">B11-$B$30</f>
        <v>-2</v>
      </c>
      <c r="F11" s="12" t="n">
        <f aca="false">C11-$C$30</f>
        <v>-110</v>
      </c>
      <c r="G11" s="4"/>
      <c r="H11" s="13" t="n">
        <f aca="false">E11^2</f>
        <v>4</v>
      </c>
      <c r="I11" s="12" t="n">
        <f aca="false">E11*F11</f>
        <v>220</v>
      </c>
      <c r="J11" s="4"/>
      <c r="K11" s="13" t="n">
        <f aca="false">E11^2</f>
        <v>4</v>
      </c>
      <c r="L11" s="12" t="n">
        <f aca="false">F11^2</f>
        <v>12100</v>
      </c>
      <c r="M11" s="12" t="n">
        <f aca="false">E11*F11</f>
        <v>220</v>
      </c>
      <c r="N11" s="4"/>
      <c r="O11" s="13" t="n">
        <f aca="false">$I$26+$H$26*B11</f>
        <v>98.9999999999999</v>
      </c>
      <c r="P11" s="12" t="n">
        <f aca="false">C11-O11</f>
        <v>-29.9999999999996</v>
      </c>
      <c r="Q11" s="12" t="n">
        <f aca="false">P11^2</f>
        <v>899.999999999977</v>
      </c>
      <c r="R11" s="4"/>
      <c r="S11" s="4"/>
    </row>
    <row r="12" customFormat="false" ht="14.15" hidden="false" customHeight="true" outlineLevel="0" collapsed="false">
      <c r="A12" s="3"/>
      <c r="B12" s="11" t="n">
        <v>5</v>
      </c>
      <c r="C12" s="12" t="n">
        <v>100.000000000001</v>
      </c>
      <c r="D12" s="4"/>
      <c r="E12" s="13" t="n">
        <f aca="false">B12-$B$30</f>
        <v>-1</v>
      </c>
      <c r="F12" s="12" t="n">
        <f aca="false">C12-$C$30</f>
        <v>-78.9999999999994</v>
      </c>
      <c r="G12" s="4"/>
      <c r="H12" s="13" t="n">
        <f aca="false">E12^2</f>
        <v>1</v>
      </c>
      <c r="I12" s="12" t="n">
        <f aca="false">E12*F12</f>
        <v>78.9999999999994</v>
      </c>
      <c r="J12" s="4"/>
      <c r="K12" s="13" t="n">
        <f aca="false">E12^2</f>
        <v>1</v>
      </c>
      <c r="L12" s="12" t="n">
        <f aca="false">F12^2</f>
        <v>6240.99999999991</v>
      </c>
      <c r="M12" s="12" t="n">
        <f aca="false">E12*F12</f>
        <v>78.9999999999994</v>
      </c>
      <c r="N12" s="4"/>
      <c r="O12" s="13" t="n">
        <f aca="false">$I$26+$H$26*B12</f>
        <v>139</v>
      </c>
      <c r="P12" s="12" t="n">
        <f aca="false">C12-O12</f>
        <v>-38.9999999999992</v>
      </c>
      <c r="Q12" s="12" t="n">
        <f aca="false">P12^2</f>
        <v>1520.99999999993</v>
      </c>
      <c r="R12" s="4"/>
      <c r="S12" s="4"/>
    </row>
    <row r="13" customFormat="false" ht="14.15" hidden="false" customHeight="true" outlineLevel="0" collapsed="false">
      <c r="A13" s="3"/>
      <c r="B13" s="11" t="n">
        <v>6</v>
      </c>
      <c r="C13" s="12" t="n">
        <v>137.000000000001</v>
      </c>
      <c r="D13" s="4"/>
      <c r="E13" s="13" t="n">
        <f aca="false">B13-$B$30</f>
        <v>0</v>
      </c>
      <c r="F13" s="12" t="n">
        <f aca="false">C13-$C$30</f>
        <v>-41.9999999999994</v>
      </c>
      <c r="G13" s="4"/>
      <c r="H13" s="13" t="n">
        <f aca="false">E13^2</f>
        <v>0</v>
      </c>
      <c r="I13" s="12" t="n">
        <f aca="false">E13*F13</f>
        <v>-0</v>
      </c>
      <c r="J13" s="4"/>
      <c r="K13" s="13" t="n">
        <f aca="false">E13^2</f>
        <v>0</v>
      </c>
      <c r="L13" s="12" t="n">
        <f aca="false">F13^2</f>
        <v>1763.99999999995</v>
      </c>
      <c r="M13" s="12" t="n">
        <f aca="false">E13*F13</f>
        <v>-0</v>
      </c>
      <c r="N13" s="4"/>
      <c r="O13" s="13" t="n">
        <f aca="false">$I$26+$H$26*B13</f>
        <v>179</v>
      </c>
      <c r="P13" s="12" t="n">
        <f aca="false">C13-O13</f>
        <v>-41.9999999999994</v>
      </c>
      <c r="Q13" s="12" t="n">
        <f aca="false">P13^2</f>
        <v>1763.99999999995</v>
      </c>
      <c r="R13" s="4"/>
      <c r="S13" s="4"/>
    </row>
    <row r="14" customFormat="false" ht="14.15" hidden="false" customHeight="true" outlineLevel="0" collapsed="false">
      <c r="A14" s="3"/>
      <c r="B14" s="11" t="n">
        <v>7</v>
      </c>
      <c r="C14" s="12" t="n">
        <v>180.000000000001</v>
      </c>
      <c r="D14" s="4"/>
      <c r="E14" s="13" t="n">
        <f aca="false">B14-$B$30</f>
        <v>1</v>
      </c>
      <c r="F14" s="12" t="n">
        <f aca="false">C14-$C$30</f>
        <v>1.0000000000006</v>
      </c>
      <c r="G14" s="4"/>
      <c r="H14" s="13" t="n">
        <f aca="false">E14^2</f>
        <v>1</v>
      </c>
      <c r="I14" s="12" t="n">
        <f aca="false">E14*F14</f>
        <v>1.0000000000006</v>
      </c>
      <c r="J14" s="4"/>
      <c r="K14" s="13" t="n">
        <f aca="false">E14^2</f>
        <v>1</v>
      </c>
      <c r="L14" s="12" t="n">
        <f aca="false">F14^2</f>
        <v>1.00000000000119</v>
      </c>
      <c r="M14" s="12" t="n">
        <f aca="false">E14*F14</f>
        <v>1.0000000000006</v>
      </c>
      <c r="N14" s="4"/>
      <c r="O14" s="13" t="n">
        <f aca="false">$I$26+$H$26*B14</f>
        <v>219.000000000001</v>
      </c>
      <c r="P14" s="12" t="n">
        <f aca="false">C14-O14</f>
        <v>-38.9999999999997</v>
      </c>
      <c r="Q14" s="12" t="n">
        <f aca="false">P14^2</f>
        <v>1520.99999999997</v>
      </c>
      <c r="R14" s="4"/>
      <c r="S14" s="4"/>
    </row>
    <row r="15" customFormat="false" ht="14.15" hidden="false" customHeight="true" outlineLevel="0" collapsed="false">
      <c r="A15" s="3"/>
      <c r="B15" s="11" t="n">
        <v>8</v>
      </c>
      <c r="C15" s="12" t="n">
        <v>229.000000000001</v>
      </c>
      <c r="D15" s="4"/>
      <c r="E15" s="13" t="n">
        <f aca="false">B15-$B$30</f>
        <v>2</v>
      </c>
      <c r="F15" s="12" t="n">
        <f aca="false">C15-$C$30</f>
        <v>50.0000000000006</v>
      </c>
      <c r="G15" s="4"/>
      <c r="H15" s="13" t="n">
        <f aca="false">E15^2</f>
        <v>4</v>
      </c>
      <c r="I15" s="12" t="n">
        <f aca="false">E15*F15</f>
        <v>100.000000000001</v>
      </c>
      <c r="J15" s="4"/>
      <c r="K15" s="13" t="n">
        <f aca="false">E15^2</f>
        <v>4</v>
      </c>
      <c r="L15" s="12" t="n">
        <f aca="false">F15^2</f>
        <v>2500.00000000006</v>
      </c>
      <c r="M15" s="12" t="n">
        <f aca="false">E15*F15</f>
        <v>100.000000000001</v>
      </c>
      <c r="N15" s="4"/>
      <c r="O15" s="13" t="n">
        <f aca="false">$I$26+$H$26*B15</f>
        <v>259.000000000001</v>
      </c>
      <c r="P15" s="12" t="n">
        <f aca="false">C15-O15</f>
        <v>-29.9999999999999</v>
      </c>
      <c r="Q15" s="12" t="n">
        <f aca="false">P15^2</f>
        <v>899.999999999995</v>
      </c>
      <c r="R15" s="4"/>
      <c r="S15" s="4"/>
    </row>
    <row r="16" customFormat="false" ht="14.15" hidden="false" customHeight="true" outlineLevel="0" collapsed="false">
      <c r="A16" s="3"/>
      <c r="B16" s="11" t="n">
        <v>9</v>
      </c>
      <c r="C16" s="12" t="n">
        <v>284.000000000002</v>
      </c>
      <c r="D16" s="4"/>
      <c r="E16" s="13" t="n">
        <f aca="false">B16-$B$30</f>
        <v>3</v>
      </c>
      <c r="F16" s="12" t="n">
        <f aca="false">C16-$C$30</f>
        <v>105.000000000002</v>
      </c>
      <c r="G16" s="4"/>
      <c r="H16" s="13" t="n">
        <f aca="false">E16^2</f>
        <v>9</v>
      </c>
      <c r="I16" s="12" t="n">
        <f aca="false">E16*F16</f>
        <v>315.000000000005</v>
      </c>
      <c r="J16" s="4"/>
      <c r="K16" s="13" t="n">
        <f aca="false">E16^2</f>
        <v>9</v>
      </c>
      <c r="L16" s="12" t="n">
        <f aca="false">F16^2</f>
        <v>11025.0000000003</v>
      </c>
      <c r="M16" s="12" t="n">
        <f aca="false">E16*F16</f>
        <v>315.000000000005</v>
      </c>
      <c r="N16" s="4"/>
      <c r="O16" s="13" t="n">
        <f aca="false">$I$26+$H$26*B16</f>
        <v>299.000000000001</v>
      </c>
      <c r="P16" s="12" t="n">
        <f aca="false">C16-O16</f>
        <v>-14.9999999999991</v>
      </c>
      <c r="Q16" s="12" t="n">
        <f aca="false">P16^2</f>
        <v>224.999999999974</v>
      </c>
      <c r="R16" s="4"/>
      <c r="S16" s="4"/>
    </row>
    <row r="17" customFormat="false" ht="14.15" hidden="false" customHeight="true" outlineLevel="0" collapsed="false">
      <c r="A17" s="3"/>
      <c r="B17" s="11" t="n">
        <v>10</v>
      </c>
      <c r="C17" s="12" t="n">
        <v>345.000000000001</v>
      </c>
      <c r="D17" s="4"/>
      <c r="E17" s="13" t="n">
        <f aca="false">B17-$B$30</f>
        <v>4</v>
      </c>
      <c r="F17" s="12" t="n">
        <f aca="false">C17-$C$30</f>
        <v>166.000000000001</v>
      </c>
      <c r="G17" s="4"/>
      <c r="H17" s="13" t="n">
        <f aca="false">E17^2</f>
        <v>16</v>
      </c>
      <c r="I17" s="12" t="n">
        <f aca="false">E17*F17</f>
        <v>664.000000000003</v>
      </c>
      <c r="J17" s="4"/>
      <c r="K17" s="13" t="n">
        <f aca="false">E17^2</f>
        <v>16</v>
      </c>
      <c r="L17" s="12" t="n">
        <f aca="false">F17^2</f>
        <v>27556.0000000002</v>
      </c>
      <c r="M17" s="12" t="n">
        <f aca="false">E17*F17</f>
        <v>664.000000000003</v>
      </c>
      <c r="N17" s="4"/>
      <c r="O17" s="13" t="n">
        <f aca="false">$I$26+$H$26*B17</f>
        <v>339.000000000001</v>
      </c>
      <c r="P17" s="12" t="n">
        <f aca="false">C17-O17</f>
        <v>5.99999999999966</v>
      </c>
      <c r="Q17" s="12" t="n">
        <f aca="false">P17^2</f>
        <v>35.9999999999959</v>
      </c>
      <c r="R17" s="4"/>
      <c r="S17" s="4"/>
    </row>
    <row r="18" customFormat="false" ht="14.15" hidden="false" customHeight="true" outlineLevel="0" collapsed="false">
      <c r="A18" s="3"/>
      <c r="B18" s="11" t="n">
        <v>11</v>
      </c>
      <c r="C18" s="12" t="n">
        <v>412.000000000001</v>
      </c>
      <c r="D18" s="4"/>
      <c r="E18" s="13" t="n">
        <f aca="false">B18-$B$30</f>
        <v>5</v>
      </c>
      <c r="F18" s="12" t="n">
        <f aca="false">C18-$C$30</f>
        <v>233.000000000001</v>
      </c>
      <c r="G18" s="4"/>
      <c r="H18" s="13" t="n">
        <f aca="false">E18^2</f>
        <v>25</v>
      </c>
      <c r="I18" s="12" t="n">
        <f aca="false">E18*F18</f>
        <v>1165</v>
      </c>
      <c r="J18" s="4"/>
      <c r="K18" s="13" t="n">
        <f aca="false">E18^2</f>
        <v>25</v>
      </c>
      <c r="L18" s="12" t="n">
        <f aca="false">F18^2</f>
        <v>54289.0000000003</v>
      </c>
      <c r="M18" s="12" t="n">
        <f aca="false">E18*F18</f>
        <v>1165</v>
      </c>
      <c r="N18" s="4"/>
      <c r="O18" s="13" t="n">
        <f aca="false">$I$26+$H$26*B18</f>
        <v>379.000000000002</v>
      </c>
      <c r="P18" s="12" t="n">
        <f aca="false">C18-O18</f>
        <v>32.9999999999994</v>
      </c>
      <c r="Q18" s="12" t="n">
        <f aca="false">P18^2</f>
        <v>1088.99999999996</v>
      </c>
      <c r="R18" s="4"/>
      <c r="S18" s="4"/>
    </row>
    <row r="19" customFormat="false" ht="14.15" hidden="false" customHeight="true" outlineLevel="0" collapsed="false">
      <c r="A19" s="3"/>
      <c r="B19" s="11" t="n">
        <v>12</v>
      </c>
      <c r="C19" s="12" t="n">
        <v>485.000000000001</v>
      </c>
      <c r="D19" s="4"/>
      <c r="E19" s="13" t="n">
        <f aca="false">B19-$B$30</f>
        <v>6</v>
      </c>
      <c r="F19" s="12" t="n">
        <f aca="false">C19-$C$30</f>
        <v>306.000000000001</v>
      </c>
      <c r="G19" s="4"/>
      <c r="H19" s="13" t="n">
        <f aca="false">E19^2</f>
        <v>36</v>
      </c>
      <c r="I19" s="12" t="n">
        <f aca="false">E19*F19</f>
        <v>1836</v>
      </c>
      <c r="J19" s="4"/>
      <c r="K19" s="13" t="n">
        <f aca="false">E19^2</f>
        <v>36</v>
      </c>
      <c r="L19" s="12" t="n">
        <f aca="false">F19^2</f>
        <v>93636.0000000004</v>
      </c>
      <c r="M19" s="12" t="n">
        <f aca="false">E19*F19</f>
        <v>1836</v>
      </c>
      <c r="N19" s="4"/>
      <c r="O19" s="13" t="n">
        <f aca="false">$I$26+$H$26*B19</f>
        <v>419.000000000002</v>
      </c>
      <c r="P19" s="12" t="n">
        <f aca="false">C19-O19</f>
        <v>65.9999999999992</v>
      </c>
      <c r="Q19" s="12" t="n">
        <f aca="false">P19^2</f>
        <v>4355.99999999989</v>
      </c>
      <c r="R19" s="4"/>
      <c r="S19" s="4"/>
    </row>
    <row r="20" customFormat="false" ht="8.25" hidden="false" customHeight="true" outlineLevel="0" collapsed="false">
      <c r="A20" s="3"/>
      <c r="B20" s="14"/>
      <c r="C20" s="15"/>
      <c r="D20" s="4"/>
      <c r="E20" s="14"/>
      <c r="F20" s="15"/>
      <c r="G20" s="4"/>
      <c r="H20" s="14"/>
      <c r="I20" s="15"/>
      <c r="J20" s="4"/>
      <c r="K20" s="14"/>
      <c r="L20" s="15"/>
      <c r="M20" s="15"/>
      <c r="N20" s="4"/>
      <c r="O20" s="16"/>
      <c r="P20" s="16"/>
      <c r="Q20" s="16"/>
      <c r="R20" s="4"/>
      <c r="S20" s="4"/>
    </row>
    <row r="21" customFormat="false" ht="14.15" hidden="false" customHeight="true" outlineLevel="0" collapsed="false">
      <c r="A21" s="4"/>
      <c r="B21" s="7" t="s">
        <v>17</v>
      </c>
      <c r="C21" s="8" t="s">
        <v>18</v>
      </c>
      <c r="D21" s="4"/>
      <c r="E21" s="7" t="s">
        <v>19</v>
      </c>
      <c r="F21" s="8" t="s">
        <v>20</v>
      </c>
      <c r="G21" s="4"/>
      <c r="H21" s="7" t="s">
        <v>21</v>
      </c>
      <c r="I21" s="8" t="s">
        <v>22</v>
      </c>
      <c r="J21" s="4"/>
      <c r="K21" s="7" t="s">
        <v>21</v>
      </c>
      <c r="L21" s="8" t="s">
        <v>23</v>
      </c>
      <c r="M21" s="9" t="s">
        <v>22</v>
      </c>
      <c r="N21" s="4"/>
      <c r="O21" s="3"/>
      <c r="P21" s="3"/>
      <c r="Q21" s="17" t="s">
        <v>24</v>
      </c>
      <c r="R21" s="4"/>
      <c r="S21" s="4"/>
    </row>
    <row r="22" customFormat="false" ht="14.15" hidden="false" customHeight="true" outlineLevel="0" collapsed="false">
      <c r="A22" s="4"/>
      <c r="B22" s="11" t="n">
        <f aca="false">SUM(B7:B19)</f>
        <v>78</v>
      </c>
      <c r="C22" s="12" t="n">
        <f aca="false">SUM(C7:C19)</f>
        <v>2327.00000000001</v>
      </c>
      <c r="D22" s="4"/>
      <c r="E22" s="11" t="n">
        <f aca="false">SUM(E7:E19)</f>
        <v>0</v>
      </c>
      <c r="F22" s="12" t="n">
        <f aca="false">SUM(F7:F19)</f>
        <v>0</v>
      </c>
      <c r="G22" s="4"/>
      <c r="H22" s="11" t="n">
        <f aca="false">SUM(H7:H19)</f>
        <v>182</v>
      </c>
      <c r="I22" s="12" t="n">
        <f aca="false">SUM(I7:I19)</f>
        <v>7280.00000000005</v>
      </c>
      <c r="J22" s="4"/>
      <c r="K22" s="11" t="n">
        <f aca="false">SUM(K7:K19)</f>
        <v>182</v>
      </c>
      <c r="L22" s="12" t="n">
        <f aca="false">SUM(L7:L19)</f>
        <v>309218.000000003</v>
      </c>
      <c r="M22" s="12" t="n">
        <f aca="false">SUM(M7:M19)</f>
        <v>7280.00000000005</v>
      </c>
      <c r="N22" s="4"/>
      <c r="O22" s="3"/>
      <c r="P22" s="3"/>
      <c r="Q22" s="18" t="n">
        <f aca="false">SUM(Q7:Q19)</f>
        <v>18017.9999999995</v>
      </c>
      <c r="R22" s="4"/>
      <c r="S22" s="4"/>
    </row>
    <row r="23" customFormat="false" ht="8.25" hidden="false" customHeight="true" outlineLevel="0" collapsed="false">
      <c r="A23" s="3"/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3"/>
      <c r="N23" s="4"/>
      <c r="O23" s="3"/>
      <c r="P23" s="3"/>
      <c r="Q23" s="3"/>
      <c r="R23" s="4"/>
      <c r="S23" s="4"/>
    </row>
    <row r="24" customFormat="false" ht="14.15" hidden="false" customHeight="true" outlineLevel="0" collapsed="false">
      <c r="A24" s="3"/>
      <c r="B24" s="17" t="s">
        <v>25</v>
      </c>
      <c r="C24" s="17"/>
      <c r="D24" s="4"/>
      <c r="E24" s="17" t="s">
        <v>26</v>
      </c>
      <c r="F24" s="17"/>
      <c r="G24" s="4"/>
      <c r="H24" s="7" t="s">
        <v>27</v>
      </c>
      <c r="I24" s="8" t="s">
        <v>28</v>
      </c>
      <c r="J24" s="4"/>
      <c r="K24" s="7" t="s">
        <v>29</v>
      </c>
      <c r="L24" s="8" t="s">
        <v>30</v>
      </c>
      <c r="M24" s="9" t="s">
        <v>31</v>
      </c>
      <c r="N24" s="4"/>
      <c r="O24" s="3"/>
      <c r="P24" s="3"/>
      <c r="Q24" s="17" t="s">
        <v>32</v>
      </c>
      <c r="R24" s="4"/>
      <c r="S24" s="4"/>
    </row>
    <row r="25" customFormat="false" ht="14.15" hidden="false" customHeight="true" outlineLevel="0" collapsed="false">
      <c r="A25" s="4"/>
      <c r="B25" s="7" t="s">
        <v>33</v>
      </c>
      <c r="C25" s="8" t="s">
        <v>33</v>
      </c>
      <c r="D25" s="4"/>
      <c r="E25" s="7" t="s">
        <v>34</v>
      </c>
      <c r="F25" s="8" t="s">
        <v>34</v>
      </c>
      <c r="G25" s="4"/>
      <c r="H25" s="7" t="s">
        <v>35</v>
      </c>
      <c r="I25" s="8" t="s">
        <v>36</v>
      </c>
      <c r="J25" s="4"/>
      <c r="K25" s="7" t="s">
        <v>37</v>
      </c>
      <c r="L25" s="19" t="s">
        <v>38</v>
      </c>
      <c r="M25" s="17" t="s">
        <v>39</v>
      </c>
      <c r="N25" s="4"/>
      <c r="O25" s="3"/>
      <c r="P25" s="3"/>
      <c r="Q25" s="18" t="n">
        <f aca="false">Q22/$E$30</f>
        <v>1637.99999999995</v>
      </c>
      <c r="R25" s="4"/>
      <c r="S25" s="4"/>
    </row>
    <row r="26" customFormat="false" ht="14.15" hidden="false" customHeight="true" outlineLevel="0" collapsed="false">
      <c r="A26" s="4"/>
      <c r="B26" s="11" t="n">
        <f aca="false">COUNT(B7:B19)</f>
        <v>13</v>
      </c>
      <c r="C26" s="12" t="n">
        <f aca="false">COUNT(C7:C19)</f>
        <v>13</v>
      </c>
      <c r="D26" s="4"/>
      <c r="E26" s="11" t="n">
        <f aca="false">COUNT(B7:B19)-1</f>
        <v>12</v>
      </c>
      <c r="F26" s="12" t="n">
        <f aca="false">COUNT(C7:C19)-1</f>
        <v>12</v>
      </c>
      <c r="G26" s="4"/>
      <c r="H26" s="20" t="n">
        <f aca="false">I22/H22</f>
        <v>40.0000000000002</v>
      </c>
      <c r="I26" s="21" t="n">
        <f aca="false">C30-H26*B30</f>
        <v>-61.0000000000011</v>
      </c>
      <c r="J26" s="4"/>
      <c r="K26" s="20" t="n">
        <f aca="false">K22/E26</f>
        <v>15.1666666666667</v>
      </c>
      <c r="L26" s="21" t="n">
        <f aca="false">L22/F26</f>
        <v>25768.1666666669</v>
      </c>
      <c r="M26" s="21" t="n">
        <f aca="false">M22/E26</f>
        <v>606.66666666667</v>
      </c>
      <c r="N26" s="4"/>
      <c r="O26" s="3"/>
      <c r="P26" s="3"/>
      <c r="Q26" s="3"/>
      <c r="R26" s="4"/>
      <c r="S26" s="4"/>
    </row>
    <row r="27" customFormat="false" ht="8.25" hidden="false" customHeight="true" outlineLevel="0" collapsed="false">
      <c r="A27" s="3"/>
      <c r="B27" s="3"/>
      <c r="C27" s="3"/>
      <c r="D27" s="4"/>
      <c r="E27" s="3"/>
      <c r="F27" s="3"/>
      <c r="G27" s="4"/>
      <c r="H27" s="3"/>
      <c r="I27" s="3"/>
      <c r="J27" s="4"/>
      <c r="K27" s="3"/>
      <c r="L27" s="3"/>
      <c r="M27" s="3"/>
      <c r="N27" s="4"/>
      <c r="O27" s="3"/>
      <c r="P27" s="3"/>
      <c r="Q27" s="3"/>
      <c r="R27" s="4"/>
      <c r="S27" s="4"/>
    </row>
    <row r="28" customFormat="false" ht="14.15" hidden="false" customHeight="true" outlineLevel="0" collapsed="false">
      <c r="A28" s="3"/>
      <c r="B28" s="17" t="s">
        <v>40</v>
      </c>
      <c r="C28" s="17"/>
      <c r="D28" s="4"/>
      <c r="E28" s="17" t="s">
        <v>41</v>
      </c>
      <c r="F28" s="17"/>
      <c r="G28" s="4"/>
      <c r="H28" s="3"/>
      <c r="I28" s="3"/>
      <c r="J28" s="4"/>
      <c r="K28" s="7" t="s">
        <v>42</v>
      </c>
      <c r="L28" s="8" t="s">
        <v>43</v>
      </c>
      <c r="M28" s="9" t="s">
        <v>44</v>
      </c>
      <c r="N28" s="4"/>
      <c r="O28" s="3"/>
      <c r="P28" s="3"/>
      <c r="Q28" s="17" t="s">
        <v>45</v>
      </c>
      <c r="R28" s="4"/>
      <c r="S28" s="4"/>
    </row>
    <row r="29" customFormat="false" ht="14.15" hidden="false" customHeight="true" outlineLevel="0" collapsed="false">
      <c r="A29" s="4"/>
      <c r="B29" s="7" t="s">
        <v>46</v>
      </c>
      <c r="C29" s="8" t="s">
        <v>47</v>
      </c>
      <c r="D29" s="4"/>
      <c r="E29" s="17" t="s">
        <v>48</v>
      </c>
      <c r="F29" s="3"/>
      <c r="G29" s="4"/>
      <c r="H29" s="22" t="s">
        <v>49</v>
      </c>
      <c r="I29" s="22"/>
      <c r="J29" s="4"/>
      <c r="K29" s="7" t="s">
        <v>50</v>
      </c>
      <c r="L29" s="19" t="s">
        <v>51</v>
      </c>
      <c r="M29" s="17" t="s">
        <v>52</v>
      </c>
      <c r="N29" s="4"/>
      <c r="O29" s="3"/>
      <c r="P29" s="3"/>
      <c r="Q29" s="17" t="s">
        <v>53</v>
      </c>
      <c r="R29" s="4"/>
      <c r="S29" s="4"/>
    </row>
    <row r="30" customFormat="false" ht="14.15" hidden="false" customHeight="true" outlineLevel="0" collapsed="false">
      <c r="A30" s="4"/>
      <c r="B30" s="20" t="n">
        <f aca="false">B22/B26</f>
        <v>6</v>
      </c>
      <c r="C30" s="21" t="n">
        <f aca="false">C22/C26</f>
        <v>179</v>
      </c>
      <c r="D30" s="4"/>
      <c r="E30" s="18" t="n">
        <f aca="false">COUNT(B7:B19)-2</f>
        <v>11</v>
      </c>
      <c r="F30" s="3"/>
      <c r="G30" s="4"/>
      <c r="H30" s="4" t="str">
        <f aca="false">CONCATENATE("y = ",TEXT(I26,"#.##0,00")," + ",TEXT(H26,"#.##0,00"),".x")</f>
        <v>y = -61,00 + 40,00.x</v>
      </c>
      <c r="I30" s="3"/>
      <c r="J30" s="4"/>
      <c r="K30" s="20" t="n">
        <f aca="false">SQRT(K26)</f>
        <v>3.89444048184931</v>
      </c>
      <c r="L30" s="21" t="n">
        <f aca="false">SQRT(L26)</f>
        <v>160.524660618445</v>
      </c>
      <c r="M30" s="21" t="n">
        <f aca="false">M26/(K30*L30)</f>
        <v>0.970427962120069</v>
      </c>
      <c r="N30" s="4"/>
      <c r="O30" s="3"/>
      <c r="P30" s="3"/>
      <c r="Q30" s="23" t="n">
        <f aca="false">SQRT(Q25/K22)</f>
        <v>2.99999999999996</v>
      </c>
      <c r="R30" s="4"/>
      <c r="S30" s="4"/>
    </row>
    <row r="31" customFormat="false" ht="8.25" hidden="false" customHeight="true" outlineLevel="0" collapsed="false">
      <c r="A31" s="3"/>
      <c r="B31" s="3"/>
      <c r="C31" s="3"/>
      <c r="D31" s="4"/>
      <c r="E31" s="3"/>
      <c r="F31" s="3"/>
      <c r="G31" s="4"/>
      <c r="H31" s="3"/>
      <c r="I31" s="3"/>
      <c r="J31" s="4"/>
      <c r="K31" s="3"/>
      <c r="L31" s="3"/>
      <c r="M31" s="3"/>
      <c r="N31" s="4"/>
      <c r="O31" s="3"/>
      <c r="P31" s="3"/>
      <c r="Q31" s="3"/>
      <c r="R31" s="4"/>
      <c r="S31" s="4"/>
    </row>
    <row r="32" customFormat="false" ht="14.15" hidden="false" customHeight="true" outlineLevel="0" collapsed="false">
      <c r="A32" s="3"/>
      <c r="B32" s="3"/>
      <c r="C32" s="3"/>
      <c r="D32" s="4"/>
      <c r="E32" s="3"/>
      <c r="F32" s="3"/>
      <c r="G32" s="4"/>
      <c r="H32" s="3"/>
      <c r="I32" s="3"/>
      <c r="J32" s="4"/>
      <c r="K32" s="22" t="s">
        <v>54</v>
      </c>
      <c r="L32" s="22"/>
      <c r="M32" s="8" t="s">
        <v>55</v>
      </c>
      <c r="N32" s="4"/>
      <c r="O32" s="3"/>
      <c r="P32" s="3"/>
      <c r="Q32" s="3"/>
      <c r="R32" s="4"/>
      <c r="S32" s="4"/>
    </row>
    <row r="33" customFormat="false" ht="13.2" hidden="false" customHeight="false" outlineLevel="0" collapsed="false">
      <c r="A33" s="4"/>
      <c r="B33" s="3"/>
      <c r="C33" s="3"/>
      <c r="D33" s="4"/>
      <c r="E33" s="3"/>
      <c r="F33" s="3"/>
      <c r="G33" s="4"/>
      <c r="H33" s="3"/>
      <c r="I33" s="3"/>
      <c r="J33" s="4"/>
      <c r="K33" s="24" t="s">
        <v>56</v>
      </c>
      <c r="L33" s="24"/>
      <c r="M33" s="21" t="n">
        <f aca="false">M30^2</f>
        <v>0.941730429664511</v>
      </c>
      <c r="N33" s="4"/>
      <c r="O33" s="3"/>
      <c r="P33" s="3"/>
      <c r="Q33" s="17" t="s">
        <v>57</v>
      </c>
      <c r="R33" s="25" t="s">
        <v>58</v>
      </c>
      <c r="S33" s="4"/>
    </row>
    <row r="34" customFormat="false" ht="14.15" hidden="false" customHeight="true" outlineLevel="0" collapsed="false">
      <c r="A34" s="3"/>
      <c r="B34" s="3"/>
      <c r="C34" s="3"/>
      <c r="D34" s="4"/>
      <c r="E34" s="3"/>
      <c r="F34" s="3"/>
      <c r="G34" s="4"/>
      <c r="H34" s="3"/>
      <c r="I34" s="3"/>
      <c r="J34" s="4"/>
      <c r="K34" s="22" t="s">
        <v>54</v>
      </c>
      <c r="L34" s="22"/>
      <c r="M34" s="8" t="s">
        <v>59</v>
      </c>
      <c r="N34" s="4"/>
      <c r="O34" s="3"/>
      <c r="P34" s="3"/>
      <c r="Q34" s="17" t="s">
        <v>60</v>
      </c>
      <c r="R34" s="25" t="s">
        <v>61</v>
      </c>
      <c r="S34" s="4"/>
    </row>
    <row r="35" customFormat="false" ht="15" hidden="false" customHeight="true" outlineLevel="0" collapsed="false">
      <c r="A35" s="4"/>
      <c r="B35" s="4"/>
      <c r="C35" s="4"/>
      <c r="D35" s="4"/>
      <c r="E35" s="3"/>
      <c r="F35" s="3"/>
      <c r="G35" s="4"/>
      <c r="H35" s="3"/>
      <c r="I35" s="3"/>
      <c r="J35" s="4"/>
      <c r="K35" s="24" t="s">
        <v>62</v>
      </c>
      <c r="L35" s="24"/>
      <c r="M35" s="21" t="n">
        <f aca="false">1-(1-M33)*(B26-1)/(B26-1-1)</f>
        <v>0.936433195997648</v>
      </c>
      <c r="N35" s="4"/>
      <c r="O35" s="3"/>
      <c r="P35" s="3"/>
      <c r="Q35" s="23" t="n">
        <f aca="false">H26/Q30</f>
        <v>13.3333333333336</v>
      </c>
      <c r="R35" s="26" t="n">
        <f aca="false">_xlfn.T.DIST.2T(Q35,$E$30)</f>
        <v>3.91117071946751E-008</v>
      </c>
      <c r="S35" s="4"/>
    </row>
    <row r="36" customFormat="false" ht="8.25" hidden="false" customHeight="true" outlineLevel="0" collapsed="false">
      <c r="A36" s="3"/>
      <c r="B36" s="3"/>
      <c r="C36" s="3"/>
      <c r="D36" s="4"/>
      <c r="E36" s="3"/>
      <c r="F36" s="3"/>
      <c r="G36" s="4"/>
      <c r="H36" s="3"/>
      <c r="I36" s="3"/>
      <c r="J36" s="4"/>
      <c r="K36" s="3"/>
      <c r="L36" s="3"/>
      <c r="M36" s="3"/>
      <c r="N36" s="4"/>
      <c r="O36" s="3"/>
      <c r="P36" s="3"/>
      <c r="Q36" s="3"/>
      <c r="R36" s="4"/>
      <c r="S36" s="4"/>
    </row>
  </sheetData>
  <mergeCells count="11">
    <mergeCell ref="B5:C5"/>
    <mergeCell ref="E5:F5"/>
    <mergeCell ref="H5:I5"/>
    <mergeCell ref="K5:M5"/>
    <mergeCell ref="O5:Q5"/>
    <mergeCell ref="B24:C24"/>
    <mergeCell ref="E24:F24"/>
    <mergeCell ref="B28:C28"/>
    <mergeCell ref="E28:F28"/>
    <mergeCell ref="K33:L33"/>
    <mergeCell ref="K35:L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976D2"/>
    <pageSetUpPr fitToPage="false"/>
  </sheetPr>
  <dimension ref="A1:R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5.11"/>
    <col collapsed="false" customWidth="true" hidden="false" outlineLevel="0" max="5" min="5" style="1" width="11.24"/>
    <col collapsed="false" customWidth="true" hidden="false" outlineLevel="0" max="8" min="6" style="1" width="10.2"/>
    <col collapsed="false" customWidth="true" hidden="false" outlineLevel="0" max="9" min="9" style="1" width="2.56"/>
    <col collapsed="false" customWidth="true" hidden="false" outlineLevel="0" max="10" min="10" style="2" width="11.24"/>
    <col collapsed="false" customWidth="true" hidden="false" outlineLevel="0" max="14" min="11" style="2" width="10.2"/>
    <col collapsed="false" customWidth="true" hidden="false" outlineLevel="0" max="15" min="15" style="2" width="12.76"/>
    <col collapsed="false" customWidth="true" hidden="false" outlineLevel="0" max="18" min="16" style="2" width="10.2"/>
    <col collapsed="false" customWidth="true" hidden="false" outlineLevel="0" max="19" min="19" style="2" width="2.55"/>
  </cols>
  <sheetData>
    <row r="1" customFormat="false" ht="8.25" hidden="false" customHeight="true" outlineLevel="0" collapsed="false">
      <c r="A1" s="27"/>
    </row>
    <row r="2" customFormat="false" ht="16.5" hidden="false" customHeight="true" outlineLevel="0" collapsed="false">
      <c r="A2" s="27"/>
      <c r="B2" s="5" t="s">
        <v>63</v>
      </c>
      <c r="C2" s="28"/>
      <c r="D2" s="28"/>
      <c r="I2" s="2"/>
    </row>
    <row r="3" customFormat="false" ht="8.25" hidden="false" customHeight="true" outlineLevel="0" collapsed="false">
      <c r="A3" s="27"/>
    </row>
    <row r="4" customFormat="false" ht="13.5" hidden="false" customHeight="true" outlineLevel="0" collapsed="false">
      <c r="A4" s="27"/>
      <c r="B4" s="29" t="s">
        <v>64</v>
      </c>
      <c r="C4" s="29"/>
      <c r="I4" s="2"/>
      <c r="J4" s="30" t="s">
        <v>65</v>
      </c>
      <c r="K4" s="30"/>
      <c r="L4" s="30"/>
      <c r="M4" s="30"/>
      <c r="N4" s="30"/>
      <c r="P4" s="30" t="s">
        <v>66</v>
      </c>
      <c r="Q4" s="30"/>
      <c r="R4" s="30"/>
    </row>
    <row r="5" customFormat="false" ht="13.5" hidden="false" customHeight="true" outlineLevel="0" collapsed="false">
      <c r="A5" s="27"/>
      <c r="B5" s="7" t="s">
        <v>67</v>
      </c>
      <c r="C5" s="8" t="s">
        <v>68</v>
      </c>
      <c r="E5" s="17" t="s">
        <v>69</v>
      </c>
      <c r="F5" s="8" t="s">
        <v>70</v>
      </c>
      <c r="G5" s="9" t="s">
        <v>71</v>
      </c>
      <c r="H5" s="8" t="s">
        <v>72</v>
      </c>
      <c r="I5" s="2"/>
      <c r="J5" s="7" t="s">
        <v>9</v>
      </c>
      <c r="K5" s="8" t="s">
        <v>10</v>
      </c>
      <c r="L5" s="31" t="s">
        <v>73</v>
      </c>
      <c r="M5" s="32" t="s">
        <v>11</v>
      </c>
      <c r="N5" s="10" t="s">
        <v>13</v>
      </c>
      <c r="O5" s="18"/>
      <c r="P5" s="33" t="s">
        <v>74</v>
      </c>
      <c r="Q5" s="34" t="s">
        <v>75</v>
      </c>
      <c r="R5" s="10" t="s">
        <v>76</v>
      </c>
    </row>
    <row r="6" customFormat="false" ht="13.5" hidden="false" customHeight="true" outlineLevel="0" collapsed="false">
      <c r="A6" s="27"/>
      <c r="B6" s="13" t="n">
        <v>0</v>
      </c>
      <c r="C6" s="12" t="n">
        <v>5</v>
      </c>
      <c r="E6" s="35" t="s">
        <v>77</v>
      </c>
      <c r="F6" s="36" t="s">
        <v>61</v>
      </c>
      <c r="G6" s="21" t="n">
        <f aca="false">SUM(B6:B18)</f>
        <v>78</v>
      </c>
      <c r="H6" s="21" t="n">
        <f aca="false">SUM(C6:C18)</f>
        <v>2327</v>
      </c>
      <c r="I6" s="2"/>
      <c r="J6" s="37" t="n">
        <f aca="false">B6-$G$8</f>
        <v>-6</v>
      </c>
      <c r="K6" s="38" t="n">
        <f aca="false">C6-$H$8</f>
        <v>-174</v>
      </c>
      <c r="L6" s="38" t="n">
        <f aca="false">J6*K6</f>
        <v>1044</v>
      </c>
      <c r="M6" s="38" t="n">
        <f aca="false">J6^2</f>
        <v>36</v>
      </c>
      <c r="N6" s="39" t="n">
        <f aca="false">K6^2</f>
        <v>30276</v>
      </c>
      <c r="O6" s="18"/>
      <c r="P6" s="37" t="n">
        <f aca="false">$O$24*B6+$O$25</f>
        <v>-61</v>
      </c>
      <c r="Q6" s="39" t="n">
        <f aca="false">C6-P6</f>
        <v>66</v>
      </c>
      <c r="R6" s="39" t="n">
        <f aca="false">Q6^2</f>
        <v>4356</v>
      </c>
    </row>
    <row r="7" customFormat="false" ht="13.5" hidden="false" customHeight="true" outlineLevel="0" collapsed="false">
      <c r="A7" s="27"/>
      <c r="B7" s="13" t="n">
        <f aca="false">B6+1</f>
        <v>1</v>
      </c>
      <c r="C7" s="12" t="n">
        <v>12</v>
      </c>
      <c r="E7" s="35" t="s">
        <v>78</v>
      </c>
      <c r="F7" s="36" t="s">
        <v>61</v>
      </c>
      <c r="G7" s="21" t="n">
        <f aca="false">COUNT(B6:B18)</f>
        <v>13</v>
      </c>
      <c r="H7" s="21" t="n">
        <f aca="false">COUNT(C6:C18)</f>
        <v>13</v>
      </c>
      <c r="I7" s="2"/>
      <c r="J7" s="37" t="n">
        <f aca="false">B7-$G$8</f>
        <v>-5</v>
      </c>
      <c r="K7" s="38" t="n">
        <f aca="false">C7-$H$8</f>
        <v>-167</v>
      </c>
      <c r="L7" s="38" t="n">
        <f aca="false">J7*K7</f>
        <v>835</v>
      </c>
      <c r="M7" s="38" t="n">
        <f aca="false">J7^2</f>
        <v>25</v>
      </c>
      <c r="N7" s="39" t="n">
        <f aca="false">K7^2</f>
        <v>27889</v>
      </c>
      <c r="O7" s="18"/>
      <c r="P7" s="37" t="n">
        <f aca="false">$O$24*B7+$O$25</f>
        <v>-21</v>
      </c>
      <c r="Q7" s="39" t="n">
        <f aca="false">C7-P7</f>
        <v>33</v>
      </c>
      <c r="R7" s="39" t="n">
        <f aca="false">Q7^2</f>
        <v>1089</v>
      </c>
    </row>
    <row r="8" customFormat="false" ht="13.5" hidden="false" customHeight="true" outlineLevel="0" collapsed="false">
      <c r="A8" s="27"/>
      <c r="B8" s="13" t="n">
        <f aca="false">B7+1</f>
        <v>2</v>
      </c>
      <c r="C8" s="12" t="n">
        <v>25</v>
      </c>
      <c r="E8" s="35" t="s">
        <v>79</v>
      </c>
      <c r="F8" s="36" t="s">
        <v>61</v>
      </c>
      <c r="G8" s="21" t="n">
        <f aca="false">AVERAGE(B6:B18)</f>
        <v>6</v>
      </c>
      <c r="H8" s="21" t="n">
        <f aca="false">AVERAGE(C6:C18)</f>
        <v>179</v>
      </c>
      <c r="I8" s="2"/>
      <c r="J8" s="37" t="n">
        <f aca="false">B8-$G$8</f>
        <v>-4</v>
      </c>
      <c r="K8" s="38" t="n">
        <f aca="false">C8-$H$8</f>
        <v>-154</v>
      </c>
      <c r="L8" s="38" t="n">
        <f aca="false">J8*K8</f>
        <v>616</v>
      </c>
      <c r="M8" s="38" t="n">
        <f aca="false">J8^2</f>
        <v>16</v>
      </c>
      <c r="N8" s="39" t="n">
        <f aca="false">K8^2</f>
        <v>23716</v>
      </c>
      <c r="O8" s="18"/>
      <c r="P8" s="37" t="n">
        <f aca="false">$O$24*B8+$O$25</f>
        <v>19</v>
      </c>
      <c r="Q8" s="39" t="n">
        <f aca="false">C8-P8</f>
        <v>6</v>
      </c>
      <c r="R8" s="39" t="n">
        <f aca="false">Q8^2</f>
        <v>36</v>
      </c>
    </row>
    <row r="9" customFormat="false" ht="13.5" hidden="false" customHeight="true" outlineLevel="0" collapsed="false">
      <c r="A9" s="27"/>
      <c r="B9" s="13" t="n">
        <f aca="false">B8+1</f>
        <v>3</v>
      </c>
      <c r="C9" s="12" t="n">
        <v>44</v>
      </c>
      <c r="E9" s="35" t="s">
        <v>79</v>
      </c>
      <c r="F9" s="36" t="s">
        <v>80</v>
      </c>
      <c r="G9" s="21" t="n">
        <f aca="false">SUM(B6:B18)/COUNT(B6:B18)</f>
        <v>6</v>
      </c>
      <c r="H9" s="21" t="n">
        <f aca="false">SUM(C6:C18)/COUNT(C6:C18)</f>
        <v>179</v>
      </c>
      <c r="I9" s="2"/>
      <c r="J9" s="37" t="n">
        <f aca="false">B9-$G$8</f>
        <v>-3</v>
      </c>
      <c r="K9" s="38" t="n">
        <f aca="false">C9-$H$8</f>
        <v>-135</v>
      </c>
      <c r="L9" s="38" t="n">
        <f aca="false">J9*K9</f>
        <v>405</v>
      </c>
      <c r="M9" s="38" t="n">
        <f aca="false">J9^2</f>
        <v>9</v>
      </c>
      <c r="N9" s="39" t="n">
        <f aca="false">K9^2</f>
        <v>18225</v>
      </c>
      <c r="O9" s="18"/>
      <c r="P9" s="37" t="n">
        <f aca="false">$O$24*B9+$O$25</f>
        <v>59</v>
      </c>
      <c r="Q9" s="39" t="n">
        <f aca="false">C9-P9</f>
        <v>-15</v>
      </c>
      <c r="R9" s="39" t="n">
        <f aca="false">Q9^2</f>
        <v>225</v>
      </c>
    </row>
    <row r="10" customFormat="false" ht="13.5" hidden="false" customHeight="true" outlineLevel="0" collapsed="false">
      <c r="A10" s="27"/>
      <c r="B10" s="13" t="n">
        <f aca="false">B9+1</f>
        <v>4</v>
      </c>
      <c r="C10" s="12" t="n">
        <v>69</v>
      </c>
      <c r="E10" s="35" t="s">
        <v>81</v>
      </c>
      <c r="F10" s="36" t="s">
        <v>61</v>
      </c>
      <c r="G10" s="21" t="n">
        <f aca="false">_xlfn.VAR.S(B6:B18)</f>
        <v>15.1666666666667</v>
      </c>
      <c r="H10" s="21" t="n">
        <f aca="false">_xlfn.VAR.S(C6:C18)</f>
        <v>25768.1666666667</v>
      </c>
      <c r="I10" s="2"/>
      <c r="J10" s="37" t="n">
        <f aca="false">B10-$G$8</f>
        <v>-2</v>
      </c>
      <c r="K10" s="38" t="n">
        <f aca="false">C10-$H$8</f>
        <v>-110</v>
      </c>
      <c r="L10" s="38" t="n">
        <f aca="false">J10*K10</f>
        <v>220</v>
      </c>
      <c r="M10" s="38" t="n">
        <f aca="false">J10^2</f>
        <v>4</v>
      </c>
      <c r="N10" s="39" t="n">
        <f aca="false">K10^2</f>
        <v>12100</v>
      </c>
      <c r="O10" s="18"/>
      <c r="P10" s="37" t="n">
        <f aca="false">$O$24*B10+$O$25</f>
        <v>99</v>
      </c>
      <c r="Q10" s="39" t="n">
        <f aca="false">C10-P10</f>
        <v>-30</v>
      </c>
      <c r="R10" s="39" t="n">
        <f aca="false">Q10^2</f>
        <v>900</v>
      </c>
    </row>
    <row r="11" customFormat="false" ht="13.5" hidden="false" customHeight="true" outlineLevel="0" collapsed="false">
      <c r="A11" s="27"/>
      <c r="B11" s="13" t="n">
        <f aca="false">B10+1</f>
        <v>5</v>
      </c>
      <c r="C11" s="12" t="n">
        <v>100</v>
      </c>
      <c r="E11" s="35" t="s">
        <v>81</v>
      </c>
      <c r="F11" s="36" t="s">
        <v>80</v>
      </c>
      <c r="G11" s="21" t="n">
        <f aca="false" t="array" ref="G11:G11">SUM((B6:B18 - G9)^2)/(COUNT(B6:B18)-1)</f>
        <v>15.1666666666667</v>
      </c>
      <c r="H11" s="21" t="n">
        <f aca="false" t="array" ref="H11:H11">SUM((C6:C18 - H9)^2)/(COUNT(C6:C18)-1)</f>
        <v>25768.1666666667</v>
      </c>
      <c r="I11" s="2"/>
      <c r="J11" s="37" t="n">
        <f aca="false">B11-$G$8</f>
        <v>-1</v>
      </c>
      <c r="K11" s="38" t="n">
        <f aca="false">C11-$H$8</f>
        <v>-79</v>
      </c>
      <c r="L11" s="38" t="n">
        <f aca="false">J11*K11</f>
        <v>79</v>
      </c>
      <c r="M11" s="38" t="n">
        <f aca="false">J11^2</f>
        <v>1</v>
      </c>
      <c r="N11" s="39" t="n">
        <f aca="false">K11^2</f>
        <v>6241</v>
      </c>
      <c r="O11" s="18"/>
      <c r="P11" s="37" t="n">
        <f aca="false">$O$24*B11+$O$25</f>
        <v>139</v>
      </c>
      <c r="Q11" s="39" t="n">
        <f aca="false">C11-P11</f>
        <v>-39</v>
      </c>
      <c r="R11" s="39" t="n">
        <f aca="false">Q11^2</f>
        <v>1521</v>
      </c>
    </row>
    <row r="12" customFormat="false" ht="13.5" hidden="false" customHeight="true" outlineLevel="0" collapsed="false">
      <c r="A12" s="27"/>
      <c r="B12" s="13" t="n">
        <f aca="false">B11+1</f>
        <v>6</v>
      </c>
      <c r="C12" s="12" t="n">
        <v>137</v>
      </c>
      <c r="E12" s="35" t="s">
        <v>82</v>
      </c>
      <c r="F12" s="36" t="s">
        <v>61</v>
      </c>
      <c r="G12" s="21" t="n">
        <f aca="false">_xlfn.STDEV.S(B6:B18)</f>
        <v>3.89444048184931</v>
      </c>
      <c r="H12" s="21" t="n">
        <f aca="false">_xlfn.STDEV.S(C6:C18)</f>
        <v>160.524660618444</v>
      </c>
      <c r="I12" s="2"/>
      <c r="J12" s="37" t="n">
        <f aca="false">B12-$G$8</f>
        <v>0</v>
      </c>
      <c r="K12" s="38" t="n">
        <f aca="false">C12-$H$8</f>
        <v>-42</v>
      </c>
      <c r="L12" s="38" t="n">
        <f aca="false">J12*K12</f>
        <v>-0</v>
      </c>
      <c r="M12" s="38" t="n">
        <f aca="false">J12^2</f>
        <v>0</v>
      </c>
      <c r="N12" s="39" t="n">
        <f aca="false">K12^2</f>
        <v>1764</v>
      </c>
      <c r="O12" s="18"/>
      <c r="P12" s="37" t="n">
        <f aca="false">$O$24*B12+$O$25</f>
        <v>179</v>
      </c>
      <c r="Q12" s="39" t="n">
        <f aca="false">C12-P12</f>
        <v>-42</v>
      </c>
      <c r="R12" s="39" t="n">
        <f aca="false">Q12^2</f>
        <v>1764</v>
      </c>
    </row>
    <row r="13" customFormat="false" ht="15" hidden="false" customHeight="false" outlineLevel="0" collapsed="false">
      <c r="A13" s="27"/>
      <c r="B13" s="13" t="n">
        <f aca="false">B12+1</f>
        <v>7</v>
      </c>
      <c r="C13" s="12" t="n">
        <v>180</v>
      </c>
      <c r="E13" s="35" t="s">
        <v>82</v>
      </c>
      <c r="F13" s="36" t="s">
        <v>80</v>
      </c>
      <c r="G13" s="21" t="n">
        <f aca="false">SQRT(G11)</f>
        <v>3.89444048184931</v>
      </c>
      <c r="H13" s="21" t="n">
        <f aca="false">SQRT(H11)</f>
        <v>160.524660618444</v>
      </c>
      <c r="I13" s="2"/>
      <c r="J13" s="37" t="n">
        <f aca="false">B13-$G$8</f>
        <v>1</v>
      </c>
      <c r="K13" s="38" t="n">
        <f aca="false">C13-$H$8</f>
        <v>1</v>
      </c>
      <c r="L13" s="38" t="n">
        <f aca="false">J13*K13</f>
        <v>1</v>
      </c>
      <c r="M13" s="38" t="n">
        <f aca="false">J13^2</f>
        <v>1</v>
      </c>
      <c r="N13" s="39" t="n">
        <f aca="false">K13^2</f>
        <v>1</v>
      </c>
      <c r="O13" s="18"/>
      <c r="P13" s="37" t="n">
        <f aca="false">$O$24*B13+$O$25</f>
        <v>219</v>
      </c>
      <c r="Q13" s="39" t="n">
        <f aca="false">C13-P13</f>
        <v>-39</v>
      </c>
      <c r="R13" s="39" t="n">
        <f aca="false">Q13^2</f>
        <v>1521</v>
      </c>
    </row>
    <row r="14" customFormat="false" ht="15" hidden="false" customHeight="false" outlineLevel="0" collapsed="false">
      <c r="A14" s="27"/>
      <c r="B14" s="13" t="n">
        <f aca="false">B13+1</f>
        <v>8</v>
      </c>
      <c r="C14" s="12" t="n">
        <v>229</v>
      </c>
      <c r="E14" s="35" t="s">
        <v>83</v>
      </c>
      <c r="F14" s="36" t="s">
        <v>80</v>
      </c>
      <c r="G14" s="21" t="n">
        <f aca="false">G12/SQRT(G7)</f>
        <v>1.08012344973464</v>
      </c>
      <c r="H14" s="21" t="n">
        <f aca="false">H12/SQRT(H7)</f>
        <v>44.5215303720196</v>
      </c>
      <c r="I14" s="2"/>
      <c r="J14" s="37" t="n">
        <f aca="false">B14-$G$8</f>
        <v>2</v>
      </c>
      <c r="K14" s="38" t="n">
        <f aca="false">C14-$H$8</f>
        <v>50</v>
      </c>
      <c r="L14" s="38" t="n">
        <f aca="false">J14*K14</f>
        <v>100</v>
      </c>
      <c r="M14" s="38" t="n">
        <f aca="false">J14^2</f>
        <v>4</v>
      </c>
      <c r="N14" s="39" t="n">
        <f aca="false">K14^2</f>
        <v>2500</v>
      </c>
      <c r="O14" s="18"/>
      <c r="P14" s="37" t="n">
        <f aca="false">$O$24*B14+$O$25</f>
        <v>259</v>
      </c>
      <c r="Q14" s="39" t="n">
        <f aca="false">C14-P14</f>
        <v>-30</v>
      </c>
      <c r="R14" s="39" t="n">
        <f aca="false">Q14^2</f>
        <v>900</v>
      </c>
    </row>
    <row r="15" customFormat="false" ht="15" hidden="false" customHeight="false" outlineLevel="0" collapsed="false">
      <c r="A15" s="27"/>
      <c r="B15" s="13" t="n">
        <f aca="false">B14+1</f>
        <v>9</v>
      </c>
      <c r="C15" s="12" t="n">
        <v>284</v>
      </c>
      <c r="E15" s="2"/>
      <c r="F15" s="2"/>
      <c r="G15" s="2"/>
      <c r="H15" s="2"/>
      <c r="I15" s="2"/>
      <c r="J15" s="37" t="n">
        <f aca="false">B15-$G$8</f>
        <v>3</v>
      </c>
      <c r="K15" s="38" t="n">
        <f aca="false">C15-$H$8</f>
        <v>105</v>
      </c>
      <c r="L15" s="38" t="n">
        <f aca="false">J15*K15</f>
        <v>315</v>
      </c>
      <c r="M15" s="38" t="n">
        <f aca="false">J15^2</f>
        <v>9</v>
      </c>
      <c r="N15" s="39" t="n">
        <f aca="false">K15^2</f>
        <v>11025</v>
      </c>
      <c r="O15" s="18"/>
      <c r="P15" s="37" t="n">
        <f aca="false">$O$24*B15+$O$25</f>
        <v>299</v>
      </c>
      <c r="Q15" s="39" t="n">
        <f aca="false">C15-P15</f>
        <v>-15</v>
      </c>
      <c r="R15" s="39" t="n">
        <f aca="false">Q15^2</f>
        <v>225</v>
      </c>
    </row>
    <row r="16" customFormat="false" ht="15" hidden="false" customHeight="false" outlineLevel="0" collapsed="false">
      <c r="A16" s="27"/>
      <c r="B16" s="13" t="n">
        <f aca="false">B15+1</f>
        <v>10</v>
      </c>
      <c r="C16" s="12" t="n">
        <v>345</v>
      </c>
      <c r="E16" s="17" t="s">
        <v>69</v>
      </c>
      <c r="F16" s="8" t="s">
        <v>70</v>
      </c>
      <c r="G16" s="9" t="s">
        <v>84</v>
      </c>
      <c r="H16" s="2"/>
      <c r="I16" s="2"/>
      <c r="J16" s="37" t="n">
        <f aca="false">B16-$G$8</f>
        <v>4</v>
      </c>
      <c r="K16" s="38" t="n">
        <f aca="false">C16-$H$8</f>
        <v>166</v>
      </c>
      <c r="L16" s="38" t="n">
        <f aca="false">J16*K16</f>
        <v>664</v>
      </c>
      <c r="M16" s="38" t="n">
        <f aca="false">J16^2</f>
        <v>16</v>
      </c>
      <c r="N16" s="39" t="n">
        <f aca="false">K16^2</f>
        <v>27556</v>
      </c>
      <c r="O16" s="18"/>
      <c r="P16" s="37" t="n">
        <f aca="false">$O$24*B16+$O$25</f>
        <v>339</v>
      </c>
      <c r="Q16" s="39" t="n">
        <f aca="false">C16-P16</f>
        <v>6</v>
      </c>
      <c r="R16" s="39" t="n">
        <f aca="false">Q16^2</f>
        <v>36</v>
      </c>
    </row>
    <row r="17" customFormat="false" ht="15" hidden="false" customHeight="false" outlineLevel="0" collapsed="false">
      <c r="A17" s="27"/>
      <c r="B17" s="13" t="n">
        <f aca="false">B16+1</f>
        <v>11</v>
      </c>
      <c r="C17" s="12" t="n">
        <v>412</v>
      </c>
      <c r="E17" s="35" t="s">
        <v>39</v>
      </c>
      <c r="F17" s="36" t="s">
        <v>61</v>
      </c>
      <c r="G17" s="21" t="n">
        <f aca="false">_xlfn.COVARIANCE.S(B6:B18,C6:C18)</f>
        <v>606.666666666667</v>
      </c>
      <c r="H17" s="2"/>
      <c r="I17" s="2"/>
      <c r="J17" s="37" t="n">
        <f aca="false">B17-$G$8</f>
        <v>5</v>
      </c>
      <c r="K17" s="38" t="n">
        <f aca="false">C17-$H$8</f>
        <v>233</v>
      </c>
      <c r="L17" s="38" t="n">
        <f aca="false">J17*K17</f>
        <v>1165</v>
      </c>
      <c r="M17" s="38" t="n">
        <f aca="false">J17^2</f>
        <v>25</v>
      </c>
      <c r="N17" s="39" t="n">
        <f aca="false">K17^2</f>
        <v>54289</v>
      </c>
      <c r="O17" s="18"/>
      <c r="P17" s="37" t="n">
        <f aca="false">$O$24*B17+$O$25</f>
        <v>379</v>
      </c>
      <c r="Q17" s="39" t="n">
        <f aca="false">C17-P17</f>
        <v>33</v>
      </c>
      <c r="R17" s="39" t="n">
        <f aca="false">Q17^2</f>
        <v>1089</v>
      </c>
    </row>
    <row r="18" customFormat="false" ht="15" hidden="false" customHeight="false" outlineLevel="0" collapsed="false">
      <c r="A18" s="27"/>
      <c r="B18" s="13" t="n">
        <f aca="false">B17+1</f>
        <v>12</v>
      </c>
      <c r="C18" s="12" t="n">
        <v>485</v>
      </c>
      <c r="E18" s="35" t="s">
        <v>39</v>
      </c>
      <c r="F18" s="36" t="s">
        <v>80</v>
      </c>
      <c r="G18" s="21" t="n">
        <f aca="false" t="array" ref="G18:G18">SUM((B6:B18-G9)*(C6:C18-H9))/(COUNT(B6:B18)-1)</f>
        <v>606.666666666667</v>
      </c>
      <c r="H18" s="2"/>
      <c r="I18" s="2"/>
      <c r="J18" s="37" t="n">
        <f aca="false">B18-$G$8</f>
        <v>6</v>
      </c>
      <c r="K18" s="38" t="n">
        <f aca="false">C18-$H$8</f>
        <v>306</v>
      </c>
      <c r="L18" s="38" t="n">
        <f aca="false">J18*K18</f>
        <v>1836</v>
      </c>
      <c r="M18" s="38" t="n">
        <f aca="false">J18^2</f>
        <v>36</v>
      </c>
      <c r="N18" s="39" t="n">
        <f aca="false">K18^2</f>
        <v>93636</v>
      </c>
      <c r="O18" s="18"/>
      <c r="P18" s="37" t="n">
        <f aca="false">$O$24*B18+$O$25</f>
        <v>419</v>
      </c>
      <c r="Q18" s="39" t="n">
        <f aca="false">C18-P18</f>
        <v>66</v>
      </c>
      <c r="R18" s="39" t="n">
        <f aca="false">Q18^2</f>
        <v>4356</v>
      </c>
    </row>
    <row r="19" customFormat="false" ht="15" hidden="false" customHeight="false" outlineLevel="0" collapsed="false">
      <c r="A19" s="27"/>
      <c r="E19" s="35" t="s">
        <v>85</v>
      </c>
      <c r="F19" s="36" t="s">
        <v>61</v>
      </c>
      <c r="G19" s="21" t="n">
        <f aca="false">PEARSON(B6:B18,C6:C18)</f>
        <v>0.970427962120068</v>
      </c>
      <c r="H19" s="2"/>
      <c r="I19" s="2"/>
      <c r="J19" s="7" t="s">
        <v>19</v>
      </c>
      <c r="K19" s="8" t="s">
        <v>20</v>
      </c>
      <c r="L19" s="31" t="s">
        <v>86</v>
      </c>
      <c r="M19" s="32" t="s">
        <v>21</v>
      </c>
      <c r="N19" s="10" t="s">
        <v>23</v>
      </c>
      <c r="O19" s="34" t="s">
        <v>87</v>
      </c>
      <c r="R19" s="10" t="s">
        <v>88</v>
      </c>
    </row>
    <row r="20" customFormat="false" ht="15" hidden="false" customHeight="false" outlineLevel="0" collapsed="false">
      <c r="A20" s="27"/>
      <c r="B20" s="5" t="s">
        <v>89</v>
      </c>
      <c r="E20" s="35" t="s">
        <v>85</v>
      </c>
      <c r="F20" s="36" t="s">
        <v>80</v>
      </c>
      <c r="G20" s="21" t="n">
        <f aca="false">G18/(G13*H13)</f>
        <v>0.970427962120068</v>
      </c>
      <c r="H20" s="2"/>
      <c r="I20" s="2"/>
      <c r="J20" s="37" t="n">
        <f aca="false">SUM(J6:J18)</f>
        <v>0</v>
      </c>
      <c r="K20" s="38" t="n">
        <f aca="false">SUM(K6:K18)</f>
        <v>0</v>
      </c>
      <c r="L20" s="38" t="n">
        <f aca="false">SUM(L6:L18)</f>
        <v>7280</v>
      </c>
      <c r="M20" s="38" t="n">
        <f aca="false">SUM(M6:M18)</f>
        <v>182</v>
      </c>
      <c r="N20" s="39" t="n">
        <f aca="false">SUM(N6:N18)</f>
        <v>309218</v>
      </c>
      <c r="O20" s="39"/>
      <c r="R20" s="39" t="n">
        <f aca="false">SUM(R6:R18)</f>
        <v>18018</v>
      </c>
    </row>
    <row r="21" customFormat="false" ht="15" hidden="false" customHeight="false" outlineLevel="0" collapsed="false">
      <c r="A21" s="27"/>
      <c r="B21" s="3" t="s">
        <v>90</v>
      </c>
      <c r="E21" s="35" t="s">
        <v>85</v>
      </c>
      <c r="F21" s="36" t="s">
        <v>80</v>
      </c>
      <c r="G21" s="21" t="n">
        <f aca="false" t="array" ref="G21:G21">SUM((B6:B18 - G9)*(C6:C18 - H9))/SQRT(SUM((B6:B18 - G9)^2)*SUM((C6:C18 - H9)^2))</f>
        <v>0.970427962120068</v>
      </c>
      <c r="H21" s="2"/>
      <c r="I21" s="2"/>
      <c r="J21" s="35" t="s">
        <v>81</v>
      </c>
      <c r="K21" s="36"/>
      <c r="L21" s="40"/>
      <c r="M21" s="21" t="n">
        <f aca="false">M20/(G7-1)</f>
        <v>15.1666666666667</v>
      </c>
      <c r="N21" s="41" t="n">
        <f aca="false">N20/(H7-1)</f>
        <v>25768.1666666667</v>
      </c>
      <c r="O21" s="21"/>
      <c r="R21" s="21"/>
    </row>
    <row r="22" customFormat="false" ht="15" hidden="false" customHeight="false" outlineLevel="0" collapsed="false">
      <c r="A22" s="27"/>
      <c r="E22" s="35" t="s">
        <v>91</v>
      </c>
      <c r="F22" s="36" t="s">
        <v>61</v>
      </c>
      <c r="G22" s="21" t="n">
        <f aca="false" t="array" ref="G22:G22">SLOPE(C6:C18,B6:B18)</f>
        <v>40</v>
      </c>
      <c r="H22" s="2"/>
      <c r="I22" s="2"/>
      <c r="J22" s="35" t="s">
        <v>39</v>
      </c>
      <c r="K22" s="36"/>
      <c r="L22" s="40" t="n">
        <f aca="false">L20/(G7-1)</f>
        <v>606.666666666667</v>
      </c>
      <c r="M22" s="36"/>
      <c r="N22" s="41"/>
      <c r="O22" s="21"/>
      <c r="R22" s="21"/>
    </row>
    <row r="23" customFormat="false" ht="15" hidden="false" customHeight="false" outlineLevel="0" collapsed="false">
      <c r="A23" s="27"/>
      <c r="B23" s="7" t="s">
        <v>92</v>
      </c>
      <c r="C23" s="8" t="s">
        <v>93</v>
      </c>
      <c r="E23" s="35" t="s">
        <v>91</v>
      </c>
      <c r="F23" s="36" t="s">
        <v>80</v>
      </c>
      <c r="G23" s="21" t="n">
        <f aca="false" t="array" ref="G23:G23">SUM((B6:B18 - G9)*(C6:C18 - H9))/SUM((B6:B18 - G9)^2)</f>
        <v>40</v>
      </c>
      <c r="H23" s="2"/>
      <c r="I23" s="2"/>
      <c r="J23" s="35" t="s">
        <v>85</v>
      </c>
      <c r="K23" s="36"/>
      <c r="L23" s="40"/>
      <c r="M23" s="36"/>
      <c r="N23" s="40"/>
      <c r="O23" s="21" t="n">
        <f aca="false">L20/SQRT(M20*N20)</f>
        <v>0.970427962120068</v>
      </c>
      <c r="R23" s="21"/>
    </row>
    <row r="24" customFormat="false" ht="15" hidden="false" customHeight="false" outlineLevel="0" collapsed="false">
      <c r="A24" s="27"/>
      <c r="B24" s="11" t="n">
        <f aca="false" t="array" ref="B24:C24">LINEST(C6:C18,B6:B18)</f>
        <v>40</v>
      </c>
      <c r="C24" s="12" t="n">
        <v>-61</v>
      </c>
      <c r="E24" s="35" t="s">
        <v>94</v>
      </c>
      <c r="F24" s="36" t="s">
        <v>61</v>
      </c>
      <c r="G24" s="21" t="n">
        <f aca="false" t="array" ref="G24:G24">INTERCEPT(C6:C18,B6:B18)</f>
        <v>-61</v>
      </c>
      <c r="H24" s="2"/>
      <c r="I24" s="2"/>
      <c r="J24" s="35" t="s">
        <v>91</v>
      </c>
      <c r="K24" s="36"/>
      <c r="L24" s="40"/>
      <c r="M24" s="36"/>
      <c r="N24" s="40"/>
      <c r="O24" s="21" t="n">
        <f aca="false">L20/M20</f>
        <v>40</v>
      </c>
      <c r="R24" s="21"/>
    </row>
    <row r="25" customFormat="false" ht="15" hidden="false" customHeight="false" outlineLevel="0" collapsed="false">
      <c r="A25" s="27"/>
      <c r="E25" s="35" t="s">
        <v>94</v>
      </c>
      <c r="F25" s="36" t="s">
        <v>80</v>
      </c>
      <c r="G25" s="21" t="n">
        <f aca="false">H8-G23*G8</f>
        <v>-61</v>
      </c>
      <c r="H25" s="2"/>
      <c r="I25" s="2"/>
      <c r="J25" s="35" t="s">
        <v>94</v>
      </c>
      <c r="K25" s="36"/>
      <c r="L25" s="40"/>
      <c r="M25" s="36"/>
      <c r="N25" s="40"/>
      <c r="O25" s="21" t="n">
        <f aca="false">H8-O24*G8</f>
        <v>-61</v>
      </c>
      <c r="R25" s="21"/>
    </row>
    <row r="26" customFormat="false" ht="15" hidden="false" customHeight="false" outlineLevel="0" collapsed="false">
      <c r="A26" s="27"/>
      <c r="E26" s="35" t="s">
        <v>95</v>
      </c>
      <c r="F26" s="36" t="s">
        <v>61</v>
      </c>
      <c r="G26" s="21" t="n">
        <f aca="false" t="array" ref="G26:G26">RSQ(C6:C18,B6:B18)</f>
        <v>0.941730429664509</v>
      </c>
      <c r="H26" s="2"/>
      <c r="J26" s="35" t="s">
        <v>95</v>
      </c>
      <c r="K26" s="36"/>
      <c r="L26" s="40"/>
      <c r="M26" s="36"/>
      <c r="N26" s="40"/>
      <c r="O26" s="21"/>
      <c r="R26" s="41" t="n">
        <f aca="false">1-R20/N20</f>
        <v>0.941730429664509</v>
      </c>
    </row>
    <row r="27" customFormat="false" ht="15" hidden="false" customHeight="false" outlineLevel="0" collapsed="false">
      <c r="A27" s="27"/>
      <c r="E27" s="35" t="s">
        <v>95</v>
      </c>
      <c r="F27" s="36" t="s">
        <v>80</v>
      </c>
      <c r="G27" s="21" t="n">
        <f aca="false" t="array" ref="G27:G27">1-SUM((C6:C18 - (B6:B18*G22+G24))^2)/SUM((C6:C18 - H9)^2)</f>
        <v>0.941730429664509</v>
      </c>
      <c r="H27" s="2"/>
      <c r="J27" s="35" t="s">
        <v>96</v>
      </c>
      <c r="K27" s="36" t="s">
        <v>97</v>
      </c>
      <c r="L27" s="36"/>
      <c r="M27" s="36"/>
      <c r="N27" s="36"/>
      <c r="O27" s="21"/>
      <c r="R27" s="41" t="n">
        <f aca="false">SQRT(R20/(G7-1))</f>
        <v>38.7491935399951</v>
      </c>
    </row>
    <row r="28" customFormat="false" ht="15" hidden="false" customHeight="false" outlineLevel="0" collapsed="false">
      <c r="A28" s="27"/>
      <c r="E28" s="35" t="s">
        <v>98</v>
      </c>
      <c r="F28" s="36" t="s">
        <v>80</v>
      </c>
      <c r="G28" s="21" t="n">
        <f aca="false">1-(1-G26)*(G7-1)/(G7-1-1)</f>
        <v>0.936433195997646</v>
      </c>
      <c r="H28" s="2"/>
      <c r="J28" s="35" t="s">
        <v>99</v>
      </c>
      <c r="K28" s="36" t="s">
        <v>100</v>
      </c>
      <c r="L28" s="36"/>
      <c r="M28" s="36"/>
      <c r="N28" s="36"/>
      <c r="O28" s="21"/>
      <c r="R28" s="41" t="n">
        <f aca="false">R20/(G7-2)</f>
        <v>1638</v>
      </c>
    </row>
    <row r="29" customFormat="false" ht="15" hidden="false" customHeight="false" outlineLevel="0" collapsed="false">
      <c r="A29" s="27"/>
      <c r="E29" s="35" t="s">
        <v>96</v>
      </c>
      <c r="F29" s="36" t="s">
        <v>80</v>
      </c>
      <c r="G29" s="21" t="n">
        <f aca="false" t="array" ref="G29:G29">SQRT(SUM((C6:C18 - (B6:B18*G22+G24))^2)/(G7-1))</f>
        <v>38.7491935399951</v>
      </c>
      <c r="H29" s="2"/>
    </row>
    <row r="30" customFormat="false" ht="15" hidden="false" customHeight="false" outlineLevel="0" collapsed="false">
      <c r="A30" s="27"/>
      <c r="E30" s="35" t="s">
        <v>101</v>
      </c>
      <c r="F30" s="36" t="s">
        <v>80</v>
      </c>
      <c r="G30" s="21" t="n">
        <f aca="false" t="array" ref="G30:G30">SUM((C6:C18 - (B6:B18*G22+G24))^2)/(G7-2)</f>
        <v>1638</v>
      </c>
      <c r="H30" s="2"/>
    </row>
    <row r="31" customFormat="false" ht="8.25" hidden="false" customHeight="true" outlineLevel="0" collapsed="false">
      <c r="A31" s="27"/>
      <c r="G31" s="2"/>
      <c r="H31" s="2"/>
    </row>
    <row r="32" customFormat="false" ht="15" hidden="false" customHeight="false" outlineLevel="0" collapsed="false"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</row>
    <row r="1048576" customFormat="false" ht="12.8" hidden="false" customHeight="false" outlineLevel="0" collapsed="false"/>
  </sheetData>
  <mergeCells count="5">
    <mergeCell ref="B4:C4"/>
    <mergeCell ref="J4:N4"/>
    <mergeCell ref="P4:R4"/>
    <mergeCell ref="K27:N27"/>
    <mergeCell ref="K28:N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R54"/>
  <sheetViews>
    <sheetView showFormulas="false" showGridLines="fals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9" activeCellId="0" sqref="A29"/>
    </sheetView>
  </sheetViews>
  <sheetFormatPr defaultColWidth="11.5625" defaultRowHeight="13.2" zeroHeight="false" outlineLevelRow="0" outlineLevelCol="0"/>
  <cols>
    <col collapsed="false" customWidth="true" hidden="false" outlineLevel="0" max="1" min="1" style="4" width="2.56"/>
    <col collapsed="false" customWidth="true" hidden="false" outlineLevel="0" max="3" min="2" style="4" width="10.2"/>
    <col collapsed="false" customWidth="true" hidden="false" outlineLevel="0" max="4" min="4" style="4" width="2.56"/>
    <col collapsed="false" customWidth="true" hidden="false" outlineLevel="0" max="6" min="5" style="3" width="10.2"/>
    <col collapsed="false" customWidth="true" hidden="false" outlineLevel="0" max="7" min="7" style="4" width="2.56"/>
    <col collapsed="false" customWidth="true" hidden="false" outlineLevel="0" max="9" min="8" style="3" width="12.76"/>
    <col collapsed="false" customWidth="true" hidden="false" outlineLevel="0" max="10" min="10" style="4" width="2.56"/>
    <col collapsed="false" customWidth="true" hidden="false" outlineLevel="0" max="13" min="11" style="3" width="12.76"/>
    <col collapsed="false" customWidth="true" hidden="false" outlineLevel="0" max="14" min="14" style="4" width="2.56"/>
    <col collapsed="false" customWidth="true" hidden="false" outlineLevel="0" max="17" min="15" style="3" width="12.76"/>
    <col collapsed="false" customWidth="true" hidden="false" outlineLevel="0" max="18" min="18" style="4" width="12.76"/>
    <col collapsed="false" customWidth="true" hidden="false" outlineLevel="0" max="19" min="19" style="3" width="2.55"/>
    <col collapsed="false" customWidth="false" hidden="false" outlineLevel="0" max="16384" min="20" style="3" width="11.56"/>
  </cols>
  <sheetData>
    <row r="1" customFormat="false" ht="8.25" hidden="false" customHeight="true" outlineLevel="0" collapsed="false">
      <c r="A1" s="3"/>
    </row>
    <row r="2" customFormat="false" ht="17" hidden="false" customHeight="true" outlineLevel="0" collapsed="false">
      <c r="A2" s="3"/>
      <c r="B2" s="5" t="s">
        <v>0</v>
      </c>
      <c r="C2" s="5"/>
    </row>
    <row r="3" customFormat="false" ht="17" hidden="false" customHeight="true" outlineLevel="0" collapsed="false">
      <c r="A3" s="3"/>
      <c r="B3" s="4" t="s">
        <v>1</v>
      </c>
    </row>
    <row r="4" customFormat="false" ht="8.25" hidden="false" customHeight="true" outlineLevel="0" collapsed="false">
      <c r="A4" s="3"/>
    </row>
    <row r="5" customFormat="false" ht="14.15" hidden="false" customHeight="true" outlineLevel="0" collapsed="false">
      <c r="A5" s="3"/>
      <c r="B5" s="6" t="s">
        <v>2</v>
      </c>
      <c r="C5" s="6"/>
      <c r="E5" s="6" t="s">
        <v>3</v>
      </c>
      <c r="F5" s="6"/>
      <c r="H5" s="6" t="s">
        <v>4</v>
      </c>
      <c r="I5" s="6"/>
      <c r="K5" s="6" t="s">
        <v>5</v>
      </c>
      <c r="L5" s="6"/>
      <c r="M5" s="6"/>
      <c r="O5" s="6" t="s">
        <v>6</v>
      </c>
      <c r="P5" s="6"/>
      <c r="Q5" s="6"/>
    </row>
    <row r="6" customFormat="false" ht="14.15" hidden="false" customHeight="true" outlineLevel="0" collapsed="false">
      <c r="A6" s="3"/>
      <c r="B6" s="7" t="s">
        <v>7</v>
      </c>
      <c r="C6" s="8" t="s">
        <v>8</v>
      </c>
      <c r="E6" s="7" t="s">
        <v>9</v>
      </c>
      <c r="F6" s="8" t="s">
        <v>10</v>
      </c>
      <c r="H6" s="7" t="s">
        <v>11</v>
      </c>
      <c r="I6" s="8" t="s">
        <v>12</v>
      </c>
      <c r="K6" s="7" t="s">
        <v>11</v>
      </c>
      <c r="L6" s="8" t="s">
        <v>13</v>
      </c>
      <c r="M6" s="9" t="s">
        <v>12</v>
      </c>
      <c r="O6" s="7" t="s">
        <v>14</v>
      </c>
      <c r="P6" s="8" t="s">
        <v>15</v>
      </c>
      <c r="Q6" s="10" t="s">
        <v>16</v>
      </c>
    </row>
    <row r="7" customFormat="false" ht="14.15" hidden="false" customHeight="true" outlineLevel="0" collapsed="false">
      <c r="A7" s="3"/>
      <c r="B7" s="11" t="n">
        <v>0</v>
      </c>
      <c r="C7" s="12" t="n">
        <v>4.99999999999795</v>
      </c>
      <c r="E7" s="13" t="n">
        <f aca="false">B7-$B$30</f>
        <v>-6</v>
      </c>
      <c r="F7" s="12" t="n">
        <f aca="false">C7-$C$30</f>
        <v>-174.000000000002</v>
      </c>
      <c r="H7" s="13" t="n">
        <f aca="false">E7^2</f>
        <v>36</v>
      </c>
      <c r="I7" s="12" t="n">
        <f aca="false">E7*F7</f>
        <v>1044.00000000001</v>
      </c>
      <c r="K7" s="13" t="n">
        <f aca="false">E7^2</f>
        <v>36</v>
      </c>
      <c r="L7" s="12" t="n">
        <f aca="false">F7^2</f>
        <v>30276.0000000009</v>
      </c>
      <c r="M7" s="12" t="n">
        <f aca="false">E7*F7</f>
        <v>1044.00000000001</v>
      </c>
      <c r="O7" s="13" t="n">
        <f aca="false">$I$26+$H$26*B7</f>
        <v>-61.0000000000011</v>
      </c>
      <c r="P7" s="12" t="n">
        <f aca="false">C7-O7</f>
        <v>65.999999999999</v>
      </c>
      <c r="Q7" s="12" t="n">
        <f aca="false">P7^2</f>
        <v>4355.99999999987</v>
      </c>
    </row>
    <row r="8" customFormat="false" ht="14.15" hidden="false" customHeight="true" outlineLevel="0" collapsed="false">
      <c r="A8" s="3"/>
      <c r="B8" s="11" t="n">
        <v>1</v>
      </c>
      <c r="C8" s="12" t="n">
        <v>11.9999999999987</v>
      </c>
      <c r="E8" s="13" t="n">
        <f aca="false">B8-$B$30</f>
        <v>-5</v>
      </c>
      <c r="F8" s="12" t="n">
        <f aca="false">C8-$C$30</f>
        <v>-167.000000000002</v>
      </c>
      <c r="H8" s="13" t="n">
        <f aca="false">E8^2</f>
        <v>25</v>
      </c>
      <c r="I8" s="12" t="n">
        <f aca="false">E8*F8</f>
        <v>835.000000000009</v>
      </c>
      <c r="K8" s="13" t="n">
        <f aca="false">E8^2</f>
        <v>25</v>
      </c>
      <c r="L8" s="12" t="n">
        <f aca="false">F8^2</f>
        <v>27889.0000000006</v>
      </c>
      <c r="M8" s="12" t="n">
        <f aca="false">E8*F8</f>
        <v>835.000000000009</v>
      </c>
      <c r="O8" s="13" t="n">
        <f aca="false">$I$26+$H$26*B8</f>
        <v>-21.0000000000008</v>
      </c>
      <c r="P8" s="12" t="n">
        <f aca="false">C8-O8</f>
        <v>32.9999999999995</v>
      </c>
      <c r="Q8" s="12" t="n">
        <f aca="false">P8^2</f>
        <v>1088.99999999997</v>
      </c>
    </row>
    <row r="9" customFormat="false" ht="14.15" hidden="false" customHeight="true" outlineLevel="0" collapsed="false">
      <c r="A9" s="3"/>
      <c r="B9" s="11" t="n">
        <v>2</v>
      </c>
      <c r="C9" s="12" t="n">
        <v>24.9999999999993</v>
      </c>
      <c r="E9" s="13" t="n">
        <f aca="false">B9-$B$30</f>
        <v>-4</v>
      </c>
      <c r="F9" s="12" t="n">
        <f aca="false">C9-$C$30</f>
        <v>-154.000000000001</v>
      </c>
      <c r="H9" s="13" t="n">
        <f aca="false">E9^2</f>
        <v>16</v>
      </c>
      <c r="I9" s="12" t="n">
        <f aca="false">E9*F9</f>
        <v>616.000000000004</v>
      </c>
      <c r="K9" s="13" t="n">
        <f aca="false">E9^2</f>
        <v>16</v>
      </c>
      <c r="L9" s="12" t="n">
        <f aca="false">F9^2</f>
        <v>23716.0000000003</v>
      </c>
      <c r="M9" s="12" t="n">
        <f aca="false">E9*F9</f>
        <v>616.000000000004</v>
      </c>
      <c r="O9" s="13" t="n">
        <f aca="false">$I$26+$H$26*B9</f>
        <v>18.9999999999994</v>
      </c>
      <c r="P9" s="12" t="n">
        <f aca="false">C9-O9</f>
        <v>5.99999999999987</v>
      </c>
      <c r="Q9" s="12" t="n">
        <f aca="false">P9^2</f>
        <v>35.9999999999984</v>
      </c>
    </row>
    <row r="10" customFormat="false" ht="14.15" hidden="false" customHeight="true" outlineLevel="0" collapsed="false">
      <c r="A10" s="3"/>
      <c r="B10" s="11" t="n">
        <v>3</v>
      </c>
      <c r="C10" s="12" t="n">
        <v>43.9999999999998</v>
      </c>
      <c r="E10" s="13" t="n">
        <f aca="false">B10-$B$30</f>
        <v>-3</v>
      </c>
      <c r="F10" s="12" t="n">
        <f aca="false">C10-$C$30</f>
        <v>-135.000000000001</v>
      </c>
      <c r="H10" s="13" t="n">
        <f aca="false">E10^2</f>
        <v>9</v>
      </c>
      <c r="I10" s="12" t="n">
        <f aca="false">E10*F10</f>
        <v>405.000000000002</v>
      </c>
      <c r="K10" s="13" t="n">
        <f aca="false">E10^2</f>
        <v>9</v>
      </c>
      <c r="L10" s="12" t="n">
        <f aca="false">F10^2</f>
        <v>18225.0000000002</v>
      </c>
      <c r="M10" s="12" t="n">
        <f aca="false">E10*F10</f>
        <v>405.000000000002</v>
      </c>
      <c r="O10" s="13" t="n">
        <f aca="false">$I$26+$H$26*B10</f>
        <v>58.9999999999997</v>
      </c>
      <c r="P10" s="12" t="n">
        <f aca="false">C10-O10</f>
        <v>-14.9999999999999</v>
      </c>
      <c r="Q10" s="12" t="n">
        <f aca="false">P10^2</f>
        <v>224.999999999996</v>
      </c>
    </row>
    <row r="11" customFormat="false" ht="14.15" hidden="false" customHeight="true" outlineLevel="0" collapsed="false">
      <c r="A11" s="3"/>
      <c r="B11" s="11" t="n">
        <v>4</v>
      </c>
      <c r="C11" s="12" t="n">
        <v>69.0000000000003</v>
      </c>
      <c r="E11" s="13" t="n">
        <f aca="false">B11-$B$30</f>
        <v>-2</v>
      </c>
      <c r="F11" s="12" t="n">
        <f aca="false">C11-$C$30</f>
        <v>-110</v>
      </c>
      <c r="H11" s="13" t="n">
        <f aca="false">E11^2</f>
        <v>4</v>
      </c>
      <c r="I11" s="12" t="n">
        <f aca="false">E11*F11</f>
        <v>220</v>
      </c>
      <c r="K11" s="13" t="n">
        <f aca="false">E11^2</f>
        <v>4</v>
      </c>
      <c r="L11" s="12" t="n">
        <f aca="false">F11^2</f>
        <v>12100</v>
      </c>
      <c r="M11" s="12" t="n">
        <f aca="false">E11*F11</f>
        <v>220</v>
      </c>
      <c r="O11" s="13" t="n">
        <f aca="false">$I$26+$H$26*B11</f>
        <v>98.9999999999999</v>
      </c>
      <c r="P11" s="12" t="n">
        <f aca="false">C11-O11</f>
        <v>-29.9999999999996</v>
      </c>
      <c r="Q11" s="12" t="n">
        <f aca="false">P11^2</f>
        <v>899.999999999977</v>
      </c>
    </row>
    <row r="12" customFormat="false" ht="14.15" hidden="false" customHeight="true" outlineLevel="0" collapsed="false">
      <c r="A12" s="3"/>
      <c r="B12" s="11" t="n">
        <v>5</v>
      </c>
      <c r="C12" s="12" t="n">
        <v>100.000000000001</v>
      </c>
      <c r="E12" s="13" t="n">
        <f aca="false">B12-$B$30</f>
        <v>-1</v>
      </c>
      <c r="F12" s="12" t="n">
        <f aca="false">C12-$C$30</f>
        <v>-78.9999999999994</v>
      </c>
      <c r="H12" s="13" t="n">
        <f aca="false">E12^2</f>
        <v>1</v>
      </c>
      <c r="I12" s="12" t="n">
        <f aca="false">E12*F12</f>
        <v>78.9999999999994</v>
      </c>
      <c r="K12" s="13" t="n">
        <f aca="false">E12^2</f>
        <v>1</v>
      </c>
      <c r="L12" s="12" t="n">
        <f aca="false">F12^2</f>
        <v>6240.99999999991</v>
      </c>
      <c r="M12" s="12" t="n">
        <f aca="false">E12*F12</f>
        <v>78.9999999999994</v>
      </c>
      <c r="O12" s="13" t="n">
        <f aca="false">$I$26+$H$26*B12</f>
        <v>139</v>
      </c>
      <c r="P12" s="12" t="n">
        <f aca="false">C12-O12</f>
        <v>-38.9999999999992</v>
      </c>
      <c r="Q12" s="12" t="n">
        <f aca="false">P12^2</f>
        <v>1520.99999999993</v>
      </c>
    </row>
    <row r="13" customFormat="false" ht="14.15" hidden="false" customHeight="true" outlineLevel="0" collapsed="false">
      <c r="A13" s="3"/>
      <c r="B13" s="11" t="n">
        <v>6</v>
      </c>
      <c r="C13" s="12" t="n">
        <v>137.000000000001</v>
      </c>
      <c r="E13" s="13" t="n">
        <f aca="false">B13-$B$30</f>
        <v>0</v>
      </c>
      <c r="F13" s="12" t="n">
        <f aca="false">C13-$C$30</f>
        <v>-41.9999999999994</v>
      </c>
      <c r="H13" s="13" t="n">
        <f aca="false">E13^2</f>
        <v>0</v>
      </c>
      <c r="I13" s="12" t="n">
        <f aca="false">E13*F13</f>
        <v>-0</v>
      </c>
      <c r="K13" s="13" t="n">
        <f aca="false">E13^2</f>
        <v>0</v>
      </c>
      <c r="L13" s="12" t="n">
        <f aca="false">F13^2</f>
        <v>1763.99999999995</v>
      </c>
      <c r="M13" s="12" t="n">
        <f aca="false">E13*F13</f>
        <v>-0</v>
      </c>
      <c r="O13" s="13" t="n">
        <f aca="false">$I$26+$H$26*B13</f>
        <v>179</v>
      </c>
      <c r="P13" s="12" t="n">
        <f aca="false">C13-O13</f>
        <v>-41.9999999999994</v>
      </c>
      <c r="Q13" s="12" t="n">
        <f aca="false">P13^2</f>
        <v>1763.99999999995</v>
      </c>
    </row>
    <row r="14" customFormat="false" ht="14.15" hidden="false" customHeight="true" outlineLevel="0" collapsed="false">
      <c r="A14" s="3"/>
      <c r="B14" s="11" t="n">
        <v>7</v>
      </c>
      <c r="C14" s="12" t="n">
        <v>180.000000000001</v>
      </c>
      <c r="E14" s="13" t="n">
        <f aca="false">B14-$B$30</f>
        <v>1</v>
      </c>
      <c r="F14" s="12" t="n">
        <f aca="false">C14-$C$30</f>
        <v>1.0000000000006</v>
      </c>
      <c r="H14" s="13" t="n">
        <f aca="false">E14^2</f>
        <v>1</v>
      </c>
      <c r="I14" s="12" t="n">
        <f aca="false">E14*F14</f>
        <v>1.0000000000006</v>
      </c>
      <c r="K14" s="13" t="n">
        <f aca="false">E14^2</f>
        <v>1</v>
      </c>
      <c r="L14" s="12" t="n">
        <f aca="false">F14^2</f>
        <v>1.00000000000119</v>
      </c>
      <c r="M14" s="12" t="n">
        <f aca="false">E14*F14</f>
        <v>1.0000000000006</v>
      </c>
      <c r="O14" s="13" t="n">
        <f aca="false">$I$26+$H$26*B14</f>
        <v>219.000000000001</v>
      </c>
      <c r="P14" s="12" t="n">
        <f aca="false">C14-O14</f>
        <v>-38.9999999999997</v>
      </c>
      <c r="Q14" s="12" t="n">
        <f aca="false">P14^2</f>
        <v>1520.99999999997</v>
      </c>
    </row>
    <row r="15" customFormat="false" ht="14.15" hidden="false" customHeight="true" outlineLevel="0" collapsed="false">
      <c r="A15" s="3"/>
      <c r="B15" s="11" t="n">
        <v>8</v>
      </c>
      <c r="C15" s="12" t="n">
        <v>229.000000000001</v>
      </c>
      <c r="E15" s="13" t="n">
        <f aca="false">B15-$B$30</f>
        <v>2</v>
      </c>
      <c r="F15" s="12" t="n">
        <f aca="false">C15-$C$30</f>
        <v>50.0000000000006</v>
      </c>
      <c r="H15" s="13" t="n">
        <f aca="false">E15^2</f>
        <v>4</v>
      </c>
      <c r="I15" s="12" t="n">
        <f aca="false">E15*F15</f>
        <v>100.000000000001</v>
      </c>
      <c r="K15" s="13" t="n">
        <f aca="false">E15^2</f>
        <v>4</v>
      </c>
      <c r="L15" s="12" t="n">
        <f aca="false">F15^2</f>
        <v>2500.00000000006</v>
      </c>
      <c r="M15" s="12" t="n">
        <f aca="false">E15*F15</f>
        <v>100.000000000001</v>
      </c>
      <c r="O15" s="13" t="n">
        <f aca="false">$I$26+$H$26*B15</f>
        <v>259.000000000001</v>
      </c>
      <c r="P15" s="12" t="n">
        <f aca="false">C15-O15</f>
        <v>-29.9999999999999</v>
      </c>
      <c r="Q15" s="12" t="n">
        <f aca="false">P15^2</f>
        <v>899.999999999995</v>
      </c>
    </row>
    <row r="16" customFormat="false" ht="14.15" hidden="false" customHeight="true" outlineLevel="0" collapsed="false">
      <c r="A16" s="3"/>
      <c r="B16" s="11" t="n">
        <v>9</v>
      </c>
      <c r="C16" s="12" t="n">
        <v>284.000000000002</v>
      </c>
      <c r="E16" s="13" t="n">
        <f aca="false">B16-$B$30</f>
        <v>3</v>
      </c>
      <c r="F16" s="12" t="n">
        <f aca="false">C16-$C$30</f>
        <v>105.000000000002</v>
      </c>
      <c r="H16" s="13" t="n">
        <f aca="false">E16^2</f>
        <v>9</v>
      </c>
      <c r="I16" s="12" t="n">
        <f aca="false">E16*F16</f>
        <v>315.000000000005</v>
      </c>
      <c r="K16" s="13" t="n">
        <f aca="false">E16^2</f>
        <v>9</v>
      </c>
      <c r="L16" s="12" t="n">
        <f aca="false">F16^2</f>
        <v>11025.0000000003</v>
      </c>
      <c r="M16" s="12" t="n">
        <f aca="false">E16*F16</f>
        <v>315.000000000005</v>
      </c>
      <c r="O16" s="13" t="n">
        <f aca="false">$I$26+$H$26*B16</f>
        <v>299.000000000001</v>
      </c>
      <c r="P16" s="12" t="n">
        <f aca="false">C16-O16</f>
        <v>-14.9999999999991</v>
      </c>
      <c r="Q16" s="12" t="n">
        <f aca="false">P16^2</f>
        <v>224.999999999974</v>
      </c>
    </row>
    <row r="17" customFormat="false" ht="14.15" hidden="false" customHeight="true" outlineLevel="0" collapsed="false">
      <c r="A17" s="3"/>
      <c r="B17" s="11" t="n">
        <v>10</v>
      </c>
      <c r="C17" s="12" t="n">
        <v>345.000000000001</v>
      </c>
      <c r="E17" s="13" t="n">
        <f aca="false">B17-$B$30</f>
        <v>4</v>
      </c>
      <c r="F17" s="12" t="n">
        <f aca="false">C17-$C$30</f>
        <v>166.000000000001</v>
      </c>
      <c r="H17" s="13" t="n">
        <f aca="false">E17^2</f>
        <v>16</v>
      </c>
      <c r="I17" s="12" t="n">
        <f aca="false">E17*F17</f>
        <v>664.000000000003</v>
      </c>
      <c r="K17" s="13" t="n">
        <f aca="false">E17^2</f>
        <v>16</v>
      </c>
      <c r="L17" s="12" t="n">
        <f aca="false">F17^2</f>
        <v>27556.0000000002</v>
      </c>
      <c r="M17" s="12" t="n">
        <f aca="false">E17*F17</f>
        <v>664.000000000003</v>
      </c>
      <c r="O17" s="13" t="n">
        <f aca="false">$I$26+$H$26*B17</f>
        <v>339.000000000001</v>
      </c>
      <c r="P17" s="12" t="n">
        <f aca="false">C17-O17</f>
        <v>5.99999999999966</v>
      </c>
      <c r="Q17" s="12" t="n">
        <f aca="false">P17^2</f>
        <v>35.9999999999959</v>
      </c>
    </row>
    <row r="18" customFormat="false" ht="14.15" hidden="false" customHeight="true" outlineLevel="0" collapsed="false">
      <c r="A18" s="3"/>
      <c r="B18" s="11" t="n">
        <v>11</v>
      </c>
      <c r="C18" s="12" t="n">
        <v>412.000000000001</v>
      </c>
      <c r="E18" s="13" t="n">
        <f aca="false">B18-$B$30</f>
        <v>5</v>
      </c>
      <c r="F18" s="12" t="n">
        <f aca="false">C18-$C$30</f>
        <v>233.000000000001</v>
      </c>
      <c r="H18" s="13" t="n">
        <f aca="false">E18^2</f>
        <v>25</v>
      </c>
      <c r="I18" s="12" t="n">
        <f aca="false">E18*F18</f>
        <v>1165</v>
      </c>
      <c r="K18" s="13" t="n">
        <f aca="false">E18^2</f>
        <v>25</v>
      </c>
      <c r="L18" s="12" t="n">
        <f aca="false">F18^2</f>
        <v>54289.0000000003</v>
      </c>
      <c r="M18" s="12" t="n">
        <f aca="false">E18*F18</f>
        <v>1165</v>
      </c>
      <c r="O18" s="13" t="n">
        <f aca="false">$I$26+$H$26*B18</f>
        <v>379.000000000002</v>
      </c>
      <c r="P18" s="12" t="n">
        <f aca="false">C18-O18</f>
        <v>32.9999999999994</v>
      </c>
      <c r="Q18" s="12" t="n">
        <f aca="false">P18^2</f>
        <v>1088.99999999996</v>
      </c>
    </row>
    <row r="19" customFormat="false" ht="14.15" hidden="false" customHeight="true" outlineLevel="0" collapsed="false">
      <c r="A19" s="3"/>
      <c r="B19" s="11" t="n">
        <v>12</v>
      </c>
      <c r="C19" s="12" t="n">
        <v>485.000000000001</v>
      </c>
      <c r="E19" s="13" t="n">
        <f aca="false">B19-$B$30</f>
        <v>6</v>
      </c>
      <c r="F19" s="12" t="n">
        <f aca="false">C19-$C$30</f>
        <v>306.000000000001</v>
      </c>
      <c r="H19" s="13" t="n">
        <f aca="false">E19^2</f>
        <v>36</v>
      </c>
      <c r="I19" s="12" t="n">
        <f aca="false">E19*F19</f>
        <v>1836</v>
      </c>
      <c r="K19" s="13" t="n">
        <f aca="false">E19^2</f>
        <v>36</v>
      </c>
      <c r="L19" s="12" t="n">
        <f aca="false">F19^2</f>
        <v>93636.0000000004</v>
      </c>
      <c r="M19" s="12" t="n">
        <f aca="false">E19*F19</f>
        <v>1836</v>
      </c>
      <c r="O19" s="13" t="n">
        <f aca="false">$I$26+$H$26*B19</f>
        <v>419.000000000002</v>
      </c>
      <c r="P19" s="12" t="n">
        <f aca="false">C19-O19</f>
        <v>65.9999999999992</v>
      </c>
      <c r="Q19" s="12" t="n">
        <f aca="false">P19^2</f>
        <v>4355.99999999989</v>
      </c>
    </row>
    <row r="20" customFormat="false" ht="8.25" hidden="false" customHeight="true" outlineLevel="0" collapsed="false">
      <c r="A20" s="3"/>
      <c r="B20" s="14"/>
      <c r="C20" s="15"/>
      <c r="E20" s="14"/>
      <c r="F20" s="15"/>
      <c r="H20" s="14"/>
      <c r="I20" s="15"/>
      <c r="K20" s="14"/>
      <c r="L20" s="15"/>
      <c r="M20" s="15"/>
      <c r="O20" s="16"/>
      <c r="P20" s="16"/>
      <c r="Q20" s="16"/>
    </row>
    <row r="21" customFormat="false" ht="14.15" hidden="false" customHeight="true" outlineLevel="0" collapsed="false">
      <c r="B21" s="7" t="s">
        <v>17</v>
      </c>
      <c r="C21" s="8" t="s">
        <v>18</v>
      </c>
      <c r="E21" s="7" t="s">
        <v>19</v>
      </c>
      <c r="F21" s="8" t="s">
        <v>20</v>
      </c>
      <c r="H21" s="7" t="s">
        <v>21</v>
      </c>
      <c r="I21" s="8" t="s">
        <v>22</v>
      </c>
      <c r="K21" s="7" t="s">
        <v>21</v>
      </c>
      <c r="L21" s="8" t="s">
        <v>23</v>
      </c>
      <c r="M21" s="9" t="s">
        <v>22</v>
      </c>
      <c r="Q21" s="17" t="s">
        <v>24</v>
      </c>
    </row>
    <row r="22" customFormat="false" ht="14.15" hidden="false" customHeight="true" outlineLevel="0" collapsed="false">
      <c r="B22" s="11" t="n">
        <f aca="false">SUM(B7:B19)</f>
        <v>78</v>
      </c>
      <c r="C22" s="12" t="n">
        <f aca="false">SUM(C7:C19)</f>
        <v>2327.00000000001</v>
      </c>
      <c r="E22" s="11" t="n">
        <f aca="false">SUM(E7:E19)</f>
        <v>0</v>
      </c>
      <c r="F22" s="12" t="n">
        <f aca="false">SUM(F7:F19)</f>
        <v>0</v>
      </c>
      <c r="H22" s="11" t="n">
        <f aca="false">SUM(H7:H19)</f>
        <v>182</v>
      </c>
      <c r="I22" s="12" t="n">
        <f aca="false">SUM(I7:I19)</f>
        <v>7280.00000000005</v>
      </c>
      <c r="K22" s="11" t="n">
        <f aca="false">SUM(K7:K19)</f>
        <v>182</v>
      </c>
      <c r="L22" s="12" t="n">
        <f aca="false">SUM(L7:L19)</f>
        <v>309218.000000003</v>
      </c>
      <c r="M22" s="12" t="n">
        <f aca="false">SUM(M7:M19)</f>
        <v>7280.00000000005</v>
      </c>
      <c r="Q22" s="18" t="n">
        <f aca="false">SUM(Q7:Q19)</f>
        <v>18017.9999999995</v>
      </c>
    </row>
    <row r="23" customFormat="false" ht="8.25" hidden="false" customHeight="true" outlineLevel="0" collapsed="false">
      <c r="A23" s="3"/>
      <c r="B23" s="3"/>
      <c r="C23" s="3"/>
    </row>
    <row r="24" customFormat="false" ht="14.15" hidden="false" customHeight="true" outlineLevel="0" collapsed="false">
      <c r="A24" s="3"/>
      <c r="B24" s="17" t="s">
        <v>25</v>
      </c>
      <c r="C24" s="17"/>
      <c r="E24" s="17" t="s">
        <v>26</v>
      </c>
      <c r="F24" s="17"/>
      <c r="H24" s="7" t="s">
        <v>27</v>
      </c>
      <c r="I24" s="8" t="s">
        <v>28</v>
      </c>
      <c r="K24" s="7" t="s">
        <v>29</v>
      </c>
      <c r="L24" s="8" t="s">
        <v>30</v>
      </c>
      <c r="M24" s="9" t="s">
        <v>31</v>
      </c>
      <c r="Q24" s="17" t="s">
        <v>32</v>
      </c>
    </row>
    <row r="25" customFormat="false" ht="14.15" hidden="false" customHeight="true" outlineLevel="0" collapsed="false">
      <c r="B25" s="7" t="s">
        <v>33</v>
      </c>
      <c r="C25" s="8" t="s">
        <v>33</v>
      </c>
      <c r="E25" s="7" t="s">
        <v>34</v>
      </c>
      <c r="F25" s="8" t="s">
        <v>34</v>
      </c>
      <c r="H25" s="7" t="s">
        <v>35</v>
      </c>
      <c r="I25" s="8" t="s">
        <v>36</v>
      </c>
      <c r="K25" s="7" t="s">
        <v>37</v>
      </c>
      <c r="L25" s="19" t="s">
        <v>38</v>
      </c>
      <c r="M25" s="17" t="s">
        <v>39</v>
      </c>
      <c r="Q25" s="18" t="n">
        <f aca="false">Q22/$E$30</f>
        <v>1637.99999999995</v>
      </c>
    </row>
    <row r="26" customFormat="false" ht="14.15" hidden="false" customHeight="true" outlineLevel="0" collapsed="false">
      <c r="B26" s="11" t="n">
        <f aca="false">COUNT(B7:B19)</f>
        <v>13</v>
      </c>
      <c r="C26" s="12" t="n">
        <f aca="false">COUNT(C7:C19)</f>
        <v>13</v>
      </c>
      <c r="E26" s="11" t="n">
        <f aca="false">COUNT(B7:B19)-1</f>
        <v>12</v>
      </c>
      <c r="F26" s="12" t="n">
        <f aca="false">COUNT(C7:C19)-1</f>
        <v>12</v>
      </c>
      <c r="H26" s="20" t="n">
        <f aca="false">I22/H22</f>
        <v>40.0000000000002</v>
      </c>
      <c r="I26" s="21" t="n">
        <f aca="false">C30-H26*B30</f>
        <v>-61.0000000000011</v>
      </c>
      <c r="K26" s="20" t="n">
        <f aca="false">K22/E26</f>
        <v>15.1666666666667</v>
      </c>
      <c r="L26" s="21" t="n">
        <f aca="false">L22/F26</f>
        <v>25768.1666666669</v>
      </c>
      <c r="M26" s="21" t="n">
        <f aca="false">M22/E26</f>
        <v>606.66666666667</v>
      </c>
    </row>
    <row r="27" customFormat="false" ht="8.25" hidden="false" customHeight="true" outlineLevel="0" collapsed="false">
      <c r="A27" s="3"/>
      <c r="B27" s="3"/>
      <c r="C27" s="3"/>
    </row>
    <row r="28" customFormat="false" ht="14.15" hidden="false" customHeight="true" outlineLevel="0" collapsed="false">
      <c r="A28" s="3"/>
      <c r="B28" s="17" t="s">
        <v>40</v>
      </c>
      <c r="C28" s="17"/>
      <c r="E28" s="17" t="s">
        <v>41</v>
      </c>
      <c r="F28" s="17"/>
      <c r="K28" s="7" t="s">
        <v>42</v>
      </c>
      <c r="L28" s="8" t="s">
        <v>43</v>
      </c>
      <c r="M28" s="9" t="s">
        <v>44</v>
      </c>
      <c r="Q28" s="17" t="s">
        <v>45</v>
      </c>
    </row>
    <row r="29" customFormat="false" ht="14.15" hidden="false" customHeight="true" outlineLevel="0" collapsed="false">
      <c r="B29" s="7" t="s">
        <v>46</v>
      </c>
      <c r="C29" s="8" t="s">
        <v>47</v>
      </c>
      <c r="E29" s="17" t="s">
        <v>48</v>
      </c>
      <c r="H29" s="22" t="s">
        <v>49</v>
      </c>
      <c r="I29" s="22"/>
      <c r="K29" s="7" t="s">
        <v>50</v>
      </c>
      <c r="L29" s="19" t="s">
        <v>51</v>
      </c>
      <c r="M29" s="17" t="s">
        <v>52</v>
      </c>
      <c r="Q29" s="17" t="s">
        <v>53</v>
      </c>
    </row>
    <row r="30" customFormat="false" ht="14.15" hidden="false" customHeight="true" outlineLevel="0" collapsed="false">
      <c r="B30" s="20" t="n">
        <f aca="false">B22/B26</f>
        <v>6</v>
      </c>
      <c r="C30" s="21" t="n">
        <f aca="false">C22/C26</f>
        <v>179</v>
      </c>
      <c r="E30" s="18" t="n">
        <f aca="false">COUNT(B7:B19)-2</f>
        <v>11</v>
      </c>
      <c r="H30" s="4" t="str">
        <f aca="false">CONCATENATE("y = ",TEXT(I26,"#.##0,00")," + ",TEXT(H26,"#.##0,00"),".x")</f>
        <v>y = -61,00 + 40,00.x</v>
      </c>
      <c r="K30" s="20" t="n">
        <f aca="false">SQRT(K26)</f>
        <v>3.89444048184931</v>
      </c>
      <c r="L30" s="21" t="n">
        <f aca="false">SQRT(L26)</f>
        <v>160.524660618445</v>
      </c>
      <c r="M30" s="21" t="n">
        <f aca="false">M26/(K30*L30)</f>
        <v>0.970427962120069</v>
      </c>
      <c r="Q30" s="23" t="n">
        <f aca="false">SQRT(Q25/K22)</f>
        <v>2.99999999999996</v>
      </c>
    </row>
    <row r="31" customFormat="false" ht="8.25" hidden="false" customHeight="true" outlineLevel="0" collapsed="false">
      <c r="A31" s="3"/>
      <c r="B31" s="3"/>
      <c r="C31" s="3"/>
    </row>
    <row r="32" customFormat="false" ht="14.15" hidden="false" customHeight="true" outlineLevel="0" collapsed="false">
      <c r="A32" s="3"/>
      <c r="B32" s="3"/>
      <c r="C32" s="3"/>
      <c r="K32" s="22" t="s">
        <v>54</v>
      </c>
      <c r="L32" s="22"/>
      <c r="M32" s="8" t="s">
        <v>55</v>
      </c>
    </row>
    <row r="33" customFormat="false" ht="13.2" hidden="false" customHeight="false" outlineLevel="0" collapsed="false">
      <c r="B33" s="3"/>
      <c r="C33" s="3"/>
      <c r="K33" s="24" t="s">
        <v>56</v>
      </c>
      <c r="L33" s="24"/>
      <c r="M33" s="21" t="n">
        <f aca="false">M30^2</f>
        <v>0.941730429664511</v>
      </c>
      <c r="Q33" s="17" t="s">
        <v>57</v>
      </c>
      <c r="R33" s="25" t="s">
        <v>58</v>
      </c>
    </row>
    <row r="34" customFormat="false" ht="14.15" hidden="false" customHeight="true" outlineLevel="0" collapsed="false">
      <c r="A34" s="3"/>
      <c r="B34" s="3"/>
      <c r="C34" s="3"/>
      <c r="K34" s="22" t="s">
        <v>54</v>
      </c>
      <c r="L34" s="22"/>
      <c r="M34" s="8" t="s">
        <v>59</v>
      </c>
      <c r="Q34" s="17" t="s">
        <v>60</v>
      </c>
      <c r="R34" s="25" t="s">
        <v>61</v>
      </c>
    </row>
    <row r="35" customFormat="false" ht="15" hidden="false" customHeight="true" outlineLevel="0" collapsed="false">
      <c r="K35" s="24" t="s">
        <v>62</v>
      </c>
      <c r="L35" s="24"/>
      <c r="M35" s="21" t="n">
        <f aca="false">1-(1-M33)*(B26-1)/(B26-1-1)</f>
        <v>0.936433195997648</v>
      </c>
      <c r="Q35" s="23" t="n">
        <f aca="false">H26/Q30</f>
        <v>13.3333333333336</v>
      </c>
      <c r="R35" s="26" t="n">
        <f aca="false">_xlfn.T.DIST.2T(Q35,$E$30)</f>
        <v>3.91117071946751E-008</v>
      </c>
    </row>
    <row r="36" customFormat="false" ht="8.25" hidden="false" customHeight="true" outlineLevel="0" collapsed="false">
      <c r="A36" s="3"/>
      <c r="B36" s="3"/>
      <c r="C36" s="3"/>
    </row>
    <row r="37" customFormat="false" ht="13.2" hidden="false" customHeight="false" outlineLevel="0" collapsed="false">
      <c r="B37" s="5" t="s">
        <v>102</v>
      </c>
    </row>
    <row r="38" customFormat="false" ht="13.2" hidden="false" customHeight="false" outlineLevel="0" collapsed="false">
      <c r="B38" s="3" t="s">
        <v>103</v>
      </c>
    </row>
    <row r="39" customFormat="false" ht="8.25" hidden="false" customHeight="true" outlineLevel="0" collapsed="false">
      <c r="A39" s="3"/>
      <c r="B39" s="3"/>
      <c r="C39" s="3"/>
    </row>
    <row r="40" customFormat="false" ht="13.2" hidden="false" customHeight="false" outlineLevel="0" collapsed="false">
      <c r="B40" s="24" t="s">
        <v>104</v>
      </c>
      <c r="C40" s="24"/>
      <c r="E40" s="15" t="s">
        <v>105</v>
      </c>
      <c r="F40" s="14" t="s">
        <v>106</v>
      </c>
      <c r="G40" s="42" t="s">
        <v>107</v>
      </c>
      <c r="H40" s="43" t="s">
        <v>108</v>
      </c>
      <c r="J40" s="42" t="s">
        <v>109</v>
      </c>
      <c r="K40" s="43" t="s">
        <v>110</v>
      </c>
    </row>
    <row r="41" customFormat="false" ht="13.2" hidden="false" customHeight="false" outlineLevel="0" collapsed="false">
      <c r="B41" s="24" t="s">
        <v>111</v>
      </c>
      <c r="C41" s="24"/>
      <c r="E41" s="15" t="s">
        <v>106</v>
      </c>
      <c r="F41" s="14" t="s">
        <v>112</v>
      </c>
      <c r="G41" s="42"/>
      <c r="H41" s="43" t="s">
        <v>93</v>
      </c>
      <c r="J41" s="42"/>
      <c r="K41" s="43" t="s">
        <v>113</v>
      </c>
    </row>
    <row r="42" customFormat="false" ht="8.25" hidden="false" customHeight="true" outlineLevel="0" collapsed="false">
      <c r="A42" s="3"/>
      <c r="B42" s="3"/>
      <c r="C42" s="3"/>
    </row>
    <row r="43" customFormat="false" ht="13.2" hidden="false" customHeight="false" outlineLevel="0" collapsed="false">
      <c r="E43" s="12" t="n">
        <f aca="false">B26</f>
        <v>13</v>
      </c>
      <c r="F43" s="11" t="n">
        <f aca="false">B22</f>
        <v>78</v>
      </c>
      <c r="G43" s="42" t="s">
        <v>107</v>
      </c>
      <c r="H43" s="43" t="s">
        <v>108</v>
      </c>
      <c r="J43" s="42" t="s">
        <v>109</v>
      </c>
      <c r="K43" s="44" t="n">
        <f aca="false">$C$22</f>
        <v>2327.00000000001</v>
      </c>
    </row>
    <row r="44" customFormat="false" ht="13.2" hidden="false" customHeight="false" outlineLevel="0" collapsed="false">
      <c r="E44" s="12" t="n">
        <f aca="false">B22</f>
        <v>78</v>
      </c>
      <c r="F44" s="14" t="n">
        <f aca="false" t="array" ref="F44:F44">SUM((B7:B19)^2)</f>
        <v>650</v>
      </c>
      <c r="G44" s="42"/>
      <c r="H44" s="43" t="s">
        <v>93</v>
      </c>
      <c r="J44" s="42"/>
      <c r="K44" s="43" t="n">
        <f aca="false" t="array" ref="K44:K44">SUM((B$7:B$19)*(C$7:C$19))</f>
        <v>21242.0000000001</v>
      </c>
    </row>
    <row r="45" customFormat="false" ht="8.25" hidden="false" customHeight="true" outlineLevel="0" collapsed="false">
      <c r="A45" s="3"/>
      <c r="B45" s="3"/>
      <c r="C45" s="3"/>
    </row>
    <row r="46" customFormat="false" ht="13.2" hidden="false" customHeight="false" outlineLevel="0" collapsed="false">
      <c r="E46" s="43" t="s">
        <v>108</v>
      </c>
      <c r="G46" s="42" t="s">
        <v>109</v>
      </c>
      <c r="H46" s="12" t="n">
        <f aca="false" t="array" ref="H46:I47">MINVERSE(E43:F44)</f>
        <v>0.274725274725275</v>
      </c>
      <c r="I46" s="11" t="n">
        <v>-0.032967032967033</v>
      </c>
      <c r="J46" s="42" t="s">
        <v>107</v>
      </c>
      <c r="K46" s="44" t="n">
        <f aca="false">$C$22</f>
        <v>2327.00000000001</v>
      </c>
    </row>
    <row r="47" customFormat="false" ht="13.2" hidden="false" customHeight="false" outlineLevel="0" collapsed="false">
      <c r="E47" s="43" t="s">
        <v>93</v>
      </c>
      <c r="G47" s="42"/>
      <c r="H47" s="12" t="n">
        <v>-0.032967032967033</v>
      </c>
      <c r="I47" s="14" t="n">
        <v>0.00549450549450549</v>
      </c>
      <c r="J47" s="42"/>
      <c r="K47" s="43" t="n">
        <f aca="false" t="array" ref="K47:K47">SUM((B$7:B$19)*(C$7:C$19))</f>
        <v>21242.0000000001</v>
      </c>
    </row>
    <row r="48" customFormat="false" ht="8.25" hidden="false" customHeight="true" outlineLevel="0" collapsed="false">
      <c r="A48" s="3"/>
      <c r="B48" s="3"/>
      <c r="C48" s="3"/>
    </row>
    <row r="49" customFormat="false" ht="13.2" hidden="false" customHeight="false" outlineLevel="0" collapsed="false">
      <c r="E49" s="43" t="s">
        <v>108</v>
      </c>
      <c r="G49" s="42" t="s">
        <v>109</v>
      </c>
      <c r="H49" s="44" t="n">
        <f aca="false" t="array" ref="H49:H50">MMULT(H46:I47,K46:K47)</f>
        <v>-60.9999999999995</v>
      </c>
    </row>
    <row r="50" customFormat="false" ht="13.2" hidden="false" customHeight="false" outlineLevel="0" collapsed="false">
      <c r="E50" s="43" t="s">
        <v>93</v>
      </c>
      <c r="G50" s="42"/>
      <c r="H50" s="43" t="n">
        <v>40.0000000000001</v>
      </c>
    </row>
    <row r="51" customFormat="false" ht="8.25" hidden="false" customHeight="true" outlineLevel="0" collapsed="false">
      <c r="A51" s="3"/>
      <c r="B51" s="3"/>
      <c r="C51" s="3"/>
    </row>
    <row r="52" customFormat="false" ht="13.2" hidden="false" customHeight="false" outlineLevel="0" collapsed="false">
      <c r="B52" s="5" t="s">
        <v>89</v>
      </c>
    </row>
    <row r="53" customFormat="false" ht="13.2" hidden="false" customHeight="false" outlineLevel="0" collapsed="false">
      <c r="B53" s="3" t="s">
        <v>90</v>
      </c>
      <c r="E53" s="7" t="s">
        <v>92</v>
      </c>
      <c r="F53" s="8" t="s">
        <v>93</v>
      </c>
    </row>
    <row r="54" customFormat="false" ht="13.2" hidden="false" customHeight="false" outlineLevel="0" collapsed="false">
      <c r="E54" s="11" t="n">
        <f aca="false" t="array" ref="E54:F54">LINEST(C7:C19,B7:B19)</f>
        <v>40.0000000000002</v>
      </c>
      <c r="F54" s="12" t="n">
        <v>-61.0000000000011</v>
      </c>
    </row>
  </sheetData>
  <mergeCells count="18">
    <mergeCell ref="B5:C5"/>
    <mergeCell ref="E5:F5"/>
    <mergeCell ref="H5:I5"/>
    <mergeCell ref="K5:M5"/>
    <mergeCell ref="O5:Q5"/>
    <mergeCell ref="B24:C24"/>
    <mergeCell ref="E24:F24"/>
    <mergeCell ref="B28:C28"/>
    <mergeCell ref="E28:F28"/>
    <mergeCell ref="K33:L33"/>
    <mergeCell ref="K35:L35"/>
    <mergeCell ref="G40:G41"/>
    <mergeCell ref="J40:J41"/>
    <mergeCell ref="G43:G44"/>
    <mergeCell ref="J43:J44"/>
    <mergeCell ref="G46:G47"/>
    <mergeCell ref="J46:J47"/>
    <mergeCell ref="G49:G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976D2"/>
    <pageSetUpPr fitToPage="false"/>
  </sheetPr>
  <dimension ref="A1:Y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5.11"/>
    <col collapsed="false" customWidth="true" hidden="false" outlineLevel="0" max="5" min="5" style="1" width="2.56"/>
    <col collapsed="false" customWidth="true" hidden="false" outlineLevel="0" max="9" min="9" style="1" width="5.11"/>
    <col collapsed="false" customWidth="true" hidden="false" outlineLevel="0" max="11" min="10" style="1" width="10.2"/>
    <col collapsed="false" customWidth="true" hidden="false" outlineLevel="0" max="12" min="12" style="1" width="5.11"/>
    <col collapsed="false" customWidth="true" hidden="false" outlineLevel="0" max="13" min="13" style="1" width="2.56"/>
    <col collapsed="false" customWidth="true" hidden="false" outlineLevel="0" max="17" min="17" style="1" width="5.11"/>
    <col collapsed="false" customWidth="true" hidden="false" outlineLevel="0" max="19" min="18" style="1" width="10.2"/>
    <col collapsed="false" customWidth="true" hidden="false" outlineLevel="0" max="20" min="20" style="1" width="5.11"/>
    <col collapsed="false" customWidth="true" hidden="false" outlineLevel="0" max="21" min="21" style="1" width="2.56"/>
    <col collapsed="false" customWidth="true" hidden="false" outlineLevel="0" max="25" min="25" style="1" width="2.56"/>
  </cols>
  <sheetData>
    <row r="1" customFormat="false" ht="8.25" hidden="false" customHeight="true" outlineLevel="0" collapsed="false">
      <c r="A1" s="27"/>
      <c r="I1" s="27"/>
      <c r="Q1" s="27"/>
    </row>
    <row r="2" customFormat="false" ht="16.5" hidden="false" customHeight="true" outlineLevel="0" collapsed="false">
      <c r="A2" s="27"/>
      <c r="B2" s="5" t="s">
        <v>63</v>
      </c>
      <c r="C2" s="28"/>
      <c r="D2" s="28"/>
      <c r="E2" s="2"/>
      <c r="I2" s="2"/>
      <c r="J2" s="2"/>
      <c r="K2" s="2"/>
      <c r="L2" s="2"/>
      <c r="M2" s="2"/>
      <c r="Q2" s="2"/>
      <c r="R2" s="2"/>
      <c r="S2" s="2"/>
      <c r="T2" s="2"/>
      <c r="U2" s="2"/>
      <c r="Y2" s="2"/>
    </row>
    <row r="3" customFormat="false" ht="8.25" hidden="false" customHeight="true" outlineLevel="0" collapsed="false">
      <c r="A3" s="27"/>
      <c r="I3" s="27"/>
      <c r="Q3" s="27"/>
    </row>
    <row r="4" customFormat="false" ht="16.5" hidden="false" customHeight="true" outlineLevel="0" collapsed="false">
      <c r="A4" s="27"/>
      <c r="B4" s="45" t="s">
        <v>114</v>
      </c>
      <c r="C4" s="46"/>
      <c r="E4" s="2"/>
      <c r="I4" s="2"/>
      <c r="J4" s="45" t="s">
        <v>115</v>
      </c>
      <c r="K4" s="47"/>
      <c r="L4" s="2"/>
      <c r="M4" s="2"/>
      <c r="Q4" s="2"/>
      <c r="R4" s="45" t="s">
        <v>116</v>
      </c>
      <c r="S4" s="47"/>
      <c r="T4" s="2"/>
      <c r="U4" s="2"/>
      <c r="Y4" s="2"/>
    </row>
    <row r="5" customFormat="false" ht="16.5" hidden="false" customHeight="true" outlineLevel="0" collapsed="false">
      <c r="A5" s="27"/>
      <c r="B5" s="4" t="s">
        <v>117</v>
      </c>
      <c r="E5" s="2"/>
      <c r="I5" s="27"/>
      <c r="J5" s="4" t="s">
        <v>118</v>
      </c>
      <c r="M5" s="2"/>
      <c r="Q5" s="27"/>
      <c r="R5" s="4" t="s">
        <v>119</v>
      </c>
      <c r="U5" s="2"/>
      <c r="Y5" s="2"/>
    </row>
    <row r="6" customFormat="false" ht="8.25" hidden="false" customHeight="true" outlineLevel="0" collapsed="false">
      <c r="A6" s="27"/>
      <c r="E6" s="2"/>
      <c r="I6" s="27"/>
      <c r="M6" s="2"/>
      <c r="Q6" s="27"/>
      <c r="U6" s="2"/>
      <c r="Y6" s="2"/>
    </row>
    <row r="7" customFormat="false" ht="13.5" hidden="false" customHeight="true" outlineLevel="0" collapsed="false">
      <c r="A7" s="27"/>
      <c r="B7" s="7" t="s">
        <v>120</v>
      </c>
      <c r="C7" s="8" t="s">
        <v>121</v>
      </c>
      <c r="E7" s="2"/>
      <c r="I7" s="27"/>
      <c r="J7" s="7" t="s">
        <v>120</v>
      </c>
      <c r="K7" s="8" t="s">
        <v>121</v>
      </c>
      <c r="M7" s="2"/>
      <c r="Q7" s="27"/>
      <c r="R7" s="7" t="s">
        <v>120</v>
      </c>
      <c r="S7" s="8" t="s">
        <v>121</v>
      </c>
      <c r="U7" s="2"/>
      <c r="Y7" s="2"/>
    </row>
    <row r="8" customFormat="false" ht="13.5" hidden="false" customHeight="true" outlineLevel="0" collapsed="false">
      <c r="A8" s="27"/>
      <c r="B8" s="48" t="s">
        <v>108</v>
      </c>
      <c r="C8" s="12" t="n">
        <v>5</v>
      </c>
      <c r="E8" s="2"/>
      <c r="I8" s="27"/>
      <c r="J8" s="48" t="s">
        <v>108</v>
      </c>
      <c r="K8" s="12" t="n">
        <v>5</v>
      </c>
      <c r="M8" s="2"/>
      <c r="Q8" s="27"/>
      <c r="R8" s="48" t="s">
        <v>108</v>
      </c>
      <c r="S8" s="12" t="n">
        <v>5</v>
      </c>
      <c r="U8" s="2"/>
      <c r="Y8" s="2"/>
    </row>
    <row r="9" customFormat="false" ht="13.5" hidden="false" customHeight="true" outlineLevel="0" collapsed="false">
      <c r="A9" s="27"/>
      <c r="B9" s="48" t="s">
        <v>93</v>
      </c>
      <c r="C9" s="12" t="n">
        <v>4</v>
      </c>
      <c r="E9" s="2"/>
      <c r="I9" s="27"/>
      <c r="J9" s="48" t="s">
        <v>93</v>
      </c>
      <c r="K9" s="12" t="n">
        <v>4</v>
      </c>
      <c r="M9" s="2"/>
      <c r="Q9" s="27"/>
      <c r="R9" s="48" t="s">
        <v>93</v>
      </c>
      <c r="S9" s="12" t="n">
        <v>4</v>
      </c>
      <c r="U9" s="2"/>
      <c r="Y9" s="2"/>
    </row>
    <row r="10" customFormat="false" ht="13.5" hidden="false" customHeight="true" outlineLevel="0" collapsed="false">
      <c r="A10" s="27"/>
      <c r="B10" s="2"/>
      <c r="C10" s="2"/>
      <c r="E10" s="2"/>
      <c r="I10" s="27"/>
      <c r="J10" s="48" t="s">
        <v>122</v>
      </c>
      <c r="K10" s="12" t="n">
        <v>3</v>
      </c>
      <c r="M10" s="2"/>
      <c r="Q10" s="27"/>
      <c r="R10" s="48" t="s">
        <v>122</v>
      </c>
      <c r="S10" s="12" t="n">
        <v>3</v>
      </c>
      <c r="U10" s="2"/>
      <c r="Y10" s="2"/>
    </row>
    <row r="11" customFormat="false" ht="13.5" hidden="false" customHeight="true" outlineLevel="0" collapsed="false">
      <c r="A11" s="27"/>
      <c r="B11" s="2"/>
      <c r="C11" s="2"/>
      <c r="E11" s="2"/>
      <c r="I11" s="27"/>
      <c r="J11" s="2"/>
      <c r="K11" s="2"/>
      <c r="M11" s="2"/>
      <c r="Q11" s="27"/>
      <c r="R11" s="48" t="s">
        <v>123</v>
      </c>
      <c r="S11" s="12" t="n">
        <v>2</v>
      </c>
      <c r="U11" s="2"/>
      <c r="Y11" s="2"/>
    </row>
    <row r="12" customFormat="false" ht="8.25" hidden="false" customHeight="true" outlineLevel="0" collapsed="false">
      <c r="A12" s="27"/>
      <c r="E12" s="2"/>
      <c r="I12" s="27"/>
      <c r="M12" s="2"/>
      <c r="Q12" s="27"/>
      <c r="U12" s="2"/>
      <c r="Y12" s="2"/>
    </row>
    <row r="13" customFormat="false" ht="13.5" hidden="false" customHeight="true" outlineLevel="0" collapsed="false">
      <c r="A13" s="27"/>
      <c r="B13" s="7" t="s">
        <v>7</v>
      </c>
      <c r="C13" s="8" t="s">
        <v>8</v>
      </c>
      <c r="E13" s="2"/>
      <c r="F13" s="7" t="s">
        <v>69</v>
      </c>
      <c r="G13" s="8" t="s">
        <v>61</v>
      </c>
      <c r="H13" s="9" t="s">
        <v>80</v>
      </c>
      <c r="I13" s="27"/>
      <c r="J13" s="7" t="s">
        <v>7</v>
      </c>
      <c r="K13" s="8" t="s">
        <v>8</v>
      </c>
      <c r="M13" s="2"/>
      <c r="N13" s="7" t="s">
        <v>69</v>
      </c>
      <c r="O13" s="8" t="s">
        <v>61</v>
      </c>
      <c r="P13" s="9" t="s">
        <v>80</v>
      </c>
      <c r="Q13" s="27"/>
      <c r="R13" s="7" t="s">
        <v>7</v>
      </c>
      <c r="S13" s="8" t="s">
        <v>8</v>
      </c>
      <c r="U13" s="2"/>
      <c r="V13" s="7" t="s">
        <v>69</v>
      </c>
      <c r="W13" s="8" t="s">
        <v>61</v>
      </c>
      <c r="X13" s="9" t="s">
        <v>80</v>
      </c>
      <c r="Y13" s="2"/>
    </row>
    <row r="14" customFormat="false" ht="13.5" hidden="false" customHeight="true" outlineLevel="0" collapsed="false">
      <c r="A14" s="27"/>
      <c r="B14" s="13" t="n">
        <v>0</v>
      </c>
      <c r="C14" s="12" t="n">
        <f aca="false">$C$8+$C$9*B14</f>
        <v>5</v>
      </c>
      <c r="E14" s="2"/>
      <c r="F14" s="35" t="s">
        <v>124</v>
      </c>
      <c r="G14" s="21" t="n">
        <f aca="false">SUM(B14:B26)</f>
        <v>78</v>
      </c>
      <c r="H14" s="49"/>
      <c r="I14" s="27"/>
      <c r="J14" s="13" t="n">
        <v>0</v>
      </c>
      <c r="K14" s="12" t="n">
        <f aca="false">$K$8+$K$9*J14+$K$10*J14^2</f>
        <v>5</v>
      </c>
      <c r="M14" s="2"/>
      <c r="N14" s="35" t="s">
        <v>124</v>
      </c>
      <c r="O14" s="21" t="n">
        <f aca="false">SUM(J14:J26)</f>
        <v>78</v>
      </c>
      <c r="P14" s="49"/>
      <c r="Q14" s="27"/>
      <c r="R14" s="13" t="n">
        <v>0</v>
      </c>
      <c r="S14" s="12" t="n">
        <f aca="false">$S$8+$S$9*R14+$S$10*R14^2+$S$11*R14^3</f>
        <v>5</v>
      </c>
      <c r="U14" s="2"/>
      <c r="V14" s="35" t="s">
        <v>124</v>
      </c>
      <c r="W14" s="21" t="n">
        <f aca="false">SUM(R14:R26)</f>
        <v>78</v>
      </c>
      <c r="X14" s="49"/>
      <c r="Y14" s="2"/>
    </row>
    <row r="15" customFormat="false" ht="13.5" hidden="false" customHeight="true" outlineLevel="0" collapsed="false">
      <c r="A15" s="27"/>
      <c r="B15" s="13" t="n">
        <f aca="false">B14+1</f>
        <v>1</v>
      </c>
      <c r="C15" s="12" t="n">
        <f aca="false">$C$8+$C$9*B15</f>
        <v>9</v>
      </c>
      <c r="E15" s="2"/>
      <c r="F15" s="35" t="s">
        <v>125</v>
      </c>
      <c r="G15" s="21" t="n">
        <f aca="false">SUM(C14:C26)</f>
        <v>377</v>
      </c>
      <c r="H15" s="49"/>
      <c r="I15" s="27"/>
      <c r="J15" s="13" t="n">
        <f aca="false">J14+1</f>
        <v>1</v>
      </c>
      <c r="K15" s="12" t="n">
        <f aca="false">$K$8+$K$9*J15+$K$10*J15^2</f>
        <v>12</v>
      </c>
      <c r="M15" s="2"/>
      <c r="N15" s="35" t="s">
        <v>125</v>
      </c>
      <c r="O15" s="21" t="n">
        <f aca="false">SUM(K14:K26)</f>
        <v>2327</v>
      </c>
      <c r="P15" s="49"/>
      <c r="Q15" s="27"/>
      <c r="R15" s="13" t="n">
        <f aca="false">R14+1</f>
        <v>1</v>
      </c>
      <c r="S15" s="12" t="n">
        <f aca="false">$S$8+$S$9*R15+$S$10*R15^2+$S$11*R15^3</f>
        <v>14</v>
      </c>
      <c r="U15" s="2"/>
      <c r="V15" s="35" t="s">
        <v>125</v>
      </c>
      <c r="W15" s="21" t="n">
        <f aca="false">SUM(S14:S26)</f>
        <v>14495</v>
      </c>
      <c r="X15" s="49"/>
      <c r="Y15" s="2"/>
    </row>
    <row r="16" customFormat="false" ht="13.5" hidden="false" customHeight="true" outlineLevel="0" collapsed="false">
      <c r="A16" s="27"/>
      <c r="B16" s="13" t="n">
        <f aca="false">B15+1</f>
        <v>2</v>
      </c>
      <c r="C16" s="12" t="n">
        <f aca="false">$C$8+$C$9*B16</f>
        <v>13</v>
      </c>
      <c r="E16" s="2"/>
      <c r="F16" s="35" t="s">
        <v>126</v>
      </c>
      <c r="G16" s="21" t="n">
        <f aca="false">COUNT(B14:B26)</f>
        <v>13</v>
      </c>
      <c r="H16" s="49"/>
      <c r="I16" s="27"/>
      <c r="J16" s="13" t="n">
        <f aca="false">J15+1</f>
        <v>2</v>
      </c>
      <c r="K16" s="12" t="n">
        <f aca="false">$K$8+$K$9*J16+$K$10*J16^2</f>
        <v>25</v>
      </c>
      <c r="M16" s="2"/>
      <c r="N16" s="35" t="s">
        <v>126</v>
      </c>
      <c r="O16" s="21" t="n">
        <f aca="false">COUNT(J14:J26)</f>
        <v>13</v>
      </c>
      <c r="P16" s="49"/>
      <c r="Q16" s="27"/>
      <c r="R16" s="13" t="n">
        <f aca="false">R15+1</f>
        <v>2</v>
      </c>
      <c r="S16" s="12" t="n">
        <f aca="false">$S$8+$S$9*R16+$S$10*R16^2+$S$11*R16^3</f>
        <v>41</v>
      </c>
      <c r="U16" s="2"/>
      <c r="V16" s="35" t="s">
        <v>126</v>
      </c>
      <c r="W16" s="21" t="n">
        <f aca="false">COUNT(R14:R26)</f>
        <v>13</v>
      </c>
      <c r="X16" s="49"/>
      <c r="Y16" s="2"/>
    </row>
    <row r="17" customFormat="false" ht="13.5" hidden="false" customHeight="true" outlineLevel="0" collapsed="false">
      <c r="A17" s="27"/>
      <c r="B17" s="13" t="n">
        <f aca="false">B16+1</f>
        <v>3</v>
      </c>
      <c r="C17" s="12" t="n">
        <f aca="false">$C$8+$C$9*B17</f>
        <v>17</v>
      </c>
      <c r="E17" s="2"/>
      <c r="F17" s="35" t="s">
        <v>127</v>
      </c>
      <c r="G17" s="21" t="n">
        <f aca="false">COUNT(C14:C26)</f>
        <v>13</v>
      </c>
      <c r="H17" s="49"/>
      <c r="I17" s="27"/>
      <c r="J17" s="13" t="n">
        <f aca="false">J16+1</f>
        <v>3</v>
      </c>
      <c r="K17" s="12" t="n">
        <f aca="false">$K$8+$K$9*J17+$K$10*J17^2</f>
        <v>44</v>
      </c>
      <c r="M17" s="2"/>
      <c r="N17" s="35" t="s">
        <v>127</v>
      </c>
      <c r="O17" s="21" t="n">
        <f aca="false">COUNT(K14:K26)</f>
        <v>13</v>
      </c>
      <c r="P17" s="49"/>
      <c r="Q17" s="27"/>
      <c r="R17" s="13" t="n">
        <f aca="false">R16+1</f>
        <v>3</v>
      </c>
      <c r="S17" s="12" t="n">
        <f aca="false">$S$8+$S$9*R17+$S$10*R17^2+$S$11*R17^3</f>
        <v>98</v>
      </c>
      <c r="U17" s="2"/>
      <c r="V17" s="35" t="s">
        <v>127</v>
      </c>
      <c r="W17" s="21" t="n">
        <f aca="false">COUNT(S14:S26)</f>
        <v>13</v>
      </c>
      <c r="X17" s="49"/>
      <c r="Y17" s="2"/>
    </row>
    <row r="18" customFormat="false" ht="13.5" hidden="false" customHeight="true" outlineLevel="0" collapsed="false">
      <c r="A18" s="27"/>
      <c r="B18" s="13" t="n">
        <f aca="false">B17+1</f>
        <v>4</v>
      </c>
      <c r="C18" s="12" t="n">
        <f aca="false">$C$8+$C$9*B18</f>
        <v>21</v>
      </c>
      <c r="E18" s="2"/>
      <c r="F18" s="35" t="s">
        <v>128</v>
      </c>
      <c r="G18" s="21" t="n">
        <f aca="false">AVERAGE(B14:B26)</f>
        <v>6</v>
      </c>
      <c r="H18" s="21" t="n">
        <f aca="false">SUM(B14:B26)/COUNT(B14:B26)</f>
        <v>6</v>
      </c>
      <c r="I18" s="27"/>
      <c r="J18" s="13" t="n">
        <f aca="false">J17+1</f>
        <v>4</v>
      </c>
      <c r="K18" s="12" t="n">
        <f aca="false">$K$8+$K$9*J18+$K$10*J18^2</f>
        <v>69</v>
      </c>
      <c r="M18" s="2"/>
      <c r="N18" s="35" t="s">
        <v>128</v>
      </c>
      <c r="O18" s="21" t="n">
        <f aca="false">AVERAGE(J14:J26)</f>
        <v>6</v>
      </c>
      <c r="P18" s="21" t="n">
        <f aca="false">SUM(J14:J26)/COUNT(J14:J26)</f>
        <v>6</v>
      </c>
      <c r="Q18" s="27"/>
      <c r="R18" s="13" t="n">
        <f aca="false">R17+1</f>
        <v>4</v>
      </c>
      <c r="S18" s="12" t="n">
        <f aca="false">$S$8+$S$9*R18+$S$10*R18^2+$S$11*R18^3</f>
        <v>197</v>
      </c>
      <c r="U18" s="2"/>
      <c r="V18" s="35" t="s">
        <v>128</v>
      </c>
      <c r="W18" s="21" t="n">
        <f aca="false">AVERAGE(R14:R26)</f>
        <v>6</v>
      </c>
      <c r="X18" s="21" t="n">
        <f aca="false">SUM(R14:R26)/COUNT(R14:R26)</f>
        <v>6</v>
      </c>
      <c r="Y18" s="2"/>
    </row>
    <row r="19" customFormat="false" ht="13.5" hidden="false" customHeight="true" outlineLevel="0" collapsed="false">
      <c r="A19" s="27"/>
      <c r="B19" s="13" t="n">
        <f aca="false">B18+1</f>
        <v>5</v>
      </c>
      <c r="C19" s="12" t="n">
        <f aca="false">$C$8+$C$9*B19</f>
        <v>25</v>
      </c>
      <c r="E19" s="2"/>
      <c r="F19" s="35" t="s">
        <v>129</v>
      </c>
      <c r="G19" s="21" t="n">
        <f aca="false">AVERAGE(C14:C26)</f>
        <v>29</v>
      </c>
      <c r="H19" s="21" t="n">
        <f aca="false">SUM(C14:C26)/COUNT(C14:C26)</f>
        <v>29</v>
      </c>
      <c r="I19" s="27"/>
      <c r="J19" s="13" t="n">
        <f aca="false">J18+1</f>
        <v>5</v>
      </c>
      <c r="K19" s="12" t="n">
        <f aca="false">$K$8+$K$9*J19+$K$10*J19^2</f>
        <v>100</v>
      </c>
      <c r="M19" s="2"/>
      <c r="N19" s="35" t="s">
        <v>129</v>
      </c>
      <c r="O19" s="21" t="n">
        <f aca="false">AVERAGE(K14:K26)</f>
        <v>179</v>
      </c>
      <c r="P19" s="21" t="n">
        <f aca="false">SUM(K14:K26)/COUNT(K14:K26)</f>
        <v>179</v>
      </c>
      <c r="Q19" s="27"/>
      <c r="R19" s="13" t="n">
        <f aca="false">R18+1</f>
        <v>5</v>
      </c>
      <c r="S19" s="12" t="n">
        <f aca="false">$S$8+$S$9*R19+$S$10*R19^2+$S$11*R19^3</f>
        <v>350</v>
      </c>
      <c r="U19" s="2"/>
      <c r="V19" s="35" t="s">
        <v>129</v>
      </c>
      <c r="W19" s="21" t="n">
        <f aca="false">AVERAGE(S14:S26)</f>
        <v>1115</v>
      </c>
      <c r="X19" s="21" t="n">
        <f aca="false">SUM(S14:S26)/COUNT(S14:S26)</f>
        <v>1115</v>
      </c>
      <c r="Y19" s="2"/>
    </row>
    <row r="20" customFormat="false" ht="13.5" hidden="false" customHeight="true" outlineLevel="0" collapsed="false">
      <c r="A20" s="27"/>
      <c r="B20" s="13" t="n">
        <f aca="false">B19+1</f>
        <v>6</v>
      </c>
      <c r="C20" s="12" t="n">
        <f aca="false">$C$8+$C$9*B20</f>
        <v>29</v>
      </c>
      <c r="E20" s="2"/>
      <c r="F20" s="35" t="s">
        <v>130</v>
      </c>
      <c r="G20" s="21" t="n">
        <f aca="false">_xlfn.VAR.S(B14:B26)</f>
        <v>15.1666666666667</v>
      </c>
      <c r="H20" s="21" t="n">
        <f aca="false" t="array" ref="H20:H20">SUM(POWER(B14:B26 - H18,2))/(COUNT(B14:B26)-1)</f>
        <v>15.1666666666667</v>
      </c>
      <c r="I20" s="27"/>
      <c r="J20" s="13" t="n">
        <f aca="false">J19+1</f>
        <v>6</v>
      </c>
      <c r="K20" s="12" t="n">
        <f aca="false">$K$8+$K$9*J20+$K$10*J20^2</f>
        <v>137</v>
      </c>
      <c r="M20" s="2"/>
      <c r="N20" s="35" t="s">
        <v>130</v>
      </c>
      <c r="O20" s="21" t="n">
        <f aca="false">_xlfn.VAR.S(J14:J26)</f>
        <v>15.1666666666667</v>
      </c>
      <c r="P20" s="21" t="n">
        <f aca="false" t="array" ref="P20:P20">SUM(POWER(J14:J26 - P18,2))/(COUNT(J14:J26)-1)</f>
        <v>15.1666666666667</v>
      </c>
      <c r="Q20" s="27"/>
      <c r="R20" s="13" t="n">
        <f aca="false">R19+1</f>
        <v>6</v>
      </c>
      <c r="S20" s="12" t="n">
        <f aca="false">$S$8+$S$9*R20+$S$10*R20^2+$S$11*R20^3</f>
        <v>569</v>
      </c>
      <c r="U20" s="2"/>
      <c r="V20" s="35" t="s">
        <v>130</v>
      </c>
      <c r="W20" s="21" t="n">
        <f aca="false">_xlfn.VAR.S(R14:R26)</f>
        <v>15.1666666666667</v>
      </c>
      <c r="X20" s="21" t="n">
        <f aca="false" t="array" ref="X20:X20">SUM(POWER(R14:R26 - X18,2))/(COUNT(R14:R26)-1)</f>
        <v>15.1666666666667</v>
      </c>
      <c r="Y20" s="2"/>
    </row>
    <row r="21" customFormat="false" ht="15" hidden="false" customHeight="false" outlineLevel="0" collapsed="false">
      <c r="A21" s="27"/>
      <c r="B21" s="13" t="n">
        <f aca="false">B20+1</f>
        <v>7</v>
      </c>
      <c r="C21" s="12" t="n">
        <f aca="false">$C$8+$C$9*B21</f>
        <v>33</v>
      </c>
      <c r="E21" s="2"/>
      <c r="F21" s="35" t="s">
        <v>131</v>
      </c>
      <c r="G21" s="21" t="n">
        <f aca="false">_xlfn.VAR.S(C14:C26)</f>
        <v>242.666666666667</v>
      </c>
      <c r="H21" s="21" t="n">
        <f aca="false" t="array" ref="H21:H21">SUM(POWER(C14:C26 - H19,2))/(COUNT(C14:C26)-1)</f>
        <v>242.666666666667</v>
      </c>
      <c r="I21" s="27"/>
      <c r="J21" s="13" t="n">
        <f aca="false">J20+1</f>
        <v>7</v>
      </c>
      <c r="K21" s="12" t="n">
        <f aca="false">$K$8+$K$9*J21+$K$10*J21^2</f>
        <v>180</v>
      </c>
      <c r="M21" s="2"/>
      <c r="N21" s="35" t="s">
        <v>131</v>
      </c>
      <c r="O21" s="21" t="n">
        <f aca="false">_xlfn.VAR.S(K14:K26)</f>
        <v>25768.1666666667</v>
      </c>
      <c r="P21" s="21" t="n">
        <f aca="false" t="array" ref="P21:P21">SUM(POWER(K14:K26 - P19,2))/(COUNT(K14:K26)-1)</f>
        <v>25768.1666666667</v>
      </c>
      <c r="Q21" s="27"/>
      <c r="R21" s="13" t="n">
        <f aca="false">R20+1</f>
        <v>7</v>
      </c>
      <c r="S21" s="12" t="n">
        <f aca="false">$S$8+$S$9*R21+$S$10*R21^2+$S$11*R21^3</f>
        <v>866</v>
      </c>
      <c r="U21" s="2"/>
      <c r="V21" s="35" t="s">
        <v>131</v>
      </c>
      <c r="W21" s="21" t="n">
        <f aca="false">_xlfn.VAR.S(S14:S26)</f>
        <v>1680763.5</v>
      </c>
      <c r="X21" s="21" t="n">
        <f aca="false" t="array" ref="X21:X21">SUM(POWER(S14:S26 - X19,2))/(COUNT(S14:S26)-1)</f>
        <v>1680763.5</v>
      </c>
      <c r="Y21" s="2"/>
    </row>
    <row r="22" customFormat="false" ht="15" hidden="false" customHeight="false" outlineLevel="0" collapsed="false">
      <c r="A22" s="27"/>
      <c r="B22" s="13" t="n">
        <f aca="false">B21+1</f>
        <v>8</v>
      </c>
      <c r="C22" s="12" t="n">
        <f aca="false">$C$8+$C$9*B22</f>
        <v>37</v>
      </c>
      <c r="E22" s="2"/>
      <c r="F22" s="35" t="s">
        <v>132</v>
      </c>
      <c r="G22" s="21" t="n">
        <f aca="false">_xlfn.STDEV.S(B14:B26)</f>
        <v>3.89444048184931</v>
      </c>
      <c r="H22" s="21" t="n">
        <f aca="false">SQRT(H20)</f>
        <v>3.89444048184931</v>
      </c>
      <c r="I22" s="27"/>
      <c r="J22" s="13" t="n">
        <f aca="false">J21+1</f>
        <v>8</v>
      </c>
      <c r="K22" s="12" t="n">
        <f aca="false">$K$8+$K$9*J22+$K$10*J22^2</f>
        <v>229</v>
      </c>
      <c r="M22" s="2"/>
      <c r="N22" s="35" t="s">
        <v>132</v>
      </c>
      <c r="O22" s="21" t="n">
        <f aca="false">_xlfn.STDEV.S(J14:J26)</f>
        <v>3.89444048184931</v>
      </c>
      <c r="P22" s="21" t="n">
        <f aca="false">SQRT(P20)</f>
        <v>3.89444048184931</v>
      </c>
      <c r="Q22" s="27"/>
      <c r="R22" s="13" t="n">
        <f aca="false">R21+1</f>
        <v>8</v>
      </c>
      <c r="S22" s="12" t="n">
        <f aca="false">$S$8+$S$9*R22+$S$10*R22^2+$S$11*R22^3</f>
        <v>1253</v>
      </c>
      <c r="U22" s="2"/>
      <c r="V22" s="35" t="s">
        <v>132</v>
      </c>
      <c r="W22" s="21" t="n">
        <f aca="false">_xlfn.STDEV.S(R14:R26)</f>
        <v>3.89444048184931</v>
      </c>
      <c r="X22" s="21" t="n">
        <f aca="false">SQRT(X20)</f>
        <v>3.89444048184931</v>
      </c>
      <c r="Y22" s="2"/>
    </row>
    <row r="23" customFormat="false" ht="15" hidden="false" customHeight="false" outlineLevel="0" collapsed="false">
      <c r="A23" s="27"/>
      <c r="B23" s="13" t="n">
        <f aca="false">B22+1</f>
        <v>9</v>
      </c>
      <c r="C23" s="12" t="n">
        <f aca="false">$C$8+$C$9*B23</f>
        <v>41</v>
      </c>
      <c r="E23" s="2"/>
      <c r="F23" s="35" t="s">
        <v>133</v>
      </c>
      <c r="G23" s="21" t="n">
        <f aca="false">_xlfn.STDEV.S(C14:C26)</f>
        <v>15.5777619273972</v>
      </c>
      <c r="H23" s="21" t="n">
        <f aca="false">SQRT(H21)</f>
        <v>15.5777619273972</v>
      </c>
      <c r="I23" s="27"/>
      <c r="J23" s="13" t="n">
        <f aca="false">J22+1</f>
        <v>9</v>
      </c>
      <c r="K23" s="12" t="n">
        <f aca="false">$K$8+$K$9*J23+$K$10*J23^2</f>
        <v>284</v>
      </c>
      <c r="M23" s="2"/>
      <c r="N23" s="35" t="s">
        <v>133</v>
      </c>
      <c r="O23" s="21" t="n">
        <f aca="false">_xlfn.STDEV.S(K14:K26)</f>
        <v>160.524660618444</v>
      </c>
      <c r="P23" s="21" t="n">
        <f aca="false">SQRT(P21)</f>
        <v>160.524660618444</v>
      </c>
      <c r="Q23" s="27"/>
      <c r="R23" s="13" t="n">
        <f aca="false">R22+1</f>
        <v>9</v>
      </c>
      <c r="S23" s="12" t="n">
        <f aca="false">$S$8+$S$9*R23+$S$10*R23^2+$S$11*R23^3</f>
        <v>1742</v>
      </c>
      <c r="U23" s="2"/>
      <c r="V23" s="35" t="s">
        <v>133</v>
      </c>
      <c r="W23" s="21" t="n">
        <f aca="false">_xlfn.STDEV.S(S14:S26)</f>
        <v>1296.44263274547</v>
      </c>
      <c r="X23" s="21" t="n">
        <f aca="false">SQRT(X21)</f>
        <v>1296.44263274547</v>
      </c>
      <c r="Y23" s="2"/>
    </row>
    <row r="24" customFormat="false" ht="15" hidden="false" customHeight="false" outlineLevel="0" collapsed="false">
      <c r="A24" s="27"/>
      <c r="B24" s="13" t="n">
        <f aca="false">B23+1</f>
        <v>10</v>
      </c>
      <c r="C24" s="12" t="n">
        <f aca="false">$C$8+$C$9*B24</f>
        <v>45</v>
      </c>
      <c r="E24" s="2"/>
      <c r="F24" s="35" t="s">
        <v>39</v>
      </c>
      <c r="G24" s="21" t="n">
        <f aca="false">_xlfn.COVARIANCE.S(B14:B26,C14:C26)</f>
        <v>60.6666666666667</v>
      </c>
      <c r="H24" s="21" t="n">
        <f aca="false" t="array" ref="H24:H24">SUM((B14:B26-H18)*(C14:C26-H19))/(COUNT(B14:B26)-1)</f>
        <v>60.6666666666667</v>
      </c>
      <c r="I24" s="27"/>
      <c r="J24" s="13" t="n">
        <f aca="false">J23+1</f>
        <v>10</v>
      </c>
      <c r="K24" s="12" t="n">
        <f aca="false">$K$8+$K$9*J24+$K$10*J24^2</f>
        <v>345</v>
      </c>
      <c r="M24" s="2"/>
      <c r="N24" s="35" t="s">
        <v>39</v>
      </c>
      <c r="O24" s="21" t="n">
        <f aca="false">_xlfn.COVARIANCE.S(J14:J26,K14:K26)</f>
        <v>606.666666666667</v>
      </c>
      <c r="P24" s="21" t="n">
        <f aca="false" t="array" ref="P24:P24">SUM((J14:J26-P18)*(K14:K26-P19))/(COUNT(J14:J26)-1)</f>
        <v>606.666666666667</v>
      </c>
      <c r="Q24" s="27"/>
      <c r="R24" s="13" t="n">
        <f aca="false">R23+1</f>
        <v>10</v>
      </c>
      <c r="S24" s="12" t="n">
        <f aca="false">$S$8+$S$9*R24+$S$10*R24^2+$S$11*R24^3</f>
        <v>2345</v>
      </c>
      <c r="U24" s="2"/>
      <c r="V24" s="35" t="s">
        <v>39</v>
      </c>
      <c r="W24" s="21" t="n">
        <f aca="false">_xlfn.COVARIANCE.S(R14:R26,S14:S26)</f>
        <v>4641</v>
      </c>
      <c r="X24" s="21" t="n">
        <f aca="false" t="array" ref="X24:X24">SUM((R14:R26-X18)*(S14:S26-X19))/(COUNT(R14:R26)-1)</f>
        <v>4641</v>
      </c>
      <c r="Y24" s="2"/>
    </row>
    <row r="25" customFormat="false" ht="15" hidden="false" customHeight="false" outlineLevel="0" collapsed="false">
      <c r="A25" s="27"/>
      <c r="B25" s="13" t="n">
        <f aca="false">B24+1</f>
        <v>11</v>
      </c>
      <c r="C25" s="12" t="n">
        <f aca="false">$C$8+$C$9*B25</f>
        <v>49</v>
      </c>
      <c r="E25" s="2"/>
      <c r="F25" s="35" t="s">
        <v>85</v>
      </c>
      <c r="G25" s="21" t="n">
        <f aca="false">PEARSON(B14:B26,C14:C26)</f>
        <v>1</v>
      </c>
      <c r="H25" s="21" t="n">
        <f aca="false">H24/(H22*H23)</f>
        <v>1</v>
      </c>
      <c r="I25" s="27"/>
      <c r="J25" s="13" t="n">
        <f aca="false">J24+1</f>
        <v>11</v>
      </c>
      <c r="K25" s="12" t="n">
        <f aca="false">$K$8+$K$9*J25+$K$10*J25^2</f>
        <v>412</v>
      </c>
      <c r="M25" s="2"/>
      <c r="N25" s="35" t="s">
        <v>85</v>
      </c>
      <c r="O25" s="21" t="n">
        <f aca="false">PEARSON(J14:J26,K14:K26)</f>
        <v>0.970427962120068</v>
      </c>
      <c r="P25" s="21" t="n">
        <f aca="false">P24/(P22*P23)</f>
        <v>0.970427962120068</v>
      </c>
      <c r="Q25" s="27"/>
      <c r="R25" s="13" t="n">
        <f aca="false">R24+1</f>
        <v>11</v>
      </c>
      <c r="S25" s="12" t="n">
        <f aca="false">$S$8+$S$9*R25+$S$10*R25^2+$S$11*R25^3</f>
        <v>3074</v>
      </c>
      <c r="U25" s="2"/>
      <c r="V25" s="35" t="s">
        <v>85</v>
      </c>
      <c r="W25" s="21" t="n">
        <f aca="false">PEARSON(R14:R26,S14:S26)</f>
        <v>0.919206725655292</v>
      </c>
      <c r="X25" s="21" t="n">
        <f aca="false">X24/(X22*X23)</f>
        <v>0.919206725655292</v>
      </c>
      <c r="Y25" s="2"/>
    </row>
    <row r="26" customFormat="false" ht="15" hidden="false" customHeight="false" outlineLevel="0" collapsed="false">
      <c r="A26" s="27"/>
      <c r="B26" s="13" t="n">
        <f aca="false">B25+1</f>
        <v>12</v>
      </c>
      <c r="C26" s="12" t="n">
        <f aca="false">$C$8+$C$9*B26</f>
        <v>53</v>
      </c>
      <c r="E26" s="2"/>
      <c r="F26" s="35"/>
      <c r="G26" s="21"/>
      <c r="H26" s="21" t="n">
        <f aca="false" t="array" ref="H26:H26">SUM((B14:B26 - H18)*(C14:C26 - H19))/SQRT(SUM(POWER(B14:B26 - H18,2))*SUM(POWER(C14:C26 - H19,2)))</f>
        <v>1</v>
      </c>
      <c r="I26" s="27"/>
      <c r="J26" s="13" t="n">
        <f aca="false">J25+1</f>
        <v>12</v>
      </c>
      <c r="K26" s="12" t="n">
        <f aca="false">$K$8+$K$9*J26+$K$10*J26^2</f>
        <v>485</v>
      </c>
      <c r="M26" s="2"/>
      <c r="N26" s="35"/>
      <c r="O26" s="21"/>
      <c r="P26" s="21" t="n">
        <f aca="false" t="array" ref="P26:P26">SUM((J14:J26 - P18)*(K14:K26 - P19))/SQRT(SUM(POWER(J14:J26 - P18,2))*SUM(POWER(K14:K26 - P19,2)))</f>
        <v>0.970427962120068</v>
      </c>
      <c r="Q26" s="27"/>
      <c r="R26" s="13" t="n">
        <f aca="false">R25+1</f>
        <v>12</v>
      </c>
      <c r="S26" s="12" t="n">
        <f aca="false">$S$8+$S$9*R26+$S$10*R26^2+$S$11*R26^3</f>
        <v>3941</v>
      </c>
      <c r="U26" s="2"/>
      <c r="V26" s="35"/>
      <c r="W26" s="21"/>
      <c r="X26" s="21" t="n">
        <f aca="false" t="array" ref="X26:X26">SUM((R14:R26 - X18)*(S14:S26 - X19))/SQRT(SUM(POWER(R14:R26 - X18,2))*SUM(POWER(S14:S26 - X19,2)))</f>
        <v>0.919206725655292</v>
      </c>
      <c r="Y26" s="2"/>
    </row>
    <row r="27" customFormat="false" ht="15" hidden="false" customHeight="false" outlineLevel="0" collapsed="false">
      <c r="A27" s="27"/>
      <c r="B27" s="2"/>
      <c r="C27" s="2"/>
      <c r="E27" s="2"/>
      <c r="F27" s="35" t="s">
        <v>134</v>
      </c>
      <c r="G27" s="21" t="n">
        <f aca="false">SLOPE(B14:B26,C14:C26)</f>
        <v>0.25</v>
      </c>
      <c r="H27" s="21" t="n">
        <f aca="false" t="array" ref="H27:H27">SUM((B14:B26 - H18)*(C14:C26 - H19))/SUM(POWER((B14:B26 - H18),2))</f>
        <v>4</v>
      </c>
      <c r="I27" s="27"/>
      <c r="J27" s="2"/>
      <c r="K27" s="2"/>
      <c r="M27" s="2"/>
      <c r="N27" s="35" t="s">
        <v>134</v>
      </c>
      <c r="O27" s="21" t="n">
        <f aca="false">SLOPE(J14:J26,K14:K26)</f>
        <v>0.0235432607416127</v>
      </c>
      <c r="P27" s="21" t="n">
        <f aca="false" t="array" ref="P27:P27">SUM((J14:J26 - P18)*(K14:K26 - P19))/SUM(POWER((J14:J26 - P18),2))</f>
        <v>40</v>
      </c>
      <c r="Q27" s="27"/>
      <c r="R27" s="2"/>
      <c r="S27" s="2"/>
      <c r="U27" s="2"/>
      <c r="V27" s="35" t="s">
        <v>134</v>
      </c>
      <c r="W27" s="21" t="n">
        <f aca="false">SLOPE(R14:R26,S14:S26)</f>
        <v>0.00276124511271217</v>
      </c>
      <c r="X27" s="21" t="n">
        <f aca="false" t="array" ref="X27:X27">SUM((R14:R26 - X18)*(S14:S26 - X19))/SUM(POWER((R14:R26 - X18),2))</f>
        <v>306</v>
      </c>
      <c r="Y27" s="2"/>
    </row>
    <row r="28" customFormat="false" ht="8.25" hidden="false" customHeight="true" outlineLevel="0" collapsed="false">
      <c r="A28" s="27"/>
      <c r="I28" s="27"/>
      <c r="Q28" s="27"/>
    </row>
    <row r="29" customFormat="false" ht="13.5" hidden="false" customHeight="true" outlineLevel="0" collapsed="false">
      <c r="A29" s="27"/>
      <c r="B29" s="2"/>
      <c r="C29" s="2"/>
      <c r="D29" s="2"/>
      <c r="I29" s="27"/>
      <c r="J29" s="2"/>
      <c r="K29" s="2"/>
      <c r="L29" s="2"/>
      <c r="Q29" s="27"/>
      <c r="R29" s="2"/>
      <c r="S29" s="2"/>
      <c r="T29" s="2"/>
    </row>
    <row r="30" customFormat="false" ht="15" hidden="false" customHeight="false" outlineLevel="0" collapsed="false">
      <c r="B30" s="2"/>
      <c r="C30" s="2"/>
      <c r="D30" s="2"/>
      <c r="J30" s="2"/>
      <c r="K30" s="2"/>
      <c r="L30" s="2"/>
      <c r="R30" s="2"/>
      <c r="S30" s="2"/>
      <c r="T30" s="2"/>
    </row>
    <row r="31" customFormat="false" ht="15" hidden="false" customHeight="false" outlineLevel="0" collapsed="false">
      <c r="B31" s="2"/>
      <c r="C31" s="2"/>
      <c r="D31" s="2"/>
      <c r="J31" s="2"/>
      <c r="K31" s="2"/>
      <c r="L31" s="2"/>
      <c r="R31" s="2"/>
      <c r="S31" s="2"/>
      <c r="T31" s="2"/>
    </row>
    <row r="32" customFormat="false" ht="15" hidden="false" customHeight="false" outlineLevel="0" collapsed="false">
      <c r="B32" s="2"/>
      <c r="C32" s="2"/>
      <c r="D32" s="2"/>
      <c r="J32" s="2"/>
      <c r="K32" s="2"/>
      <c r="L32" s="2"/>
      <c r="R32" s="2"/>
      <c r="S32" s="2"/>
      <c r="T32" s="2"/>
    </row>
    <row r="33" customFormat="false" ht="15" hidden="false" customHeight="false" outlineLevel="0" collapsed="false">
      <c r="B33" s="2"/>
      <c r="C33" s="2"/>
      <c r="D33" s="2"/>
      <c r="J33" s="2"/>
      <c r="K33" s="2"/>
      <c r="L33" s="2"/>
      <c r="R33" s="2"/>
      <c r="S33" s="2"/>
      <c r="T33" s="2"/>
    </row>
    <row r="34" customFormat="false" ht="15" hidden="false" customHeight="false" outlineLevel="0" collapsed="false">
      <c r="B34" s="2"/>
      <c r="C34" s="2"/>
      <c r="D34" s="2"/>
      <c r="J34" s="2"/>
      <c r="K34" s="2"/>
      <c r="L34" s="2"/>
      <c r="R34" s="2"/>
      <c r="S34" s="2"/>
      <c r="T34" s="2"/>
    </row>
    <row r="35" customFormat="false" ht="15" hidden="false" customHeight="false" outlineLevel="0" collapsed="false">
      <c r="B35" s="2"/>
      <c r="C35" s="2"/>
      <c r="D35" s="2"/>
      <c r="J35" s="2"/>
      <c r="K35" s="2"/>
      <c r="L35" s="2"/>
      <c r="R35" s="2"/>
      <c r="S35" s="2"/>
      <c r="T35" s="2"/>
    </row>
    <row r="36" customFormat="false" ht="15" hidden="false" customHeight="false" outlineLevel="0" collapsed="false">
      <c r="B36" s="2"/>
      <c r="C36" s="2"/>
      <c r="D36" s="2"/>
      <c r="J36" s="2"/>
      <c r="K36" s="2"/>
      <c r="L36" s="2"/>
      <c r="R36" s="2"/>
      <c r="S36" s="2"/>
      <c r="T36" s="2"/>
    </row>
    <row r="37" customFormat="false" ht="15" hidden="false" customHeight="false" outlineLevel="0" collapsed="false">
      <c r="B37" s="2"/>
      <c r="C37" s="2"/>
      <c r="D37" s="2"/>
      <c r="J37" s="2"/>
      <c r="K37" s="2"/>
      <c r="L37" s="2"/>
      <c r="R37" s="2"/>
      <c r="S37" s="2"/>
      <c r="T37" s="2"/>
    </row>
    <row r="38" customFormat="false" ht="15" hidden="false" customHeight="false" outlineLevel="0" collapsed="false">
      <c r="B38" s="2"/>
      <c r="C38" s="2"/>
      <c r="D38" s="2"/>
      <c r="J38" s="2"/>
      <c r="K38" s="2"/>
      <c r="L38" s="2"/>
      <c r="R38" s="2"/>
      <c r="S38" s="2"/>
      <c r="T38" s="2"/>
    </row>
    <row r="39" customFormat="false" ht="15" hidden="false" customHeight="false" outlineLevel="0" collapsed="false">
      <c r="B39" s="2"/>
      <c r="C39" s="2"/>
      <c r="D39" s="2"/>
      <c r="J39" s="2"/>
      <c r="K39" s="2"/>
      <c r="L39" s="2"/>
      <c r="R39" s="2"/>
      <c r="S39" s="2"/>
      <c r="T39" s="2"/>
    </row>
    <row r="40" customFormat="false" ht="15" hidden="false" customHeight="false" outlineLevel="0" collapsed="false">
      <c r="B40" s="2"/>
      <c r="C40" s="2"/>
      <c r="D40" s="2"/>
      <c r="J40" s="2"/>
      <c r="K40" s="2"/>
      <c r="L40" s="2"/>
      <c r="R40" s="2"/>
      <c r="S40" s="2"/>
      <c r="T40" s="2"/>
    </row>
    <row r="41" customFormat="false" ht="15" hidden="false" customHeight="false" outlineLevel="0" collapsed="false">
      <c r="B41" s="2"/>
      <c r="C41" s="2"/>
      <c r="D41" s="2"/>
      <c r="J41" s="2"/>
      <c r="K41" s="2"/>
      <c r="L41" s="2"/>
      <c r="R41" s="2"/>
      <c r="S41" s="2"/>
      <c r="T41" s="2"/>
    </row>
    <row r="42" customFormat="false" ht="15" hidden="false" customHeight="false" outlineLevel="0" collapsed="false">
      <c r="B42" s="2"/>
      <c r="C42" s="2"/>
      <c r="D42" s="2"/>
      <c r="J42" s="2"/>
      <c r="K42" s="2"/>
      <c r="L42" s="2"/>
      <c r="R42" s="2"/>
      <c r="S42" s="2"/>
      <c r="T42" s="2"/>
    </row>
    <row r="43" customFormat="false" ht="15" hidden="false" customHeight="false" outlineLevel="0" collapsed="false">
      <c r="B43" s="3"/>
      <c r="C43" s="3"/>
      <c r="D43" s="3"/>
      <c r="J43" s="3"/>
      <c r="K43" s="3"/>
      <c r="L43" s="3"/>
      <c r="R43" s="3"/>
      <c r="S43" s="3"/>
      <c r="T43" s="3"/>
    </row>
    <row r="1048576" customFormat="false" ht="12.8" hidden="false" customHeight="false" outlineLevel="0" collapsed="false"/>
  </sheetData>
  <mergeCells count="3">
    <mergeCell ref="H14:H17"/>
    <mergeCell ref="P14:P17"/>
    <mergeCell ref="X14:X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1368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2024-03-09T20:42:03Z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