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E023" lockStructure="1"/>
  <bookViews>
    <workbookView xWindow="2700" yWindow="2712" windowWidth="9720" windowHeight="7800"/>
  </bookViews>
  <sheets>
    <sheet name="Design Calculation" sheetId="1" r:id="rId1"/>
    <sheet name="Frequency Response Calculation" sheetId="2" state="hidden" r:id="rId2"/>
    <sheet name="LegalDisclaimer" sheetId="3" r:id="rId3"/>
  </sheets>
  <definedNames>
    <definedName name="BST_HS_dead_time">'Design Calculation'!$C$109</definedName>
    <definedName name="BST_HS_Rdson">'Design Calculation'!$C$108</definedName>
    <definedName name="BST_HS_Vd">'Design Calculation'!$C$110</definedName>
    <definedName name="BST_LS_fall_time">'Design Calculation'!$C$106</definedName>
    <definedName name="BST_LS_Rdson">'Design Calculation'!$C$105</definedName>
    <definedName name="BST_LS_rise_time">'Design Calculation'!$C$107</definedName>
    <definedName name="BUCK_HS_Coss">'Design Calculation'!$C$97</definedName>
    <definedName name="BUCK_HS_fall_time">'Design Calculation'!$C$99</definedName>
    <definedName name="BUCK_HS_Qg">'Design Calculation'!$C$96</definedName>
    <definedName name="BUCK_HS_Rdson">'Design Calculation'!$C$95</definedName>
    <definedName name="BUCK_HS_rise_time">'Design Calculation'!$C$98</definedName>
    <definedName name="BUCK_LS_dead_time">'Design Calculation'!$C$103</definedName>
    <definedName name="BUCK_LS_deadtime">'Design Calculation'!$C$103</definedName>
    <definedName name="BUCK_LS_Qg">'Design Calculation'!$C$101</definedName>
    <definedName name="BUCK_LS_Qrr">'Design Calculation'!$C$102</definedName>
    <definedName name="BUCK_LS_Rdson">'Design Calculation'!$C$100</definedName>
    <definedName name="BUCK_LS_Vd">'Design Calculation'!$C$104</definedName>
    <definedName name="C_bst_snubber">'Design Calculation'!$C$112</definedName>
    <definedName name="C_buck_snubber">'Design Calculation'!$C$111</definedName>
    <definedName name="C_ca">'Frequency Response Calculation'!$AG$5</definedName>
    <definedName name="Ccomp">'Design Calculation'!$C$84</definedName>
    <definedName name="Cout_c">'Design Calculation'!$C$39</definedName>
    <definedName name="Cout_e">'Design Calculation'!$C$41</definedName>
    <definedName name="Cp">'Design Calculation'!$C$87</definedName>
    <definedName name="DCR">'Design Calculation'!$C$94</definedName>
    <definedName name="dVinpkpk">'Design Calculation'!$C$45</definedName>
    <definedName name="dVoutpkpk">'Design Calculation'!$C$37</definedName>
    <definedName name="eff">'Design Calculation'!$C$51</definedName>
    <definedName name="ESR">'Design Calculation'!$C$43</definedName>
    <definedName name="fco">'Design Calculation'!$C$79</definedName>
    <definedName name="fp">'Design Calculation'!$C$76</definedName>
    <definedName name="fp_comp2">'Design Calculation'!$C$88</definedName>
    <definedName name="fsw">'Design Calculation'!$C$33</definedName>
    <definedName name="fz_comp">'Design Calculation'!$C$85</definedName>
    <definedName name="fz_ESR">'Design Calculation'!$C$78</definedName>
    <definedName name="fzRHP">'Design Calculation'!$C$77</definedName>
    <definedName name="gm_ca">'Frequency Response Calculation'!$AG$3</definedName>
    <definedName name="gm_EA">'Design Calculation'!$C$80</definedName>
    <definedName name="gm_PS">'Design Calculation'!$C$75</definedName>
    <definedName name="Iavg_limit">'Design Calculation'!$C$60</definedName>
    <definedName name="ILpeak">'Design Calculation'!$C$92</definedName>
    <definedName name="ILpeak_max">'Design Calculation'!$C$58</definedName>
    <definedName name="ILrms">'Design Calculation'!$C$91</definedName>
    <definedName name="ILrms_max">'Design Calculation'!$C$57</definedName>
    <definedName name="ILvalley">'Design Calculation'!$C$93</definedName>
    <definedName name="ILvalley_max">'Design Calculation'!$C$59</definedName>
    <definedName name="Iout_limit">'Design Calculation'!$C$28</definedName>
    <definedName name="Ioutmax">'Design Calculation'!$C$19</definedName>
    <definedName name="K">'Design Calculation'!$C$53</definedName>
    <definedName name="L">'Design Calculation'!$C$56</definedName>
    <definedName name="Op_mode">'Design Calculation'!$C$74</definedName>
    <definedName name="R_1">'Design Calculation'!$C$29</definedName>
    <definedName name="R_7">'Design Calculation'!$C$25</definedName>
    <definedName name="R_ca">'Frequency Response Calculation'!$AG$4</definedName>
    <definedName name="Rcomp">'Design Calculation'!$C$82</definedName>
    <definedName name="Reg_Ilimit">'Design Calculation'!$C$30</definedName>
    <definedName name="Reg_Vref">'Design Calculation'!$C$20</definedName>
    <definedName name="Rpcb">'Design Calculation'!$C$113</definedName>
    <definedName name="tou">'Design Calculation'!$F$122</definedName>
    <definedName name="V_m">'Frequency Response Calculation'!$AG$6</definedName>
    <definedName name="Vin">'Design Calculation'!$C$72</definedName>
    <definedName name="Vin_eff">'Design Calculation'!$C$90</definedName>
    <definedName name="Vin_LP">'Design Calculation'!$C$72</definedName>
    <definedName name="Vin_max">'Design Calculation'!$C$15</definedName>
    <definedName name="Vin_min">'Design Calculation'!$C$14</definedName>
    <definedName name="Vout">'Design Calculation'!$C$17</definedName>
    <definedName name="Vout_LP">'Design Calculation'!$C$73</definedName>
    <definedName name="Vout_max">'Design Calculation'!$C$18</definedName>
  </definedNames>
  <calcPr calcId="145621"/>
  <customWorkbookViews>
    <customWorkbookView name="TI User - Personal View" guid="{0F8159A6-236F-4F54-A569-A835A6AD5DA8}" mergeInterval="0" personalView="1" maximized="1" windowWidth="1920" windowHeight="803" activeSheetId="1"/>
  </customWorkbookViews>
</workbook>
</file>

<file path=xl/calcChain.xml><?xml version="1.0" encoding="utf-8"?>
<calcChain xmlns="http://schemas.openxmlformats.org/spreadsheetml/2006/main">
  <c r="E18" i="1" l="1"/>
  <c r="C20" i="1" l="1"/>
  <c r="C83" i="1" l="1"/>
  <c r="F122" i="1" l="1"/>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 r="L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 i="2"/>
  <c r="K3" i="2"/>
  <c r="C88" i="1"/>
  <c r="C93" i="1" l="1"/>
  <c r="C91" i="1"/>
  <c r="C61" i="1"/>
  <c r="C59" i="1"/>
  <c r="C58" i="1"/>
  <c r="C75" i="1" l="1"/>
  <c r="C47" i="1" l="1"/>
  <c r="C92" i="1"/>
  <c r="C120" i="1" l="1"/>
  <c r="C121" i="1"/>
  <c r="H122" i="1"/>
  <c r="C117" i="1"/>
  <c r="G122" i="1"/>
  <c r="C119" i="1"/>
  <c r="C118" i="1"/>
  <c r="C55" i="1"/>
  <c r="C57" i="1"/>
  <c r="C34" i="1"/>
  <c r="C74" i="1"/>
  <c r="AG6" i="2"/>
  <c r="C78" i="1"/>
  <c r="G6" i="2" s="1"/>
  <c r="I6" i="2"/>
  <c r="C85" i="1"/>
  <c r="M6" i="2" s="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5" i="2"/>
  <c r="I4" i="2"/>
  <c r="I3" i="2"/>
  <c r="P42" i="2"/>
  <c r="P39" i="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3" i="2"/>
  <c r="C32" i="1"/>
  <c r="C31" i="1"/>
  <c r="P53" i="1"/>
  <c r="P51" i="1"/>
  <c r="M50" i="1"/>
  <c r="N50" i="1"/>
  <c r="O50" i="1"/>
  <c r="J50" i="1"/>
  <c r="I50" i="1"/>
  <c r="H50" i="1"/>
  <c r="N46" i="1"/>
  <c r="P45" i="1" s="1"/>
  <c r="O46" i="1"/>
  <c r="J46" i="1"/>
  <c r="K46" i="1"/>
  <c r="L50" i="1"/>
  <c r="P47" i="1"/>
  <c r="O48" i="1"/>
  <c r="N48" i="1"/>
  <c r="H48" i="1"/>
  <c r="C30" i="1"/>
  <c r="H44" i="1" s="1"/>
  <c r="T34" i="2"/>
  <c r="T35" i="2"/>
  <c r="T36" i="2"/>
  <c r="T37" i="2"/>
  <c r="T38" i="2"/>
  <c r="T39" i="2"/>
  <c r="T40" i="2"/>
  <c r="T41" i="2"/>
  <c r="T42" i="2"/>
  <c r="T43" i="2"/>
  <c r="T10" i="2"/>
  <c r="T11" i="2"/>
  <c r="T12" i="2"/>
  <c r="T13" i="2"/>
  <c r="T14" i="2"/>
  <c r="T15" i="2"/>
  <c r="T16" i="2"/>
  <c r="T17" i="2"/>
  <c r="T18" i="2"/>
  <c r="T19" i="2"/>
  <c r="T20" i="2"/>
  <c r="T21" i="2"/>
  <c r="T22" i="2"/>
  <c r="T23" i="2"/>
  <c r="T24" i="2"/>
  <c r="T25" i="2"/>
  <c r="T26" i="2"/>
  <c r="T27" i="2"/>
  <c r="T28" i="2"/>
  <c r="T29" i="2"/>
  <c r="T30" i="2"/>
  <c r="T31" i="2"/>
  <c r="T32" i="2"/>
  <c r="T33" i="2"/>
  <c r="T4" i="2"/>
  <c r="T5" i="2"/>
  <c r="T6" i="2"/>
  <c r="T7" i="2"/>
  <c r="T8" i="2"/>
  <c r="T9" i="2"/>
  <c r="T3" i="2"/>
  <c r="S23" i="2"/>
  <c r="S24" i="2"/>
  <c r="S25" i="2"/>
  <c r="S26" i="2"/>
  <c r="S27" i="2"/>
  <c r="S28" i="2"/>
  <c r="S29" i="2"/>
  <c r="S30" i="2"/>
  <c r="S31" i="2"/>
  <c r="S32" i="2"/>
  <c r="S33" i="2"/>
  <c r="S34" i="2"/>
  <c r="S35" i="2"/>
  <c r="S36" i="2"/>
  <c r="S37" i="2"/>
  <c r="S38" i="2"/>
  <c r="S39" i="2"/>
  <c r="S40" i="2"/>
  <c r="S41" i="2"/>
  <c r="S42" i="2"/>
  <c r="S43" i="2"/>
  <c r="S4" i="2"/>
  <c r="S5" i="2"/>
  <c r="S6" i="2"/>
  <c r="S7" i="2"/>
  <c r="S8" i="2"/>
  <c r="S9" i="2"/>
  <c r="S10" i="2"/>
  <c r="S11" i="2"/>
  <c r="S12" i="2"/>
  <c r="S13" i="2"/>
  <c r="S14" i="2"/>
  <c r="S15" i="2"/>
  <c r="S16" i="2"/>
  <c r="S17" i="2"/>
  <c r="S18" i="2"/>
  <c r="S19" i="2"/>
  <c r="S20" i="2"/>
  <c r="S21" i="2"/>
  <c r="S22" i="2"/>
  <c r="S3" i="2"/>
  <c r="B43" i="2"/>
  <c r="B42" i="2"/>
  <c r="B41" i="2"/>
  <c r="P41" i="2"/>
  <c r="B40" i="2"/>
  <c r="B39" i="2"/>
  <c r="B38" i="2"/>
  <c r="O38" i="2"/>
  <c r="B37" i="2"/>
  <c r="O37" i="2"/>
  <c r="B36" i="2"/>
  <c r="O36" i="2"/>
  <c r="B35" i="2"/>
  <c r="B34" i="2"/>
  <c r="B33" i="2"/>
  <c r="B32" i="2"/>
  <c r="B31" i="2"/>
  <c r="B30" i="2"/>
  <c r="P30" i="2"/>
  <c r="B29" i="2"/>
  <c r="P29" i="2"/>
  <c r="B28" i="2"/>
  <c r="P28" i="2"/>
  <c r="B27" i="2"/>
  <c r="B26" i="2"/>
  <c r="B25" i="2"/>
  <c r="P25" i="2"/>
  <c r="B24" i="2"/>
  <c r="B23" i="2"/>
  <c r="B22" i="2"/>
  <c r="O22" i="2"/>
  <c r="B21" i="2"/>
  <c r="O21" i="2"/>
  <c r="B20" i="2"/>
  <c r="O20" i="2"/>
  <c r="B19" i="2"/>
  <c r="B18" i="2"/>
  <c r="B17" i="2"/>
  <c r="B16" i="2"/>
  <c r="B15" i="2"/>
  <c r="B14" i="2"/>
  <c r="B13" i="2"/>
  <c r="P13" i="2"/>
  <c r="B12" i="2"/>
  <c r="P12" i="2"/>
  <c r="B11" i="2"/>
  <c r="B10" i="2"/>
  <c r="B9" i="2"/>
  <c r="P9" i="2"/>
  <c r="B8" i="2"/>
  <c r="B7" i="2"/>
  <c r="B6" i="2"/>
  <c r="O6" i="2"/>
  <c r="B5" i="2"/>
  <c r="O5" i="2"/>
  <c r="B4" i="2"/>
  <c r="O4" i="2"/>
  <c r="B3" i="2"/>
  <c r="P3" i="2"/>
  <c r="O35" i="2"/>
  <c r="O19" i="2"/>
  <c r="P31" i="2"/>
  <c r="P15" i="2"/>
  <c r="O41" i="2"/>
  <c r="O25" i="2"/>
  <c r="O9" i="2"/>
  <c r="P34" i="2"/>
  <c r="P18" i="2"/>
  <c r="O32" i="2"/>
  <c r="O16" i="2"/>
  <c r="O31" i="2"/>
  <c r="O15" i="2"/>
  <c r="P40" i="2"/>
  <c r="P24" i="2"/>
  <c r="P8" i="2"/>
  <c r="O34" i="2"/>
  <c r="O18" i="2"/>
  <c r="P43" i="2"/>
  <c r="P27" i="2"/>
  <c r="P11" i="2"/>
  <c r="P14" i="2"/>
  <c r="O3" i="2"/>
  <c r="O28" i="2"/>
  <c r="O12" i="2"/>
  <c r="P37" i="2"/>
  <c r="P21" i="2"/>
  <c r="P5" i="2"/>
  <c r="O27" i="2"/>
  <c r="O11" i="2"/>
  <c r="P36" i="2"/>
  <c r="P20" i="2"/>
  <c r="P4" i="2"/>
  <c r="O30" i="2"/>
  <c r="O14" i="2"/>
  <c r="P39" i="2"/>
  <c r="P23" i="2"/>
  <c r="P7" i="2"/>
  <c r="O33" i="2"/>
  <c r="O17" i="2"/>
  <c r="P26" i="2"/>
  <c r="P10" i="2"/>
  <c r="O40" i="2"/>
  <c r="O24" i="2"/>
  <c r="O8" i="2"/>
  <c r="P33" i="2"/>
  <c r="P17" i="2"/>
  <c r="O39" i="2"/>
  <c r="O23" i="2"/>
  <c r="O7" i="2"/>
  <c r="P32" i="2"/>
  <c r="P16" i="2"/>
  <c r="O42" i="2"/>
  <c r="O26" i="2"/>
  <c r="O10" i="2"/>
  <c r="P35" i="2"/>
  <c r="P19" i="2"/>
  <c r="O43" i="2"/>
  <c r="O29" i="2"/>
  <c r="O13" i="2"/>
  <c r="P38" i="2"/>
  <c r="P22" i="2"/>
  <c r="P6" i="2"/>
  <c r="H38" i="2"/>
  <c r="H11" i="2"/>
  <c r="H19" i="2"/>
  <c r="H39" i="2"/>
  <c r="H18" i="2"/>
  <c r="H31" i="2"/>
  <c r="H8" i="2"/>
  <c r="H22" i="2"/>
  <c r="H6" i="2"/>
  <c r="H20" i="2"/>
  <c r="H4" i="2"/>
  <c r="H3" i="2"/>
  <c r="H17" i="2"/>
  <c r="H9" i="2"/>
  <c r="H30" i="2"/>
  <c r="H41" i="2"/>
  <c r="H33" i="2"/>
  <c r="H25" i="2"/>
  <c r="H36" i="2"/>
  <c r="H7" i="2"/>
  <c r="H28" i="2"/>
  <c r="N6" i="2"/>
  <c r="N3" i="2"/>
  <c r="N14" i="2"/>
  <c r="N26" i="2"/>
  <c r="N39" i="2"/>
  <c r="N27" i="2"/>
  <c r="C65" i="1"/>
  <c r="C26" i="1"/>
  <c r="C24" i="1"/>
  <c r="C36" i="1"/>
  <c r="P49" i="1" l="1"/>
  <c r="H32" i="2"/>
  <c r="H40" i="2"/>
  <c r="H37" i="2"/>
  <c r="H5" i="2"/>
  <c r="H21" i="2"/>
  <c r="H12" i="2"/>
  <c r="H14" i="2"/>
  <c r="H16" i="2"/>
  <c r="H43" i="2"/>
  <c r="H15" i="2"/>
  <c r="G4" i="2"/>
  <c r="G43" i="2"/>
  <c r="G41" i="2"/>
  <c r="G39" i="2"/>
  <c r="G37" i="2"/>
  <c r="G35" i="2"/>
  <c r="G33" i="2"/>
  <c r="G31" i="2"/>
  <c r="G29" i="2"/>
  <c r="G27" i="2"/>
  <c r="G25" i="2"/>
  <c r="G23" i="2"/>
  <c r="G21" i="2"/>
  <c r="G19" i="2"/>
  <c r="G17" i="2"/>
  <c r="G15" i="2"/>
  <c r="G13" i="2"/>
  <c r="G11" i="2"/>
  <c r="G9" i="2"/>
  <c r="G7" i="2"/>
  <c r="H23" i="2"/>
  <c r="H24" i="2"/>
  <c r="H26" i="2"/>
  <c r="H13" i="2"/>
  <c r="H42" i="2"/>
  <c r="H27" i="2"/>
  <c r="H29" i="2"/>
  <c r="H10" i="2"/>
  <c r="H35" i="2"/>
  <c r="H34" i="2"/>
  <c r="G3" i="2"/>
  <c r="G5" i="2"/>
  <c r="G42" i="2"/>
  <c r="G40" i="2"/>
  <c r="G38" i="2"/>
  <c r="G36" i="2"/>
  <c r="G34" i="2"/>
  <c r="G32" i="2"/>
  <c r="G30" i="2"/>
  <c r="G28" i="2"/>
  <c r="G26" i="2"/>
  <c r="G24" i="2"/>
  <c r="G22" i="2"/>
  <c r="G20" i="2"/>
  <c r="G18" i="2"/>
  <c r="G16" i="2"/>
  <c r="G14" i="2"/>
  <c r="G12" i="2"/>
  <c r="G10" i="2"/>
  <c r="G8" i="2"/>
  <c r="C122" i="1"/>
  <c r="C77" i="1"/>
  <c r="C86" i="1" s="1"/>
  <c r="C81" i="1"/>
  <c r="N43" i="2"/>
  <c r="N38" i="2"/>
  <c r="N35" i="2"/>
  <c r="N23" i="2"/>
  <c r="N8" i="2"/>
  <c r="N11" i="2"/>
  <c r="N5" i="2"/>
  <c r="N41" i="2"/>
  <c r="N42" i="2"/>
  <c r="N19" i="2"/>
  <c r="N25" i="2"/>
  <c r="N24" i="2"/>
  <c r="N28" i="2"/>
  <c r="N32" i="2"/>
  <c r="N10" i="2"/>
  <c r="N30" i="2"/>
  <c r="N31" i="2"/>
  <c r="N37" i="2"/>
  <c r="N36" i="2"/>
  <c r="N18" i="2"/>
  <c r="N7" i="2"/>
  <c r="N29" i="2"/>
  <c r="N17" i="2"/>
  <c r="N21" i="2"/>
  <c r="N20" i="2"/>
  <c r="N34" i="2"/>
  <c r="N22" i="2"/>
  <c r="N33" i="2"/>
  <c r="N40" i="2"/>
  <c r="N15" i="2"/>
  <c r="N4" i="2"/>
  <c r="N16" i="2"/>
  <c r="N12" i="2"/>
  <c r="N9" i="2"/>
  <c r="N13" i="2"/>
  <c r="M3" i="2"/>
  <c r="M4" i="2"/>
  <c r="M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L44" i="1"/>
  <c r="M44" i="1"/>
  <c r="P43" i="1"/>
  <c r="O44" i="1"/>
  <c r="I44" i="1"/>
  <c r="J44" i="1"/>
  <c r="K44" i="1"/>
  <c r="N44" i="1"/>
  <c r="C38" i="1"/>
  <c r="C76" i="1"/>
  <c r="F34" i="2" s="1"/>
  <c r="V19" i="2"/>
  <c r="V6" i="2"/>
  <c r="V35" i="2"/>
  <c r="N40" i="1"/>
  <c r="M40" i="1"/>
  <c r="N42" i="1"/>
  <c r="O40" i="1"/>
  <c r="H40" i="1"/>
  <c r="O42" i="1"/>
  <c r="K40" i="1"/>
  <c r="J40" i="1"/>
  <c r="P41" i="1"/>
  <c r="L40" i="1"/>
  <c r="I40" i="1"/>
  <c r="C125" i="1"/>
  <c r="C115" i="1"/>
  <c r="C114" i="1"/>
  <c r="V8" i="2"/>
  <c r="V12" i="2"/>
  <c r="V16" i="2"/>
  <c r="V20" i="2"/>
  <c r="V24" i="2"/>
  <c r="V28" i="2"/>
  <c r="V32" i="2"/>
  <c r="V36" i="2"/>
  <c r="V40" i="2"/>
  <c r="V7" i="2"/>
  <c r="V3"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5" i="2"/>
  <c r="U4" i="2"/>
  <c r="U3" i="2"/>
  <c r="V9" i="2"/>
  <c r="V13" i="2"/>
  <c r="V17" i="2"/>
  <c r="V21" i="2"/>
  <c r="V25" i="2"/>
  <c r="V29" i="2"/>
  <c r="V33" i="2"/>
  <c r="V37" i="2"/>
  <c r="V41" i="2"/>
  <c r="U6" i="2"/>
  <c r="V10" i="2"/>
  <c r="V14" i="2"/>
  <c r="V18" i="2"/>
  <c r="V22" i="2"/>
  <c r="V26" i="2"/>
  <c r="V30" i="2"/>
  <c r="V34" i="2"/>
  <c r="V38" i="2"/>
  <c r="V42" i="2"/>
  <c r="V5" i="2"/>
  <c r="V4" i="2"/>
  <c r="V31" i="2"/>
  <c r="V15" i="2"/>
  <c r="V43" i="2"/>
  <c r="V27" i="2"/>
  <c r="V11" i="2"/>
  <c r="C6" i="2"/>
  <c r="D18" i="2"/>
  <c r="D37" i="2"/>
  <c r="D28" i="2"/>
  <c r="D14" i="2"/>
  <c r="D35" i="2"/>
  <c r="D33" i="2"/>
  <c r="D4" i="2"/>
  <c r="D12" i="2"/>
  <c r="D24" i="2"/>
  <c r="D41" i="2"/>
  <c r="D30" i="2"/>
  <c r="D38" i="2"/>
  <c r="D36" i="2"/>
  <c r="D19" i="2"/>
  <c r="D6" i="2"/>
  <c r="D16" i="2"/>
  <c r="D13" i="2"/>
  <c r="D29" i="2"/>
  <c r="D8" i="2"/>
  <c r="D20"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5" i="2"/>
  <c r="C4" i="2"/>
  <c r="C3" i="2"/>
  <c r="D34" i="2"/>
  <c r="D39" i="2"/>
  <c r="D31" i="2"/>
  <c r="D23" i="2"/>
  <c r="D10" i="2"/>
  <c r="D26" i="2"/>
  <c r="D27" i="2"/>
  <c r="D5" i="2"/>
  <c r="D15" i="2"/>
  <c r="D17" i="2"/>
  <c r="D7" i="2"/>
  <c r="D21" i="2"/>
  <c r="D32" i="2"/>
  <c r="D40" i="2"/>
  <c r="D3" i="2"/>
  <c r="D11" i="2"/>
  <c r="D22" i="2"/>
  <c r="D25" i="2"/>
  <c r="D42" i="2"/>
  <c r="D9" i="2"/>
  <c r="D43" i="2"/>
  <c r="V39" i="2"/>
  <c r="V23" i="2"/>
  <c r="C123" i="1" l="1"/>
  <c r="F27" i="2"/>
  <c r="AB27" i="2" s="1"/>
  <c r="AD27" i="2" s="1"/>
  <c r="F17" i="2"/>
  <c r="E36" i="2"/>
  <c r="AA36" i="2" s="1"/>
  <c r="AC36" i="2" s="1"/>
  <c r="E3" i="2"/>
  <c r="AA3" i="2" s="1"/>
  <c r="AC3" i="2" s="1"/>
  <c r="F38" i="2"/>
  <c r="AB38" i="2" s="1"/>
  <c r="AD38" i="2" s="1"/>
  <c r="E23" i="2"/>
  <c r="F14" i="2"/>
  <c r="AB14" i="2" s="1"/>
  <c r="AD14" i="2" s="1"/>
  <c r="F6" i="2"/>
  <c r="AB6" i="2" s="1"/>
  <c r="AD6" i="2" s="1"/>
  <c r="E31" i="2"/>
  <c r="AA31" i="2" s="1"/>
  <c r="AC31" i="2" s="1"/>
  <c r="F24" i="2"/>
  <c r="AB24" i="2" s="1"/>
  <c r="AD24" i="2" s="1"/>
  <c r="E41" i="2"/>
  <c r="AA41" i="2" s="1"/>
  <c r="AC41" i="2" s="1"/>
  <c r="E7" i="2"/>
  <c r="AA7" i="2" s="1"/>
  <c r="AC7" i="2" s="1"/>
  <c r="F23" i="2"/>
  <c r="AB23" i="2" s="1"/>
  <c r="AD23" i="2" s="1"/>
  <c r="F39" i="2"/>
  <c r="AB39" i="2" s="1"/>
  <c r="AD39" i="2" s="1"/>
  <c r="F32" i="2"/>
  <c r="F37" i="2"/>
  <c r="AB37" i="2" s="1"/>
  <c r="AD37" i="2" s="1"/>
  <c r="F7" i="2"/>
  <c r="AB7" i="2" s="1"/>
  <c r="AD7" i="2" s="1"/>
  <c r="F20" i="2"/>
  <c r="AB20" i="2" s="1"/>
  <c r="AD20" i="2" s="1"/>
  <c r="E4" i="2"/>
  <c r="AA4" i="2" s="1"/>
  <c r="AC4" i="2" s="1"/>
  <c r="E40" i="2"/>
  <c r="AA40" i="2" s="1"/>
  <c r="AC40" i="2" s="1"/>
  <c r="E35" i="2"/>
  <c r="AA35" i="2" s="1"/>
  <c r="AC35" i="2" s="1"/>
  <c r="E28" i="2"/>
  <c r="AA28" i="2" s="1"/>
  <c r="AC28" i="2" s="1"/>
  <c r="E21" i="2"/>
  <c r="AA21" i="2" s="1"/>
  <c r="AC21" i="2" s="1"/>
  <c r="E6" i="2"/>
  <c r="AA6" i="2" s="1"/>
  <c r="AC6" i="2" s="1"/>
  <c r="F12" i="2"/>
  <c r="AB12" i="2" s="1"/>
  <c r="AD12" i="2" s="1"/>
  <c r="F40" i="2"/>
  <c r="E33" i="2"/>
  <c r="AA33" i="2" s="1"/>
  <c r="AC33" i="2" s="1"/>
  <c r="F15" i="2"/>
  <c r="AB15" i="2" s="1"/>
  <c r="AD15" i="2" s="1"/>
  <c r="F26" i="2"/>
  <c r="AB26" i="2" s="1"/>
  <c r="AD26" i="2" s="1"/>
  <c r="F4" i="2"/>
  <c r="AB4" i="2" s="1"/>
  <c r="AD4" i="2" s="1"/>
  <c r="F35" i="2"/>
  <c r="AB35" i="2" s="1"/>
  <c r="AD35" i="2" s="1"/>
  <c r="E5" i="2"/>
  <c r="AA5" i="2" s="1"/>
  <c r="AC5" i="2" s="1"/>
  <c r="E39" i="2"/>
  <c r="AA39" i="2" s="1"/>
  <c r="AC39" i="2" s="1"/>
  <c r="E27" i="2"/>
  <c r="E18" i="2"/>
  <c r="AA18" i="2" s="1"/>
  <c r="AC18" i="2" s="1"/>
  <c r="F13" i="2"/>
  <c r="AB13" i="2" s="1"/>
  <c r="AD13" i="2" s="1"/>
  <c r="F11" i="2"/>
  <c r="AB11" i="2" s="1"/>
  <c r="AD11" i="2" s="1"/>
  <c r="F42" i="2"/>
  <c r="AB42" i="2" s="1"/>
  <c r="AD42" i="2" s="1"/>
  <c r="F33" i="2"/>
  <c r="AB33" i="2" s="1"/>
  <c r="AD33" i="2" s="1"/>
  <c r="F19" i="2"/>
  <c r="AB19" i="2" s="1"/>
  <c r="AD19" i="2" s="1"/>
  <c r="F10" i="2"/>
  <c r="AB10" i="2" s="1"/>
  <c r="AD10" i="2" s="1"/>
  <c r="F21" i="2"/>
  <c r="E43" i="2"/>
  <c r="AA43" i="2" s="1"/>
  <c r="AC43" i="2" s="1"/>
  <c r="E37" i="2"/>
  <c r="AA37" i="2" s="1"/>
  <c r="AC37" i="2" s="1"/>
  <c r="E32" i="2"/>
  <c r="AA32" i="2" s="1"/>
  <c r="AC32" i="2" s="1"/>
  <c r="E25" i="2"/>
  <c r="E9" i="2"/>
  <c r="AA9" i="2" s="1"/>
  <c r="AC9" i="2" s="1"/>
  <c r="F22" i="2"/>
  <c r="AB22" i="2" s="1"/>
  <c r="AD22" i="2" s="1"/>
  <c r="F8" i="2"/>
  <c r="AB8" i="2" s="1"/>
  <c r="AD8" i="2" s="1"/>
  <c r="E42" i="2"/>
  <c r="E38" i="2"/>
  <c r="AA38" i="2" s="1"/>
  <c r="AC38" i="2" s="1"/>
  <c r="E34" i="2"/>
  <c r="AA34" i="2" s="1"/>
  <c r="AC34" i="2" s="1"/>
  <c r="E29" i="2"/>
  <c r="AA29" i="2" s="1"/>
  <c r="AC29" i="2" s="1"/>
  <c r="E24" i="2"/>
  <c r="AA24" i="2" s="1"/>
  <c r="AC24" i="2" s="1"/>
  <c r="E16" i="2"/>
  <c r="AA16" i="2" s="1"/>
  <c r="AC16" i="2" s="1"/>
  <c r="E14" i="2"/>
  <c r="AA14" i="2" s="1"/>
  <c r="AC14" i="2" s="1"/>
  <c r="E20" i="2"/>
  <c r="AA20" i="2" s="1"/>
  <c r="AC20" i="2" s="1"/>
  <c r="E13" i="2"/>
  <c r="AA13" i="2" s="1"/>
  <c r="AC13" i="2" s="1"/>
  <c r="E30" i="2"/>
  <c r="AA30" i="2" s="1"/>
  <c r="AC30" i="2" s="1"/>
  <c r="E26" i="2"/>
  <c r="AA26" i="2" s="1"/>
  <c r="AC26" i="2" s="1"/>
  <c r="E22" i="2"/>
  <c r="AA22" i="2" s="1"/>
  <c r="AC22" i="2" s="1"/>
  <c r="E17" i="2"/>
  <c r="AA17" i="2" s="1"/>
  <c r="AC17" i="2" s="1"/>
  <c r="E11" i="2"/>
  <c r="AA11" i="2" s="1"/>
  <c r="AC11" i="2" s="1"/>
  <c r="E19" i="2"/>
  <c r="AA19" i="2" s="1"/>
  <c r="AC19" i="2" s="1"/>
  <c r="E15" i="2"/>
  <c r="AA15" i="2" s="1"/>
  <c r="AC15" i="2" s="1"/>
  <c r="E10" i="2"/>
  <c r="AA10" i="2" s="1"/>
  <c r="AC10" i="2" s="1"/>
  <c r="F31" i="2"/>
  <c r="AB31" i="2" s="1"/>
  <c r="AD31" i="2" s="1"/>
  <c r="F30" i="2"/>
  <c r="AB30" i="2" s="1"/>
  <c r="AD30" i="2" s="1"/>
  <c r="F41" i="2"/>
  <c r="AB41" i="2" s="1"/>
  <c r="AD41" i="2" s="1"/>
  <c r="E12" i="2"/>
  <c r="AA12" i="2" s="1"/>
  <c r="AC12" i="2" s="1"/>
  <c r="E8" i="2"/>
  <c r="AA8" i="2" s="1"/>
  <c r="AC8" i="2" s="1"/>
  <c r="F9" i="2"/>
  <c r="AB9" i="2" s="1"/>
  <c r="AD9" i="2" s="1"/>
  <c r="F36" i="2"/>
  <c r="AB36" i="2" s="1"/>
  <c r="AD36" i="2" s="1"/>
  <c r="F5" i="2"/>
  <c r="AB5" i="2" s="1"/>
  <c r="AD5" i="2" s="1"/>
  <c r="AB32" i="2"/>
  <c r="AD32" i="2" s="1"/>
  <c r="F18" i="2"/>
  <c r="AB18" i="2" s="1"/>
  <c r="AD18" i="2" s="1"/>
  <c r="F16" i="2"/>
  <c r="AB16" i="2" s="1"/>
  <c r="AD16" i="2" s="1"/>
  <c r="AA27" i="2"/>
  <c r="AC27" i="2" s="1"/>
  <c r="AA23" i="2"/>
  <c r="AC23" i="2" s="1"/>
  <c r="AA42" i="2"/>
  <c r="AC42" i="2" s="1"/>
  <c r="AA25" i="2"/>
  <c r="AC25" i="2" s="1"/>
  <c r="F29" i="2"/>
  <c r="AB29" i="2" s="1"/>
  <c r="AD29" i="2" s="1"/>
  <c r="F28" i="2"/>
  <c r="AB28" i="2" s="1"/>
  <c r="AD28" i="2" s="1"/>
  <c r="F43" i="2"/>
  <c r="AB43" i="2" s="1"/>
  <c r="AD43" i="2" s="1"/>
  <c r="F25" i="2"/>
  <c r="AB25" i="2" s="1"/>
  <c r="AD25" i="2" s="1"/>
  <c r="F3" i="2"/>
  <c r="AB3" i="2" s="1"/>
  <c r="AD3" i="2" s="1"/>
  <c r="AB34" i="2"/>
  <c r="AD34" i="2" s="1"/>
  <c r="AB40" i="2"/>
  <c r="AD40" i="2" s="1"/>
  <c r="AB17" i="2"/>
  <c r="AD17" i="2" s="1"/>
  <c r="AB21" i="2"/>
  <c r="AD21" i="2" s="1"/>
</calcChain>
</file>

<file path=xl/sharedStrings.xml><?xml version="1.0" encoding="utf-8"?>
<sst xmlns="http://schemas.openxmlformats.org/spreadsheetml/2006/main" count="460" uniqueCount="355">
  <si>
    <t>Vin</t>
  </si>
  <si>
    <t>I(Lrms)</t>
  </si>
  <si>
    <t>f(sw)</t>
  </si>
  <si>
    <t>V</t>
  </si>
  <si>
    <t>A</t>
  </si>
  <si>
    <t>H</t>
  </si>
  <si>
    <t>Hz</t>
  </si>
  <si>
    <t>I(Lpeak)</t>
  </si>
  <si>
    <t>s</t>
  </si>
  <si>
    <t>F</t>
  </si>
  <si>
    <t>mW</t>
  </si>
  <si>
    <t>K</t>
  </si>
  <si>
    <t>Vin(min)</t>
  </si>
  <si>
    <t>Vin(max)</t>
  </si>
  <si>
    <t>Inductor maximum RMS current</t>
  </si>
  <si>
    <t>Inductor series resistance per inductor datasheet</t>
  </si>
  <si>
    <t>Typical switching frequency</t>
  </si>
  <si>
    <t>L1 actual</t>
  </si>
  <si>
    <t>Includes losses from DC resistance drop only</t>
  </si>
  <si>
    <t>Arms</t>
  </si>
  <si>
    <t>Vpp</t>
  </si>
  <si>
    <t>DCR of L1</t>
  </si>
  <si>
    <t>The equivalent output capacitor current ripple spec must be higher than this value.</t>
  </si>
  <si>
    <t>Units</t>
  </si>
  <si>
    <t>Value</t>
  </si>
  <si>
    <t>Description</t>
  </si>
  <si>
    <t>Instructions/Comments</t>
  </si>
  <si>
    <t>f(BW) desired</t>
  </si>
  <si>
    <t>Ω</t>
  </si>
  <si>
    <t>Estimate of body diode voltage of the HSFET</t>
  </si>
  <si>
    <t>HSFET on-resistance</t>
  </si>
  <si>
    <t>Vout</t>
  </si>
  <si>
    <t>effective output capacitance. Need to consider the derating with DC bias voltage when using ceramic cap</t>
  </si>
  <si>
    <t>Should be less than 1/5*fzRPH and 1/10*fsw</t>
  </si>
  <si>
    <t>&lt;=36V</t>
  </si>
  <si>
    <t>Switching frequency setting resistor</t>
  </si>
  <si>
    <t>R2 recommended</t>
  </si>
  <si>
    <t>The equivalent input capacitor current ripple spec must be higher than this value</t>
  </si>
  <si>
    <t>Minimum output capacitance needed for Vout ripple requirement</t>
  </si>
  <si>
    <t>This tool is designed to aid the user in designing the TPS55288 buck-boost converter. Refer to TPS55288 datasheet for detail design precedure and all equations.</t>
  </si>
  <si>
    <t>Internal</t>
  </si>
  <si>
    <t>Efficiency estimate. Correct it after getting the calculated efficiency</t>
  </si>
  <si>
    <t>Schematic</t>
  </si>
  <si>
    <t>Component Value</t>
  </si>
  <si>
    <t>No use or internal value</t>
  </si>
  <si>
    <t>Calculated value</t>
  </si>
  <si>
    <t>Select internal feedback or external feedback</t>
  </si>
  <si>
    <t>Register Setting</t>
  </si>
  <si>
    <t>Output current limit setting</t>
  </si>
  <si>
    <t>R1</t>
  </si>
  <si>
    <t>Output current sensing resistor</t>
  </si>
  <si>
    <t>Register 02H</t>
  </si>
  <si>
    <t>Hex</t>
  </si>
  <si>
    <t>Register 02H value for current setting. Iout(max)*R1 must be less than 63.5mV</t>
  </si>
  <si>
    <t>R7</t>
  </si>
  <si>
    <t>R8 recommended</t>
  </si>
  <si>
    <t>VCC</t>
  </si>
  <si>
    <t>I2C address</t>
  </si>
  <si>
    <t>Select I2C slave address</t>
  </si>
  <si>
    <t>Vout(max)</t>
  </si>
  <si>
    <t>R6</t>
  </si>
  <si>
    <t>Ω</t>
  </si>
  <si>
    <t>Mode setting resistor</t>
  </si>
  <si>
    <t>FPWM</t>
  </si>
  <si>
    <t>Maximum desired input ripple due to solely to input capacitance at buck mode</t>
  </si>
  <si>
    <t>Cin(min) recommended</t>
  </si>
  <si>
    <t>Cout(min) recommended</t>
  </si>
  <si>
    <t>Cin actual</t>
  </si>
  <si>
    <t>Iout(max)</t>
  </si>
  <si>
    <t>Boost LSFET Rdson</t>
  </si>
  <si>
    <t>Boost LSFET fall time</t>
  </si>
  <si>
    <t>Boost LSFET rise time</t>
  </si>
  <si>
    <t>Boost HSFET Rdson</t>
  </si>
  <si>
    <t>Boost HSFET dead time</t>
  </si>
  <si>
    <t>Boost HSFET diode voltage</t>
  </si>
  <si>
    <t>Buck HSFET Rdson</t>
  </si>
  <si>
    <t>Buck HSFET rise time</t>
  </si>
  <si>
    <t>Buck HSFET fall time</t>
  </si>
  <si>
    <t>Buck LSFET Rdson</t>
  </si>
  <si>
    <t>Buck LSFET dead time</t>
  </si>
  <si>
    <t>Buck LSFET diode voltage</t>
  </si>
  <si>
    <t>TPS55288 temperature rise</t>
  </si>
  <si>
    <t>Buck HSFET Qg</t>
  </si>
  <si>
    <t>C</t>
  </si>
  <si>
    <t>Buck LSFET Qg</t>
  </si>
  <si>
    <t>Total Qg at Vgs=5V</t>
  </si>
  <si>
    <t>°C</t>
  </si>
  <si>
    <t>Dead time during the switching</t>
  </si>
  <si>
    <t>R5 recommended</t>
  </si>
  <si>
    <t>TPS55288 Pd</t>
  </si>
  <si>
    <t>Inductor DCR Pd</t>
  </si>
  <si>
    <t>Iout(limit)</t>
  </si>
  <si>
    <t>Maximum output current</t>
  </si>
  <si>
    <t>Frequency dithering f(mod)</t>
  </si>
  <si>
    <t>Modulation frequency for spread spectrum</t>
  </si>
  <si>
    <t>C8 recommended</t>
  </si>
  <si>
    <t>Switching Mode at light load</t>
  </si>
  <si>
    <t>User input value</t>
  </si>
  <si>
    <t>Select internal VCC or use external VCC power supply</t>
  </si>
  <si>
    <t>&gt;=2.7V</t>
  </si>
  <si>
    <t>Select Forced PWM or Auto PFM mode at light load</t>
  </si>
  <si>
    <t>Minimum input capacitance needed for Vin ripple requirement</t>
  </si>
  <si>
    <t>L1's minimum recommended inductance value to meet inductor current ripple ratio at boost mode with Vin_min</t>
  </si>
  <si>
    <t>Fraction of maximum average inductor current that is ripple current (0.2-0.6 typically)</t>
  </si>
  <si>
    <t>Internal CDC when using internal Vout feedback. External CDC when using external Vout feedback.</t>
  </si>
  <si>
    <t>CDC compensation selection</t>
  </si>
  <si>
    <t>Internal CDC voltage ratio</t>
  </si>
  <si>
    <t>External CDC voltage ratio</t>
  </si>
  <si>
    <t>ΔVout / (VISP-VISN)</t>
  </si>
  <si>
    <t>mV/mV</t>
  </si>
  <si>
    <t>R3 recommended</t>
  </si>
  <si>
    <t>C7 recommended</t>
  </si>
  <si>
    <t>C7 actual</t>
  </si>
  <si>
    <t>C6 recommended</t>
  </si>
  <si>
    <t>C6 actual</t>
  </si>
  <si>
    <t>R4 recommend</t>
  </si>
  <si>
    <t>Recommended R4 for external CDC setting</t>
  </si>
  <si>
    <t>L1 recommended min</t>
  </si>
  <si>
    <t>fz_comp gain</t>
  </si>
  <si>
    <t>fz_comp phase</t>
  </si>
  <si>
    <t>fzRHP gain</t>
  </si>
  <si>
    <t>fzRHP phase</t>
  </si>
  <si>
    <t>fp1 gain</t>
  </si>
  <si>
    <t>fp1 phase</t>
  </si>
  <si>
    <t>fz_ESR gain</t>
  </si>
  <si>
    <t>fz_ESR phase</t>
  </si>
  <si>
    <t>fp_comp1 gain</t>
  </si>
  <si>
    <t>fp_comp1 phase</t>
  </si>
  <si>
    <t>fp_comp2 gain</t>
  </si>
  <si>
    <t>fp_comp2 phase</t>
  </si>
  <si>
    <t>R3 actual</t>
  </si>
  <si>
    <t>b7</t>
  </si>
  <si>
    <t>b6</t>
  </si>
  <si>
    <t>b5</t>
  </si>
  <si>
    <t>b4</t>
  </si>
  <si>
    <t>b3</t>
  </si>
  <si>
    <t>b2</t>
  </si>
  <si>
    <t>b1</t>
  </si>
  <si>
    <t>b0</t>
  </si>
  <si>
    <t>00H</t>
  </si>
  <si>
    <t>01H</t>
  </si>
  <si>
    <t>02H</t>
  </si>
  <si>
    <t>03H</t>
  </si>
  <si>
    <t>04H</t>
  </si>
  <si>
    <t>05H</t>
  </si>
  <si>
    <t>06H</t>
  </si>
  <si>
    <t>07H</t>
  </si>
  <si>
    <t>Address</t>
  </si>
  <si>
    <t>Equivalent ESR if multiple high ESR electrolytic capacitors in parallel</t>
  </si>
  <si>
    <t>fp2 gain</t>
  </si>
  <si>
    <t>fp2 phase</t>
  </si>
  <si>
    <t>°C/W</t>
  </si>
  <si>
    <t>Rsense Pd</t>
  </si>
  <si>
    <t>Capacitance of snubber at boost side</t>
  </si>
  <si>
    <t>Boost snubber Csnubber</t>
  </si>
  <si>
    <t>Rpcb on power path</t>
  </si>
  <si>
    <t>Rpcb Pd</t>
  </si>
  <si>
    <t>C2 actual</t>
  </si>
  <si>
    <t>C3 actual</t>
  </si>
  <si>
    <t>fp_current phase</t>
  </si>
  <si>
    <t>fp_current gain</t>
  </si>
  <si>
    <t>S</t>
  </si>
  <si>
    <t>Error amplifier gm</t>
  </si>
  <si>
    <t>Power stage gm of IL/Vcomp</t>
  </si>
  <si>
    <t>Effective electrolytic capacitance. Need to consider the derating with DC bias voltage</t>
  </si>
  <si>
    <t>Power losses on PCB trace</t>
  </si>
  <si>
    <t>Power Stage</t>
  </si>
  <si>
    <t>Current Close Loop</t>
  </si>
  <si>
    <t>fz_current gain</t>
  </si>
  <si>
    <t>fz_current phase</t>
  </si>
  <si>
    <t>Voltage Open Loop</t>
  </si>
  <si>
    <t>signal frequency</t>
  </si>
  <si>
    <t>loop gain (w/ comp2)</t>
  </si>
  <si>
    <t>loop gain (no comp2)</t>
  </si>
  <si>
    <t>loop phase (no comp2)</t>
  </si>
  <si>
    <t>loop phase (w/ comp2)</t>
  </si>
  <si>
    <t>Frequency</t>
  </si>
  <si>
    <t>Rca</t>
  </si>
  <si>
    <t>Cca</t>
  </si>
  <si>
    <t>gm_ca</t>
  </si>
  <si>
    <t>Vm</t>
  </si>
  <si>
    <t>Inner current loop specifications</t>
  </si>
  <si>
    <t>PCB trace resistance on power path from Vin to Vout cap</t>
  </si>
  <si>
    <t>Buck or Boost?</t>
  </si>
  <si>
    <t>Right half plane zero in boost mode</t>
  </si>
  <si>
    <t>ESR zero of the output cap</t>
  </si>
  <si>
    <t>Power stage pole of Rload and Cout</t>
  </si>
  <si>
    <t>Bode Plot</t>
  </si>
  <si>
    <t>fp_filter gain</t>
  </si>
  <si>
    <t>fp_filter phase</t>
  </si>
  <si>
    <t>fp_comp3 gain</t>
  </si>
  <si>
    <t>fp_comp3 phase</t>
  </si>
  <si>
    <t>FB Input Filter</t>
  </si>
  <si>
    <t>COMP Output Buffer</t>
  </si>
  <si>
    <t>Voltage Loop Compensation (COMP)</t>
  </si>
  <si>
    <t>Register VREF</t>
  </si>
  <si>
    <t>Register 00H and 01H value for Vref</t>
  </si>
  <si>
    <t>Register Name</t>
  </si>
  <si>
    <t>VREF_L</t>
  </si>
  <si>
    <t>VREF_H</t>
  </si>
  <si>
    <t>I_LIMIT</t>
  </si>
  <si>
    <t>Enable Output current limit</t>
  </si>
  <si>
    <t>Enable output current limit</t>
  </si>
  <si>
    <t>Enable</t>
  </si>
  <si>
    <t>Reserved</t>
  </si>
  <si>
    <t>VOUT_FS</t>
  </si>
  <si>
    <t>HEX Value</t>
  </si>
  <si>
    <t>SCP</t>
  </si>
  <si>
    <t>OCP</t>
  </si>
  <si>
    <t>OVP</t>
  </si>
  <si>
    <t>STATUS</t>
  </si>
  <si>
    <t>STATUS0</t>
  </si>
  <si>
    <t>STATUS1</t>
  </si>
  <si>
    <t>Calculate open loop compensate at buck mode or boost mode</t>
  </si>
  <si>
    <t>MODE</t>
  </si>
  <si>
    <t>CDC</t>
  </si>
  <si>
    <t>Enable OVP indication</t>
  </si>
  <si>
    <t>Enable OCP indication</t>
  </si>
  <si>
    <t>Enable SCP indication</t>
  </si>
  <si>
    <t>Enable or disable the output short circuit indication</t>
  </si>
  <si>
    <t>Enable or disable the output over current indication</t>
  </si>
  <si>
    <t>Enable or disable the output over voltage indication</t>
  </si>
  <si>
    <t>VOUT_SR</t>
  </si>
  <si>
    <t>OCP delay time</t>
  </si>
  <si>
    <t>VOUT change slew rate</t>
  </si>
  <si>
    <t>Set the output current limit response time</t>
  </si>
  <si>
    <t>Set the output voltage change slew rate during vPPS</t>
  </si>
  <si>
    <t>ms</t>
  </si>
  <si>
    <t>V/ms</t>
  </si>
  <si>
    <t>OE</t>
  </si>
  <si>
    <t>FSWDBL</t>
  </si>
  <si>
    <t>HICCUP</t>
  </si>
  <si>
    <t>DISCHG</t>
  </si>
  <si>
    <t>VCCSEL</t>
  </si>
  <si>
    <t>I2CADD</t>
  </si>
  <si>
    <t>MODEST</t>
  </si>
  <si>
    <t>PFMSEL</t>
  </si>
  <si>
    <t>OFF -0</t>
  </si>
  <si>
    <t>DIS -0</t>
  </si>
  <si>
    <t>ENA -1</t>
  </si>
  <si>
    <t>INT -0</t>
  </si>
  <si>
    <t>74H -0</t>
  </si>
  <si>
    <t>PFM -0</t>
  </si>
  <si>
    <t>EXT -0</t>
  </si>
  <si>
    <t>VREF[7]</t>
  </si>
  <si>
    <t>VREF[6]</t>
  </si>
  <si>
    <t>VREF[5]</t>
  </si>
  <si>
    <t>VREF[4]</t>
  </si>
  <si>
    <t>VREF[3]</t>
  </si>
  <si>
    <t>VREF[2]</t>
  </si>
  <si>
    <t>VREF[1]</t>
  </si>
  <si>
    <t>VREF[0]</t>
  </si>
  <si>
    <t>VREF[9]</t>
  </si>
  <si>
    <t>VREF[8]</t>
  </si>
  <si>
    <t>ILIM_EN</t>
  </si>
  <si>
    <t>I_LIM[6]</t>
  </si>
  <si>
    <t>I_LIM[5]</t>
  </si>
  <si>
    <t>I_LIM[4]</t>
  </si>
  <si>
    <t>I_LIM[3]</t>
  </si>
  <si>
    <t>I_LIM[2]</t>
  </si>
  <si>
    <t>I_LIM[1]</t>
  </si>
  <si>
    <t>I_LIM[0]</t>
  </si>
  <si>
    <t>OCPD[1]</t>
  </si>
  <si>
    <t>OCPD[0]</t>
  </si>
  <si>
    <t>VOSR[1]</t>
  </si>
  <si>
    <t>VOSR[0]</t>
  </si>
  <si>
    <t>CDC[2]</t>
  </si>
  <si>
    <t>CDC[1]</t>
  </si>
  <si>
    <t>CDC[0]</t>
  </si>
  <si>
    <t>INTCDC</t>
  </si>
  <si>
    <t>FBSEL</t>
  </si>
  <si>
    <t>SCMASK</t>
  </si>
  <si>
    <t>OCMASK</t>
  </si>
  <si>
    <t>OVMASK</t>
  </si>
  <si>
    <t>INTFB[1]</t>
  </si>
  <si>
    <t>INTFB[0]</t>
  </si>
  <si>
    <t>Buck snubber Csnubber</t>
  </si>
  <si>
    <t>Snubber Pd</t>
  </si>
  <si>
    <t>Inductor core &amp; AC Pd</t>
  </si>
  <si>
    <t>I(Lrms) max</t>
  </si>
  <si>
    <t>Inductor RMS current</t>
  </si>
  <si>
    <t>I(Lpeak) max</t>
  </si>
  <si>
    <t>I(Lvalley) max</t>
  </si>
  <si>
    <t>Inductor peak current</t>
  </si>
  <si>
    <t>Inductor valley current</t>
  </si>
  <si>
    <t>Efficiency at Iout_max</t>
  </si>
  <si>
    <t>COMP pin has internal 2k resistor in seriese with R3</t>
  </si>
  <si>
    <t>Design Tool for TPS55288</t>
  </si>
  <si>
    <t>Bottom resistor value of the external feedback resistor divider</t>
  </si>
  <si>
    <t>ESR of C3</t>
  </si>
  <si>
    <t>Current S/H phase</t>
  </si>
  <si>
    <t>Current S/H gain</t>
  </si>
  <si>
    <t>Effective ceramic capacitance at VOUT. Need to consider the derating with DC bias voltage</t>
  </si>
  <si>
    <t>Unit</t>
  </si>
  <si>
    <t>THIS PROGRAM IS PROVIDED "AS IS". TI MAKES NO WARRANTIES OR REPRESENTATIONS, EITHER EXPRESS, IMPLIED OR STATUTORY, INCLUDING ANY IMPLIED WARRANTIES OF MERCHANTABILITY, FITNESS FOR A PARTICULAR PURPOSE, LACK OF VIRUSES, ACCURACY OR COMPLETENESS OF RESPONSES, RESULTS AND LACK OF NEGLIGENCE. TI DISCLAIMS ANY WARRANTY OF TITLE, QUIET ENJOYMENT, QUIET POSSESSION, AND NON-INFRINGEMENT OF ANY THIRD PARTY INTELLECTUAL PROPERTY RIGHTS WITH REGARD TO THE PROGRAM OR YOUR USE OF THE PROGRAM.</t>
  </si>
  <si>
    <t>IN NO EVENT SHALL TI BE LIABLE FOR ANY SPECIAL, INCIDENTAL, CONSEQUENTIAL OR INDIRECT DAMAGES, HOWEVER CAUSED, ON ANY THEORY OF LIABILITY AND WHETHER OR NOT TI HAS BEEN ADVISED OF THE POSSIBILITY OF SUCH DAMAGES, ARISING IN ANY WAY OUT OF THIS AGREEMENT, THE PROGRAM, OR YOUR USE OF THE PROGRAM.  EXCLUDED DAMAGES INCLUDE, BUT ARE NOT LIMITED TO, COST OF REMOVAL OR REINSTALLATION, COMPUTER TIME, LABOR COSTS, LOSS OF GOODWILL, LOSS OF PROFITS, LOSS OF SAVINGS, OR LOSS OF USE OR INTERRUPTION OF BUSINESS. IN NO EVENT WILL TI'S AGGREGATE LIABILITY UNDER THIS AGREEMENT OR ARISING OUT OF YOUR USE OF THE PROGRAM EXCEED FIVE HUNDRED DOLLARS (U.S.$500).</t>
  </si>
  <si>
    <t>Unless otherwise stated, the Program written and copyrighted by Texas Instruments is distributed as "freeware".  You may, only under TI's copyright in the Program, use and modify the Program without any charge or restriction.  You may distribute to third parties, provided that you transfer a copy of this license to the third party and the third party agrees to these terms by its first use of the Program. You must reproduce the copyright notice and any other legend of ownership on each copy or partial copy, of the Program.</t>
  </si>
  <si>
    <t>You acknowledge and agree that the Program contains copyrighted material, trade secrets and other TI proprietary information and is protected by copyright laws, international copyright treaties, and trade secret laws, as well as other intellectual property laws.  To protect TI's rights in the Program, you agree not to decompile, reverse engineer, disassemble or otherwise translate any object code versions of the Program to a human-readable form.  You agree that in no event will you alter, remove or destroy any copyright notice included in the Program.  TI reserves all rights not specifically granted under this license. Except as specifically provided herein, nothing in this agreement shall be construed as conferring by implication, estoppel, or otherwise, upon you, any license or other right under any TI patents, copyrights or trade secrets.</t>
  </si>
  <si>
    <t>Buck LSFET Qrr</t>
  </si>
  <si>
    <t>Reverse recovery charge of the low side FET</t>
  </si>
  <si>
    <t>LSFET on-resistance in TPS55288 is 7.1mΩ at 25°C. Temperature coefficient is 0.4%/°C. Correct it when at high Tj</t>
  </si>
  <si>
    <t>Loop Compensation Calculation in FPWM CCM mode</t>
  </si>
  <si>
    <t>Have internal 3pF cap between COMP and GND</t>
  </si>
  <si>
    <t>Check both buck and boost mode by changing Vin and Vout. The loop must have enough phase margin and gain margin</t>
  </si>
  <si>
    <t>Maximum desired output ripple solely due to output capacitance (ignores ESR)</t>
  </si>
  <si>
    <t>Average Inductor Limit</t>
  </si>
  <si>
    <t>Capacitance of snubber at buck side</t>
  </si>
  <si>
    <t>Cout Pd</t>
  </si>
  <si>
    <t>Power loss on output current sense resistor</t>
  </si>
  <si>
    <t>Power loss on snubber</t>
  </si>
  <si>
    <t>Power loss on ESR of the output capacitor in boost mode</t>
  </si>
  <si>
    <t>Vin for efficiency estimation at desired Vout and Iout(max)</t>
  </si>
  <si>
    <t>Estimate of SW1 node 10-90% rise time from measurement</t>
  </si>
  <si>
    <t>Estimate of SW1 node 10-90% fall time from measurement</t>
  </si>
  <si>
    <r>
      <t>Up resistor value of the extenral feedback resistor value. It is recommended to 100k</t>
    </r>
    <r>
      <rPr>
        <sz val="10"/>
        <rFont val="Arial"/>
        <family val="2"/>
      </rPr>
      <t>Ω</t>
    </r>
  </si>
  <si>
    <r>
      <t>m</t>
    </r>
    <r>
      <rPr>
        <sz val="10"/>
        <rFont val="Arial"/>
        <family val="2"/>
      </rPr>
      <t>Ω</t>
    </r>
  </si>
  <si>
    <r>
      <rPr>
        <sz val="10"/>
        <rFont val="Arial"/>
        <family val="2"/>
      </rPr>
      <t>ΔIin(Cin_rms)</t>
    </r>
  </si>
  <si>
    <r>
      <rPr>
        <sz val="10"/>
        <rFont val="Arial"/>
        <family val="2"/>
      </rPr>
      <t>ΔVin(pk-pk)</t>
    </r>
  </si>
  <si>
    <r>
      <t>HSFET on-resistance in TPS55288 is 7.6m</t>
    </r>
    <r>
      <rPr>
        <sz val="10"/>
        <rFont val="Arial"/>
        <family val="2"/>
      </rPr>
      <t>Ω at 25°C. Temperature coefficient is 0.4%/°C. Correct it when at high Tj</t>
    </r>
  </si>
  <si>
    <r>
      <rPr>
        <sz val="10"/>
        <rFont val="Arial"/>
        <family val="2"/>
      </rPr>
      <t>ΘJA</t>
    </r>
  </si>
  <si>
    <r>
      <t>TPS55288 junction to ambient thermal resistance on EVM. The actual ΘJA depends on the PCB d</t>
    </r>
    <r>
      <rPr>
        <sz val="10"/>
        <rFont val="Arial"/>
        <family val="2"/>
      </rPr>
      <t xml:space="preserve">esign. </t>
    </r>
  </si>
  <si>
    <r>
      <t xml:space="preserve">The top case temperature of IC is very close to the Junction temperature because </t>
    </r>
    <r>
      <rPr>
        <sz val="10"/>
        <rFont val="Arial"/>
        <family val="2"/>
      </rPr>
      <t>ΨJT=0.6°C/W</t>
    </r>
  </si>
  <si>
    <r>
      <rPr>
        <sz val="10"/>
        <rFont val="Calibri"/>
        <family val="2"/>
      </rPr>
      <t>Δ</t>
    </r>
    <r>
      <rPr>
        <sz val="10"/>
        <rFont val="Arial"/>
        <family val="2"/>
      </rPr>
      <t>Iout(Cout_rms)</t>
    </r>
  </si>
  <si>
    <r>
      <rPr>
        <sz val="10"/>
        <rFont val="Calibri"/>
        <family val="2"/>
      </rPr>
      <t>Δ</t>
    </r>
    <r>
      <rPr>
        <sz val="10"/>
        <rFont val="Arial"/>
        <family val="2"/>
      </rPr>
      <t>Vout(pk-pk)</t>
    </r>
  </si>
  <si>
    <t>Power loss on TPS55288</t>
  </si>
  <si>
    <t>Estimate of SW node 10-90% rise time from measurement</t>
  </si>
  <si>
    <t>Estimate of SW node 10-90% fall time from measurement</t>
  </si>
  <si>
    <r>
      <rPr>
        <sz val="10"/>
        <rFont val="Calibri"/>
        <family val="2"/>
      </rPr>
      <t>η</t>
    </r>
    <r>
      <rPr>
        <sz val="10"/>
        <rFont val="Arial"/>
        <family val="2"/>
      </rPr>
      <t xml:space="preserve"> estimate</t>
    </r>
  </si>
  <si>
    <r>
      <rPr>
        <sz val="10"/>
        <rFont val="Calibri"/>
        <family val="2"/>
      </rPr>
      <t>η</t>
    </r>
    <r>
      <rPr>
        <sz val="10"/>
        <rFont val="Arial"/>
        <family val="2"/>
      </rPr>
      <t xml:space="preserve"> - calculated</t>
    </r>
  </si>
  <si>
    <t>I(Lvalley)</t>
  </si>
  <si>
    <t>The inductor (L1) is recommended to have saturation current rating 30% higher than this value.</t>
  </si>
  <si>
    <t>External</t>
  </si>
  <si>
    <t>Efficiency in buck CCM mode or boost CCM mode with maximum Iout</t>
  </si>
  <si>
    <t>fp_PS</t>
  </si>
  <si>
    <t>gm_PS</t>
  </si>
  <si>
    <t>gm_EA</t>
  </si>
  <si>
    <t>fz_COMP</t>
  </si>
  <si>
    <t>fz_RHP</t>
  </si>
  <si>
    <t>fz_ESR</t>
  </si>
  <si>
    <t>fp2_COMP</t>
  </si>
  <si>
    <t>Loop compensation zero frequency</t>
  </si>
  <si>
    <t>Set the compensation fz = fco/10</t>
  </si>
  <si>
    <t>Output feedback selection</t>
  </si>
  <si>
    <t>V1.0 (06/14/2020)</t>
  </si>
  <si>
    <t>Must be lower than or equal to the 1.063x Vout(max)</t>
  </si>
  <si>
    <t>Buck HSFET Pd</t>
  </si>
  <si>
    <t>Buck LSFET Pd</t>
  </si>
  <si>
    <t>Power loss on buck high side FET</t>
  </si>
  <si>
    <t>Power loss on buck low side FET</t>
  </si>
  <si>
    <t>Buck HSFET Coss</t>
  </si>
  <si>
    <t>HSFET output capacitance when VDS=VIN</t>
  </si>
  <si>
    <t>Core and AC loss of inductor. Use inductor vendor's formula to estimate. 344mW is the power loss of XAL1010-472 running at 400kHz with Ilrms=5.21A and Ilripple=2.55A at 400kHz.</t>
  </si>
  <si>
    <t>The lower zero of the Cout's ESR zero and boost right half plane zero should be cancelled by the R3*(C6*C7/(C6+C7)) pole</t>
  </si>
  <si>
    <t>Desired typical average inductor current limit. ±2.5A tolerance</t>
  </si>
  <si>
    <t>TI Information - Selective Disclosure. You may not use the Program in non-TI devices.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</si>
</sst>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6" formatCode="0.000E+00"/>
    <numFmt numFmtId="167" formatCode="0.0E+00"/>
    <numFmt numFmtId="168" formatCode="0.0000"/>
    <numFmt numFmtId="169" formatCode="#,##0.000"/>
    <numFmt numFmtId="170" formatCode=";;;"/>
  </numFmts>
  <fonts count="12" x14ac:knownFonts="1">
    <font>
      <sz val="10"/>
      <name val="Arial"/>
      <family val="2"/>
    </font>
    <font>
      <sz val="10"/>
      <name val="Arial"/>
      <family val="2"/>
    </font>
    <font>
      <sz val="8"/>
      <name val="Arial"/>
      <family val="2"/>
    </font>
    <font>
      <sz val="10"/>
      <name val="Symbol"/>
      <family val="1"/>
      <charset val="2"/>
    </font>
    <font>
      <sz val="10"/>
      <color indexed="10"/>
      <name val="Arial"/>
      <family val="2"/>
    </font>
    <font>
      <b/>
      <sz val="10"/>
      <name val="Arial"/>
      <family val="2"/>
    </font>
    <font>
      <sz val="10"/>
      <color indexed="53"/>
      <name val="Arial"/>
      <family val="2"/>
    </font>
    <font>
      <b/>
      <sz val="12"/>
      <name val="Arial"/>
      <family val="2"/>
    </font>
    <font>
      <b/>
      <sz val="11"/>
      <name val="Arial"/>
      <family val="2"/>
    </font>
    <font>
      <b/>
      <i/>
      <sz val="10"/>
      <color indexed="53"/>
      <name val="Arial"/>
      <family val="2"/>
    </font>
    <font>
      <sz val="10"/>
      <name val="Calibri"/>
      <family val="2"/>
    </font>
    <font>
      <sz val="10"/>
      <name val="Arial Unicode MS"/>
      <family val="2"/>
    </font>
  </fonts>
  <fills count="11">
    <fill>
      <patternFill patternType="none"/>
    </fill>
    <fill>
      <patternFill patternType="gray125"/>
    </fill>
    <fill>
      <patternFill patternType="solid">
        <fgColor indexed="10"/>
        <bgColor indexed="64"/>
      </patternFill>
    </fill>
    <fill>
      <patternFill patternType="solid">
        <fgColor theme="0"/>
        <bgColor indexed="64"/>
      </patternFill>
    </fill>
    <fill>
      <patternFill patternType="solid">
        <fgColor rgb="FF00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style="thin">
        <color indexed="64"/>
      </top>
      <bottom style="thin">
        <color indexed="64"/>
      </bottom>
      <diagonal/>
    </border>
    <border>
      <left style="thick">
        <color auto="1"/>
      </left>
      <right/>
      <top style="thin">
        <color indexed="64"/>
      </top>
      <bottom style="thin">
        <color indexed="64"/>
      </bottom>
      <diagonal/>
    </border>
    <border>
      <left/>
      <right/>
      <top/>
      <bottom style="thick">
        <color auto="1"/>
      </bottom>
      <diagonal/>
    </border>
    <border>
      <left/>
      <right style="thick">
        <color auto="1"/>
      </right>
      <top/>
      <bottom style="thick">
        <color auto="1"/>
      </bottom>
      <diagonal/>
    </border>
    <border>
      <left style="thin">
        <color indexed="64"/>
      </left>
      <right/>
      <top/>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auto="1"/>
      </left>
      <right style="thin">
        <color indexed="64"/>
      </right>
      <top/>
      <bottom style="thick">
        <color auto="1"/>
      </bottom>
      <diagonal/>
    </border>
    <border>
      <left style="thin">
        <color indexed="64"/>
      </left>
      <right style="thin">
        <color indexed="64"/>
      </right>
      <top/>
      <bottom style="thick">
        <color auto="1"/>
      </bottom>
      <diagonal/>
    </border>
    <border>
      <left style="thick">
        <color auto="1"/>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top style="thick">
        <color auto="1"/>
      </top>
      <bottom/>
      <diagonal/>
    </border>
    <border>
      <left style="thin">
        <color indexed="64"/>
      </left>
      <right/>
      <top/>
      <bottom style="thick">
        <color auto="1"/>
      </bottom>
      <diagonal/>
    </border>
    <border>
      <left/>
      <right style="thin">
        <color indexed="64"/>
      </right>
      <top style="thick">
        <color auto="1"/>
      </top>
      <bottom/>
      <diagonal/>
    </border>
    <border>
      <left/>
      <right style="thin">
        <color indexed="64"/>
      </right>
      <top/>
      <bottom/>
      <diagonal/>
    </border>
    <border>
      <left/>
      <right style="thin">
        <color indexed="64"/>
      </right>
      <top/>
      <bottom style="thick">
        <color auto="1"/>
      </bottom>
      <diagonal/>
    </border>
    <border>
      <left style="thick">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81">
    <xf numFmtId="0" fontId="0" fillId="0" borderId="0" xfId="0"/>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xf numFmtId="168" fontId="0" fillId="0" borderId="0" xfId="0" applyNumberFormat="1" applyBorder="1"/>
    <xf numFmtId="168" fontId="0" fillId="0" borderId="8" xfId="0" applyNumberFormat="1" applyBorder="1"/>
    <xf numFmtId="0" fontId="0" fillId="0" borderId="7" xfId="0" applyFill="1" applyBorder="1"/>
    <xf numFmtId="168" fontId="0" fillId="0" borderId="0" xfId="0" applyNumberFormat="1" applyFill="1" applyBorder="1"/>
    <xf numFmtId="0" fontId="0" fillId="0" borderId="20" xfId="0" applyBorder="1"/>
    <xf numFmtId="168" fontId="0" fillId="0" borderId="11" xfId="0" applyNumberFormat="1" applyBorder="1"/>
    <xf numFmtId="0" fontId="0" fillId="0" borderId="0" xfId="0" applyFill="1" applyBorder="1" applyAlignment="1">
      <alignment wrapText="1"/>
    </xf>
    <xf numFmtId="0" fontId="10" fillId="0" borderId="0" xfId="0" applyFont="1"/>
    <xf numFmtId="0" fontId="0" fillId="0" borderId="24" xfId="0" applyBorder="1" applyAlignment="1">
      <alignment wrapText="1"/>
    </xf>
    <xf numFmtId="168" fontId="0" fillId="0" borderId="13" xfId="0" applyNumberFormat="1" applyBorder="1"/>
    <xf numFmtId="168" fontId="0" fillId="0" borderId="25" xfId="0" applyNumberFormat="1" applyBorder="1"/>
    <xf numFmtId="0" fontId="0" fillId="0" borderId="26" xfId="0" applyBorder="1" applyAlignment="1">
      <alignment wrapText="1"/>
    </xf>
    <xf numFmtId="168" fontId="0" fillId="0" borderId="27" xfId="0" applyNumberFormat="1" applyBorder="1"/>
    <xf numFmtId="168" fontId="0" fillId="0" borderId="28" xfId="0" applyNumberFormat="1" applyBorder="1"/>
    <xf numFmtId="168" fontId="0" fillId="0" borderId="12" xfId="0" applyNumberFormat="1" applyBorder="1"/>
    <xf numFmtId="3" fontId="0" fillId="9" borderId="0" xfId="0" applyNumberFormat="1" applyFill="1" applyBorder="1"/>
    <xf numFmtId="3" fontId="0" fillId="0" borderId="0" xfId="0" applyNumberFormat="1" applyBorder="1"/>
    <xf numFmtId="3" fontId="0" fillId="0" borderId="0" xfId="0" applyNumberFormat="1" applyFill="1" applyBorder="1"/>
    <xf numFmtId="3" fontId="0" fillId="9" borderId="11" xfId="0" applyNumberFormat="1" applyFill="1" applyBorder="1"/>
    <xf numFmtId="0" fontId="0" fillId="0" borderId="0" xfId="0" applyFill="1" applyBorder="1" applyAlignment="1">
      <alignment horizontal="center" wrapText="1"/>
    </xf>
    <xf numFmtId="0" fontId="0" fillId="4" borderId="1" xfId="0" applyFill="1" applyBorder="1" applyAlignment="1" applyProtection="1">
      <alignment horizontal="center" vertical="center" wrapText="1"/>
      <protection locked="0"/>
    </xf>
    <xf numFmtId="1" fontId="0" fillId="4" borderId="1" xfId="0" applyNumberFormat="1" applyFont="1" applyFill="1" applyBorder="1" applyProtection="1">
      <protection locked="0"/>
    </xf>
    <xf numFmtId="164" fontId="0" fillId="4" borderId="1" xfId="0" applyNumberFormat="1" applyFont="1" applyFill="1" applyBorder="1" applyProtection="1">
      <protection locked="0"/>
    </xf>
    <xf numFmtId="0" fontId="11" fillId="0" borderId="0" xfId="0" applyFont="1" applyAlignment="1">
      <alignment wrapText="1"/>
    </xf>
    <xf numFmtId="0" fontId="0" fillId="0" borderId="0" xfId="0" applyAlignment="1">
      <alignment wrapText="1"/>
    </xf>
    <xf numFmtId="0" fontId="0" fillId="10" borderId="1" xfId="0" applyFont="1" applyFill="1" applyBorder="1" applyAlignment="1" applyProtection="1">
      <alignment horizontal="center" vertical="center" wrapText="1"/>
      <protection hidden="1"/>
    </xf>
    <xf numFmtId="1" fontId="0" fillId="10" borderId="1" xfId="0" applyNumberFormat="1" applyFont="1" applyFill="1" applyBorder="1" applyAlignment="1" applyProtection="1">
      <alignment horizontal="center" vertical="center"/>
      <protection hidden="1"/>
    </xf>
    <xf numFmtId="0" fontId="0" fillId="10" borderId="1" xfId="0" applyFont="1" applyFill="1" applyBorder="1" applyAlignment="1" applyProtection="1">
      <alignment horizontal="center" vertical="center"/>
      <protection hidden="1"/>
    </xf>
    <xf numFmtId="0" fontId="0" fillId="10" borderId="1" xfId="0" applyFill="1" applyBorder="1" applyAlignment="1" applyProtection="1">
      <alignment horizontal="center" vertical="center"/>
      <protection hidden="1"/>
    </xf>
    <xf numFmtId="0" fontId="3" fillId="10" borderId="1" xfId="0" applyFont="1" applyFill="1" applyBorder="1" applyAlignment="1" applyProtection="1">
      <alignment horizontal="center" vertical="center"/>
      <protection hidden="1"/>
    </xf>
    <xf numFmtId="165" fontId="0" fillId="10" borderId="1" xfId="0" applyNumberFormat="1" applyFont="1" applyFill="1" applyBorder="1" applyAlignment="1" applyProtection="1">
      <alignment horizontal="center" vertical="center"/>
      <protection hidden="1"/>
    </xf>
    <xf numFmtId="0" fontId="0" fillId="10" borderId="1" xfId="0" applyFill="1" applyBorder="1" applyAlignment="1" applyProtection="1">
      <alignment horizontal="center" vertical="center" wrapText="1"/>
      <protection hidden="1"/>
    </xf>
    <xf numFmtId="1" fontId="0" fillId="10" borderId="1" xfId="0" applyNumberFormat="1" applyFont="1" applyFill="1" applyBorder="1" applyProtection="1">
      <protection hidden="1"/>
    </xf>
    <xf numFmtId="1" fontId="0" fillId="10" borderId="15" xfId="0" applyNumberFormat="1" applyFont="1" applyFill="1" applyBorder="1" applyProtection="1">
      <protection hidden="1"/>
    </xf>
    <xf numFmtId="165" fontId="0" fillId="10" borderId="15" xfId="0" applyNumberFormat="1" applyFont="1" applyFill="1" applyBorder="1" applyProtection="1">
      <protection hidden="1"/>
    </xf>
    <xf numFmtId="164" fontId="0" fillId="10" borderId="19" xfId="0" applyNumberFormat="1" applyFont="1" applyFill="1" applyBorder="1" applyProtection="1">
      <protection hidden="1"/>
    </xf>
    <xf numFmtId="0" fontId="0" fillId="4" borderId="1" xfId="0" applyFont="1" applyFill="1" applyBorder="1" applyProtection="1">
      <protection locked="0"/>
    </xf>
    <xf numFmtId="164" fontId="0" fillId="10" borderId="1" xfId="0" applyNumberFormat="1" applyFont="1" applyFill="1" applyBorder="1" applyAlignment="1" applyProtection="1">
      <alignment horizontal="right"/>
      <protection hidden="1"/>
    </xf>
    <xf numFmtId="164" fontId="0" fillId="4" borderId="1" xfId="0" applyNumberFormat="1" applyFont="1" applyFill="1" applyBorder="1" applyAlignment="1" applyProtection="1">
      <alignment horizontal="right"/>
      <protection locked="0"/>
    </xf>
    <xf numFmtId="1" fontId="0" fillId="10" borderId="1" xfId="0" applyNumberFormat="1" applyFont="1" applyFill="1" applyBorder="1" applyAlignment="1" applyProtection="1">
      <alignment horizontal="right"/>
      <protection hidden="1"/>
    </xf>
    <xf numFmtId="164" fontId="0" fillId="6" borderId="1" xfId="0" applyNumberFormat="1" applyFont="1" applyFill="1" applyBorder="1" applyProtection="1">
      <protection locked="0"/>
    </xf>
    <xf numFmtId="164" fontId="0" fillId="6" borderId="1" xfId="0" applyNumberFormat="1" applyFont="1" applyFill="1" applyBorder="1" applyProtection="1">
      <protection hidden="1"/>
    </xf>
    <xf numFmtId="0" fontId="0" fillId="10" borderId="1" xfId="0" applyFont="1" applyFill="1" applyBorder="1" applyAlignment="1" applyProtection="1">
      <alignment horizontal="right"/>
      <protection hidden="1"/>
    </xf>
    <xf numFmtId="2" fontId="0" fillId="10" borderId="1" xfId="0" applyNumberFormat="1" applyFont="1" applyFill="1" applyBorder="1" applyProtection="1">
      <protection hidden="1"/>
    </xf>
    <xf numFmtId="3" fontId="0" fillId="4" borderId="1" xfId="0" applyNumberFormat="1" applyFont="1" applyFill="1" applyBorder="1" applyProtection="1">
      <protection locked="0"/>
    </xf>
    <xf numFmtId="3" fontId="0" fillId="10" borderId="1" xfId="0" applyNumberFormat="1" applyFont="1" applyFill="1" applyBorder="1" applyProtection="1">
      <protection hidden="1"/>
    </xf>
    <xf numFmtId="167" fontId="0" fillId="10" borderId="1" xfId="0" applyNumberFormat="1" applyFont="1" applyFill="1" applyBorder="1" applyProtection="1">
      <protection hidden="1"/>
    </xf>
    <xf numFmtId="4" fontId="0" fillId="4" borderId="1" xfId="0" applyNumberFormat="1" applyFont="1" applyFill="1" applyBorder="1" applyProtection="1">
      <protection locked="0"/>
    </xf>
    <xf numFmtId="11" fontId="0" fillId="10" borderId="1" xfId="0" applyNumberFormat="1" applyFont="1" applyFill="1" applyBorder="1" applyProtection="1">
      <protection hidden="1"/>
    </xf>
    <xf numFmtId="11" fontId="0" fillId="4" borderId="1" xfId="0" applyNumberFormat="1" applyFont="1" applyFill="1" applyBorder="1" applyProtection="1">
      <protection locked="0"/>
    </xf>
    <xf numFmtId="166" fontId="0" fillId="4" borderId="1" xfId="0" applyNumberFormat="1" applyFont="1" applyFill="1" applyBorder="1" applyAlignment="1" applyProtection="1">
      <alignment horizontal="right"/>
      <protection locked="0"/>
    </xf>
    <xf numFmtId="1" fontId="0" fillId="4" borderId="1" xfId="0" applyNumberFormat="1" applyFont="1" applyFill="1" applyBorder="1" applyAlignment="1" applyProtection="1">
      <alignment horizontal="right"/>
      <protection locked="0"/>
    </xf>
    <xf numFmtId="1" fontId="0" fillId="4" borderId="1" xfId="0" applyNumberFormat="1" applyFont="1" applyFill="1" applyBorder="1" applyAlignment="1" applyProtection="1">
      <alignment horizontal="right"/>
      <protection hidden="1"/>
    </xf>
    <xf numFmtId="2" fontId="0" fillId="4" borderId="1" xfId="0" applyNumberFormat="1" applyFont="1" applyFill="1" applyBorder="1" applyAlignment="1" applyProtection="1">
      <alignment horizontal="right"/>
      <protection locked="0"/>
    </xf>
    <xf numFmtId="1" fontId="0" fillId="6" borderId="1" xfId="0" applyNumberFormat="1" applyFont="1" applyFill="1" applyBorder="1" applyAlignment="1" applyProtection="1">
      <alignment horizontal="right"/>
      <protection hidden="1"/>
    </xf>
    <xf numFmtId="11" fontId="0" fillId="10" borderId="1" xfId="0" applyNumberFormat="1" applyFont="1" applyFill="1" applyBorder="1" applyAlignment="1" applyProtection="1">
      <alignment horizontal="right"/>
      <protection hidden="1"/>
    </xf>
    <xf numFmtId="11" fontId="0" fillId="4" borderId="15" xfId="0" applyNumberFormat="1" applyFont="1" applyFill="1" applyBorder="1" applyProtection="1">
      <protection locked="0"/>
    </xf>
    <xf numFmtId="2" fontId="0" fillId="10" borderId="15" xfId="0" applyNumberFormat="1" applyFont="1" applyFill="1" applyBorder="1" applyProtection="1">
      <protection hidden="1"/>
    </xf>
    <xf numFmtId="167" fontId="0" fillId="4" borderId="1" xfId="0" applyNumberFormat="1" applyFont="1" applyFill="1" applyBorder="1" applyProtection="1">
      <protection locked="0"/>
    </xf>
    <xf numFmtId="0" fontId="6" fillId="2" borderId="0" xfId="0" applyFont="1" applyFill="1" applyProtection="1">
      <protection hidden="1"/>
    </xf>
    <xf numFmtId="0" fontId="0" fillId="2" borderId="0" xfId="0" applyFont="1" applyFill="1" applyProtection="1">
      <protection hidden="1"/>
    </xf>
    <xf numFmtId="0" fontId="0" fillId="2" borderId="0" xfId="0" applyFill="1" applyProtection="1">
      <protection hidden="1"/>
    </xf>
    <xf numFmtId="0" fontId="0" fillId="5" borderId="0" xfId="0" applyFill="1" applyProtection="1">
      <protection hidden="1"/>
    </xf>
    <xf numFmtId="0" fontId="0" fillId="0" borderId="0" xfId="0" applyFill="1" applyProtection="1">
      <protection hidden="1"/>
    </xf>
    <xf numFmtId="0" fontId="0" fillId="3" borderId="7" xfId="0" applyFont="1" applyFill="1" applyBorder="1" applyAlignment="1" applyProtection="1">
      <alignment horizontal="center"/>
      <protection hidden="1"/>
    </xf>
    <xf numFmtId="0" fontId="0" fillId="3" borderId="0" xfId="0" applyFont="1" applyFill="1" applyBorder="1" applyAlignment="1" applyProtection="1">
      <alignment horizontal="center"/>
      <protection hidden="1"/>
    </xf>
    <xf numFmtId="0" fontId="0" fillId="3" borderId="0" xfId="0" applyFill="1" applyBorder="1" applyAlignment="1" applyProtection="1">
      <alignment horizontal="center"/>
      <protection hidden="1"/>
    </xf>
    <xf numFmtId="0" fontId="0" fillId="3" borderId="0" xfId="0" applyFill="1" applyBorder="1" applyProtection="1">
      <protection hidden="1"/>
    </xf>
    <xf numFmtId="0" fontId="0" fillId="3" borderId="8" xfId="0" applyFill="1" applyBorder="1" applyProtection="1">
      <protection hidden="1"/>
    </xf>
    <xf numFmtId="0" fontId="0" fillId="3" borderId="7" xfId="0" applyFont="1" applyFill="1" applyBorder="1" applyProtection="1">
      <protection hidden="1"/>
    </xf>
    <xf numFmtId="0" fontId="0" fillId="4" borderId="0" xfId="0" applyFont="1" applyFill="1" applyBorder="1" applyProtection="1">
      <protection hidden="1"/>
    </xf>
    <xf numFmtId="0" fontId="8" fillId="3" borderId="0" xfId="0" applyFont="1" applyFill="1" applyBorder="1" applyProtection="1">
      <protection hidden="1"/>
    </xf>
    <xf numFmtId="0" fontId="7" fillId="3" borderId="0" xfId="0" applyFont="1" applyFill="1" applyBorder="1" applyProtection="1">
      <protection hidden="1"/>
    </xf>
    <xf numFmtId="0" fontId="0" fillId="0" borderId="0" xfId="0" applyProtection="1">
      <protection hidden="1"/>
    </xf>
    <xf numFmtId="0" fontId="0" fillId="10" borderId="0" xfId="0" applyFont="1" applyFill="1" applyBorder="1" applyProtection="1">
      <protection hidden="1"/>
    </xf>
    <xf numFmtId="0" fontId="0" fillId="6" borderId="0" xfId="0" applyFont="1" applyFill="1" applyBorder="1" applyProtection="1">
      <protection hidden="1"/>
    </xf>
    <xf numFmtId="0" fontId="0" fillId="3" borderId="0" xfId="0" applyFont="1" applyFill="1" applyBorder="1" applyProtection="1">
      <protection hidden="1"/>
    </xf>
    <xf numFmtId="0" fontId="5" fillId="7" borderId="9" xfId="0" applyFont="1" applyFill="1" applyBorder="1" applyProtection="1">
      <protection hidden="1"/>
    </xf>
    <xf numFmtId="0" fontId="5" fillId="7" borderId="1" xfId="0" applyFont="1" applyFill="1" applyBorder="1" applyProtection="1">
      <protection hidden="1"/>
    </xf>
    <xf numFmtId="0" fontId="5" fillId="3" borderId="13" xfId="0" applyFont="1" applyFill="1" applyBorder="1" applyAlignment="1" applyProtection="1">
      <alignment vertical="center"/>
      <protection hidden="1"/>
    </xf>
    <xf numFmtId="0" fontId="5" fillId="3" borderId="0" xfId="0" applyFont="1" applyFill="1" applyBorder="1" applyAlignment="1" applyProtection="1">
      <alignment vertical="center"/>
      <protection hidden="1"/>
    </xf>
    <xf numFmtId="0" fontId="5" fillId="3" borderId="8" xfId="0" applyFont="1" applyFill="1" applyBorder="1" applyAlignment="1" applyProtection="1">
      <alignment vertical="center"/>
      <protection hidden="1"/>
    </xf>
    <xf numFmtId="0" fontId="0" fillId="3" borderId="9" xfId="0" applyFont="1" applyFill="1" applyBorder="1" applyProtection="1">
      <protection hidden="1"/>
    </xf>
    <xf numFmtId="0" fontId="0" fillId="3" borderId="1" xfId="0" applyFont="1" applyFill="1" applyBorder="1" applyProtection="1">
      <protection hidden="1"/>
    </xf>
    <xf numFmtId="0" fontId="0" fillId="3" borderId="1" xfId="0" applyFont="1" applyFill="1" applyBorder="1" applyAlignment="1" applyProtection="1">
      <alignment wrapText="1"/>
      <protection hidden="1"/>
    </xf>
    <xf numFmtId="0" fontId="9" fillId="3" borderId="9" xfId="0" applyFont="1" applyFill="1" applyBorder="1" applyProtection="1">
      <protection hidden="1"/>
    </xf>
    <xf numFmtId="0" fontId="0" fillId="3" borderId="0" xfId="0" applyFill="1" applyBorder="1" applyAlignment="1" applyProtection="1">
      <alignment wrapText="1"/>
      <protection hidden="1"/>
    </xf>
    <xf numFmtId="0" fontId="5" fillId="3" borderId="1" xfId="0" applyFont="1" applyFill="1" applyBorder="1" applyAlignment="1" applyProtection="1">
      <alignment horizontal="center" vertical="center" wrapText="1"/>
      <protection hidden="1"/>
    </xf>
    <xf numFmtId="0" fontId="5" fillId="3" borderId="1" xfId="0" applyFont="1" applyFill="1" applyBorder="1" applyAlignment="1" applyProtection="1">
      <alignment horizontal="center" vertical="center"/>
      <protection hidden="1"/>
    </xf>
    <xf numFmtId="1" fontId="5" fillId="3" borderId="1"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wrapText="1"/>
      <protection hidden="1"/>
    </xf>
    <xf numFmtId="0" fontId="0" fillId="0" borderId="1" xfId="0" applyFill="1" applyBorder="1" applyAlignment="1" applyProtection="1">
      <alignment horizontal="center" vertical="center" wrapText="1"/>
      <protection hidden="1"/>
    </xf>
    <xf numFmtId="0" fontId="0" fillId="6" borderId="1" xfId="0" applyFill="1" applyBorder="1" applyAlignment="1" applyProtection="1">
      <alignment horizontal="center" vertical="center" wrapText="1"/>
      <protection hidden="1"/>
    </xf>
    <xf numFmtId="0" fontId="0" fillId="0" borderId="1" xfId="0" applyFill="1" applyBorder="1" applyAlignment="1" applyProtection="1">
      <alignment horizontal="center" vertical="center"/>
      <protection hidden="1"/>
    </xf>
    <xf numFmtId="0" fontId="0" fillId="0" borderId="1" xfId="0" applyFont="1" applyFill="1" applyBorder="1" applyAlignment="1" applyProtection="1">
      <alignment horizontal="center" vertical="center"/>
      <protection hidden="1"/>
    </xf>
    <xf numFmtId="0" fontId="0" fillId="0" borderId="1" xfId="0" applyFont="1" applyFill="1" applyBorder="1" applyAlignment="1" applyProtection="1">
      <alignment horizontal="center" vertical="center" wrapText="1"/>
      <protection hidden="1"/>
    </xf>
    <xf numFmtId="0" fontId="0" fillId="6" borderId="1" xfId="0" applyFill="1" applyBorder="1" applyAlignment="1" applyProtection="1">
      <alignment horizontal="center" vertical="center"/>
      <protection hidden="1"/>
    </xf>
    <xf numFmtId="0" fontId="0" fillId="3" borderId="0" xfId="0" applyFill="1" applyBorder="1" applyAlignment="1" applyProtection="1">
      <protection hidden="1"/>
    </xf>
    <xf numFmtId="0" fontId="4" fillId="3" borderId="0" xfId="0" applyFont="1" applyFill="1" applyBorder="1" applyProtection="1">
      <protection hidden="1"/>
    </xf>
    <xf numFmtId="1" fontId="4" fillId="3" borderId="0" xfId="0" applyNumberFormat="1" applyFont="1" applyFill="1" applyBorder="1" applyProtection="1">
      <protection hidden="1"/>
    </xf>
    <xf numFmtId="0" fontId="0" fillId="3" borderId="9" xfId="0" applyFont="1" applyFill="1" applyBorder="1" applyAlignment="1" applyProtection="1">
      <alignment wrapText="1"/>
      <protection hidden="1"/>
    </xf>
    <xf numFmtId="0" fontId="6" fillId="5" borderId="0" xfId="0" applyFont="1" applyFill="1" applyProtection="1">
      <protection hidden="1"/>
    </xf>
    <xf numFmtId="11" fontId="0" fillId="6" borderId="1" xfId="0" applyNumberFormat="1" applyFont="1" applyFill="1" applyBorder="1" applyProtection="1">
      <protection hidden="1"/>
    </xf>
    <xf numFmtId="0" fontId="0" fillId="3" borderId="1" xfId="0" applyFont="1" applyFill="1" applyBorder="1" applyAlignment="1" applyProtection="1">
      <protection hidden="1"/>
    </xf>
    <xf numFmtId="0" fontId="0" fillId="3" borderId="14" xfId="0" applyFont="1" applyFill="1" applyBorder="1" applyProtection="1">
      <protection hidden="1"/>
    </xf>
    <xf numFmtId="0" fontId="0" fillId="3" borderId="15" xfId="0" applyFont="1" applyFill="1" applyBorder="1" applyProtection="1">
      <protection hidden="1"/>
    </xf>
    <xf numFmtId="0" fontId="0" fillId="3" borderId="15" xfId="0" applyFont="1" applyFill="1" applyBorder="1" applyAlignment="1" applyProtection="1">
      <protection hidden="1"/>
    </xf>
    <xf numFmtId="0" fontId="0" fillId="0" borderId="1" xfId="0" applyFont="1" applyFill="1" applyBorder="1" applyAlignment="1" applyProtection="1">
      <alignment horizontal="left" vertical="center"/>
      <protection hidden="1"/>
    </xf>
    <xf numFmtId="0" fontId="3" fillId="3" borderId="0" xfId="0" applyFont="1" applyFill="1" applyBorder="1" applyProtection="1">
      <protection hidden="1"/>
    </xf>
    <xf numFmtId="0" fontId="0" fillId="3" borderId="14" xfId="0" applyFont="1" applyFill="1" applyBorder="1" applyAlignment="1" applyProtection="1">
      <alignment wrapText="1"/>
      <protection hidden="1"/>
    </xf>
    <xf numFmtId="0" fontId="0" fillId="3" borderId="15" xfId="0" applyFont="1" applyFill="1" applyBorder="1" applyAlignment="1" applyProtection="1">
      <alignment wrapText="1"/>
      <protection hidden="1"/>
    </xf>
    <xf numFmtId="0" fontId="0" fillId="3" borderId="18" xfId="0" applyFont="1" applyFill="1" applyBorder="1" applyProtection="1">
      <protection hidden="1"/>
    </xf>
    <xf numFmtId="0" fontId="0" fillId="3" borderId="19" xfId="0" applyFont="1" applyFill="1" applyBorder="1" applyProtection="1">
      <protection hidden="1"/>
    </xf>
    <xf numFmtId="0" fontId="0" fillId="3" borderId="19" xfId="0" applyFont="1" applyFill="1" applyBorder="1" applyAlignment="1" applyProtection="1">
      <alignment wrapText="1"/>
      <protection hidden="1"/>
    </xf>
    <xf numFmtId="0" fontId="0" fillId="3" borderId="11" xfId="0" applyFill="1" applyBorder="1" applyProtection="1">
      <protection hidden="1"/>
    </xf>
    <xf numFmtId="0" fontId="0" fillId="3" borderId="12" xfId="0" applyFill="1" applyBorder="1" applyProtection="1">
      <protection hidden="1"/>
    </xf>
    <xf numFmtId="0" fontId="0" fillId="5" borderId="0" xfId="0" applyFont="1" applyFill="1" applyBorder="1" applyProtection="1">
      <protection hidden="1"/>
    </xf>
    <xf numFmtId="165" fontId="0" fillId="5" borderId="0" xfId="0" applyNumberFormat="1" applyFont="1" applyFill="1" applyBorder="1" applyProtection="1">
      <protection hidden="1"/>
    </xf>
    <xf numFmtId="0" fontId="0" fillId="5" borderId="0" xfId="0" applyFont="1" applyFill="1" applyBorder="1" applyAlignment="1" applyProtection="1">
      <alignment wrapText="1"/>
      <protection hidden="1"/>
    </xf>
    <xf numFmtId="0" fontId="0" fillId="5" borderId="0" xfId="0" applyFill="1" applyBorder="1" applyProtection="1">
      <protection hidden="1"/>
    </xf>
    <xf numFmtId="0" fontId="6" fillId="0" borderId="0" xfId="0" applyFont="1" applyFill="1" applyProtection="1">
      <protection hidden="1"/>
    </xf>
    <xf numFmtId="0" fontId="0" fillId="0" borderId="0" xfId="0" applyFont="1" applyProtection="1">
      <protection hidden="1"/>
    </xf>
    <xf numFmtId="168" fontId="0" fillId="0" borderId="0" xfId="0" applyNumberFormat="1" applyFont="1" applyProtection="1">
      <protection hidden="1"/>
    </xf>
    <xf numFmtId="2" fontId="0" fillId="0" borderId="0" xfId="0" applyNumberFormat="1" applyFont="1" applyProtection="1">
      <protection hidden="1"/>
    </xf>
    <xf numFmtId="168" fontId="0" fillId="0" borderId="0" xfId="0" applyNumberFormat="1" applyProtection="1">
      <protection hidden="1"/>
    </xf>
    <xf numFmtId="2" fontId="0" fillId="4" borderId="1" xfId="0" applyNumberFormat="1" applyFont="1" applyFill="1" applyBorder="1" applyProtection="1">
      <protection locked="0"/>
    </xf>
    <xf numFmtId="0" fontId="0" fillId="3" borderId="15" xfId="0" applyFont="1" applyFill="1" applyBorder="1" applyAlignment="1" applyProtection="1">
      <alignment horizontal="left" wrapText="1"/>
      <protection hidden="1"/>
    </xf>
    <xf numFmtId="0" fontId="0" fillId="3" borderId="30" xfId="0" applyFont="1" applyFill="1" applyBorder="1" applyAlignment="1" applyProtection="1">
      <alignment horizontal="left" wrapText="1"/>
      <protection hidden="1"/>
    </xf>
    <xf numFmtId="0" fontId="5" fillId="7" borderId="1" xfId="0" applyFont="1" applyFill="1" applyBorder="1" applyAlignment="1" applyProtection="1">
      <alignment horizontal="center" vertical="center"/>
      <protection hidden="1"/>
    </xf>
    <xf numFmtId="0" fontId="5" fillId="7" borderId="16" xfId="0" applyFont="1" applyFill="1" applyBorder="1" applyAlignment="1" applyProtection="1">
      <alignment horizontal="center" vertical="center"/>
      <protection hidden="1"/>
    </xf>
    <xf numFmtId="0" fontId="5" fillId="7" borderId="9" xfId="0" applyFont="1" applyFill="1" applyBorder="1" applyAlignment="1" applyProtection="1">
      <alignment horizontal="center" vertical="center"/>
      <protection hidden="1"/>
    </xf>
    <xf numFmtId="0" fontId="5" fillId="7" borderId="3" xfId="0" applyFont="1" applyFill="1" applyBorder="1" applyAlignment="1" applyProtection="1">
      <alignment horizontal="center" vertical="center"/>
      <protection hidden="1"/>
    </xf>
    <xf numFmtId="0" fontId="5" fillId="7" borderId="2" xfId="0" applyFont="1" applyFill="1" applyBorder="1" applyAlignment="1" applyProtection="1">
      <alignment horizontal="center" vertical="center"/>
      <protection hidden="1"/>
    </xf>
    <xf numFmtId="0" fontId="5" fillId="7" borderId="17" xfId="0" applyFont="1" applyFill="1" applyBorder="1" applyAlignment="1" applyProtection="1">
      <alignment horizontal="center" vertical="center"/>
      <protection hidden="1"/>
    </xf>
    <xf numFmtId="0" fontId="5" fillId="7" borderId="10" xfId="0" applyFont="1" applyFill="1" applyBorder="1" applyAlignment="1" applyProtection="1">
      <alignment horizontal="center" vertical="center"/>
      <protection hidden="1"/>
    </xf>
    <xf numFmtId="0" fontId="0" fillId="3" borderId="14" xfId="0" applyFont="1" applyFill="1" applyBorder="1" applyAlignment="1" applyProtection="1">
      <alignment horizontal="left"/>
      <protection hidden="1"/>
    </xf>
    <xf numFmtId="0" fontId="0" fillId="3" borderId="29" xfId="0" applyFont="1" applyFill="1" applyBorder="1" applyAlignment="1" applyProtection="1">
      <alignment horizontal="left"/>
      <protection hidden="1"/>
    </xf>
    <xf numFmtId="165" fontId="0" fillId="4" borderId="15" xfId="1" applyNumberFormat="1" applyFont="1" applyFill="1" applyBorder="1" applyAlignment="1" applyProtection="1">
      <alignment horizontal="right"/>
      <protection locked="0"/>
    </xf>
    <xf numFmtId="165" fontId="0" fillId="4" borderId="30" xfId="1" applyNumberFormat="1" applyFont="1" applyFill="1" applyBorder="1" applyAlignment="1" applyProtection="1">
      <alignment horizontal="right"/>
      <protection locked="0"/>
    </xf>
    <xf numFmtId="0" fontId="0" fillId="3" borderId="15" xfId="0" applyFont="1" applyFill="1" applyBorder="1" applyAlignment="1" applyProtection="1">
      <alignment horizontal="center"/>
      <protection hidden="1"/>
    </xf>
    <xf numFmtId="0" fontId="0" fillId="3" borderId="30" xfId="0" applyFont="1" applyFill="1" applyBorder="1" applyAlignment="1" applyProtection="1">
      <alignment horizontal="center"/>
      <protection hidden="1"/>
    </xf>
    <xf numFmtId="0" fontId="0" fillId="3" borderId="1" xfId="0" applyFont="1" applyFill="1" applyBorder="1" applyAlignment="1" applyProtection="1">
      <alignment horizontal="center" vertical="center"/>
      <protection hidden="1"/>
    </xf>
    <xf numFmtId="0" fontId="0" fillId="3" borderId="1" xfId="0" applyFill="1" applyBorder="1" applyAlignment="1" applyProtection="1">
      <alignment horizontal="center" vertical="center"/>
      <protection hidden="1"/>
    </xf>
    <xf numFmtId="0" fontId="0" fillId="10" borderId="16" xfId="0" applyFill="1" applyBorder="1" applyAlignment="1" applyProtection="1">
      <alignment horizontal="center" vertical="center"/>
      <protection hidden="1"/>
    </xf>
    <xf numFmtId="11" fontId="0" fillId="4" borderId="15" xfId="0" applyNumberFormat="1" applyFont="1" applyFill="1" applyBorder="1" applyAlignment="1" applyProtection="1">
      <alignment horizontal="right"/>
      <protection locked="0"/>
    </xf>
    <xf numFmtId="11" fontId="0" fillId="4" borderId="30" xfId="0" applyNumberFormat="1" applyFont="1" applyFill="1" applyBorder="1" applyAlignment="1" applyProtection="1">
      <alignment horizontal="right"/>
      <protection locked="0"/>
    </xf>
    <xf numFmtId="0" fontId="0" fillId="3" borderId="15" xfId="0" applyFont="1" applyFill="1" applyBorder="1" applyAlignment="1" applyProtection="1">
      <alignment horizontal="left"/>
      <protection hidden="1"/>
    </xf>
    <xf numFmtId="0" fontId="0" fillId="3" borderId="30" xfId="0" applyFont="1" applyFill="1" applyBorder="1" applyAlignment="1" applyProtection="1">
      <alignment horizontal="left"/>
      <protection hidden="1"/>
    </xf>
    <xf numFmtId="0" fontId="0" fillId="3" borderId="7" xfId="0" applyFill="1" applyBorder="1" applyAlignment="1" applyProtection="1">
      <protection hidden="1"/>
    </xf>
    <xf numFmtId="0" fontId="0" fillId="3" borderId="0" xfId="0" applyFill="1" applyBorder="1" applyAlignment="1" applyProtection="1">
      <protection hidden="1"/>
    </xf>
    <xf numFmtId="0" fontId="7" fillId="3" borderId="4" xfId="0" applyFont="1" applyFill="1" applyBorder="1" applyAlignment="1" applyProtection="1">
      <alignment horizontal="center"/>
      <protection hidden="1"/>
    </xf>
    <xf numFmtId="0" fontId="7" fillId="3" borderId="5" xfId="0" applyFont="1" applyFill="1" applyBorder="1" applyAlignment="1" applyProtection="1">
      <alignment horizontal="center"/>
      <protection hidden="1"/>
    </xf>
    <xf numFmtId="0" fontId="7" fillId="3" borderId="6" xfId="0" applyFont="1" applyFill="1" applyBorder="1" applyAlignment="1" applyProtection="1">
      <alignment horizontal="center"/>
      <protection hidden="1"/>
    </xf>
    <xf numFmtId="0" fontId="0" fillId="3" borderId="7" xfId="0" applyFont="1" applyFill="1" applyBorder="1" applyAlignment="1" applyProtection="1">
      <alignment horizontal="center"/>
      <protection hidden="1"/>
    </xf>
    <xf numFmtId="0" fontId="0" fillId="3" borderId="0" xfId="0" applyFont="1" applyFill="1" applyBorder="1" applyAlignment="1" applyProtection="1">
      <alignment horizontal="center"/>
      <protection hidden="1"/>
    </xf>
    <xf numFmtId="0" fontId="0" fillId="3" borderId="8" xfId="0" applyFont="1" applyFill="1" applyBorder="1" applyAlignment="1" applyProtection="1">
      <alignment horizontal="center"/>
      <protection hidden="1"/>
    </xf>
    <xf numFmtId="0" fontId="0" fillId="3" borderId="7" xfId="0" applyFill="1" applyBorder="1" applyAlignment="1" applyProtection="1">
      <alignment horizontal="left" wrapText="1"/>
      <protection hidden="1"/>
    </xf>
    <xf numFmtId="0" fontId="0" fillId="3" borderId="0" xfId="0" applyFill="1" applyBorder="1" applyAlignment="1" applyProtection="1">
      <alignment horizontal="left" wrapText="1"/>
      <protection hidden="1"/>
    </xf>
    <xf numFmtId="0" fontId="0" fillId="3" borderId="8" xfId="0" applyFill="1" applyBorder="1" applyAlignment="1" applyProtection="1">
      <alignment horizontal="left" wrapText="1"/>
      <protection hidden="1"/>
    </xf>
    <xf numFmtId="0" fontId="0" fillId="3" borderId="1" xfId="0" applyFont="1" applyFill="1" applyBorder="1" applyAlignment="1" applyProtection="1">
      <alignment horizontal="center" vertical="center" wrapText="1"/>
      <protection hidden="1"/>
    </xf>
    <xf numFmtId="4" fontId="0" fillId="4" borderId="15" xfId="0" applyNumberFormat="1" applyFont="1" applyFill="1" applyBorder="1" applyAlignment="1" applyProtection="1">
      <alignment horizontal="right"/>
      <protection locked="0"/>
    </xf>
    <xf numFmtId="4" fontId="0" fillId="4" borderId="30" xfId="0" applyNumberFormat="1" applyFont="1" applyFill="1" applyBorder="1" applyAlignment="1" applyProtection="1">
      <alignment horizontal="right"/>
      <protection locked="0"/>
    </xf>
    <xf numFmtId="169" fontId="0" fillId="4" borderId="15" xfId="0" applyNumberFormat="1" applyFont="1" applyFill="1" applyBorder="1" applyAlignment="1" applyProtection="1">
      <alignment horizontal="right"/>
      <protection locked="0"/>
    </xf>
    <xf numFmtId="169" fontId="0" fillId="4" borderId="30" xfId="0" applyNumberFormat="1" applyFont="1" applyFill="1" applyBorder="1" applyAlignment="1" applyProtection="1">
      <alignment horizontal="right"/>
      <protection locked="0"/>
    </xf>
    <xf numFmtId="0" fontId="9" fillId="3" borderId="14" xfId="0" applyFont="1" applyFill="1" applyBorder="1" applyAlignment="1" applyProtection="1">
      <alignment horizontal="left"/>
      <protection hidden="1"/>
    </xf>
    <xf numFmtId="0" fontId="9" fillId="3" borderId="29" xfId="0" applyFont="1" applyFill="1" applyBorder="1" applyAlignment="1" applyProtection="1">
      <alignment horizontal="left"/>
      <protection hidden="1"/>
    </xf>
    <xf numFmtId="11" fontId="0" fillId="10" borderId="15" xfId="0" applyNumberFormat="1" applyFont="1" applyFill="1" applyBorder="1" applyAlignment="1" applyProtection="1">
      <alignment horizontal="right"/>
      <protection hidden="1"/>
    </xf>
    <xf numFmtId="11" fontId="0" fillId="10" borderId="30" xfId="0" applyNumberFormat="1" applyFont="1" applyFill="1" applyBorder="1" applyAlignment="1" applyProtection="1">
      <alignment horizontal="right"/>
      <protection hidden="1"/>
    </xf>
    <xf numFmtId="0" fontId="0" fillId="10" borderId="31" xfId="0" applyFill="1" applyBorder="1" applyAlignment="1" applyProtection="1">
      <alignment horizontal="center" vertical="center"/>
      <protection hidden="1"/>
    </xf>
    <xf numFmtId="0" fontId="0" fillId="10" borderId="32" xfId="0" applyFill="1" applyBorder="1" applyAlignment="1" applyProtection="1">
      <alignment horizontal="center" vertical="center"/>
      <protection hidden="1"/>
    </xf>
    <xf numFmtId="0" fontId="0" fillId="4" borderId="15" xfId="0" applyFont="1" applyFill="1" applyBorder="1" applyAlignment="1" applyProtection="1">
      <alignment horizontal="right"/>
      <protection locked="0"/>
    </xf>
    <xf numFmtId="0" fontId="0" fillId="4" borderId="30" xfId="0" applyFont="1" applyFill="1" applyBorder="1" applyAlignment="1" applyProtection="1">
      <alignment horizontal="right"/>
      <protection locked="0"/>
    </xf>
    <xf numFmtId="0" fontId="5" fillId="8" borderId="21" xfId="0" applyFont="1" applyFill="1" applyBorder="1" applyAlignment="1">
      <alignment horizontal="center"/>
    </xf>
    <xf numFmtId="0" fontId="5" fillId="8" borderId="22" xfId="0" applyFont="1" applyFill="1" applyBorder="1" applyAlignment="1">
      <alignment horizontal="center"/>
    </xf>
    <xf numFmtId="0" fontId="5" fillId="8" borderId="23" xfId="0" applyFont="1" applyFill="1" applyBorder="1" applyAlignment="1">
      <alignment horizontal="center"/>
    </xf>
    <xf numFmtId="170" fontId="0" fillId="3" borderId="0" xfId="0" applyNumberFormat="1" applyFill="1" applyBorder="1" applyProtection="1">
      <protection hidden="1"/>
    </xf>
  </cellXfs>
  <cellStyles count="2">
    <cellStyle name="Normal" xfId="0" builtinId="0"/>
    <cellStyle name="Percent" xfId="1" builtinId="5"/>
  </cellStyles>
  <dxfs count="14">
    <dxf>
      <fill>
        <patternFill>
          <bgColor theme="0" tint="-0.24994659260841701"/>
        </patternFill>
      </fill>
    </dxf>
    <dxf>
      <fill>
        <patternFill>
          <bgColor theme="9" tint="0.39994506668294322"/>
        </patternFill>
      </fill>
    </dxf>
    <dxf>
      <fill>
        <patternFill>
          <bgColor theme="0" tint="-0.14996795556505021"/>
        </patternFill>
      </fill>
    </dxf>
    <dxf>
      <fill>
        <patternFill>
          <bgColor rgb="FF00FF00"/>
        </patternFill>
      </fill>
    </dxf>
    <dxf>
      <fill>
        <patternFill>
          <bgColor theme="0" tint="-0.24994659260841701"/>
        </patternFill>
      </fill>
    </dxf>
    <dxf>
      <fill>
        <patternFill>
          <bgColor rgb="FF00FF00"/>
        </patternFill>
      </fill>
    </dxf>
    <dxf>
      <fill>
        <patternFill>
          <bgColor theme="0" tint="-0.24994659260841701"/>
        </patternFill>
      </fill>
    </dxf>
    <dxf>
      <fill>
        <patternFill>
          <bgColor theme="9" tint="0.39994506668294322"/>
        </patternFill>
      </fill>
    </dxf>
    <dxf>
      <fill>
        <patternFill>
          <bgColor rgb="FF00FF0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rgb="FF00FF00"/>
        </patternFill>
      </fill>
    </dxf>
    <dxf>
      <fill>
        <patternFill>
          <bgColor theme="0" tint="-0.24994659260841701"/>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Bode Plot</a:t>
            </a:r>
          </a:p>
        </c:rich>
      </c:tx>
      <c:layout>
        <c:manualLayout>
          <c:xMode val="edge"/>
          <c:yMode val="edge"/>
          <c:x val="0.33683336621269838"/>
          <c:y val="2.5442171813234427E-2"/>
        </c:manualLayout>
      </c:layout>
      <c:overlay val="0"/>
    </c:title>
    <c:autoTitleDeleted val="0"/>
    <c:plotArea>
      <c:layout>
        <c:manualLayout>
          <c:layoutTarget val="inner"/>
          <c:xMode val="edge"/>
          <c:yMode val="edge"/>
          <c:x val="0.10351211695000362"/>
          <c:y val="0.13133721433927467"/>
          <c:w val="0.77930176740855439"/>
          <c:h val="0.71510376866900049"/>
        </c:manualLayout>
      </c:layout>
      <c:scatterChart>
        <c:scatterStyle val="smoothMarker"/>
        <c:varyColors val="0"/>
        <c:ser>
          <c:idx val="0"/>
          <c:order val="0"/>
          <c:tx>
            <c:v>gain</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Calculation'!$AC$3:$AC$43</c:f>
              <c:numCache>
                <c:formatCode>0.0000</c:formatCode>
                <c:ptCount val="41"/>
                <c:pt idx="0">
                  <c:v>41.461191548420182</c:v>
                </c:pt>
                <c:pt idx="1">
                  <c:v>39.221618074963324</c:v>
                </c:pt>
                <c:pt idx="2">
                  <c:v>36.900167534485341</c:v>
                </c:pt>
                <c:pt idx="3">
                  <c:v>34.498566583504939</c:v>
                </c:pt>
                <c:pt idx="4">
                  <c:v>32.037686621164831</c:v>
                </c:pt>
                <c:pt idx="5">
                  <c:v>29.556635953085646</c:v>
                </c:pt>
                <c:pt idx="6">
                  <c:v>27.101395484041536</c:v>
                </c:pt>
                <c:pt idx="7">
                  <c:v>24.708914063960233</c:v>
                </c:pt>
                <c:pt idx="8">
                  <c:v>22.397010468689025</c:v>
                </c:pt>
                <c:pt idx="9">
                  <c:v>20.164788790503962</c:v>
                </c:pt>
                <c:pt idx="10">
                  <c:v>17.999789262089543</c:v>
                </c:pt>
                <c:pt idx="11">
                  <c:v>15.885612706028535</c:v>
                </c:pt>
                <c:pt idx="12">
                  <c:v>13.806683883271708</c:v>
                </c:pt>
                <c:pt idx="13">
                  <c:v>11.750045883783715</c:v>
                </c:pt>
                <c:pt idx="14">
                  <c:v>9.7053246022260495</c:v>
                </c:pt>
                <c:pt idx="15">
                  <c:v>7.6638947030961893</c:v>
                </c:pt>
                <c:pt idx="16">
                  <c:v>5.6178513455031505</c:v>
                </c:pt>
                <c:pt idx="17">
                  <c:v>3.559127251979981</c:v>
                </c:pt>
                <c:pt idx="18">
                  <c:v>1.4790858270073404</c:v>
                </c:pt>
                <c:pt idx="19">
                  <c:v>-0.63090064426752546</c:v>
                </c:pt>
                <c:pt idx="20">
                  <c:v>-2.7772931584520189</c:v>
                </c:pt>
                <c:pt idx="21">
                  <c:v>-4.9607762339298809</c:v>
                </c:pt>
                <c:pt idx="22">
                  <c:v>-7.1737381474549835</c:v>
                </c:pt>
                <c:pt idx="23">
                  <c:v>-9.4045922511657771</c:v>
                </c:pt>
                <c:pt idx="24">
                  <c:v>-11.653587032937157</c:v>
                </c:pt>
                <c:pt idx="25">
                  <c:v>-13.954070833643197</c:v>
                </c:pt>
                <c:pt idx="26">
                  <c:v>-16.379680521029634</c:v>
                </c:pt>
                <c:pt idx="27">
                  <c:v>-19.021115850584309</c:v>
                </c:pt>
                <c:pt idx="28">
                  <c:v>-21.943155303499516</c:v>
                </c:pt>
                <c:pt idx="29">
                  <c:v>-25.156145331576361</c:v>
                </c:pt>
                <c:pt idx="30">
                  <c:v>-28.622576401095408</c:v>
                </c:pt>
                <c:pt idx="31">
                  <c:v>-32.284849456019742</c:v>
                </c:pt>
                <c:pt idx="32">
                  <c:v>-36.08968611251359</c:v>
                </c:pt>
                <c:pt idx="33">
                  <c:v>-39.999487100511459</c:v>
                </c:pt>
                <c:pt idx="34">
                  <c:v>-43.994242030479441</c:v>
                </c:pt>
                <c:pt idx="35">
                  <c:v>-48.069947367453359</c:v>
                </c:pt>
                <c:pt idx="36">
                  <c:v>-52.236767607781957</c:v>
                </c:pt>
                <c:pt idx="37">
                  <c:v>-56.517391577236729</c:v>
                </c:pt>
                <c:pt idx="38">
                  <c:v>-60.944330586267185</c:v>
                </c:pt>
                <c:pt idx="39">
                  <c:v>-65.554306804627743</c:v>
                </c:pt>
                <c:pt idx="40">
                  <c:v>-70.378992377237296</c:v>
                </c:pt>
              </c:numCache>
            </c:numRef>
          </c:yVal>
          <c:smooth val="1"/>
        </c:ser>
        <c:dLbls>
          <c:showLegendKey val="0"/>
          <c:showVal val="0"/>
          <c:showCatName val="0"/>
          <c:showSerName val="0"/>
          <c:showPercent val="0"/>
          <c:showBubbleSize val="0"/>
        </c:dLbls>
        <c:axId val="125889920"/>
        <c:axId val="125892096"/>
      </c:scatterChart>
      <c:scatterChart>
        <c:scatterStyle val="smoothMarker"/>
        <c:varyColors val="0"/>
        <c:ser>
          <c:idx val="1"/>
          <c:order val="1"/>
          <c:tx>
            <c:v>phase</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Calculation'!$AD$3:$AD$43</c:f>
              <c:numCache>
                <c:formatCode>0.0000</c:formatCode>
                <c:ptCount val="41"/>
                <c:pt idx="0">
                  <c:v>82.556754389364826</c:v>
                </c:pt>
                <c:pt idx="1">
                  <c:v>80.498240979572003</c:v>
                </c:pt>
                <c:pt idx="2">
                  <c:v>78.593530741060945</c:v>
                </c:pt>
                <c:pt idx="3">
                  <c:v>77.042456042871635</c:v>
                </c:pt>
                <c:pt idx="4">
                  <c:v>76.050314442215907</c:v>
                </c:pt>
                <c:pt idx="5">
                  <c:v>75.738757057970702</c:v>
                </c:pt>
                <c:pt idx="6">
                  <c:v>76.077409521565414</c:v>
                </c:pt>
                <c:pt idx="7">
                  <c:v>76.888552497890643</c:v>
                </c:pt>
                <c:pt idx="8">
                  <c:v>77.920108701803116</c:v>
                </c:pt>
                <c:pt idx="9">
                  <c:v>78.930535717512612</c:v>
                </c:pt>
                <c:pt idx="10">
                  <c:v>79.737133161341603</c:v>
                </c:pt>
                <c:pt idx="11">
                  <c:v>80.221215943031098</c:v>
                </c:pt>
                <c:pt idx="12">
                  <c:v>80.309618590803765</c:v>
                </c:pt>
                <c:pt idx="13">
                  <c:v>79.951686762688738</c:v>
                </c:pt>
                <c:pt idx="14">
                  <c:v>79.100896388511643</c:v>
                </c:pt>
                <c:pt idx="15">
                  <c:v>77.702883981298569</c:v>
                </c:pt>
                <c:pt idx="16">
                  <c:v>75.688953645588555</c:v>
                </c:pt>
                <c:pt idx="17">
                  <c:v>72.973986467740957</c:v>
                </c:pt>
                <c:pt idx="18">
                  <c:v>69.458022387786656</c:v>
                </c:pt>
                <c:pt idx="19">
                  <c:v>65.029909642273722</c:v>
                </c:pt>
                <c:pt idx="20">
                  <c:v>59.567687640008032</c:v>
                </c:pt>
                <c:pt idx="21">
                  <c:v>52.923965721556954</c:v>
                </c:pt>
                <c:pt idx="22">
                  <c:v>44.883115133982301</c:v>
                </c:pt>
                <c:pt idx="23">
                  <c:v>35.098400933290954</c:v>
                </c:pt>
                <c:pt idx="24">
                  <c:v>23.067535995564739</c:v>
                </c:pt>
                <c:pt idx="25">
                  <c:v>8.2369205970315065</c:v>
                </c:pt>
                <c:pt idx="26">
                  <c:v>-9.7434779765747166</c:v>
                </c:pt>
                <c:pt idx="27">
                  <c:v>-30.750915460861002</c:v>
                </c:pt>
                <c:pt idx="28">
                  <c:v>-54.125803943010226</c:v>
                </c:pt>
                <c:pt idx="29">
                  <c:v>-78.894575181005791</c:v>
                </c:pt>
                <c:pt idx="30">
                  <c:v>-104.12855499869445</c:v>
                </c:pt>
                <c:pt idx="31">
                  <c:v>-129.22987063879665</c:v>
                </c:pt>
                <c:pt idx="32">
                  <c:v>-154.05621847361772</c:v>
                </c:pt>
                <c:pt idx="33">
                  <c:v>-178.90997272290531</c:v>
                </c:pt>
                <c:pt idx="34">
                  <c:v>-204.45806263969962</c:v>
                </c:pt>
                <c:pt idx="35">
                  <c:v>-231.64286787263103</c:v>
                </c:pt>
                <c:pt idx="36">
                  <c:v>-261.61691075816856</c:v>
                </c:pt>
                <c:pt idx="37">
                  <c:v>-272.94106194065307</c:v>
                </c:pt>
                <c:pt idx="38">
                  <c:v>-283.44698806130566</c:v>
                </c:pt>
                <c:pt idx="39">
                  <c:v>-293.69005696179033</c:v>
                </c:pt>
                <c:pt idx="40">
                  <c:v>-303.65178293359202</c:v>
                </c:pt>
              </c:numCache>
            </c:numRef>
          </c:yVal>
          <c:smooth val="1"/>
        </c:ser>
        <c:dLbls>
          <c:showLegendKey val="0"/>
          <c:showVal val="0"/>
          <c:showCatName val="0"/>
          <c:showSerName val="0"/>
          <c:showPercent val="0"/>
          <c:showBubbleSize val="0"/>
        </c:dLbls>
        <c:axId val="125572608"/>
        <c:axId val="125894016"/>
      </c:scatterChart>
      <c:valAx>
        <c:axId val="125889920"/>
        <c:scaling>
          <c:logBase val="10"/>
          <c:orientation val="minMax"/>
          <c:min val="100"/>
        </c:scaling>
        <c:delete val="0"/>
        <c:axPos val="b"/>
        <c:minorGridlines/>
        <c:title>
          <c:tx>
            <c:rich>
              <a:bodyPr/>
              <a:lstStyle/>
              <a:p>
                <a:pPr>
                  <a:defRPr/>
                </a:pPr>
                <a:r>
                  <a:rPr lang="en-US" sz="1600"/>
                  <a:t>Frequency</a:t>
                </a:r>
              </a:p>
            </c:rich>
          </c:tx>
          <c:layout/>
          <c:overlay val="0"/>
        </c:title>
        <c:numFmt formatCode="#,##0" sourceLinked="0"/>
        <c:majorTickMark val="out"/>
        <c:minorTickMark val="out"/>
        <c:tickLblPos val="nextTo"/>
        <c:crossAx val="125892096"/>
        <c:crossesAt val="-40"/>
        <c:crossBetween val="midCat"/>
      </c:valAx>
      <c:valAx>
        <c:axId val="125892096"/>
        <c:scaling>
          <c:orientation val="minMax"/>
          <c:max val="50"/>
          <c:min val="-40"/>
        </c:scaling>
        <c:delete val="0"/>
        <c:axPos val="l"/>
        <c:majorGridlines/>
        <c:title>
          <c:tx>
            <c:rich>
              <a:bodyPr rot="-5400000" vert="horz"/>
              <a:lstStyle/>
              <a:p>
                <a:pPr>
                  <a:defRPr/>
                </a:pPr>
                <a:r>
                  <a:rPr lang="en-US" sz="1600"/>
                  <a:t>Gain (dB)</a:t>
                </a:r>
              </a:p>
            </c:rich>
          </c:tx>
          <c:layout>
            <c:manualLayout>
              <c:xMode val="edge"/>
              <c:yMode val="edge"/>
              <c:x val="1.2668055197675866E-2"/>
              <c:y val="0.39258165896075209"/>
            </c:manualLayout>
          </c:layout>
          <c:overlay val="0"/>
        </c:title>
        <c:numFmt formatCode="0" sourceLinked="0"/>
        <c:majorTickMark val="out"/>
        <c:minorTickMark val="none"/>
        <c:tickLblPos val="nextTo"/>
        <c:crossAx val="125889920"/>
        <c:crossesAt val="100"/>
        <c:crossBetween val="midCat"/>
        <c:majorUnit val="5"/>
      </c:valAx>
      <c:valAx>
        <c:axId val="125894016"/>
        <c:scaling>
          <c:orientation val="minMax"/>
          <c:max val="150"/>
          <c:min val="-120"/>
        </c:scaling>
        <c:delete val="0"/>
        <c:axPos val="r"/>
        <c:title>
          <c:tx>
            <c:rich>
              <a:bodyPr rot="-5400000" vert="horz"/>
              <a:lstStyle/>
              <a:p>
                <a:pPr>
                  <a:defRPr/>
                </a:pPr>
                <a:r>
                  <a:rPr lang="en-US" sz="1600"/>
                  <a:t>Phase Margin (degree)</a:t>
                </a:r>
              </a:p>
            </c:rich>
          </c:tx>
          <c:layout>
            <c:manualLayout>
              <c:xMode val="edge"/>
              <c:yMode val="edge"/>
              <c:x val="0.93752764446601256"/>
              <c:y val="0.25869218199036648"/>
            </c:manualLayout>
          </c:layout>
          <c:overlay val="0"/>
        </c:title>
        <c:numFmt formatCode="0" sourceLinked="0"/>
        <c:majorTickMark val="out"/>
        <c:minorTickMark val="none"/>
        <c:tickLblPos val="nextTo"/>
        <c:crossAx val="125572608"/>
        <c:crosses val="max"/>
        <c:crossBetween val="midCat"/>
        <c:majorUnit val="15"/>
      </c:valAx>
      <c:valAx>
        <c:axId val="125572608"/>
        <c:scaling>
          <c:logBase val="10"/>
          <c:orientation val="minMax"/>
        </c:scaling>
        <c:delete val="1"/>
        <c:axPos val="b"/>
        <c:numFmt formatCode="#,##0" sourceLinked="1"/>
        <c:majorTickMark val="out"/>
        <c:minorTickMark val="none"/>
        <c:tickLblPos val="nextTo"/>
        <c:crossAx val="125894016"/>
        <c:crosses val="autoZero"/>
        <c:crossBetween val="midCat"/>
      </c:valAx>
    </c:plotArea>
    <c:legend>
      <c:legendPos val="r"/>
      <c:layout>
        <c:manualLayout>
          <c:xMode val="edge"/>
          <c:yMode val="edge"/>
          <c:x val="0.74957898417776148"/>
          <c:y val="0.14001761111979444"/>
          <c:w val="9.5922648668389551E-2"/>
          <c:h val="0.10223746427689809"/>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34834</xdr:colOff>
      <xdr:row>71</xdr:row>
      <xdr:rowOff>35924</xdr:rowOff>
    </xdr:from>
    <xdr:to>
      <xdr:col>15</xdr:col>
      <xdr:colOff>524691</xdr:colOff>
      <xdr:row>102</xdr:row>
      <xdr:rowOff>15240</xdr:rowOff>
    </xdr:to>
    <xdr:grpSp>
      <xdr:nvGrpSpPr>
        <xdr:cNvPr id="2" name="Group 1"/>
        <xdr:cNvGrpSpPr/>
      </xdr:nvGrpSpPr>
      <xdr:grpSpPr>
        <a:xfrm>
          <a:off x="6928693" y="13742959"/>
          <a:ext cx="6899622" cy="5358140"/>
          <a:chOff x="6669810" y="12666539"/>
          <a:chExt cx="6585857" cy="4008623"/>
        </a:xfrm>
      </xdr:grpSpPr>
      <xdr:graphicFrame macro="">
        <xdr:nvGraphicFramePr>
          <xdr:cNvPr id="4" name="Chart 3"/>
          <xdr:cNvGraphicFramePr>
            <a:graphicFrameLocks/>
          </xdr:cNvGraphicFramePr>
        </xdr:nvGraphicFramePr>
        <xdr:xfrm>
          <a:off x="6669810" y="12666539"/>
          <a:ext cx="6585857" cy="400862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5" name="Straight Connector 4"/>
          <xdr:cNvCxnSpPr/>
        </xdr:nvCxnSpPr>
        <xdr:spPr>
          <a:xfrm>
            <a:off x="7345534" y="14784867"/>
            <a:ext cx="5143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5</xdr:col>
          <xdr:colOff>53340</xdr:colOff>
          <xdr:row>12</xdr:row>
          <xdr:rowOff>38100</xdr:rowOff>
        </xdr:from>
        <xdr:to>
          <xdr:col>15</xdr:col>
          <xdr:colOff>220980</xdr:colOff>
          <xdr:row>30</xdr:row>
          <xdr:rowOff>175260</xdr:rowOff>
        </xdr:to>
        <xdr:sp macro="" textlink="">
          <xdr:nvSpPr>
            <xdr:cNvPr id="1209" name="Object 185" hidden="1">
              <a:extLst>
                <a:ext uri="{63B3BB69-23CF-44E3-9099-C40C66FF867C}">
                  <a14:compatExt spid="_x0000_s120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0"/>
  <sheetViews>
    <sheetView tabSelected="1" zoomScale="85" zoomScaleNormal="85" workbookViewId="0">
      <selection activeCell="E22" sqref="E22"/>
    </sheetView>
  </sheetViews>
  <sheetFormatPr defaultRowHeight="13.2" x14ac:dyDescent="0.25"/>
  <cols>
    <col min="1" max="1" width="2.6640625" style="125" customWidth="1"/>
    <col min="2" max="2" width="24" style="126" customWidth="1"/>
    <col min="3" max="3" width="13.33203125" style="126" customWidth="1"/>
    <col min="4" max="4" width="6.6640625" style="126" customWidth="1"/>
    <col min="5" max="5" width="53.88671875" style="126" customWidth="1"/>
    <col min="6" max="6" width="9.33203125" style="78" customWidth="1"/>
    <col min="7" max="10" width="8.88671875" style="78" customWidth="1"/>
    <col min="11" max="11" width="8.88671875" style="68" customWidth="1"/>
    <col min="12" max="13" width="8.88671875" style="78"/>
    <col min="14" max="14" width="13.109375" style="78" bestFit="1" customWidth="1"/>
    <col min="15" max="16" width="8.88671875" style="78"/>
    <col min="17" max="17" width="2.6640625" style="78" customWidth="1"/>
    <col min="18" max="19" width="8.88671875" style="78"/>
    <col min="20" max="20" width="8.88671875" style="78" customWidth="1"/>
    <col min="21" max="16384" width="8.88671875" style="78"/>
  </cols>
  <sheetData>
    <row r="1" spans="1:17" s="68" customFormat="1" ht="13.8" thickBot="1" x14ac:dyDescent="0.3">
      <c r="A1" s="64"/>
      <c r="B1" s="65"/>
      <c r="C1" s="65"/>
      <c r="D1" s="65"/>
      <c r="E1" s="65"/>
      <c r="F1" s="66"/>
      <c r="G1" s="66"/>
      <c r="H1" s="66"/>
      <c r="I1" s="66"/>
      <c r="J1" s="67"/>
      <c r="K1" s="67"/>
      <c r="L1" s="67"/>
      <c r="M1" s="67"/>
      <c r="N1" s="67"/>
      <c r="O1" s="67"/>
      <c r="P1" s="67"/>
      <c r="Q1" s="67"/>
    </row>
    <row r="2" spans="1:17" s="68" customFormat="1" ht="16.2" thickTop="1" x14ac:dyDescent="0.3">
      <c r="A2" s="64"/>
      <c r="B2" s="155" t="s">
        <v>287</v>
      </c>
      <c r="C2" s="156"/>
      <c r="D2" s="156"/>
      <c r="E2" s="156"/>
      <c r="F2" s="156"/>
      <c r="G2" s="156"/>
      <c r="H2" s="156"/>
      <c r="I2" s="156"/>
      <c r="J2" s="156"/>
      <c r="K2" s="156"/>
      <c r="L2" s="156"/>
      <c r="M2" s="156"/>
      <c r="N2" s="156"/>
      <c r="O2" s="156"/>
      <c r="P2" s="157"/>
      <c r="Q2" s="67"/>
    </row>
    <row r="3" spans="1:17" s="68" customFormat="1" x14ac:dyDescent="0.25">
      <c r="A3" s="64"/>
      <c r="B3" s="158" t="s">
        <v>343</v>
      </c>
      <c r="C3" s="159"/>
      <c r="D3" s="159"/>
      <c r="E3" s="159"/>
      <c r="F3" s="159"/>
      <c r="G3" s="159"/>
      <c r="H3" s="159"/>
      <c r="I3" s="159"/>
      <c r="J3" s="159"/>
      <c r="K3" s="159"/>
      <c r="L3" s="159"/>
      <c r="M3" s="159"/>
      <c r="N3" s="159"/>
      <c r="O3" s="159"/>
      <c r="P3" s="160"/>
      <c r="Q3" s="67"/>
    </row>
    <row r="4" spans="1:17" s="68" customFormat="1" x14ac:dyDescent="0.25">
      <c r="A4" s="64"/>
      <c r="B4" s="158"/>
      <c r="C4" s="159"/>
      <c r="D4" s="159"/>
      <c r="E4" s="159"/>
      <c r="F4" s="159"/>
      <c r="G4" s="159"/>
      <c r="H4" s="159"/>
      <c r="I4" s="159"/>
      <c r="J4" s="159"/>
      <c r="K4" s="159"/>
      <c r="L4" s="159"/>
      <c r="M4" s="159"/>
      <c r="N4" s="159"/>
      <c r="O4" s="159"/>
      <c r="P4" s="160"/>
      <c r="Q4" s="67"/>
    </row>
    <row r="5" spans="1:17" s="68" customFormat="1" x14ac:dyDescent="0.25">
      <c r="A5" s="64"/>
      <c r="B5" s="69"/>
      <c r="C5" s="70"/>
      <c r="D5" s="70"/>
      <c r="E5" s="70"/>
      <c r="F5" s="71"/>
      <c r="G5" s="71"/>
      <c r="H5" s="71"/>
      <c r="I5" s="71"/>
      <c r="J5" s="71"/>
      <c r="K5" s="72"/>
      <c r="L5" s="72"/>
      <c r="M5" s="72"/>
      <c r="N5" s="72"/>
      <c r="O5" s="72"/>
      <c r="P5" s="73"/>
      <c r="Q5" s="67"/>
    </row>
    <row r="6" spans="1:17" s="68" customFormat="1" ht="13.2" customHeight="1" x14ac:dyDescent="0.25">
      <c r="A6" s="64"/>
      <c r="B6" s="161" t="s">
        <v>39</v>
      </c>
      <c r="C6" s="162"/>
      <c r="D6" s="162"/>
      <c r="E6" s="162"/>
      <c r="F6" s="162"/>
      <c r="G6" s="162"/>
      <c r="H6" s="162"/>
      <c r="I6" s="162"/>
      <c r="J6" s="162"/>
      <c r="K6" s="162"/>
      <c r="L6" s="162"/>
      <c r="M6" s="162"/>
      <c r="N6" s="162"/>
      <c r="O6" s="162"/>
      <c r="P6" s="163"/>
      <c r="Q6" s="67"/>
    </row>
    <row r="7" spans="1:17" s="68" customFormat="1" x14ac:dyDescent="0.25">
      <c r="A7" s="64"/>
      <c r="B7" s="153"/>
      <c r="C7" s="154"/>
      <c r="D7" s="154"/>
      <c r="E7" s="154"/>
      <c r="F7" s="154"/>
      <c r="G7" s="154"/>
      <c r="H7" s="154"/>
      <c r="I7" s="154"/>
      <c r="J7" s="154"/>
      <c r="K7" s="72"/>
      <c r="L7" s="72"/>
      <c r="M7" s="72"/>
      <c r="N7" s="72"/>
      <c r="O7" s="72"/>
      <c r="P7" s="73"/>
      <c r="Q7" s="67"/>
    </row>
    <row r="8" spans="1:17" ht="15.6" x14ac:dyDescent="0.3">
      <c r="A8" s="64"/>
      <c r="B8" s="74"/>
      <c r="C8" s="75"/>
      <c r="D8" s="76" t="s">
        <v>97</v>
      </c>
      <c r="E8" s="77"/>
      <c r="F8" s="72"/>
      <c r="G8" s="72"/>
      <c r="H8" s="72"/>
      <c r="I8" s="72"/>
      <c r="J8" s="72"/>
      <c r="K8" s="72"/>
      <c r="L8" s="72"/>
      <c r="M8" s="72"/>
      <c r="N8" s="72"/>
      <c r="O8" s="72"/>
      <c r="P8" s="73"/>
      <c r="Q8" s="67"/>
    </row>
    <row r="9" spans="1:17" ht="15.6" x14ac:dyDescent="0.3">
      <c r="A9" s="64"/>
      <c r="B9" s="74"/>
      <c r="C9" s="79"/>
      <c r="D9" s="76" t="s">
        <v>45</v>
      </c>
      <c r="E9" s="77"/>
      <c r="F9" s="72"/>
      <c r="G9" s="72"/>
      <c r="H9" s="72"/>
      <c r="I9" s="72"/>
      <c r="J9" s="72"/>
      <c r="K9" s="72"/>
      <c r="L9" s="72"/>
      <c r="M9" s="72"/>
      <c r="N9" s="72"/>
      <c r="O9" s="72"/>
      <c r="P9" s="73"/>
      <c r="Q9" s="67"/>
    </row>
    <row r="10" spans="1:17" ht="13.8" x14ac:dyDescent="0.25">
      <c r="A10" s="64"/>
      <c r="B10" s="74"/>
      <c r="C10" s="80"/>
      <c r="D10" s="76" t="s">
        <v>44</v>
      </c>
      <c r="E10" s="81"/>
      <c r="F10" s="72"/>
      <c r="G10" s="72"/>
      <c r="H10" s="72"/>
      <c r="I10" s="72"/>
      <c r="J10" s="72"/>
      <c r="K10" s="72"/>
      <c r="L10" s="72"/>
      <c r="M10" s="72"/>
      <c r="N10" s="72"/>
      <c r="O10" s="72"/>
      <c r="P10" s="73"/>
      <c r="Q10" s="67"/>
    </row>
    <row r="11" spans="1:17" ht="13.8" x14ac:dyDescent="0.25">
      <c r="A11" s="64"/>
      <c r="B11" s="74"/>
      <c r="C11" s="81"/>
      <c r="D11" s="76"/>
      <c r="E11" s="81"/>
      <c r="F11" s="72"/>
      <c r="G11" s="72"/>
      <c r="H11" s="72"/>
      <c r="I11" s="72"/>
      <c r="J11" s="72"/>
      <c r="K11" s="72"/>
      <c r="L11" s="72"/>
      <c r="M11" s="72"/>
      <c r="N11" s="72"/>
      <c r="O11" s="72"/>
      <c r="P11" s="73"/>
      <c r="Q11" s="67"/>
    </row>
    <row r="12" spans="1:17" x14ac:dyDescent="0.25">
      <c r="A12" s="64"/>
      <c r="B12" s="82" t="s">
        <v>25</v>
      </c>
      <c r="C12" s="83" t="s">
        <v>24</v>
      </c>
      <c r="D12" s="83" t="s">
        <v>23</v>
      </c>
      <c r="E12" s="83" t="s">
        <v>26</v>
      </c>
      <c r="F12" s="133" t="s">
        <v>42</v>
      </c>
      <c r="G12" s="133"/>
      <c r="H12" s="133"/>
      <c r="I12" s="133"/>
      <c r="J12" s="133"/>
      <c r="K12" s="133"/>
      <c r="L12" s="133"/>
      <c r="M12" s="133"/>
      <c r="N12" s="133"/>
      <c r="O12" s="133"/>
      <c r="P12" s="134"/>
      <c r="Q12" s="67"/>
    </row>
    <row r="13" spans="1:17" x14ac:dyDescent="0.25">
      <c r="A13" s="64"/>
      <c r="B13" s="135" t="s">
        <v>43</v>
      </c>
      <c r="C13" s="133"/>
      <c r="D13" s="133"/>
      <c r="E13" s="133"/>
      <c r="F13" s="84"/>
      <c r="G13" s="85"/>
      <c r="H13" s="85"/>
      <c r="I13" s="85"/>
      <c r="J13" s="85"/>
      <c r="K13" s="85"/>
      <c r="L13" s="85"/>
      <c r="M13" s="85"/>
      <c r="N13" s="85"/>
      <c r="O13" s="85"/>
      <c r="P13" s="86"/>
      <c r="Q13" s="67"/>
    </row>
    <row r="14" spans="1:17" x14ac:dyDescent="0.25">
      <c r="A14" s="64"/>
      <c r="B14" s="87" t="s">
        <v>12</v>
      </c>
      <c r="C14" s="41">
        <v>4.5</v>
      </c>
      <c r="D14" s="88" t="s">
        <v>3</v>
      </c>
      <c r="E14" s="89" t="s">
        <v>99</v>
      </c>
      <c r="F14" s="72"/>
      <c r="G14" s="72"/>
      <c r="H14" s="72"/>
      <c r="I14" s="72"/>
      <c r="J14" s="72"/>
      <c r="K14" s="72"/>
      <c r="L14" s="72"/>
      <c r="M14" s="72"/>
      <c r="N14" s="72"/>
      <c r="O14" s="72"/>
      <c r="P14" s="73"/>
      <c r="Q14" s="67"/>
    </row>
    <row r="15" spans="1:17" x14ac:dyDescent="0.25">
      <c r="A15" s="64"/>
      <c r="B15" s="87" t="s">
        <v>13</v>
      </c>
      <c r="C15" s="41">
        <v>18</v>
      </c>
      <c r="D15" s="88" t="s">
        <v>3</v>
      </c>
      <c r="E15" s="89" t="s">
        <v>34</v>
      </c>
      <c r="F15" s="72"/>
      <c r="G15" s="72"/>
      <c r="H15" s="72"/>
      <c r="I15" s="72"/>
      <c r="J15" s="72"/>
      <c r="K15" s="72"/>
      <c r="L15" s="72"/>
      <c r="M15" s="72"/>
      <c r="N15" s="72"/>
      <c r="O15" s="72"/>
      <c r="P15" s="73"/>
      <c r="Q15" s="67"/>
    </row>
    <row r="16" spans="1:17" x14ac:dyDescent="0.25">
      <c r="A16" s="64"/>
      <c r="B16" s="87" t="s">
        <v>342</v>
      </c>
      <c r="C16" s="43" t="s">
        <v>40</v>
      </c>
      <c r="D16" s="88"/>
      <c r="E16" s="89" t="s">
        <v>46</v>
      </c>
      <c r="F16" s="72"/>
      <c r="G16" s="72"/>
      <c r="H16" s="72"/>
      <c r="I16" s="72"/>
      <c r="J16" s="72"/>
      <c r="K16" s="72"/>
      <c r="L16" s="72"/>
      <c r="M16" s="72"/>
      <c r="N16" s="72"/>
      <c r="O16" s="72"/>
      <c r="P16" s="73"/>
      <c r="Q16" s="67"/>
    </row>
    <row r="17" spans="1:17" x14ac:dyDescent="0.25">
      <c r="A17" s="64"/>
      <c r="B17" s="87" t="s">
        <v>31</v>
      </c>
      <c r="C17" s="130">
        <v>20</v>
      </c>
      <c r="D17" s="88" t="s">
        <v>3</v>
      </c>
      <c r="E17" s="89" t="s">
        <v>344</v>
      </c>
      <c r="F17" s="72"/>
      <c r="G17" s="72"/>
      <c r="H17" s="72"/>
      <c r="I17" s="72"/>
      <c r="J17" s="72"/>
      <c r="K17" s="72"/>
      <c r="L17" s="72"/>
      <c r="M17" s="72"/>
      <c r="N17" s="72"/>
      <c r="O17" s="72"/>
      <c r="P17" s="73"/>
      <c r="Q17" s="67"/>
    </row>
    <row r="18" spans="1:17" x14ac:dyDescent="0.25">
      <c r="A18" s="64"/>
      <c r="B18" s="87" t="s">
        <v>59</v>
      </c>
      <c r="C18" s="27">
        <v>20</v>
      </c>
      <c r="D18" s="88" t="s">
        <v>3</v>
      </c>
      <c r="E18" s="89" t="str">
        <f>IF(C16="Internal", "Select 5V, 10V, 15V, 20V maximum Vout with Vref set to 1.129V", "Input desired maximum Vout with Vref set to 1.129V")</f>
        <v>Select 5V, 10V, 15V, 20V maximum Vout with Vref set to 1.129V</v>
      </c>
      <c r="F18" s="72"/>
      <c r="G18" s="72"/>
      <c r="H18" s="72"/>
      <c r="I18" s="72"/>
      <c r="J18" s="72"/>
      <c r="K18" s="72"/>
      <c r="L18" s="72"/>
      <c r="M18" s="72"/>
      <c r="N18" s="72"/>
      <c r="O18" s="72"/>
      <c r="P18" s="73"/>
      <c r="Q18" s="67"/>
    </row>
    <row r="19" spans="1:17" x14ac:dyDescent="0.25">
      <c r="A19" s="64"/>
      <c r="B19" s="87" t="s">
        <v>68</v>
      </c>
      <c r="C19" s="41">
        <v>3</v>
      </c>
      <c r="D19" s="88" t="s">
        <v>4</v>
      </c>
      <c r="E19" s="89" t="s">
        <v>92</v>
      </c>
      <c r="F19" s="72"/>
      <c r="G19" s="72"/>
      <c r="H19" s="72"/>
      <c r="I19" s="72"/>
      <c r="J19" s="72"/>
      <c r="K19" s="72"/>
      <c r="L19" s="72"/>
      <c r="M19" s="72"/>
      <c r="N19" s="72"/>
      <c r="O19" s="72"/>
      <c r="P19" s="73"/>
      <c r="Q19" s="67"/>
    </row>
    <row r="20" spans="1:17" x14ac:dyDescent="0.25">
      <c r="A20" s="64"/>
      <c r="B20" s="87" t="s">
        <v>195</v>
      </c>
      <c r="C20" s="42" t="str">
        <f>IF(Vout&lt;=1.063*Vout_max, DEC2HEX((Vout/Vout_max*1.129-0.045)*1000/1.129, 4), "Vout is too high")</f>
        <v>03C0</v>
      </c>
      <c r="D20" s="88" t="s">
        <v>52</v>
      </c>
      <c r="E20" s="89" t="s">
        <v>196</v>
      </c>
      <c r="F20" s="72"/>
      <c r="G20" s="72"/>
      <c r="H20" s="72"/>
      <c r="I20" s="72"/>
      <c r="J20" s="72"/>
      <c r="K20" s="72"/>
      <c r="L20" s="72"/>
      <c r="M20" s="72"/>
      <c r="N20" s="72"/>
      <c r="O20" s="72"/>
      <c r="P20" s="73"/>
      <c r="Q20" s="67"/>
    </row>
    <row r="21" spans="1:17" x14ac:dyDescent="0.25">
      <c r="A21" s="64"/>
      <c r="B21" s="87" t="s">
        <v>56</v>
      </c>
      <c r="C21" s="43" t="s">
        <v>40</v>
      </c>
      <c r="D21" s="88"/>
      <c r="E21" s="89" t="s">
        <v>98</v>
      </c>
      <c r="F21" s="72"/>
      <c r="G21" s="72"/>
      <c r="H21" s="72"/>
      <c r="I21" s="72"/>
      <c r="J21" s="72"/>
      <c r="K21" s="72"/>
      <c r="L21" s="72"/>
      <c r="M21" s="72"/>
      <c r="N21" s="72"/>
      <c r="O21" s="72"/>
      <c r="P21" s="73"/>
      <c r="Q21" s="67"/>
    </row>
    <row r="22" spans="1:17" x14ac:dyDescent="0.25">
      <c r="A22" s="64"/>
      <c r="B22" s="87" t="s">
        <v>96</v>
      </c>
      <c r="C22" s="43" t="s">
        <v>63</v>
      </c>
      <c r="D22" s="88"/>
      <c r="E22" s="89" t="s">
        <v>100</v>
      </c>
      <c r="F22" s="72"/>
      <c r="G22" s="72"/>
      <c r="H22" s="72"/>
      <c r="I22" s="72"/>
      <c r="J22" s="72"/>
      <c r="K22" s="72"/>
      <c r="L22" s="72"/>
      <c r="M22" s="72"/>
      <c r="N22" s="72"/>
      <c r="O22" s="72"/>
      <c r="P22" s="73"/>
      <c r="Q22" s="67"/>
    </row>
    <row r="23" spans="1:17" x14ac:dyDescent="0.25">
      <c r="A23" s="64"/>
      <c r="B23" s="87" t="s">
        <v>57</v>
      </c>
      <c r="C23" s="26">
        <v>74</v>
      </c>
      <c r="D23" s="88" t="s">
        <v>52</v>
      </c>
      <c r="E23" s="89" t="s">
        <v>58</v>
      </c>
      <c r="F23" s="72"/>
      <c r="G23" s="72"/>
      <c r="H23" s="72"/>
      <c r="I23" s="72"/>
      <c r="J23" s="72"/>
      <c r="K23" s="72"/>
      <c r="L23" s="72"/>
      <c r="M23" s="72"/>
      <c r="N23" s="72"/>
      <c r="O23" s="72"/>
      <c r="P23" s="73"/>
      <c r="Q23" s="67"/>
    </row>
    <row r="24" spans="1:17" x14ac:dyDescent="0.25">
      <c r="A24" s="64"/>
      <c r="B24" s="90" t="s">
        <v>60</v>
      </c>
      <c r="C24" s="44">
        <f>IF((C21="Internal")*(C22="FPWM")*(C23=74),0,IF((C21="Internal")*(C22="APFM")*(C23=74),6190,IF((C21="Internal")*(C22="FPWM")*(C23=75),14300,IF((C21="Internal")*(C22="APFM")*(C23=75),24900,IF((C21="External")*(C22="FPWM")*(C23=74),51100,IF((C21="External")*(C22="APFM")*(C23=74),75000,IF((C21="external")*(C22="FPWM")*(C23=75),10500,"floating")))))))</f>
        <v>0</v>
      </c>
      <c r="D24" s="88" t="s">
        <v>61</v>
      </c>
      <c r="E24" s="89" t="s">
        <v>62</v>
      </c>
      <c r="F24" s="72"/>
      <c r="G24" s="72"/>
      <c r="H24" s="72"/>
      <c r="I24" s="72"/>
      <c r="J24" s="72"/>
      <c r="K24" s="72"/>
      <c r="L24" s="72"/>
      <c r="M24" s="72"/>
      <c r="N24" s="72"/>
      <c r="O24" s="72"/>
      <c r="P24" s="73"/>
      <c r="Q24" s="67"/>
    </row>
    <row r="25" spans="1:17" ht="26.4" x14ac:dyDescent="0.25">
      <c r="A25" s="64"/>
      <c r="B25" s="87" t="s">
        <v>54</v>
      </c>
      <c r="C25" s="45">
        <v>100000</v>
      </c>
      <c r="D25" s="88" t="s">
        <v>28</v>
      </c>
      <c r="E25" s="89" t="s">
        <v>314</v>
      </c>
      <c r="F25" s="72"/>
      <c r="G25" s="72"/>
      <c r="H25" s="72"/>
      <c r="I25" s="72"/>
      <c r="J25" s="72"/>
      <c r="K25" s="72"/>
      <c r="L25" s="72"/>
      <c r="M25" s="72"/>
      <c r="N25" s="72"/>
      <c r="O25" s="72"/>
      <c r="P25" s="73"/>
      <c r="Q25" s="67"/>
    </row>
    <row r="26" spans="1:17" x14ac:dyDescent="0.25">
      <c r="A26" s="64"/>
      <c r="B26" s="90" t="s">
        <v>55</v>
      </c>
      <c r="C26" s="46">
        <f>R_7/(Vout_max/1.129-1)</f>
        <v>5982.7248158550155</v>
      </c>
      <c r="D26" s="88" t="s">
        <v>28</v>
      </c>
      <c r="E26" s="89" t="s">
        <v>288</v>
      </c>
      <c r="F26" s="72"/>
      <c r="G26" s="72"/>
      <c r="H26" s="72"/>
      <c r="I26" s="72"/>
      <c r="J26" s="72"/>
      <c r="K26" s="72"/>
      <c r="L26" s="72"/>
      <c r="M26" s="72"/>
      <c r="N26" s="72"/>
      <c r="O26" s="72"/>
      <c r="P26" s="73"/>
      <c r="Q26" s="67"/>
    </row>
    <row r="27" spans="1:17" x14ac:dyDescent="0.25">
      <c r="A27" s="64"/>
      <c r="B27" s="87" t="s">
        <v>201</v>
      </c>
      <c r="C27" s="43" t="s">
        <v>203</v>
      </c>
      <c r="D27" s="88"/>
      <c r="E27" s="89" t="s">
        <v>202</v>
      </c>
      <c r="F27" s="72"/>
      <c r="G27" s="72"/>
      <c r="H27" s="72"/>
      <c r="I27" s="72"/>
      <c r="J27" s="72"/>
      <c r="K27" s="72"/>
      <c r="L27" s="72"/>
      <c r="M27" s="72"/>
      <c r="N27" s="72"/>
      <c r="O27" s="72"/>
      <c r="P27" s="73"/>
      <c r="Q27" s="67"/>
    </row>
    <row r="28" spans="1:17" x14ac:dyDescent="0.25">
      <c r="A28" s="64"/>
      <c r="B28" s="87" t="s">
        <v>91</v>
      </c>
      <c r="C28" s="41">
        <v>5</v>
      </c>
      <c r="D28" s="88" t="s">
        <v>4</v>
      </c>
      <c r="E28" s="89" t="s">
        <v>48</v>
      </c>
      <c r="F28" s="72"/>
      <c r="G28" s="72"/>
      <c r="H28" s="72"/>
      <c r="I28" s="72"/>
      <c r="J28" s="72"/>
      <c r="K28" s="72"/>
      <c r="L28" s="72"/>
      <c r="M28" s="72"/>
      <c r="N28" s="72"/>
      <c r="O28" s="72"/>
      <c r="P28" s="73"/>
      <c r="Q28" s="67"/>
    </row>
    <row r="29" spans="1:17" x14ac:dyDescent="0.25">
      <c r="A29" s="64"/>
      <c r="B29" s="87" t="s">
        <v>49</v>
      </c>
      <c r="C29" s="41">
        <v>10</v>
      </c>
      <c r="D29" s="88" t="s">
        <v>315</v>
      </c>
      <c r="E29" s="89" t="s">
        <v>50</v>
      </c>
      <c r="F29" s="72"/>
      <c r="G29" s="72"/>
      <c r="H29" s="72"/>
      <c r="I29" s="72"/>
      <c r="J29" s="72"/>
      <c r="K29" s="72"/>
      <c r="L29" s="72"/>
      <c r="M29" s="72"/>
      <c r="N29" s="72"/>
      <c r="O29" s="72"/>
      <c r="P29" s="73"/>
      <c r="Q29" s="67"/>
    </row>
    <row r="30" spans="1:17" ht="26.4" x14ac:dyDescent="0.25">
      <c r="A30" s="64"/>
      <c r="B30" s="87" t="s">
        <v>51</v>
      </c>
      <c r="C30" s="47" t="str">
        <f>IF(Iout_limit*R_1&lt;=63.5,DEC2HEX(ROUNDUP(Iout_limit*R_1/0.5,0)+IF((C27="Enable"),128,0)),"error")</f>
        <v>E4</v>
      </c>
      <c r="D30" s="88" t="s">
        <v>52</v>
      </c>
      <c r="E30" s="89" t="s">
        <v>53</v>
      </c>
      <c r="F30" s="72"/>
      <c r="G30" s="72"/>
      <c r="H30" s="72"/>
      <c r="I30" s="72"/>
      <c r="J30" s="72"/>
      <c r="K30" s="72"/>
      <c r="L30" s="72"/>
      <c r="M30" s="72"/>
      <c r="N30" s="72"/>
      <c r="O30" s="72"/>
      <c r="P30" s="73"/>
      <c r="Q30" s="67"/>
    </row>
    <row r="31" spans="1:17" ht="27" x14ac:dyDescent="0.3">
      <c r="A31" s="64"/>
      <c r="B31" s="87" t="s">
        <v>322</v>
      </c>
      <c r="C31" s="48">
        <f>IF((Vout&gt;Vin_min), SQRT((Vout-Vin_min)/Vin_min)*Ioutmax, 1/SQRT(12)*Vout*(1-Vout/Vin_max)/L/fsw)</f>
        <v>5.5677643628300224</v>
      </c>
      <c r="D31" s="88" t="s">
        <v>19</v>
      </c>
      <c r="E31" s="89" t="s">
        <v>22</v>
      </c>
      <c r="F31" s="72"/>
      <c r="G31" s="72"/>
      <c r="H31" s="72"/>
      <c r="I31" s="72"/>
      <c r="J31" s="72"/>
      <c r="K31" s="72"/>
      <c r="L31" s="72"/>
      <c r="M31" s="72"/>
      <c r="N31" s="72"/>
      <c r="O31" s="72"/>
      <c r="P31" s="73"/>
      <c r="Q31" s="67"/>
    </row>
    <row r="32" spans="1:17" ht="26.4" x14ac:dyDescent="0.25">
      <c r="A32" s="64"/>
      <c r="B32" s="87" t="s">
        <v>316</v>
      </c>
      <c r="C32" s="48">
        <f>IF((Vin_max&gt;Vout), IF(Vin_max&lt;(2*Vout), Ioutmax*SQRT(Vout*(Vin_max-Vout)/Vin_max/Vin_max), Ioutmax/2), IF(Vin_min&gt;Vout/2, 1/SQRT(12)*Vin_min*(1-Vin_min/Vout)/L/fsw, 1/SQRT(12)*Vout/4/L/fsw))</f>
        <v>0.76775301753939607</v>
      </c>
      <c r="D32" s="88" t="s">
        <v>19</v>
      </c>
      <c r="E32" s="89" t="s">
        <v>37</v>
      </c>
      <c r="F32" s="72"/>
      <c r="G32" s="72"/>
      <c r="H32" s="72"/>
      <c r="I32" s="72"/>
      <c r="J32" s="72"/>
      <c r="K32" s="72"/>
      <c r="L32" s="72"/>
      <c r="M32" s="72"/>
      <c r="N32" s="72"/>
      <c r="O32" s="72"/>
      <c r="P32" s="73"/>
      <c r="Q32" s="67"/>
    </row>
    <row r="33" spans="1:17" x14ac:dyDescent="0.25">
      <c r="A33" s="64"/>
      <c r="B33" s="87" t="s">
        <v>2</v>
      </c>
      <c r="C33" s="49">
        <v>400000</v>
      </c>
      <c r="D33" s="88" t="s">
        <v>6</v>
      </c>
      <c r="E33" s="89" t="s">
        <v>16</v>
      </c>
      <c r="F33" s="72"/>
      <c r="G33" s="72"/>
      <c r="H33" s="72"/>
      <c r="I33" s="72"/>
      <c r="J33" s="72"/>
      <c r="K33" s="72"/>
      <c r="L33" s="72"/>
      <c r="M33" s="72"/>
      <c r="N33" s="72"/>
      <c r="O33" s="72"/>
      <c r="P33" s="73"/>
      <c r="Q33" s="67"/>
    </row>
    <row r="34" spans="1:17" x14ac:dyDescent="0.25">
      <c r="A34" s="64"/>
      <c r="B34" s="90" t="s">
        <v>36</v>
      </c>
      <c r="C34" s="50">
        <f>(10^9/fsw-20)/0.05-250</f>
        <v>49350</v>
      </c>
      <c r="D34" s="88" t="s">
        <v>28</v>
      </c>
      <c r="E34" s="89" t="s">
        <v>35</v>
      </c>
      <c r="F34" s="72"/>
      <c r="G34" s="72"/>
      <c r="H34" s="72"/>
      <c r="I34" s="72"/>
      <c r="J34" s="72"/>
      <c r="K34" s="72"/>
      <c r="L34" s="72"/>
      <c r="M34" s="72"/>
      <c r="N34" s="72"/>
      <c r="O34" s="72"/>
      <c r="P34" s="73"/>
      <c r="Q34" s="67"/>
    </row>
    <row r="35" spans="1:17" x14ac:dyDescent="0.25">
      <c r="A35" s="64"/>
      <c r="B35" s="87" t="s">
        <v>93</v>
      </c>
      <c r="C35" s="49">
        <v>500</v>
      </c>
      <c r="D35" s="88" t="s">
        <v>6</v>
      </c>
      <c r="E35" s="89" t="s">
        <v>94</v>
      </c>
      <c r="F35" s="72"/>
      <c r="G35" s="72"/>
      <c r="H35" s="72"/>
      <c r="I35" s="72"/>
      <c r="J35" s="72"/>
      <c r="K35" s="72"/>
      <c r="L35" s="72"/>
      <c r="M35" s="72"/>
      <c r="N35" s="72"/>
      <c r="O35" s="72"/>
      <c r="P35" s="73"/>
      <c r="Q35" s="67"/>
    </row>
    <row r="36" spans="1:17" x14ac:dyDescent="0.25">
      <c r="A36" s="64"/>
      <c r="B36" s="90" t="s">
        <v>95</v>
      </c>
      <c r="C36" s="51">
        <f>1/2.8/C34/C35</f>
        <v>1.4473874656245477E-8</v>
      </c>
      <c r="D36" s="88" t="s">
        <v>9</v>
      </c>
      <c r="E36" s="89"/>
      <c r="F36" s="136" t="s">
        <v>47</v>
      </c>
      <c r="G36" s="137"/>
      <c r="H36" s="137"/>
      <c r="I36" s="137"/>
      <c r="J36" s="137"/>
      <c r="K36" s="137"/>
      <c r="L36" s="137"/>
      <c r="M36" s="137"/>
      <c r="N36" s="137"/>
      <c r="O36" s="137"/>
      <c r="P36" s="138"/>
      <c r="Q36" s="67"/>
    </row>
    <row r="37" spans="1:17" ht="27" x14ac:dyDescent="0.3">
      <c r="A37" s="64"/>
      <c r="B37" s="87" t="s">
        <v>323</v>
      </c>
      <c r="C37" s="52">
        <v>0.05</v>
      </c>
      <c r="D37" s="88" t="s">
        <v>20</v>
      </c>
      <c r="E37" s="89" t="s">
        <v>304</v>
      </c>
      <c r="F37" s="91"/>
      <c r="G37" s="72"/>
      <c r="H37" s="72"/>
      <c r="I37" s="72"/>
      <c r="J37" s="72"/>
      <c r="K37" s="72"/>
      <c r="L37" s="72"/>
      <c r="M37" s="72"/>
      <c r="N37" s="72"/>
      <c r="O37" s="72"/>
      <c r="P37" s="73"/>
      <c r="Q37" s="67"/>
    </row>
    <row r="38" spans="1:17" ht="27" customHeight="1" x14ac:dyDescent="0.25">
      <c r="A38" s="64"/>
      <c r="B38" s="90" t="s">
        <v>66</v>
      </c>
      <c r="C38" s="53">
        <f>MAX((Vout-Vin_min)/Vout/fsw*Ioutmax/dVoutpkpk, 1/8/fsw*(ILpeak_max-ILvalley_max)/dVoutpkpk)</f>
        <v>1.1625000000000001E-4</v>
      </c>
      <c r="D38" s="88" t="s">
        <v>9</v>
      </c>
      <c r="E38" s="89" t="s">
        <v>38</v>
      </c>
      <c r="F38" s="92" t="s">
        <v>197</v>
      </c>
      <c r="G38" s="93" t="s">
        <v>147</v>
      </c>
      <c r="H38" s="93" t="s">
        <v>131</v>
      </c>
      <c r="I38" s="94" t="s">
        <v>132</v>
      </c>
      <c r="J38" s="93" t="s">
        <v>133</v>
      </c>
      <c r="K38" s="92" t="s">
        <v>134</v>
      </c>
      <c r="L38" s="93" t="s">
        <v>135</v>
      </c>
      <c r="M38" s="93" t="s">
        <v>136</v>
      </c>
      <c r="N38" s="93" t="s">
        <v>137</v>
      </c>
      <c r="O38" s="93" t="s">
        <v>138</v>
      </c>
      <c r="P38" s="95" t="s">
        <v>206</v>
      </c>
      <c r="Q38" s="67"/>
    </row>
    <row r="39" spans="1:17" x14ac:dyDescent="0.25">
      <c r="A39" s="64"/>
      <c r="B39" s="140" t="s">
        <v>157</v>
      </c>
      <c r="C39" s="149">
        <v>2.2000000000000001E-7</v>
      </c>
      <c r="D39" s="151" t="s">
        <v>9</v>
      </c>
      <c r="E39" s="131" t="s">
        <v>292</v>
      </c>
      <c r="F39" s="164" t="s">
        <v>198</v>
      </c>
      <c r="G39" s="147" t="s">
        <v>139</v>
      </c>
      <c r="H39" s="96" t="s">
        <v>244</v>
      </c>
      <c r="I39" s="96" t="s">
        <v>245</v>
      </c>
      <c r="J39" s="96" t="s">
        <v>246</v>
      </c>
      <c r="K39" s="96" t="s">
        <v>247</v>
      </c>
      <c r="L39" s="96" t="s">
        <v>248</v>
      </c>
      <c r="M39" s="96" t="s">
        <v>249</v>
      </c>
      <c r="N39" s="96" t="s">
        <v>250</v>
      </c>
      <c r="O39" s="96" t="s">
        <v>251</v>
      </c>
      <c r="P39" s="148" t="str">
        <f>RIGHT(Reg_Vref, 2)</f>
        <v>C0</v>
      </c>
      <c r="Q39" s="67"/>
    </row>
    <row r="40" spans="1:17" x14ac:dyDescent="0.25">
      <c r="A40" s="64"/>
      <c r="B40" s="141"/>
      <c r="C40" s="150"/>
      <c r="D40" s="152"/>
      <c r="E40" s="132"/>
      <c r="F40" s="164"/>
      <c r="G40" s="147"/>
      <c r="H40" s="30" t="str">
        <f>MID(HEX2BIN(RIGHT(Reg_Vref, 2), 8), 1, 1)</f>
        <v>1</v>
      </c>
      <c r="I40" s="31" t="str">
        <f>MID(HEX2BIN(RIGHT(Reg_Vref, 2), 8), 2, 1)</f>
        <v>1</v>
      </c>
      <c r="J40" s="32" t="str">
        <f>MID(HEX2BIN(RIGHT(Reg_Vref, 2), 8), 3, 1)</f>
        <v>0</v>
      </c>
      <c r="K40" s="30" t="str">
        <f>MID(HEX2BIN(RIGHT(Reg_Vref, 2), 8), 4, 1)</f>
        <v>0</v>
      </c>
      <c r="L40" s="33" t="str">
        <f>MID(HEX2BIN(RIGHT(Reg_Vref, 2), 8), 5, 1)</f>
        <v>0</v>
      </c>
      <c r="M40" s="33" t="str">
        <f>MID(HEX2BIN(RIGHT(Reg_Vref, 2), 8), 6, 1)</f>
        <v>0</v>
      </c>
      <c r="N40" s="33" t="str">
        <f>MID(HEX2BIN(RIGHT(Reg_Vref, 2), 8), 7, 1)</f>
        <v>0</v>
      </c>
      <c r="O40" s="33" t="str">
        <f>MID(HEX2BIN(RIGHT(Reg_Vref, 2), 8), 8, 1)</f>
        <v>0</v>
      </c>
      <c r="P40" s="148"/>
      <c r="Q40" s="67"/>
    </row>
    <row r="41" spans="1:17" x14ac:dyDescent="0.25">
      <c r="A41" s="64"/>
      <c r="B41" s="140" t="s">
        <v>158</v>
      </c>
      <c r="C41" s="149">
        <v>2.2000000000000001E-4</v>
      </c>
      <c r="D41" s="151" t="s">
        <v>9</v>
      </c>
      <c r="E41" s="131" t="s">
        <v>164</v>
      </c>
      <c r="F41" s="164" t="s">
        <v>199</v>
      </c>
      <c r="G41" s="147" t="s">
        <v>140</v>
      </c>
      <c r="H41" s="96" t="s">
        <v>204</v>
      </c>
      <c r="I41" s="96" t="s">
        <v>204</v>
      </c>
      <c r="J41" s="96" t="s">
        <v>204</v>
      </c>
      <c r="K41" s="96" t="s">
        <v>204</v>
      </c>
      <c r="L41" s="96" t="s">
        <v>204</v>
      </c>
      <c r="M41" s="96" t="s">
        <v>204</v>
      </c>
      <c r="N41" s="96" t="s">
        <v>252</v>
      </c>
      <c r="O41" s="96" t="s">
        <v>253</v>
      </c>
      <c r="P41" s="148" t="str">
        <f>LEFT(Reg_Vref, 2)</f>
        <v>03</v>
      </c>
      <c r="Q41" s="67"/>
    </row>
    <row r="42" spans="1:17" x14ac:dyDescent="0.25">
      <c r="A42" s="64"/>
      <c r="B42" s="141"/>
      <c r="C42" s="150"/>
      <c r="D42" s="152"/>
      <c r="E42" s="132"/>
      <c r="F42" s="164"/>
      <c r="G42" s="147"/>
      <c r="H42" s="97">
        <v>0</v>
      </c>
      <c r="I42" s="97">
        <v>0</v>
      </c>
      <c r="J42" s="97">
        <v>0</v>
      </c>
      <c r="K42" s="97">
        <v>0</v>
      </c>
      <c r="L42" s="97">
        <v>0</v>
      </c>
      <c r="M42" s="97">
        <v>0</v>
      </c>
      <c r="N42" s="33" t="str">
        <f>MID(HEX2BIN(LEFT(Reg_Vref, 2), 8), 7, 1)</f>
        <v>1</v>
      </c>
      <c r="O42" s="33" t="str">
        <f>MID(HEX2BIN(LEFT(Reg_Vref, 2), 8), 8, 1)</f>
        <v>1</v>
      </c>
      <c r="P42" s="148"/>
      <c r="Q42" s="67"/>
    </row>
    <row r="43" spans="1:17" x14ac:dyDescent="0.25">
      <c r="A43" s="64"/>
      <c r="B43" s="140" t="s">
        <v>289</v>
      </c>
      <c r="C43" s="167">
        <v>2.7E-2</v>
      </c>
      <c r="D43" s="151" t="s">
        <v>28</v>
      </c>
      <c r="E43" s="131" t="s">
        <v>148</v>
      </c>
      <c r="F43" s="164" t="s">
        <v>200</v>
      </c>
      <c r="G43" s="147" t="s">
        <v>141</v>
      </c>
      <c r="H43" s="96" t="s">
        <v>254</v>
      </c>
      <c r="I43" s="96" t="s">
        <v>255</v>
      </c>
      <c r="J43" s="96" t="s">
        <v>256</v>
      </c>
      <c r="K43" s="96" t="s">
        <v>257</v>
      </c>
      <c r="L43" s="96" t="s">
        <v>258</v>
      </c>
      <c r="M43" s="98" t="s">
        <v>259</v>
      </c>
      <c r="N43" s="98" t="s">
        <v>260</v>
      </c>
      <c r="O43" s="98" t="s">
        <v>261</v>
      </c>
      <c r="P43" s="148" t="str">
        <f>Reg_Ilimit</f>
        <v>E4</v>
      </c>
      <c r="Q43" s="67"/>
    </row>
    <row r="44" spans="1:17" x14ac:dyDescent="0.25">
      <c r="A44" s="64"/>
      <c r="B44" s="141"/>
      <c r="C44" s="168"/>
      <c r="D44" s="152"/>
      <c r="E44" s="132"/>
      <c r="F44" s="164"/>
      <c r="G44" s="147"/>
      <c r="H44" s="34" t="str">
        <f>MID(HEX2BIN(Reg_Ilimit, 8), 1, 1)</f>
        <v>1</v>
      </c>
      <c r="I44" s="35" t="str">
        <f>MID(HEX2BIN(Reg_Ilimit, 8), 2, 1)</f>
        <v>1</v>
      </c>
      <c r="J44" s="32" t="str">
        <f>MID(HEX2BIN(Reg_Ilimit, 8), 3, 1)</f>
        <v>1</v>
      </c>
      <c r="K44" s="30" t="str">
        <f>MID(HEX2BIN(Reg_Ilimit, 8), 4, 1)</f>
        <v>0</v>
      </c>
      <c r="L44" s="33" t="str">
        <f>MID(HEX2BIN(Reg_Ilimit, 8), 5, 1)</f>
        <v>0</v>
      </c>
      <c r="M44" s="33" t="str">
        <f>MID(HEX2BIN(Reg_Ilimit, 8), 6, 1)</f>
        <v>1</v>
      </c>
      <c r="N44" s="33" t="str">
        <f>MID(HEX2BIN(Reg_Ilimit, 8), 7, 1)</f>
        <v>0</v>
      </c>
      <c r="O44" s="33" t="str">
        <f>MID(HEX2BIN(Reg_Ilimit, 8),8, 1)</f>
        <v>0</v>
      </c>
      <c r="P44" s="148"/>
      <c r="Q44" s="67"/>
    </row>
    <row r="45" spans="1:17" x14ac:dyDescent="0.25">
      <c r="A45" s="64"/>
      <c r="B45" s="140" t="s">
        <v>317</v>
      </c>
      <c r="C45" s="165">
        <v>0.05</v>
      </c>
      <c r="D45" s="151" t="s">
        <v>20</v>
      </c>
      <c r="E45" s="131" t="s">
        <v>64</v>
      </c>
      <c r="F45" s="164" t="s">
        <v>222</v>
      </c>
      <c r="G45" s="147" t="s">
        <v>142</v>
      </c>
      <c r="H45" s="96" t="s">
        <v>204</v>
      </c>
      <c r="I45" s="96" t="s">
        <v>204</v>
      </c>
      <c r="J45" s="99" t="s">
        <v>262</v>
      </c>
      <c r="K45" s="100" t="s">
        <v>263</v>
      </c>
      <c r="L45" s="96" t="s">
        <v>204</v>
      </c>
      <c r="M45" s="96" t="s">
        <v>204</v>
      </c>
      <c r="N45" s="98" t="s">
        <v>264</v>
      </c>
      <c r="O45" s="98" t="s">
        <v>265</v>
      </c>
      <c r="P45" s="148" t="str">
        <f>DEC2HEX((O46+N46*2+K46*16+J46*32),2)</f>
        <v>01</v>
      </c>
      <c r="Q45" s="67"/>
    </row>
    <row r="46" spans="1:17" x14ac:dyDescent="0.25">
      <c r="A46" s="64"/>
      <c r="B46" s="141"/>
      <c r="C46" s="166"/>
      <c r="D46" s="152"/>
      <c r="E46" s="132"/>
      <c r="F46" s="164"/>
      <c r="G46" s="147"/>
      <c r="H46" s="97">
        <v>0</v>
      </c>
      <c r="I46" s="97">
        <v>0</v>
      </c>
      <c r="J46" s="33">
        <f>IF(OR((C66=0.1),(C66=3)),0,1)</f>
        <v>0</v>
      </c>
      <c r="K46" s="33">
        <f>IF(OR((C66=0.1),(C66=6)),0,1)</f>
        <v>0</v>
      </c>
      <c r="L46" s="97">
        <v>0</v>
      </c>
      <c r="M46" s="97">
        <v>0</v>
      </c>
      <c r="N46" s="33">
        <f>IF(OR((C67=1.25),(C67=2.5)),0,1)</f>
        <v>0</v>
      </c>
      <c r="O46" s="33">
        <f>IF(OR((C67=1.25),(C67=5)),0,1)</f>
        <v>1</v>
      </c>
      <c r="P46" s="148"/>
      <c r="Q46" s="67"/>
    </row>
    <row r="47" spans="1:17" x14ac:dyDescent="0.25">
      <c r="A47" s="64"/>
      <c r="B47" s="169" t="s">
        <v>65</v>
      </c>
      <c r="C47" s="171">
        <f>Ioutmax*0.25/dVinpkpk/fsw</f>
        <v>3.7499999999999997E-5</v>
      </c>
      <c r="D47" s="151" t="s">
        <v>9</v>
      </c>
      <c r="E47" s="131" t="s">
        <v>101</v>
      </c>
      <c r="F47" s="164" t="s">
        <v>205</v>
      </c>
      <c r="G47" s="147" t="s">
        <v>143</v>
      </c>
      <c r="H47" s="96" t="s">
        <v>270</v>
      </c>
      <c r="I47" s="96" t="s">
        <v>204</v>
      </c>
      <c r="J47" s="96" t="s">
        <v>204</v>
      </c>
      <c r="K47" s="96" t="s">
        <v>204</v>
      </c>
      <c r="L47" s="96" t="s">
        <v>204</v>
      </c>
      <c r="M47" s="96" t="s">
        <v>204</v>
      </c>
      <c r="N47" s="98" t="s">
        <v>274</v>
      </c>
      <c r="O47" s="98" t="s">
        <v>275</v>
      </c>
      <c r="P47" s="148" t="str">
        <f>DEC2HEX(IF(C16="Internal",0,128)+Vout_max/5-1, 2)</f>
        <v>03</v>
      </c>
      <c r="Q47" s="67"/>
    </row>
    <row r="48" spans="1:17" x14ac:dyDescent="0.25">
      <c r="A48" s="64"/>
      <c r="B48" s="170"/>
      <c r="C48" s="172"/>
      <c r="D48" s="152"/>
      <c r="E48" s="132"/>
      <c r="F48" s="164"/>
      <c r="G48" s="147"/>
      <c r="H48" s="36">
        <f>IF(C16="Internal", 0, 1)</f>
        <v>0</v>
      </c>
      <c r="I48" s="97">
        <v>0</v>
      </c>
      <c r="J48" s="97">
        <v>0</v>
      </c>
      <c r="K48" s="97">
        <v>0</v>
      </c>
      <c r="L48" s="97">
        <v>0</v>
      </c>
      <c r="M48" s="97">
        <v>0</v>
      </c>
      <c r="N48" s="33" t="str">
        <f>MID(DEC2BIN((Vout_max/5)-1, 2), 1, 1)</f>
        <v>1</v>
      </c>
      <c r="O48" s="33" t="str">
        <f>MID(DEC2BIN((Vout_max/5)-1, 2), 2, 1)</f>
        <v>1</v>
      </c>
      <c r="P48" s="148"/>
      <c r="Q48" s="67"/>
    </row>
    <row r="49" spans="1:17" x14ac:dyDescent="0.25">
      <c r="A49" s="64"/>
      <c r="B49" s="140" t="s">
        <v>67</v>
      </c>
      <c r="C49" s="149">
        <v>4.3000000000000002E-5</v>
      </c>
      <c r="D49" s="151" t="s">
        <v>9</v>
      </c>
      <c r="E49" s="131" t="s">
        <v>32</v>
      </c>
      <c r="F49" s="146" t="s">
        <v>215</v>
      </c>
      <c r="G49" s="147" t="s">
        <v>144</v>
      </c>
      <c r="H49" s="96" t="s">
        <v>271</v>
      </c>
      <c r="I49" s="96" t="s">
        <v>272</v>
      </c>
      <c r="J49" s="96" t="s">
        <v>273</v>
      </c>
      <c r="K49" s="96" t="s">
        <v>204</v>
      </c>
      <c r="L49" s="96" t="s">
        <v>269</v>
      </c>
      <c r="M49" s="96" t="s">
        <v>266</v>
      </c>
      <c r="N49" s="98" t="s">
        <v>267</v>
      </c>
      <c r="O49" s="98" t="s">
        <v>268</v>
      </c>
      <c r="P49" s="148" t="str">
        <f>DEC2HEX(C63/2+L50*8+J50*32+I50*64+H50*128, 2)</f>
        <v>EF</v>
      </c>
      <c r="Q49" s="67"/>
    </row>
    <row r="50" spans="1:17" x14ac:dyDescent="0.25">
      <c r="A50" s="64"/>
      <c r="B50" s="141"/>
      <c r="C50" s="150"/>
      <c r="D50" s="152"/>
      <c r="E50" s="132"/>
      <c r="F50" s="146"/>
      <c r="G50" s="147"/>
      <c r="H50" s="36">
        <f>IF(C68="Enable", 1, 0)</f>
        <v>1</v>
      </c>
      <c r="I50" s="36">
        <f>IF(C69="Enable", 1, 0)</f>
        <v>1</v>
      </c>
      <c r="J50" s="36">
        <f>IF(C70="Enable", 1, 0)</f>
        <v>1</v>
      </c>
      <c r="K50" s="97">
        <v>0</v>
      </c>
      <c r="L50" s="36">
        <f>IF(C62="Internal", 0, 1)</f>
        <v>1</v>
      </c>
      <c r="M50" s="33" t="str">
        <f>MID(DEC2BIN((C63/2), 3), 1, 1)</f>
        <v>1</v>
      </c>
      <c r="N50" s="33" t="str">
        <f>MID(DEC2BIN((C63/2), 3), 2, 1)</f>
        <v>1</v>
      </c>
      <c r="O50" s="33" t="str">
        <f>MID(DEC2BIN((C63/2), 3), 3, 1)</f>
        <v>1</v>
      </c>
      <c r="P50" s="148"/>
      <c r="Q50" s="67"/>
    </row>
    <row r="51" spans="1:17" x14ac:dyDescent="0.25">
      <c r="A51" s="64"/>
      <c r="B51" s="140" t="s">
        <v>327</v>
      </c>
      <c r="C51" s="142">
        <v>0.97</v>
      </c>
      <c r="D51" s="144"/>
      <c r="E51" s="131" t="s">
        <v>41</v>
      </c>
      <c r="F51" s="146" t="s">
        <v>214</v>
      </c>
      <c r="G51" s="147" t="s">
        <v>145</v>
      </c>
      <c r="H51" s="96" t="s">
        <v>229</v>
      </c>
      <c r="I51" s="96" t="s">
        <v>230</v>
      </c>
      <c r="J51" s="96" t="s">
        <v>231</v>
      </c>
      <c r="K51" s="96" t="s">
        <v>232</v>
      </c>
      <c r="L51" s="96" t="s">
        <v>233</v>
      </c>
      <c r="M51" s="96" t="s">
        <v>234</v>
      </c>
      <c r="N51" s="96" t="s">
        <v>236</v>
      </c>
      <c r="O51" s="96" t="s">
        <v>235</v>
      </c>
      <c r="P51" s="148" t="str">
        <f>DEC2HEX(RIGHT(H52,1)*128+RIGHT(I52,1)*64+RIGHT(J52,1)*32+RIGHT(K52,1)*16+RIGHT(L52,1)*8+RIGHT(M52,1)*4+RIGHT(N52,1)*2+RIGHT(O52,1), 2)</f>
        <v>20</v>
      </c>
      <c r="Q51" s="67"/>
    </row>
    <row r="52" spans="1:17" x14ac:dyDescent="0.25">
      <c r="A52" s="64"/>
      <c r="B52" s="141"/>
      <c r="C52" s="143"/>
      <c r="D52" s="145"/>
      <c r="E52" s="132"/>
      <c r="F52" s="146"/>
      <c r="G52" s="147"/>
      <c r="H52" s="25" t="s">
        <v>237</v>
      </c>
      <c r="I52" s="25" t="s">
        <v>238</v>
      </c>
      <c r="J52" s="25" t="s">
        <v>239</v>
      </c>
      <c r="K52" s="25" t="s">
        <v>238</v>
      </c>
      <c r="L52" s="25" t="s">
        <v>240</v>
      </c>
      <c r="M52" s="25" t="s">
        <v>241</v>
      </c>
      <c r="N52" s="25" t="s">
        <v>242</v>
      </c>
      <c r="O52" s="25" t="s">
        <v>243</v>
      </c>
      <c r="P52" s="148"/>
      <c r="Q52" s="67"/>
    </row>
    <row r="53" spans="1:17" x14ac:dyDescent="0.25">
      <c r="A53" s="64"/>
      <c r="B53" s="140" t="s">
        <v>11</v>
      </c>
      <c r="C53" s="175">
        <v>0.5</v>
      </c>
      <c r="D53" s="144"/>
      <c r="E53" s="131" t="s">
        <v>103</v>
      </c>
      <c r="F53" s="146" t="s">
        <v>210</v>
      </c>
      <c r="G53" s="147" t="s">
        <v>146</v>
      </c>
      <c r="H53" s="98" t="s">
        <v>207</v>
      </c>
      <c r="I53" s="98" t="s">
        <v>208</v>
      </c>
      <c r="J53" s="98" t="s">
        <v>209</v>
      </c>
      <c r="K53" s="98" t="s">
        <v>204</v>
      </c>
      <c r="L53" s="98" t="s">
        <v>204</v>
      </c>
      <c r="M53" s="96" t="s">
        <v>204</v>
      </c>
      <c r="N53" s="98" t="s">
        <v>212</v>
      </c>
      <c r="O53" s="98" t="s">
        <v>211</v>
      </c>
      <c r="P53" s="173" t="str">
        <f>DEC2HEX(H54*128+I54*64+J54*32+K54*16+L54*8+M54*4+N54*2+O54, 2)</f>
        <v>00</v>
      </c>
      <c r="Q53" s="67"/>
    </row>
    <row r="54" spans="1:17" x14ac:dyDescent="0.25">
      <c r="A54" s="64"/>
      <c r="B54" s="141"/>
      <c r="C54" s="176"/>
      <c r="D54" s="145"/>
      <c r="E54" s="132"/>
      <c r="F54" s="146"/>
      <c r="G54" s="147"/>
      <c r="H54" s="101">
        <v>0</v>
      </c>
      <c r="I54" s="101">
        <v>0</v>
      </c>
      <c r="J54" s="101">
        <v>0</v>
      </c>
      <c r="K54" s="101">
        <v>0</v>
      </c>
      <c r="L54" s="101">
        <v>0</v>
      </c>
      <c r="M54" s="97">
        <v>0</v>
      </c>
      <c r="N54" s="101">
        <v>0</v>
      </c>
      <c r="O54" s="101">
        <v>0</v>
      </c>
      <c r="P54" s="174"/>
      <c r="Q54" s="67"/>
    </row>
    <row r="55" spans="1:17" ht="26.4" x14ac:dyDescent="0.25">
      <c r="A55" s="64"/>
      <c r="B55" s="87" t="s">
        <v>117</v>
      </c>
      <c r="C55" s="53">
        <f>IF(Vout&gt;Vin_min, Vin_min^2*eff*(Vout-Vin_min)/(K*Ioutmax*fsw*Vout^2), (1-Vout/Vin_max)*Vout/(K*Ioutmax*fsw))</f>
        <v>1.2685781249999998E-6</v>
      </c>
      <c r="D55" s="88" t="s">
        <v>5</v>
      </c>
      <c r="E55" s="89" t="s">
        <v>102</v>
      </c>
      <c r="F55" s="102"/>
      <c r="G55" s="72"/>
      <c r="H55" s="72"/>
      <c r="I55" s="72"/>
      <c r="J55" s="72"/>
      <c r="K55" s="72"/>
      <c r="L55" s="72"/>
      <c r="M55" s="72"/>
      <c r="N55" s="72"/>
      <c r="O55" s="72"/>
      <c r="P55" s="73"/>
      <c r="Q55" s="67"/>
    </row>
    <row r="56" spans="1:17" ht="15.6" customHeight="1" x14ac:dyDescent="0.25">
      <c r="A56" s="64"/>
      <c r="B56" s="87" t="s">
        <v>17</v>
      </c>
      <c r="C56" s="54">
        <v>4.6999999999999999E-6</v>
      </c>
      <c r="D56" s="88" t="s">
        <v>5</v>
      </c>
      <c r="E56" s="89"/>
      <c r="F56" s="102"/>
      <c r="G56" s="72"/>
      <c r="H56" s="102"/>
      <c r="I56" s="102"/>
      <c r="J56" s="72"/>
      <c r="K56" s="72"/>
      <c r="L56" s="72"/>
      <c r="M56" s="72"/>
      <c r="N56" s="72"/>
      <c r="O56" s="72"/>
      <c r="P56" s="73"/>
      <c r="Q56" s="67"/>
    </row>
    <row r="57" spans="1:17" x14ac:dyDescent="0.25">
      <c r="A57" s="64"/>
      <c r="B57" s="87" t="s">
        <v>279</v>
      </c>
      <c r="C57" s="48">
        <f>IF(Vout&gt;Vin_min, ((Ioutmax/(Vin_min/Vout)/eff)^2+1/12*(Vin_min/L*(1-Vin_min/Vout)/fsw)^2)^0.5, ((Ioutmax^2+1/12*(Vout/L*(1-Vout/Vin_max)/fsw)^2)^0.5))</f>
        <v>13.756131717617382</v>
      </c>
      <c r="D57" s="88" t="s">
        <v>19</v>
      </c>
      <c r="E57" s="89" t="s">
        <v>14</v>
      </c>
      <c r="F57" s="72"/>
      <c r="G57" s="72"/>
      <c r="H57" s="72"/>
      <c r="I57" s="72"/>
      <c r="J57" s="72"/>
      <c r="K57" s="72"/>
      <c r="L57" s="72"/>
      <c r="M57" s="72"/>
      <c r="N57" s="72"/>
      <c r="O57" s="72"/>
      <c r="P57" s="73"/>
      <c r="Q57" s="67"/>
    </row>
    <row r="58" spans="1:17" ht="25.5" customHeight="1" x14ac:dyDescent="0.25">
      <c r="A58" s="64"/>
      <c r="B58" s="87" t="s">
        <v>281</v>
      </c>
      <c r="C58" s="48">
        <f>IF(Vout&gt;Vin_min, (Ioutmax/(Vin_min/Vout)/eff+(1/2*Vin_min/L*(1-Vin_min/Vout)/fsw)), Ioutmax+1/2*(Vout*(1-Vout/Vin_max)/L/fsw))</f>
        <v>14.673231063098632</v>
      </c>
      <c r="D58" s="88" t="s">
        <v>4</v>
      </c>
      <c r="E58" s="89" t="s">
        <v>330</v>
      </c>
      <c r="F58" s="72"/>
      <c r="G58" s="103"/>
      <c r="H58" s="104"/>
      <c r="I58" s="103"/>
      <c r="J58" s="91"/>
      <c r="K58" s="72"/>
      <c r="L58" s="72"/>
      <c r="M58" s="72"/>
      <c r="N58" s="72"/>
      <c r="O58" s="72"/>
      <c r="P58" s="73"/>
      <c r="Q58" s="67"/>
    </row>
    <row r="59" spans="1:17" x14ac:dyDescent="0.25">
      <c r="A59" s="64"/>
      <c r="B59" s="87" t="s">
        <v>282</v>
      </c>
      <c r="C59" s="48">
        <f>IF(Vout&gt;Vin_min, (Ioutmax/(Vin_min/Vout)/eff-(1/2*Vin_min/L*(1-Vin_min/Vout)/fsw)), Ioutmax-1/2*(Vout*(1-Vout/Vin_max)/L/fsw))</f>
        <v>12.81817787160927</v>
      </c>
      <c r="D59" s="88" t="s">
        <v>4</v>
      </c>
      <c r="E59" s="89"/>
      <c r="F59" s="72"/>
      <c r="G59" s="103"/>
      <c r="H59" s="104"/>
      <c r="I59" s="103"/>
      <c r="J59" s="91"/>
      <c r="K59" s="72"/>
      <c r="L59" s="72"/>
      <c r="M59" s="72"/>
      <c r="N59" s="72"/>
      <c r="O59" s="72"/>
      <c r="P59" s="73"/>
      <c r="Q59" s="67"/>
    </row>
    <row r="60" spans="1:17" x14ac:dyDescent="0.25">
      <c r="A60" s="64"/>
      <c r="B60" s="87" t="s">
        <v>305</v>
      </c>
      <c r="C60" s="27">
        <v>16.5</v>
      </c>
      <c r="D60" s="88" t="s">
        <v>4</v>
      </c>
      <c r="E60" s="89" t="s">
        <v>353</v>
      </c>
      <c r="F60" s="72"/>
      <c r="G60" s="103"/>
      <c r="H60" s="104"/>
      <c r="I60" s="103"/>
      <c r="J60" s="91"/>
      <c r="K60" s="72"/>
      <c r="L60" s="72"/>
      <c r="M60" s="72"/>
      <c r="N60" s="72"/>
      <c r="O60" s="72"/>
      <c r="P60" s="73"/>
      <c r="Q60" s="67"/>
    </row>
    <row r="61" spans="1:17" x14ac:dyDescent="0.25">
      <c r="A61" s="64"/>
      <c r="B61" s="90" t="s">
        <v>88</v>
      </c>
      <c r="C61" s="37">
        <f>MIN(1, 0.6*Vout)*330000/(Iavg_limit)</f>
        <v>20000</v>
      </c>
      <c r="D61" s="88" t="s">
        <v>28</v>
      </c>
      <c r="E61" s="89"/>
      <c r="F61" s="72"/>
      <c r="G61" s="103"/>
      <c r="H61" s="104"/>
      <c r="I61" s="103"/>
      <c r="J61" s="91"/>
      <c r="K61" s="72"/>
      <c r="L61" s="72"/>
      <c r="M61" s="72"/>
      <c r="N61" s="72"/>
      <c r="O61" s="72"/>
      <c r="P61" s="73"/>
      <c r="Q61" s="67"/>
    </row>
    <row r="62" spans="1:17" ht="26.4" x14ac:dyDescent="0.25">
      <c r="A62" s="64"/>
      <c r="B62" s="105" t="s">
        <v>105</v>
      </c>
      <c r="C62" s="55" t="s">
        <v>331</v>
      </c>
      <c r="D62" s="88"/>
      <c r="E62" s="89" t="s">
        <v>104</v>
      </c>
      <c r="F62" s="72"/>
      <c r="G62" s="103"/>
      <c r="H62" s="104"/>
      <c r="I62" s="103"/>
      <c r="J62" s="91"/>
      <c r="K62" s="72"/>
      <c r="L62" s="72"/>
      <c r="M62" s="72"/>
      <c r="N62" s="72"/>
      <c r="O62" s="72"/>
      <c r="P62" s="73"/>
      <c r="Q62" s="67"/>
    </row>
    <row r="63" spans="1:17" x14ac:dyDescent="0.25">
      <c r="A63" s="64"/>
      <c r="B63" s="105" t="s">
        <v>106</v>
      </c>
      <c r="C63" s="56">
        <v>14</v>
      </c>
      <c r="D63" s="88" t="s">
        <v>109</v>
      </c>
      <c r="E63" s="89" t="s">
        <v>108</v>
      </c>
      <c r="F63" s="72"/>
      <c r="G63" s="103"/>
      <c r="H63" s="104"/>
      <c r="I63" s="103"/>
      <c r="J63" s="91"/>
      <c r="K63" s="72"/>
      <c r="L63" s="72"/>
      <c r="M63" s="72"/>
      <c r="N63" s="72"/>
      <c r="O63" s="72"/>
      <c r="P63" s="73"/>
      <c r="Q63" s="67"/>
    </row>
    <row r="64" spans="1:17" x14ac:dyDescent="0.25">
      <c r="A64" s="64"/>
      <c r="B64" s="105" t="s">
        <v>107</v>
      </c>
      <c r="C64" s="56">
        <v>0</v>
      </c>
      <c r="D64" s="88" t="s">
        <v>109</v>
      </c>
      <c r="E64" s="89" t="s">
        <v>108</v>
      </c>
      <c r="F64" s="72"/>
      <c r="G64" s="103"/>
      <c r="H64" s="104"/>
      <c r="I64" s="103"/>
      <c r="J64" s="91"/>
      <c r="K64" s="72"/>
      <c r="L64" s="72"/>
      <c r="M64" s="72"/>
      <c r="N64" s="72"/>
      <c r="O64" s="72"/>
      <c r="P64" s="73"/>
      <c r="Q64" s="67"/>
    </row>
    <row r="65" spans="1:17" x14ac:dyDescent="0.25">
      <c r="A65" s="64"/>
      <c r="B65" s="90" t="s">
        <v>115</v>
      </c>
      <c r="C65" s="57" t="str">
        <f>IF((C64=0), "floating", 3*R_7/C64)</f>
        <v>floating</v>
      </c>
      <c r="D65" s="88" t="s">
        <v>61</v>
      </c>
      <c r="E65" s="89" t="s">
        <v>116</v>
      </c>
      <c r="F65" s="72"/>
      <c r="G65" s="72"/>
      <c r="H65" s="72"/>
      <c r="I65" s="72"/>
      <c r="J65" s="72"/>
      <c r="K65" s="72"/>
      <c r="L65" s="72"/>
      <c r="M65" s="72"/>
      <c r="N65" s="72"/>
      <c r="O65" s="72"/>
      <c r="P65" s="73"/>
      <c r="Q65" s="67"/>
    </row>
    <row r="66" spans="1:17" x14ac:dyDescent="0.25">
      <c r="A66" s="64"/>
      <c r="B66" s="87" t="s">
        <v>223</v>
      </c>
      <c r="C66" s="43">
        <v>0.1</v>
      </c>
      <c r="D66" s="88" t="s">
        <v>227</v>
      </c>
      <c r="E66" s="89" t="s">
        <v>225</v>
      </c>
      <c r="F66" s="72"/>
      <c r="G66" s="72"/>
      <c r="H66" s="72"/>
      <c r="I66" s="72"/>
      <c r="J66" s="72"/>
      <c r="K66" s="72"/>
      <c r="L66" s="72"/>
      <c r="M66" s="72"/>
      <c r="N66" s="72"/>
      <c r="O66" s="72"/>
      <c r="P66" s="73"/>
      <c r="Q66" s="67"/>
    </row>
    <row r="67" spans="1:17" x14ac:dyDescent="0.25">
      <c r="A67" s="64"/>
      <c r="B67" s="87" t="s">
        <v>224</v>
      </c>
      <c r="C67" s="58">
        <v>2.5</v>
      </c>
      <c r="D67" s="88" t="s">
        <v>228</v>
      </c>
      <c r="E67" s="89" t="s">
        <v>226</v>
      </c>
      <c r="F67" s="72"/>
      <c r="G67" s="72"/>
      <c r="H67" s="72"/>
      <c r="I67" s="72"/>
      <c r="J67" s="72"/>
      <c r="K67" s="72"/>
      <c r="L67" s="72"/>
      <c r="M67" s="72"/>
      <c r="N67" s="72"/>
      <c r="O67" s="72"/>
      <c r="P67" s="73"/>
      <c r="Q67" s="67"/>
    </row>
    <row r="68" spans="1:17" x14ac:dyDescent="0.25">
      <c r="A68" s="64"/>
      <c r="B68" s="87" t="s">
        <v>218</v>
      </c>
      <c r="C68" s="56" t="s">
        <v>203</v>
      </c>
      <c r="D68" s="88"/>
      <c r="E68" s="89" t="s">
        <v>219</v>
      </c>
      <c r="F68" s="72"/>
      <c r="G68" s="72"/>
      <c r="H68" s="72"/>
      <c r="I68" s="72"/>
      <c r="J68" s="72"/>
      <c r="K68" s="72"/>
      <c r="L68" s="72"/>
      <c r="M68" s="72"/>
      <c r="N68" s="72"/>
      <c r="O68" s="72"/>
      <c r="P68" s="73"/>
      <c r="Q68" s="67"/>
    </row>
    <row r="69" spans="1:17" x14ac:dyDescent="0.25">
      <c r="A69" s="64"/>
      <c r="B69" s="87" t="s">
        <v>217</v>
      </c>
      <c r="C69" s="56" t="s">
        <v>203</v>
      </c>
      <c r="D69" s="88"/>
      <c r="E69" s="89" t="s">
        <v>220</v>
      </c>
      <c r="F69" s="72"/>
      <c r="G69" s="72"/>
      <c r="H69" s="72"/>
      <c r="I69" s="72"/>
      <c r="J69" s="72"/>
      <c r="K69" s="72"/>
      <c r="L69" s="72"/>
      <c r="M69" s="72"/>
      <c r="N69" s="72"/>
      <c r="O69" s="72"/>
      <c r="P69" s="73"/>
      <c r="Q69" s="67"/>
    </row>
    <row r="70" spans="1:17" x14ac:dyDescent="0.25">
      <c r="A70" s="64"/>
      <c r="B70" s="87" t="s">
        <v>216</v>
      </c>
      <c r="C70" s="56" t="s">
        <v>203</v>
      </c>
      <c r="D70" s="88"/>
      <c r="E70" s="89" t="s">
        <v>221</v>
      </c>
      <c r="F70" s="72"/>
      <c r="G70" s="72"/>
      <c r="H70" s="72"/>
      <c r="I70" s="72"/>
      <c r="J70" s="72"/>
      <c r="K70" s="72"/>
      <c r="L70" s="72"/>
      <c r="M70" s="72"/>
      <c r="N70" s="72"/>
      <c r="O70" s="72"/>
      <c r="P70" s="73"/>
      <c r="Q70" s="67"/>
    </row>
    <row r="71" spans="1:17" x14ac:dyDescent="0.25">
      <c r="A71" s="64"/>
      <c r="B71" s="139" t="s">
        <v>301</v>
      </c>
      <c r="C71" s="137"/>
      <c r="D71" s="137"/>
      <c r="E71" s="137"/>
      <c r="F71" s="136" t="s">
        <v>187</v>
      </c>
      <c r="G71" s="137"/>
      <c r="H71" s="137"/>
      <c r="I71" s="137"/>
      <c r="J71" s="137"/>
      <c r="K71" s="137"/>
      <c r="L71" s="137"/>
      <c r="M71" s="137"/>
      <c r="N71" s="137"/>
      <c r="O71" s="137"/>
      <c r="P71" s="138"/>
      <c r="Q71" s="67"/>
    </row>
    <row r="72" spans="1:17" x14ac:dyDescent="0.25">
      <c r="A72" s="64"/>
      <c r="B72" s="87" t="s">
        <v>0</v>
      </c>
      <c r="C72" s="27">
        <v>12</v>
      </c>
      <c r="D72" s="88" t="s">
        <v>3</v>
      </c>
      <c r="E72" s="131" t="s">
        <v>303</v>
      </c>
      <c r="F72" s="72"/>
      <c r="G72" s="72"/>
      <c r="H72" s="72"/>
      <c r="I72" s="72"/>
      <c r="J72" s="72"/>
      <c r="K72" s="72"/>
      <c r="L72" s="72"/>
      <c r="M72" s="72"/>
      <c r="N72" s="72"/>
      <c r="O72" s="72"/>
      <c r="P72" s="73"/>
      <c r="Q72" s="67"/>
    </row>
    <row r="73" spans="1:17" x14ac:dyDescent="0.25">
      <c r="A73" s="64"/>
      <c r="B73" s="87" t="s">
        <v>31</v>
      </c>
      <c r="C73" s="27">
        <v>20</v>
      </c>
      <c r="D73" s="88" t="s">
        <v>3</v>
      </c>
      <c r="E73" s="132"/>
      <c r="F73" s="72"/>
      <c r="G73" s="72"/>
      <c r="H73" s="72"/>
      <c r="I73" s="72"/>
      <c r="J73" s="72"/>
      <c r="K73" s="72"/>
      <c r="L73" s="72"/>
      <c r="M73" s="72"/>
      <c r="N73" s="72"/>
      <c r="O73" s="72"/>
      <c r="P73" s="73"/>
      <c r="Q73" s="67"/>
    </row>
    <row r="74" spans="1:17" ht="12.75" customHeight="1" x14ac:dyDescent="0.25">
      <c r="A74" s="106"/>
      <c r="B74" s="87" t="s">
        <v>183</v>
      </c>
      <c r="C74" s="44" t="str">
        <f>IF((Vin_LP &gt; Vout_LP),"Buck","Boost")</f>
        <v>Boost</v>
      </c>
      <c r="D74" s="88"/>
      <c r="E74" s="89" t="s">
        <v>213</v>
      </c>
      <c r="F74" s="72"/>
      <c r="G74" s="72"/>
      <c r="H74" s="72"/>
      <c r="I74" s="72"/>
      <c r="J74" s="72"/>
      <c r="K74" s="72"/>
      <c r="L74" s="72"/>
      <c r="M74" s="72"/>
      <c r="N74" s="72"/>
      <c r="O74" s="72"/>
      <c r="P74" s="73"/>
      <c r="Q74" s="67"/>
    </row>
    <row r="75" spans="1:17" ht="12.75" customHeight="1" x14ac:dyDescent="0.25">
      <c r="A75" s="106"/>
      <c r="B75" s="87" t="s">
        <v>334</v>
      </c>
      <c r="C75" s="59">
        <f>17+Ioutmax/2.5</f>
        <v>18.2</v>
      </c>
      <c r="D75" s="88" t="s">
        <v>161</v>
      </c>
      <c r="E75" s="89" t="s">
        <v>163</v>
      </c>
      <c r="F75" s="72"/>
      <c r="G75" s="72"/>
      <c r="H75" s="72"/>
      <c r="I75" s="72"/>
      <c r="J75" s="72"/>
      <c r="K75" s="72"/>
      <c r="L75" s="72"/>
      <c r="M75" s="72"/>
      <c r="N75" s="72"/>
      <c r="O75" s="72"/>
      <c r="P75" s="73"/>
      <c r="Q75" s="67"/>
    </row>
    <row r="76" spans="1:17" ht="12.75" customHeight="1" x14ac:dyDescent="0.25">
      <c r="A76" s="106"/>
      <c r="B76" s="87" t="s">
        <v>333</v>
      </c>
      <c r="C76" s="44">
        <f>IF((Op_mode="Buck"), Ioutmax/2/PI()/Vout_LP/(Cout_c+Cout_e), Ioutmax/PI()/Vout_LP/(Cout_c+Cout_e))</f>
        <v>216.81265519738716</v>
      </c>
      <c r="D76" s="88" t="s">
        <v>6</v>
      </c>
      <c r="E76" s="89" t="s">
        <v>186</v>
      </c>
      <c r="F76" s="72"/>
      <c r="G76" s="72"/>
      <c r="H76" s="72"/>
      <c r="I76" s="72"/>
      <c r="J76" s="72"/>
      <c r="K76" s="72"/>
      <c r="L76" s="72"/>
      <c r="M76" s="72"/>
      <c r="N76" s="72"/>
      <c r="O76" s="72"/>
      <c r="P76" s="73"/>
      <c r="Q76" s="67"/>
    </row>
    <row r="77" spans="1:17" ht="12.75" customHeight="1" x14ac:dyDescent="0.25">
      <c r="A77" s="106"/>
      <c r="B77" s="87" t="s">
        <v>337</v>
      </c>
      <c r="C77" s="44">
        <f>IF(Op_mode="Boost", Vout_LP*(eff*Vin_LP/Vout_LP)^2/2/PI()/L/Ioutmax, "No RPHZ")</f>
        <v>76467.516232424357</v>
      </c>
      <c r="D77" s="88" t="s">
        <v>6</v>
      </c>
      <c r="E77" s="89" t="s">
        <v>184</v>
      </c>
      <c r="F77" s="72"/>
      <c r="G77" s="72"/>
      <c r="H77" s="72"/>
      <c r="I77" s="72"/>
      <c r="J77" s="72"/>
      <c r="K77" s="72"/>
      <c r="L77" s="72"/>
      <c r="M77" s="72"/>
      <c r="N77" s="72"/>
      <c r="O77" s="72"/>
      <c r="P77" s="73"/>
      <c r="Q77" s="67"/>
    </row>
    <row r="78" spans="1:17" ht="12.75" customHeight="1" x14ac:dyDescent="0.25">
      <c r="A78" s="106"/>
      <c r="B78" s="87" t="s">
        <v>338</v>
      </c>
      <c r="C78" s="44">
        <f>1/2/PI()/Cout_e/ESR</f>
        <v>26793.761463282048</v>
      </c>
      <c r="D78" s="88" t="s">
        <v>6</v>
      </c>
      <c r="E78" s="89" t="s">
        <v>185</v>
      </c>
      <c r="F78" s="72"/>
      <c r="G78" s="72"/>
      <c r="H78" s="72"/>
      <c r="I78" s="72"/>
      <c r="J78" s="72"/>
      <c r="K78" s="72"/>
      <c r="L78" s="72"/>
      <c r="M78" s="72"/>
      <c r="N78" s="72"/>
      <c r="O78" s="72"/>
      <c r="P78" s="73"/>
      <c r="Q78" s="67"/>
    </row>
    <row r="79" spans="1:17" ht="12.75" customHeight="1" x14ac:dyDescent="0.25">
      <c r="A79" s="106"/>
      <c r="B79" s="87" t="s">
        <v>27</v>
      </c>
      <c r="C79" s="26">
        <v>5000</v>
      </c>
      <c r="D79" s="88" t="s">
        <v>6</v>
      </c>
      <c r="E79" s="89" t="s">
        <v>33</v>
      </c>
      <c r="F79" s="72"/>
      <c r="G79" s="72"/>
      <c r="H79" s="72"/>
      <c r="I79" s="72"/>
      <c r="J79" s="72"/>
      <c r="K79" s="72"/>
      <c r="L79" s="72"/>
      <c r="M79" s="72"/>
      <c r="N79" s="72"/>
      <c r="O79" s="72"/>
      <c r="P79" s="73"/>
      <c r="Q79" s="67"/>
    </row>
    <row r="80" spans="1:17" ht="12.75" customHeight="1" x14ac:dyDescent="0.25">
      <c r="A80" s="106"/>
      <c r="B80" s="87" t="s">
        <v>335</v>
      </c>
      <c r="C80" s="107">
        <v>1.9000000000000001E-4</v>
      </c>
      <c r="D80" s="88" t="s">
        <v>161</v>
      </c>
      <c r="E80" s="89" t="s">
        <v>162</v>
      </c>
      <c r="F80" s="72"/>
      <c r="G80" s="72"/>
      <c r="H80" s="72"/>
      <c r="I80" s="72"/>
      <c r="J80" s="72"/>
      <c r="K80" s="72"/>
      <c r="L80" s="72"/>
      <c r="M80" s="72"/>
      <c r="N80" s="72"/>
      <c r="O80" s="72"/>
      <c r="P80" s="73"/>
      <c r="Q80" s="67"/>
    </row>
    <row r="81" spans="1:17" x14ac:dyDescent="0.25">
      <c r="A81" s="106"/>
      <c r="B81" s="90" t="s">
        <v>110</v>
      </c>
      <c r="C81" s="37">
        <f>IF(Op_mode="Boost", 2*PI()*fco*(Cout_c+Cout_e)*Vout_max/1.129/gm_PS/(eff*Vin_LP/Vout_LP)/gm_EA, 2*PI()*fco*(Cout_c+Cout_e)*Vout_max/1.129/gm_PS/gm_EA)</f>
        <v>60896.833538526451</v>
      </c>
      <c r="D81" s="88" t="s">
        <v>28</v>
      </c>
      <c r="E81" s="108"/>
      <c r="F81" s="72"/>
      <c r="G81" s="72"/>
      <c r="H81" s="72"/>
      <c r="I81" s="72"/>
      <c r="J81" s="72"/>
      <c r="K81" s="72"/>
      <c r="L81" s="72"/>
      <c r="M81" s="72"/>
      <c r="N81" s="72"/>
      <c r="O81" s="72"/>
      <c r="P81" s="73"/>
      <c r="Q81" s="67"/>
    </row>
    <row r="82" spans="1:17" x14ac:dyDescent="0.25">
      <c r="A82" s="106"/>
      <c r="B82" s="87" t="s">
        <v>130</v>
      </c>
      <c r="C82" s="26">
        <v>93400</v>
      </c>
      <c r="D82" s="88" t="s">
        <v>28</v>
      </c>
      <c r="E82" s="108" t="s">
        <v>286</v>
      </c>
      <c r="F82" s="72"/>
      <c r="G82" s="72"/>
      <c r="H82" s="72"/>
      <c r="I82" s="72"/>
      <c r="J82" s="72"/>
      <c r="K82" s="72"/>
      <c r="L82" s="72"/>
      <c r="M82" s="72"/>
      <c r="N82" s="72"/>
      <c r="O82" s="72"/>
      <c r="P82" s="73"/>
      <c r="Q82" s="67"/>
    </row>
    <row r="83" spans="1:17" x14ac:dyDescent="0.25">
      <c r="A83" s="106"/>
      <c r="B83" s="90" t="s">
        <v>111</v>
      </c>
      <c r="C83" s="53">
        <f>1/(2*PI()*(fco/10)*(Rcomp+2000))</f>
        <v>3.3365816161822925E-9</v>
      </c>
      <c r="D83" s="88" t="s">
        <v>9</v>
      </c>
      <c r="E83" s="108" t="s">
        <v>341</v>
      </c>
      <c r="F83" s="72"/>
      <c r="G83" s="72"/>
      <c r="H83" s="72"/>
      <c r="I83" s="72"/>
      <c r="J83" s="72"/>
      <c r="K83" s="72"/>
      <c r="L83" s="72"/>
      <c r="M83" s="72"/>
      <c r="N83" s="72"/>
      <c r="O83" s="72"/>
      <c r="P83" s="73"/>
      <c r="Q83" s="67"/>
    </row>
    <row r="84" spans="1:17" x14ac:dyDescent="0.25">
      <c r="A84" s="106"/>
      <c r="B84" s="87" t="s">
        <v>112</v>
      </c>
      <c r="C84" s="54">
        <v>4.6999999999999999E-9</v>
      </c>
      <c r="D84" s="88" t="s">
        <v>9</v>
      </c>
      <c r="E84" s="108"/>
      <c r="F84" s="72"/>
      <c r="G84" s="72"/>
      <c r="H84" s="72"/>
      <c r="I84" s="72"/>
      <c r="J84" s="72"/>
      <c r="K84" s="72"/>
      <c r="L84" s="72"/>
      <c r="M84" s="72"/>
      <c r="N84" s="72"/>
      <c r="O84" s="72"/>
      <c r="P84" s="73"/>
      <c r="Q84" s="67"/>
    </row>
    <row r="85" spans="1:17" x14ac:dyDescent="0.25">
      <c r="A85" s="106"/>
      <c r="B85" s="87" t="s">
        <v>336</v>
      </c>
      <c r="C85" s="37">
        <f>1/2/PI()/(Rcomp+2000)/Ccomp</f>
        <v>354.95549108322257</v>
      </c>
      <c r="D85" s="88" t="s">
        <v>6</v>
      </c>
      <c r="E85" s="108" t="s">
        <v>340</v>
      </c>
      <c r="F85" s="72"/>
      <c r="G85" s="72"/>
      <c r="H85" s="72"/>
      <c r="I85" s="72"/>
      <c r="J85" s="72"/>
      <c r="K85" s="72"/>
      <c r="L85" s="72"/>
      <c r="M85" s="72"/>
      <c r="N85" s="72"/>
      <c r="O85" s="72"/>
      <c r="P85" s="73"/>
      <c r="Q85" s="67"/>
    </row>
    <row r="86" spans="1:17" ht="26.4" x14ac:dyDescent="0.25">
      <c r="A86" s="106"/>
      <c r="B86" s="90" t="s">
        <v>113</v>
      </c>
      <c r="C86" s="60">
        <f>Ccomp*(IF(fzRHP&gt;fz_ESR, (Cout_e*ESR/Rcomp)/(Ccomp-Cout_e*ESR/Rcomp), (1/2/PI()/fzRHP/Rcomp)/(Ccomp-1/2/PI()/fzRHP/Rcomp)))</f>
        <v>6.4469794938111952E-11</v>
      </c>
      <c r="D86" s="88" t="s">
        <v>9</v>
      </c>
      <c r="E86" s="89" t="s">
        <v>352</v>
      </c>
      <c r="F86" s="91"/>
      <c r="G86" s="102"/>
      <c r="H86" s="102"/>
      <c r="I86" s="72"/>
      <c r="J86" s="72"/>
      <c r="K86" s="72"/>
      <c r="L86" s="72"/>
      <c r="M86" s="72"/>
      <c r="N86" s="72"/>
      <c r="O86" s="72"/>
      <c r="P86" s="73"/>
      <c r="Q86" s="67"/>
    </row>
    <row r="87" spans="1:17" x14ac:dyDescent="0.25">
      <c r="A87" s="106"/>
      <c r="B87" s="109" t="s">
        <v>114</v>
      </c>
      <c r="C87" s="61">
        <v>1E-10</v>
      </c>
      <c r="D87" s="110" t="s">
        <v>9</v>
      </c>
      <c r="E87" s="111"/>
      <c r="F87" s="102"/>
      <c r="G87" s="102"/>
      <c r="H87" s="102"/>
      <c r="I87" s="72"/>
      <c r="J87" s="72"/>
      <c r="K87" s="72"/>
      <c r="L87" s="72"/>
      <c r="M87" s="72"/>
      <c r="N87" s="72"/>
      <c r="O87" s="72"/>
      <c r="P87" s="73"/>
      <c r="Q87" s="67"/>
    </row>
    <row r="88" spans="1:17" x14ac:dyDescent="0.25">
      <c r="A88" s="106"/>
      <c r="B88" s="109" t="s">
        <v>339</v>
      </c>
      <c r="C88" s="38">
        <f>1/2/PI()/(Rcomp+2000)/(Ccomp*(Cp+0.000000000003)/(Ccomp+Cp+0.000000000003))</f>
        <v>16551.953627890467</v>
      </c>
      <c r="D88" s="110" t="s">
        <v>6</v>
      </c>
      <c r="E88" s="111" t="s">
        <v>302</v>
      </c>
      <c r="F88" s="102"/>
      <c r="G88" s="102"/>
      <c r="H88" s="102"/>
      <c r="I88" s="72"/>
      <c r="J88" s="72"/>
      <c r="K88" s="72"/>
      <c r="L88" s="72"/>
      <c r="M88" s="72"/>
      <c r="N88" s="72"/>
      <c r="O88" s="72"/>
      <c r="P88" s="73"/>
      <c r="Q88" s="67"/>
    </row>
    <row r="89" spans="1:17" x14ac:dyDescent="0.25">
      <c r="A89" s="106"/>
      <c r="B89" s="135" t="s">
        <v>332</v>
      </c>
      <c r="C89" s="133"/>
      <c r="D89" s="133"/>
      <c r="E89" s="133"/>
      <c r="F89" s="72"/>
      <c r="G89" s="72"/>
      <c r="H89" s="72"/>
      <c r="I89" s="72"/>
      <c r="J89" s="72"/>
      <c r="K89" s="72"/>
      <c r="L89" s="72"/>
      <c r="M89" s="72"/>
      <c r="N89" s="72"/>
      <c r="O89" s="72"/>
      <c r="P89" s="73"/>
      <c r="Q89" s="67"/>
    </row>
    <row r="90" spans="1:17" x14ac:dyDescent="0.25">
      <c r="A90" s="106"/>
      <c r="B90" s="87" t="s">
        <v>0</v>
      </c>
      <c r="C90" s="27">
        <v>12</v>
      </c>
      <c r="D90" s="112" t="s">
        <v>3</v>
      </c>
      <c r="E90" s="112" t="s">
        <v>311</v>
      </c>
      <c r="F90" s="72"/>
      <c r="G90" s="72"/>
      <c r="H90" s="72"/>
      <c r="I90" s="72"/>
      <c r="J90" s="72"/>
      <c r="K90" s="72"/>
      <c r="L90" s="72"/>
      <c r="M90" s="72"/>
      <c r="N90" s="72"/>
      <c r="O90" s="72"/>
      <c r="P90" s="73"/>
      <c r="Q90" s="67"/>
    </row>
    <row r="91" spans="1:17" x14ac:dyDescent="0.25">
      <c r="A91" s="106"/>
      <c r="B91" s="87" t="s">
        <v>1</v>
      </c>
      <c r="C91" s="62">
        <f>IF(Vin_eff&lt;Vout, ((Ioutmax/(Vin_eff/Vout)/eff)^2+1/12*(Vin_eff/L*(1-Vin_eff/Vout)/fsw)^2)^0.5, ((Ioutmax^2+1/12*(Vout/L*(1-Vout/Vin_eff)/fsw)^2)^0.5))</f>
        <v>5.2070660893521223</v>
      </c>
      <c r="D91" s="88" t="s">
        <v>4</v>
      </c>
      <c r="E91" s="89" t="s">
        <v>280</v>
      </c>
      <c r="F91" s="72"/>
      <c r="G91" s="72"/>
      <c r="H91" s="72"/>
      <c r="I91" s="72"/>
      <c r="J91" s="72"/>
      <c r="K91" s="72"/>
      <c r="L91" s="72"/>
      <c r="M91" s="72"/>
      <c r="N91" s="72"/>
      <c r="O91" s="72"/>
      <c r="P91" s="73"/>
      <c r="Q91" s="67"/>
    </row>
    <row r="92" spans="1:17" x14ac:dyDescent="0.25">
      <c r="A92" s="106"/>
      <c r="B92" s="87" t="s">
        <v>7</v>
      </c>
      <c r="C92" s="62">
        <f>IF(Vin_eff&lt;Vout, (Ioutmax/(Vin_eff/Vout)/eff+(1/2*Vin_eff/L*(1-Vin_eff/Vout)/fsw)), Ioutmax+1/2*(Vout*(1-Vout/Vin_eff)/L/fsw))</f>
        <v>6.4312349199385839</v>
      </c>
      <c r="D92" s="88" t="s">
        <v>4</v>
      </c>
      <c r="E92" s="89" t="s">
        <v>283</v>
      </c>
      <c r="F92" s="72"/>
      <c r="G92" s="72"/>
      <c r="H92" s="72"/>
      <c r="I92" s="72"/>
      <c r="J92" s="72"/>
      <c r="K92" s="72"/>
      <c r="L92" s="72"/>
      <c r="M92" s="72"/>
      <c r="N92" s="72"/>
      <c r="O92" s="72"/>
      <c r="P92" s="73"/>
      <c r="Q92" s="67"/>
    </row>
    <row r="93" spans="1:17" x14ac:dyDescent="0.25">
      <c r="A93" s="106"/>
      <c r="B93" s="87" t="s">
        <v>329</v>
      </c>
      <c r="C93" s="62">
        <f>IF(Vin_eff&lt;Vout, (Ioutmax/(Vin_eff/Vout)/eff-(1/2*Vin_eff/L*(1-Vin_eff/Vout)/fsw)),Ioutmax-1/2*(Vout*(1-Vout/Vin_eff)/L/fsw))</f>
        <v>3.8780434305768812</v>
      </c>
      <c r="D93" s="88" t="s">
        <v>4</v>
      </c>
      <c r="E93" s="89" t="s">
        <v>284</v>
      </c>
      <c r="F93" s="72"/>
      <c r="G93" s="72"/>
      <c r="H93" s="72"/>
      <c r="I93" s="72"/>
      <c r="J93" s="72"/>
      <c r="K93" s="72"/>
      <c r="L93" s="72"/>
      <c r="M93" s="72"/>
      <c r="N93" s="72"/>
      <c r="O93" s="72"/>
      <c r="P93" s="73"/>
      <c r="Q93" s="67"/>
    </row>
    <row r="94" spans="1:17" x14ac:dyDescent="0.25">
      <c r="A94" s="64"/>
      <c r="B94" s="87" t="s">
        <v>21</v>
      </c>
      <c r="C94" s="41">
        <v>5.1999999999999998E-3</v>
      </c>
      <c r="D94" s="88" t="s">
        <v>28</v>
      </c>
      <c r="E94" s="89" t="s">
        <v>15</v>
      </c>
      <c r="F94" s="72"/>
      <c r="G94" s="72"/>
      <c r="H94" s="72"/>
      <c r="I94" s="72"/>
      <c r="J94" s="72"/>
      <c r="K94" s="72"/>
      <c r="L94" s="72"/>
      <c r="M94" s="72"/>
      <c r="N94" s="72"/>
      <c r="O94" s="72"/>
      <c r="P94" s="73"/>
      <c r="Q94" s="67"/>
    </row>
    <row r="95" spans="1:17" x14ac:dyDescent="0.25">
      <c r="A95" s="64"/>
      <c r="B95" s="87" t="s">
        <v>75</v>
      </c>
      <c r="C95" s="41">
        <v>5.0000000000000001E-3</v>
      </c>
      <c r="D95" s="88" t="s">
        <v>28</v>
      </c>
      <c r="E95" s="89" t="s">
        <v>30</v>
      </c>
      <c r="F95" s="72"/>
      <c r="G95" s="103"/>
      <c r="H95" s="104"/>
      <c r="I95" s="103"/>
      <c r="J95" s="91"/>
      <c r="K95" s="72"/>
      <c r="L95" s="72"/>
      <c r="M95" s="72"/>
      <c r="N95" s="72"/>
      <c r="O95" s="72"/>
      <c r="P95" s="73"/>
      <c r="Q95" s="67"/>
    </row>
    <row r="96" spans="1:17" x14ac:dyDescent="0.25">
      <c r="A96" s="64"/>
      <c r="B96" s="87" t="s">
        <v>82</v>
      </c>
      <c r="C96" s="54">
        <v>1E-8</v>
      </c>
      <c r="D96" s="88" t="s">
        <v>83</v>
      </c>
      <c r="E96" s="89" t="s">
        <v>85</v>
      </c>
      <c r="F96" s="72"/>
      <c r="G96" s="103"/>
      <c r="H96" s="104"/>
      <c r="I96" s="103"/>
      <c r="J96" s="91"/>
      <c r="K96" s="72"/>
      <c r="L96" s="72"/>
      <c r="M96" s="72"/>
      <c r="N96" s="72"/>
      <c r="O96" s="72"/>
      <c r="P96" s="73"/>
      <c r="Q96" s="67"/>
    </row>
    <row r="97" spans="1:17" x14ac:dyDescent="0.25">
      <c r="A97" s="64"/>
      <c r="B97" s="87" t="s">
        <v>349</v>
      </c>
      <c r="C97" s="54">
        <v>2.7E-10</v>
      </c>
      <c r="D97" s="88" t="s">
        <v>9</v>
      </c>
      <c r="E97" s="89" t="s">
        <v>350</v>
      </c>
      <c r="F97" s="72"/>
      <c r="G97" s="103"/>
      <c r="H97" s="104"/>
      <c r="I97" s="103"/>
      <c r="J97" s="91"/>
      <c r="K97" s="72"/>
      <c r="L97" s="72"/>
      <c r="M97" s="72"/>
      <c r="N97" s="72"/>
      <c r="O97" s="72"/>
      <c r="P97" s="73"/>
      <c r="Q97" s="67"/>
    </row>
    <row r="98" spans="1:17" x14ac:dyDescent="0.25">
      <c r="A98" s="64"/>
      <c r="B98" s="87" t="s">
        <v>76</v>
      </c>
      <c r="C98" s="54">
        <v>8.9999999999999995E-9</v>
      </c>
      <c r="D98" s="88" t="s">
        <v>8</v>
      </c>
      <c r="E98" s="89" t="s">
        <v>312</v>
      </c>
      <c r="F98" s="72"/>
      <c r="G98" s="113"/>
      <c r="H98" s="72"/>
      <c r="I98" s="72"/>
      <c r="J98" s="72"/>
      <c r="K98" s="72"/>
      <c r="L98" s="72"/>
      <c r="M98" s="72"/>
      <c r="N98" s="72"/>
      <c r="O98" s="72"/>
      <c r="P98" s="73"/>
      <c r="Q98" s="67"/>
    </row>
    <row r="99" spans="1:17" x14ac:dyDescent="0.25">
      <c r="A99" s="64"/>
      <c r="B99" s="87" t="s">
        <v>77</v>
      </c>
      <c r="C99" s="54">
        <v>8.9999999999999995E-9</v>
      </c>
      <c r="D99" s="88" t="s">
        <v>8</v>
      </c>
      <c r="E99" s="89" t="s">
        <v>313</v>
      </c>
      <c r="F99" s="72"/>
      <c r="G99" s="72"/>
      <c r="H99" s="72"/>
      <c r="I99" s="72"/>
      <c r="J99" s="72"/>
      <c r="K99" s="72"/>
      <c r="L99" s="72"/>
      <c r="M99" s="72"/>
      <c r="N99" s="72"/>
      <c r="O99" s="72"/>
      <c r="P99" s="73"/>
      <c r="Q99" s="67"/>
    </row>
    <row r="100" spans="1:17" x14ac:dyDescent="0.25">
      <c r="A100" s="64"/>
      <c r="B100" s="87" t="s">
        <v>78</v>
      </c>
      <c r="C100" s="41">
        <v>5.0000000000000001E-3</v>
      </c>
      <c r="D100" s="88" t="s">
        <v>28</v>
      </c>
      <c r="E100" s="89" t="s">
        <v>30</v>
      </c>
      <c r="F100" s="72"/>
      <c r="G100" s="72"/>
      <c r="H100" s="72"/>
      <c r="I100" s="72"/>
      <c r="J100" s="72"/>
      <c r="K100" s="72"/>
      <c r="L100" s="72"/>
      <c r="M100" s="72"/>
      <c r="N100" s="72"/>
      <c r="O100" s="72"/>
      <c r="P100" s="73"/>
      <c r="Q100" s="67"/>
    </row>
    <row r="101" spans="1:17" x14ac:dyDescent="0.25">
      <c r="A101" s="64"/>
      <c r="B101" s="87" t="s">
        <v>84</v>
      </c>
      <c r="C101" s="54">
        <v>1E-8</v>
      </c>
      <c r="D101" s="88" t="s">
        <v>83</v>
      </c>
      <c r="E101" s="89" t="s">
        <v>85</v>
      </c>
      <c r="F101" s="72"/>
      <c r="G101" s="72"/>
      <c r="H101" s="72"/>
      <c r="I101" s="72"/>
      <c r="J101" s="72"/>
      <c r="K101" s="72"/>
      <c r="L101" s="72"/>
      <c r="M101" s="72"/>
      <c r="N101" s="72"/>
      <c r="O101" s="72"/>
      <c r="P101" s="73"/>
      <c r="Q101" s="67"/>
    </row>
    <row r="102" spans="1:17" x14ac:dyDescent="0.25">
      <c r="A102" s="64"/>
      <c r="B102" s="87" t="s">
        <v>298</v>
      </c>
      <c r="C102" s="54">
        <v>5.0000000000000001E-9</v>
      </c>
      <c r="D102" s="88" t="s">
        <v>83</v>
      </c>
      <c r="E102" s="89" t="s">
        <v>299</v>
      </c>
      <c r="F102" s="72"/>
      <c r="G102" s="72"/>
      <c r="H102" s="72"/>
      <c r="I102" s="72"/>
      <c r="J102" s="72"/>
      <c r="K102" s="72"/>
      <c r="L102" s="72"/>
      <c r="M102" s="72"/>
      <c r="N102" s="72"/>
      <c r="O102" s="72"/>
      <c r="P102" s="73"/>
      <c r="Q102" s="67"/>
    </row>
    <row r="103" spans="1:17" x14ac:dyDescent="0.25">
      <c r="A103" s="64"/>
      <c r="B103" s="87" t="s">
        <v>79</v>
      </c>
      <c r="C103" s="107">
        <v>1E-8</v>
      </c>
      <c r="D103" s="88" t="s">
        <v>8</v>
      </c>
      <c r="E103" s="89" t="s">
        <v>87</v>
      </c>
      <c r="F103" s="72"/>
      <c r="G103" s="72"/>
      <c r="H103" s="72"/>
      <c r="I103" s="72"/>
      <c r="J103" s="72"/>
      <c r="K103" s="72"/>
      <c r="L103" s="72"/>
      <c r="M103" s="72"/>
      <c r="N103" s="72"/>
      <c r="O103" s="72"/>
      <c r="P103" s="73"/>
      <c r="Q103" s="67"/>
    </row>
    <row r="104" spans="1:17" x14ac:dyDescent="0.25">
      <c r="A104" s="64"/>
      <c r="B104" s="87" t="s">
        <v>80</v>
      </c>
      <c r="C104" s="27">
        <v>0.8</v>
      </c>
      <c r="D104" s="88" t="s">
        <v>3</v>
      </c>
      <c r="E104" s="89" t="s">
        <v>29</v>
      </c>
      <c r="F104" s="72"/>
      <c r="G104" s="72"/>
      <c r="H104" s="72"/>
      <c r="I104" s="72"/>
      <c r="J104" s="72"/>
      <c r="K104" s="72"/>
      <c r="L104" s="72"/>
      <c r="M104" s="72"/>
      <c r="N104" s="72"/>
      <c r="O104" s="72"/>
      <c r="P104" s="73"/>
      <c r="Q104" s="67"/>
    </row>
    <row r="105" spans="1:17" ht="26.4" x14ac:dyDescent="0.25">
      <c r="A105" s="64"/>
      <c r="B105" s="87" t="s">
        <v>69</v>
      </c>
      <c r="C105" s="41">
        <v>8.1600000000000006E-3</v>
      </c>
      <c r="D105" s="88" t="s">
        <v>28</v>
      </c>
      <c r="E105" s="89" t="s">
        <v>300</v>
      </c>
      <c r="F105" s="72"/>
      <c r="G105" s="103"/>
      <c r="H105" s="104"/>
      <c r="I105" s="103"/>
      <c r="J105" s="91"/>
      <c r="K105" s="72"/>
      <c r="L105" s="72"/>
      <c r="M105" s="72"/>
      <c r="N105" s="72"/>
      <c r="O105" s="72"/>
      <c r="P105" s="73"/>
      <c r="Q105" s="67"/>
    </row>
    <row r="106" spans="1:17" x14ac:dyDescent="0.25">
      <c r="A106" s="64"/>
      <c r="B106" s="87" t="s">
        <v>70</v>
      </c>
      <c r="C106" s="107">
        <v>1.3000000000000001E-8</v>
      </c>
      <c r="D106" s="88" t="s">
        <v>8</v>
      </c>
      <c r="E106" s="89" t="s">
        <v>326</v>
      </c>
      <c r="F106" s="72"/>
      <c r="G106" s="113"/>
      <c r="H106" s="72"/>
      <c r="I106" s="72"/>
      <c r="J106" s="72"/>
      <c r="K106" s="72"/>
      <c r="L106" s="72"/>
      <c r="M106" s="72"/>
      <c r="N106" s="72"/>
      <c r="O106" s="72"/>
      <c r="P106" s="73"/>
      <c r="Q106" s="67"/>
    </row>
    <row r="107" spans="1:17" x14ac:dyDescent="0.25">
      <c r="A107" s="64"/>
      <c r="B107" s="87" t="s">
        <v>71</v>
      </c>
      <c r="C107" s="107">
        <v>1.3000000000000001E-8</v>
      </c>
      <c r="D107" s="88" t="s">
        <v>8</v>
      </c>
      <c r="E107" s="89" t="s">
        <v>325</v>
      </c>
      <c r="F107" s="72"/>
      <c r="G107" s="72"/>
      <c r="H107" s="72"/>
      <c r="I107" s="72"/>
      <c r="J107" s="72"/>
      <c r="K107" s="72"/>
      <c r="L107" s="72"/>
      <c r="M107" s="72"/>
      <c r="N107" s="72"/>
      <c r="O107" s="72"/>
      <c r="P107" s="73"/>
      <c r="Q107" s="67"/>
    </row>
    <row r="108" spans="1:17" ht="26.4" x14ac:dyDescent="0.25">
      <c r="A108" s="64"/>
      <c r="B108" s="87" t="s">
        <v>72</v>
      </c>
      <c r="C108" s="41">
        <v>8.7299999999999999E-3</v>
      </c>
      <c r="D108" s="88" t="s">
        <v>28</v>
      </c>
      <c r="E108" s="89" t="s">
        <v>318</v>
      </c>
      <c r="F108" s="72"/>
      <c r="G108" s="72"/>
      <c r="H108" s="72"/>
      <c r="I108" s="72"/>
      <c r="J108" s="72"/>
      <c r="K108" s="72"/>
      <c r="L108" s="72"/>
      <c r="M108" s="72"/>
      <c r="N108" s="72"/>
      <c r="O108" s="72"/>
      <c r="P108" s="73"/>
      <c r="Q108" s="67"/>
    </row>
    <row r="109" spans="1:17" x14ac:dyDescent="0.25">
      <c r="A109" s="64"/>
      <c r="B109" s="87" t="s">
        <v>73</v>
      </c>
      <c r="C109" s="107">
        <v>2E-8</v>
      </c>
      <c r="D109" s="88" t="s">
        <v>8</v>
      </c>
      <c r="E109" s="89" t="s">
        <v>87</v>
      </c>
      <c r="F109" s="72"/>
      <c r="G109" s="72"/>
      <c r="H109" s="72"/>
      <c r="I109" s="72"/>
      <c r="J109" s="72"/>
      <c r="K109" s="72"/>
      <c r="L109" s="72"/>
      <c r="M109" s="72"/>
      <c r="N109" s="72"/>
      <c r="O109" s="72"/>
      <c r="P109" s="73"/>
      <c r="Q109" s="67"/>
    </row>
    <row r="110" spans="1:17" x14ac:dyDescent="0.25">
      <c r="A110" s="64"/>
      <c r="B110" s="87" t="s">
        <v>74</v>
      </c>
      <c r="C110" s="46">
        <v>1</v>
      </c>
      <c r="D110" s="88" t="s">
        <v>3</v>
      </c>
      <c r="E110" s="89" t="s">
        <v>29</v>
      </c>
      <c r="F110" s="72"/>
      <c r="G110" s="72"/>
      <c r="H110" s="72"/>
      <c r="I110" s="72"/>
      <c r="J110" s="72"/>
      <c r="K110" s="72"/>
      <c r="L110" s="72"/>
      <c r="M110" s="72"/>
      <c r="N110" s="72"/>
      <c r="O110" s="72"/>
      <c r="P110" s="73"/>
      <c r="Q110" s="67"/>
    </row>
    <row r="111" spans="1:17" x14ac:dyDescent="0.25">
      <c r="A111" s="64"/>
      <c r="B111" s="87" t="s">
        <v>276</v>
      </c>
      <c r="C111" s="63">
        <v>0</v>
      </c>
      <c r="D111" s="88" t="s">
        <v>9</v>
      </c>
      <c r="E111" s="89" t="s">
        <v>306</v>
      </c>
      <c r="F111" s="72"/>
      <c r="G111" s="72"/>
      <c r="H111" s="72"/>
      <c r="I111" s="72"/>
      <c r="J111" s="72"/>
      <c r="K111" s="72"/>
      <c r="L111" s="72"/>
      <c r="M111" s="72"/>
      <c r="N111" s="72"/>
      <c r="O111" s="72"/>
      <c r="P111" s="73"/>
      <c r="Q111" s="67"/>
    </row>
    <row r="112" spans="1:17" x14ac:dyDescent="0.25">
      <c r="A112" s="64"/>
      <c r="B112" s="87" t="s">
        <v>154</v>
      </c>
      <c r="C112" s="63">
        <v>0</v>
      </c>
      <c r="D112" s="88" t="s">
        <v>9</v>
      </c>
      <c r="E112" s="89" t="s">
        <v>153</v>
      </c>
      <c r="F112" s="72"/>
      <c r="G112" s="72"/>
      <c r="H112" s="72"/>
      <c r="I112" s="72"/>
      <c r="J112" s="72"/>
      <c r="K112" s="72"/>
      <c r="L112" s="72"/>
      <c r="M112" s="72"/>
      <c r="N112" s="72"/>
      <c r="O112" s="72"/>
      <c r="P112" s="73"/>
      <c r="Q112" s="67"/>
    </row>
    <row r="113" spans="1:17" x14ac:dyDescent="0.25">
      <c r="A113" s="64"/>
      <c r="B113" s="105" t="s">
        <v>155</v>
      </c>
      <c r="C113" s="27">
        <v>2</v>
      </c>
      <c r="D113" s="88" t="s">
        <v>315</v>
      </c>
      <c r="E113" s="89" t="s">
        <v>182</v>
      </c>
      <c r="F113" s="72"/>
      <c r="G113" s="72"/>
      <c r="H113" s="72"/>
      <c r="I113" s="72"/>
      <c r="J113" s="72"/>
      <c r="K113" s="72"/>
      <c r="L113" s="72"/>
      <c r="M113" s="72"/>
      <c r="N113" s="72"/>
      <c r="O113" s="72"/>
      <c r="P113" s="73"/>
      <c r="Q113" s="67"/>
    </row>
    <row r="114" spans="1:17" x14ac:dyDescent="0.25">
      <c r="A114" s="64"/>
      <c r="B114" s="105" t="s">
        <v>156</v>
      </c>
      <c r="C114" s="37">
        <f>Rpcb*(ILrms^2)</f>
        <v>54.227074517761608</v>
      </c>
      <c r="D114" s="88" t="s">
        <v>10</v>
      </c>
      <c r="E114" s="89" t="s">
        <v>165</v>
      </c>
      <c r="F114" s="72"/>
      <c r="G114" s="72"/>
      <c r="H114" s="72"/>
      <c r="I114" s="72"/>
      <c r="J114" s="72"/>
      <c r="K114" s="72"/>
      <c r="L114" s="72"/>
      <c r="M114" s="72"/>
      <c r="N114" s="72"/>
      <c r="O114" s="72"/>
      <c r="P114" s="73"/>
      <c r="Q114" s="67"/>
    </row>
    <row r="115" spans="1:17" x14ac:dyDescent="0.25">
      <c r="A115" s="106"/>
      <c r="B115" s="87" t="s">
        <v>90</v>
      </c>
      <c r="C115" s="37">
        <f>(ILrms)^2*DCR*1000</f>
        <v>140.99039374618016</v>
      </c>
      <c r="D115" s="88" t="s">
        <v>10</v>
      </c>
      <c r="E115" s="89" t="s">
        <v>18</v>
      </c>
      <c r="F115" s="72"/>
      <c r="G115" s="72"/>
      <c r="H115" s="72"/>
      <c r="I115" s="72"/>
      <c r="J115" s="72"/>
      <c r="K115" s="72"/>
      <c r="L115" s="72"/>
      <c r="M115" s="72"/>
      <c r="N115" s="72"/>
      <c r="O115" s="72"/>
      <c r="P115" s="73"/>
      <c r="Q115" s="67"/>
    </row>
    <row r="116" spans="1:17" ht="37.799999999999997" customHeight="1" x14ac:dyDescent="0.25">
      <c r="A116" s="106"/>
      <c r="B116" s="87" t="s">
        <v>278</v>
      </c>
      <c r="C116" s="26">
        <v>344</v>
      </c>
      <c r="D116" s="88" t="s">
        <v>10</v>
      </c>
      <c r="E116" s="89" t="s">
        <v>351</v>
      </c>
      <c r="F116" s="72"/>
      <c r="G116" s="72"/>
      <c r="H116" s="72"/>
      <c r="I116" s="72"/>
      <c r="J116" s="72"/>
      <c r="K116" s="72"/>
      <c r="L116" s="72"/>
      <c r="M116" s="72"/>
      <c r="N116" s="72"/>
      <c r="O116" s="72"/>
      <c r="P116" s="73"/>
      <c r="Q116" s="67"/>
    </row>
    <row r="117" spans="1:17" x14ac:dyDescent="0.25">
      <c r="A117" s="106"/>
      <c r="B117" s="105" t="s">
        <v>89</v>
      </c>
      <c r="C117" s="37">
        <f>IF(Vin_eff&lt;Vout, ((0.001+0.00000001*fsw)*IF(AND(Vout&gt;Vin_eff, Vin_eff&gt;6.2), Vin_eff, Vout)+(1-Vin_eff/Vout)*ILrms^2*BST_LS_Rdson+(Vin_eff/Vout)*ILrms^2*BST_HS_Rdson+1/2*ILpeak*(Vout+BST_HS_Vd)*BST_LS_rise_time*fsw+1/2*ILvalley*(Vout+BST_HS_Vd)*BST_LS_fall_time*fsw+1/2*0.0000000005*(Vout+BST_HS_Vd)*(Vout+BST_HS_Vd)*fsw+(ILpeak+ILvalley)*BST_HS_Vd*BST_HS_dead_time*fsw+Vout*0.000000005*fsw)*1000, ((0.001+(BUCK_HS_Qg+BUCK_LS_Qg)*fsw)*IF(AND(Vin_eff&gt;Vout, Vout&gt;6.2), Vout, Vin_eff)+BST_HS_Rdson*ILrms^2)*1000)</f>
        <v>1019.9801185172728</v>
      </c>
      <c r="D117" s="88" t="s">
        <v>10</v>
      </c>
      <c r="E117" s="89" t="s">
        <v>324</v>
      </c>
      <c r="F117" s="72"/>
      <c r="G117" s="72"/>
      <c r="H117" s="72"/>
      <c r="I117" s="72"/>
      <c r="J117" s="72"/>
      <c r="K117" s="72"/>
      <c r="L117" s="72"/>
      <c r="M117" s="72"/>
      <c r="N117" s="72"/>
      <c r="O117" s="72"/>
      <c r="P117" s="73"/>
      <c r="Q117" s="67"/>
    </row>
    <row r="118" spans="1:17" x14ac:dyDescent="0.25">
      <c r="A118" s="106"/>
      <c r="B118" s="114" t="s">
        <v>152</v>
      </c>
      <c r="C118" s="38">
        <f>Ioutmax*Ioutmax*R_1</f>
        <v>90</v>
      </c>
      <c r="D118" s="88" t="s">
        <v>10</v>
      </c>
      <c r="E118" s="115" t="s">
        <v>308</v>
      </c>
      <c r="F118" s="72"/>
      <c r="G118" s="72"/>
      <c r="H118" s="72"/>
      <c r="I118" s="72"/>
      <c r="J118" s="72"/>
      <c r="K118" s="72"/>
      <c r="L118" s="72"/>
      <c r="M118" s="72"/>
      <c r="N118" s="72"/>
      <c r="O118" s="72"/>
      <c r="P118" s="73"/>
      <c r="Q118" s="67"/>
    </row>
    <row r="119" spans="1:17" x14ac:dyDescent="0.25">
      <c r="A119" s="106"/>
      <c r="B119" s="114" t="s">
        <v>277</v>
      </c>
      <c r="C119" s="38">
        <f>IF(Vin_eff&lt;Vout, 2/3*C_bst_snubber*(Vout+BST_HS_Vd)*(Vout+BST_HS_Vd)*fsw*1000, 2/3*C_buck_snubber*(Vin_eff+BUCK_LS_Vd)*(Vin_eff+BUCK_LS_Vd)*fsw*1000)</f>
        <v>0</v>
      </c>
      <c r="D119" s="88" t="s">
        <v>10</v>
      </c>
      <c r="E119" s="115" t="s">
        <v>309</v>
      </c>
      <c r="F119" s="72"/>
      <c r="G119" s="72"/>
      <c r="H119" s="72"/>
      <c r="I119" s="72"/>
      <c r="J119" s="72"/>
      <c r="K119" s="72"/>
      <c r="L119" s="72"/>
      <c r="M119" s="72"/>
      <c r="N119" s="72"/>
      <c r="O119" s="72"/>
      <c r="P119" s="73"/>
      <c r="Q119" s="67"/>
    </row>
    <row r="120" spans="1:17" x14ac:dyDescent="0.25">
      <c r="A120" s="106"/>
      <c r="B120" s="114" t="s">
        <v>345</v>
      </c>
      <c r="C120" s="38">
        <f>IF(Vin_eff&lt;Vout, (ILrms)^2*(BUCK_HS_Rdson)*1000, ((Vout/Vin_eff)*ILrms^2*BUCK_HS_Rdson+1/2*ILpeak*(Vin_eff+BUCK_LS_Vd)*BUCK_HS_fall_time*fsw+1/2*ILvalley*(Vin_eff+BUCK_LS_Vd)*BUCK_HS_rise_time*fsw+1/2*BUCK_HS_Coss*(Vin_eff+BUCK_LS_Vd)*(Vin_eff+BUCK_LS_Vd)*fsw)*1000)</f>
        <v>135.56768629440401</v>
      </c>
      <c r="D120" s="88" t="s">
        <v>10</v>
      </c>
      <c r="E120" s="115" t="s">
        <v>347</v>
      </c>
      <c r="F120" s="72"/>
      <c r="G120" s="72"/>
      <c r="H120" s="72"/>
      <c r="I120" s="72"/>
      <c r="J120" s="72"/>
      <c r="K120" s="72"/>
      <c r="L120" s="72"/>
      <c r="M120" s="72"/>
      <c r="N120" s="72"/>
      <c r="O120" s="72"/>
      <c r="P120" s="73"/>
      <c r="Q120" s="67"/>
    </row>
    <row r="121" spans="1:17" x14ac:dyDescent="0.25">
      <c r="A121" s="106"/>
      <c r="B121" s="114" t="s">
        <v>346</v>
      </c>
      <c r="C121" s="38">
        <f>IF(Vin_eff&lt;Vout, 0, ((1-Vout/Vin_eff)*ILrms^2*BUCK_LS_Rdson+(ILpeak+ILvalley)*BUCK_LS_Vd*BUCK_LS_dead_time*fsw+Vin_eff*BUCK_LS_Qrr*fsw)*1000)</f>
        <v>0</v>
      </c>
      <c r="D121" s="88" t="s">
        <v>10</v>
      </c>
      <c r="E121" s="115" t="s">
        <v>348</v>
      </c>
      <c r="F121" s="72"/>
      <c r="G121" s="72"/>
      <c r="H121" s="72"/>
      <c r="I121" s="72"/>
      <c r="J121" s="72"/>
      <c r="K121" s="72"/>
      <c r="L121" s="72"/>
      <c r="M121" s="72"/>
      <c r="N121" s="72"/>
      <c r="O121" s="72"/>
      <c r="P121" s="73"/>
      <c r="Q121" s="67"/>
    </row>
    <row r="122" spans="1:17" x14ac:dyDescent="0.25">
      <c r="A122" s="106"/>
      <c r="B122" s="114" t="s">
        <v>307</v>
      </c>
      <c r="C122" s="38">
        <f>IF(Vin_eff&lt;Vout, 1000*ESR*(G122+H122), 0)</f>
        <v>170.36427930837425</v>
      </c>
      <c r="D122" s="110" t="s">
        <v>10</v>
      </c>
      <c r="E122" s="115" t="s">
        <v>310</v>
      </c>
      <c r="F122" s="180">
        <f>ESR*Cout_c*Cout_e/(Cout_c+Cout_e)</f>
        <v>5.9340659340659354E-9</v>
      </c>
      <c r="G122" s="180">
        <f>(fsw*(Cout_e/(Cout_c+Cout_e))^2*(Ioutmax^2*(Vout-Vin_eff)/Vout/fsw+2*Ioutmax*((1-EXP((-Vin_eff/Vout)/tou/fsw))/(1-EXP(-1/tou/fsw))*(ILpeak+ILvalley)/2*tou*(EXP(-1/tou*(1-Vin_eff/Vout)/fsw)-1))-((1-EXP((-Vin_eff/Vout)/tou/fsw))/(1-EXP(-1/tou/fsw))*(ILpeak+ILvalley)/2)^2*tou/2*(EXP(-2/tou*(1-Vin_eff/Vout)/fsw)-1)))</f>
        <v>3.5510172778533118</v>
      </c>
      <c r="H122" s="180">
        <f>(fsw*(Cout_e/(Cout_c+Cout_e))^2*((((ILpeak+ILvalley)/2-Ioutmax)^2*Vin_eff/Vout/fsw+2*((ILpeak+ILvalley)/2-Ioutmax)*((1-EXP(-(1-Vin_eff/Vout)/tou/fsw))/(1-EXP(-1/tou/fsw))*(ILpeak+ILvalley)/2*tou*(EXP(-1/tou*(Vin_eff/Vout)/fsw)-1))-((1-EXP(-(1-Vin_eff/Vout)/tou/fsw))/(1-EXP(-1/tou/fsw))*(ILpeak+ILvalley)/2)^2*tou/2*(EXP(-2/tou*(1-Vin_eff/Vout/fsw))-1))))</f>
        <v>2.7587708446790677</v>
      </c>
      <c r="I122" s="72"/>
      <c r="J122" s="72"/>
      <c r="K122" s="72"/>
      <c r="L122" s="72"/>
      <c r="M122" s="72"/>
      <c r="N122" s="72"/>
      <c r="O122" s="72"/>
      <c r="P122" s="73"/>
      <c r="Q122" s="67"/>
    </row>
    <row r="123" spans="1:17" ht="13.8" x14ac:dyDescent="0.3">
      <c r="A123" s="106"/>
      <c r="B123" s="109" t="s">
        <v>328</v>
      </c>
      <c r="C123" s="39">
        <f>IF(Vin_eff&lt;Vout, Vout*Ioutmax/(Vout*Ioutmax+(C114+C115+C116+C117+C118+C119+C120+C121+C122)/1000), Vout*Ioutmax/(Vout*Ioutmax+(C114+C115+C116+C117+C118+C119+C120+C121)/1000))</f>
        <v>0.96844281391210874</v>
      </c>
      <c r="D123" s="110"/>
      <c r="E123" s="115" t="s">
        <v>285</v>
      </c>
      <c r="F123" s="72"/>
      <c r="G123" s="72"/>
      <c r="H123" s="72"/>
      <c r="I123" s="72"/>
      <c r="J123" s="72"/>
      <c r="K123" s="72"/>
      <c r="L123" s="72"/>
      <c r="M123" s="72"/>
      <c r="N123" s="72"/>
      <c r="O123" s="72"/>
      <c r="P123" s="73"/>
      <c r="Q123" s="67"/>
    </row>
    <row r="124" spans="1:17" ht="26.4" x14ac:dyDescent="0.25">
      <c r="A124" s="106"/>
      <c r="B124" s="87" t="s">
        <v>319</v>
      </c>
      <c r="C124" s="26">
        <v>37</v>
      </c>
      <c r="D124" s="88" t="s">
        <v>151</v>
      </c>
      <c r="E124" s="89" t="s">
        <v>320</v>
      </c>
      <c r="F124" s="72"/>
      <c r="G124" s="72"/>
      <c r="H124" s="72"/>
      <c r="I124" s="72"/>
      <c r="J124" s="72"/>
      <c r="K124" s="72"/>
      <c r="L124" s="72"/>
      <c r="M124" s="72"/>
      <c r="N124" s="72"/>
      <c r="O124" s="72"/>
      <c r="P124" s="73"/>
      <c r="Q124" s="67"/>
    </row>
    <row r="125" spans="1:17" ht="27" thickBot="1" x14ac:dyDescent="0.3">
      <c r="A125" s="106"/>
      <c r="B125" s="116" t="s">
        <v>81</v>
      </c>
      <c r="C125" s="40">
        <f>C124*(C117)/1000</f>
        <v>37.739264385139087</v>
      </c>
      <c r="D125" s="117" t="s">
        <v>86</v>
      </c>
      <c r="E125" s="118" t="s">
        <v>321</v>
      </c>
      <c r="F125" s="119"/>
      <c r="G125" s="119"/>
      <c r="H125" s="119"/>
      <c r="I125" s="119"/>
      <c r="J125" s="119"/>
      <c r="K125" s="119"/>
      <c r="L125" s="119"/>
      <c r="M125" s="119"/>
      <c r="N125" s="119"/>
      <c r="O125" s="119"/>
      <c r="P125" s="120"/>
      <c r="Q125" s="67"/>
    </row>
    <row r="126" spans="1:17" ht="13.8" thickTop="1" x14ac:dyDescent="0.25">
      <c r="A126" s="106"/>
      <c r="B126" s="121"/>
      <c r="C126" s="122"/>
      <c r="D126" s="121"/>
      <c r="E126" s="123"/>
      <c r="F126" s="124"/>
      <c r="G126" s="124"/>
      <c r="H126" s="124"/>
      <c r="I126" s="124"/>
      <c r="J126" s="124"/>
      <c r="K126" s="124"/>
      <c r="L126" s="124"/>
      <c r="M126" s="124"/>
      <c r="N126" s="124"/>
      <c r="O126" s="124"/>
      <c r="P126" s="124"/>
      <c r="Q126" s="67"/>
    </row>
    <row r="129" spans="3:8" x14ac:dyDescent="0.25">
      <c r="D129" s="127"/>
      <c r="H129" s="129"/>
    </row>
    <row r="130" spans="3:8" x14ac:dyDescent="0.25">
      <c r="C130" s="128"/>
    </row>
  </sheetData>
  <sheetProtection password="E023" sheet="1" objects="1" scenarios="1"/>
  <dataConsolidate/>
  <customSheetViews>
    <customSheetView guid="{0F8159A6-236F-4F54-A569-A835A6AD5DA8}" topLeftCell="A94">
      <selection activeCell="C116" sqref="C116"/>
      <pageMargins left="0.75" right="0.75" top="1" bottom="1" header="0.5" footer="0.5"/>
      <pageSetup orientation="portrait" r:id="rId1"/>
      <headerFooter alignWithMargins="0"/>
    </customSheetView>
  </customSheetViews>
  <mergeCells count="68">
    <mergeCell ref="G53:G54"/>
    <mergeCell ref="P53:P54"/>
    <mergeCell ref="B53:B54"/>
    <mergeCell ref="C53:C54"/>
    <mergeCell ref="D53:D54"/>
    <mergeCell ref="E53:E54"/>
    <mergeCell ref="F53:F54"/>
    <mergeCell ref="G47:G48"/>
    <mergeCell ref="P47:P48"/>
    <mergeCell ref="P49:P50"/>
    <mergeCell ref="B49:B50"/>
    <mergeCell ref="C49:C50"/>
    <mergeCell ref="D49:D50"/>
    <mergeCell ref="E49:E50"/>
    <mergeCell ref="F49:F50"/>
    <mergeCell ref="G49:G50"/>
    <mergeCell ref="B47:B48"/>
    <mergeCell ref="C47:C48"/>
    <mergeCell ref="D47:D48"/>
    <mergeCell ref="E47:E48"/>
    <mergeCell ref="F47:F48"/>
    <mergeCell ref="G41:G42"/>
    <mergeCell ref="P41:P42"/>
    <mergeCell ref="G43:G44"/>
    <mergeCell ref="P43:P44"/>
    <mergeCell ref="B45:B46"/>
    <mergeCell ref="C45:C46"/>
    <mergeCell ref="D45:D46"/>
    <mergeCell ref="E45:E46"/>
    <mergeCell ref="F45:F46"/>
    <mergeCell ref="G45:G46"/>
    <mergeCell ref="P45:P46"/>
    <mergeCell ref="B43:B44"/>
    <mergeCell ref="C43:C44"/>
    <mergeCell ref="D43:D44"/>
    <mergeCell ref="E43:E44"/>
    <mergeCell ref="F43:F44"/>
    <mergeCell ref="B41:B42"/>
    <mergeCell ref="C41:C42"/>
    <mergeCell ref="D41:D42"/>
    <mergeCell ref="E41:E42"/>
    <mergeCell ref="F41:F42"/>
    <mergeCell ref="D39:D40"/>
    <mergeCell ref="B7:J7"/>
    <mergeCell ref="B2:P2"/>
    <mergeCell ref="B3:P3"/>
    <mergeCell ref="B4:P4"/>
    <mergeCell ref="B6:P6"/>
    <mergeCell ref="E39:E40"/>
    <mergeCell ref="F39:F40"/>
    <mergeCell ref="G39:G40"/>
    <mergeCell ref="P39:P40"/>
    <mergeCell ref="E72:E73"/>
    <mergeCell ref="F12:P12"/>
    <mergeCell ref="B89:E89"/>
    <mergeCell ref="F71:P71"/>
    <mergeCell ref="B13:E13"/>
    <mergeCell ref="B71:E71"/>
    <mergeCell ref="F36:P36"/>
    <mergeCell ref="B51:B52"/>
    <mergeCell ref="C51:C52"/>
    <mergeCell ref="D51:D52"/>
    <mergeCell ref="E51:E52"/>
    <mergeCell ref="F51:F52"/>
    <mergeCell ref="G51:G52"/>
    <mergeCell ref="P51:P52"/>
    <mergeCell ref="B39:B40"/>
    <mergeCell ref="C39:C40"/>
  </mergeCells>
  <phoneticPr fontId="2" type="noConversion"/>
  <conditionalFormatting sqref="C63">
    <cfRule type="expression" dxfId="13" priority="17">
      <formula>$C$62="External"</formula>
    </cfRule>
    <cfRule type="expression" dxfId="12" priority="18">
      <formula>$C$62="Internal"</formula>
    </cfRule>
  </conditionalFormatting>
  <conditionalFormatting sqref="C77">
    <cfRule type="expression" dxfId="11" priority="9">
      <formula>$C$74="Boost"</formula>
    </cfRule>
    <cfRule type="expression" dxfId="10" priority="10">
      <formula>$C$74="Buck"</formula>
    </cfRule>
  </conditionalFormatting>
  <conditionalFormatting sqref="C28">
    <cfRule type="expression" dxfId="9" priority="7">
      <formula>$C$27="Disable"</formula>
    </cfRule>
    <cfRule type="expression" dxfId="8" priority="8">
      <formula>$C$27="Enable"</formula>
    </cfRule>
  </conditionalFormatting>
  <conditionalFormatting sqref="C65">
    <cfRule type="expression" dxfId="7" priority="5">
      <formula>$C$62="External"</formula>
    </cfRule>
    <cfRule type="expression" dxfId="6" priority="6">
      <formula>$C$62="Internal"</formula>
    </cfRule>
  </conditionalFormatting>
  <conditionalFormatting sqref="C64">
    <cfRule type="expression" dxfId="5" priority="3">
      <formula>$C$62="External"</formula>
    </cfRule>
    <cfRule type="expression" dxfId="4" priority="4">
      <formula>$C$62="Internal"</formula>
    </cfRule>
  </conditionalFormatting>
  <conditionalFormatting sqref="C25">
    <cfRule type="expression" dxfId="3" priority="26" stopIfTrue="1">
      <formula>$C$16="External"</formula>
    </cfRule>
    <cfRule type="expression" dxfId="2" priority="27" stopIfTrue="1">
      <formula>$C$16="Internal"</formula>
    </cfRule>
  </conditionalFormatting>
  <conditionalFormatting sqref="C26">
    <cfRule type="expression" dxfId="1" priority="28">
      <formula>$C$16="External"</formula>
    </cfRule>
    <cfRule type="expression" dxfId="0" priority="29">
      <formula>$C$16="Internal"</formula>
    </cfRule>
  </conditionalFormatting>
  <dataValidations count="15">
    <dataValidation type="list" allowBlank="1" showInputMessage="1" showErrorMessage="1" sqref="C62 C21 C16">
      <formula1>"Internal, External"</formula1>
    </dataValidation>
    <dataValidation type="list" allowBlank="1" showInputMessage="1" showErrorMessage="1" sqref="C23">
      <formula1>"74, 75"</formula1>
    </dataValidation>
    <dataValidation type="list" allowBlank="1" showInputMessage="1" showErrorMessage="1" sqref="C22">
      <formula1>"FPWM, APFM"</formula1>
    </dataValidation>
    <dataValidation type="list" allowBlank="1" showInputMessage="1" sqref="C18">
      <formula1>"5, 10, 15, 20"</formula1>
    </dataValidation>
    <dataValidation type="list" allowBlank="1" showInputMessage="1" showErrorMessage="1" sqref="C63">
      <formula1>"0, 2, 4, 6, 8, 10, 12, 14"</formula1>
    </dataValidation>
    <dataValidation type="list" allowBlank="1" showInputMessage="1" showErrorMessage="1" sqref="C27 C68:C70">
      <formula1>"Enable, Disable"</formula1>
    </dataValidation>
    <dataValidation type="list" allowBlank="1" showInputMessage="1" showErrorMessage="1" sqref="C66">
      <formula1>"0.1, 3, 6, 12"</formula1>
    </dataValidation>
    <dataValidation type="list" allowBlank="1" showInputMessage="1" showErrorMessage="1" sqref="C67">
      <formula1>"1.25, 2.5, 5, 10"</formula1>
    </dataValidation>
    <dataValidation type="list" allowBlank="1" showInputMessage="1" showErrorMessage="1" sqref="M52">
      <formula1>"74H -0,75H -1"</formula1>
    </dataValidation>
    <dataValidation type="list" allowBlank="1" showInputMessage="1" showErrorMessage="1" sqref="O52">
      <formula1>"EXT -0,INT -1"</formula1>
    </dataValidation>
    <dataValidation type="list" allowBlank="1" showInputMessage="1" showErrorMessage="1" sqref="H52">
      <formula1>"OFF -0,ON -1"</formula1>
    </dataValidation>
    <dataValidation type="list" allowBlank="1" showInputMessage="1" showErrorMessage="1" sqref="I52:K52">
      <formula1>"DIS -0,ENA -1"</formula1>
    </dataValidation>
    <dataValidation type="list" allowBlank="1" showInputMessage="1" showErrorMessage="1" sqref="L52">
      <formula1>"INT -0,EXT -1"</formula1>
    </dataValidation>
    <dataValidation type="list" allowBlank="1" showInputMessage="1" showErrorMessage="1" sqref="N52">
      <formula1>"PFM -0,PWM -1"</formula1>
    </dataValidation>
    <dataValidation type="custom" allowBlank="1" showInputMessage="1" showErrorMessage="1" sqref="S17">
      <formula1>"AND(S15=""Internal""）"</formula1>
    </dataValidation>
  </dataValidations>
  <pageMargins left="0.75" right="0.75" top="1" bottom="1" header="0.5" footer="0.5"/>
  <pageSetup orientation="portrait" r:id="rId2"/>
  <headerFooter alignWithMargins="0"/>
  <drawing r:id="rId3"/>
  <legacyDrawing r:id="rId4"/>
  <oleObjects>
    <mc:AlternateContent xmlns:mc="http://schemas.openxmlformats.org/markup-compatibility/2006">
      <mc:Choice Requires="x14">
        <oleObject progId="Visio.Drawing.11" shapeId="1209" r:id="rId5">
          <objectPr defaultSize="0" autoPict="0" r:id="rId6">
            <anchor moveWithCells="1">
              <from>
                <xdr:col>5</xdr:col>
                <xdr:colOff>53340</xdr:colOff>
                <xdr:row>12</xdr:row>
                <xdr:rowOff>38100</xdr:rowOff>
              </from>
              <to>
                <xdr:col>15</xdr:col>
                <xdr:colOff>220980</xdr:colOff>
                <xdr:row>30</xdr:row>
                <xdr:rowOff>175260</xdr:rowOff>
              </to>
            </anchor>
          </objectPr>
        </oleObject>
      </mc:Choice>
      <mc:Fallback>
        <oleObject progId="Visio.Drawing.11" shapeId="1209"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
  <sheetViews>
    <sheetView zoomScale="70" zoomScaleNormal="70" workbookViewId="0">
      <selection activeCell="P49" sqref="P49"/>
    </sheetView>
  </sheetViews>
  <sheetFormatPr defaultRowHeight="13.2" x14ac:dyDescent="0.25"/>
  <cols>
    <col min="1" max="1" width="4" bestFit="1" customWidth="1"/>
    <col min="2" max="2" width="9.6640625" customWidth="1"/>
    <col min="3" max="3" width="10.5546875" bestFit="1" customWidth="1"/>
    <col min="5" max="5" width="8" customWidth="1"/>
    <col min="7" max="7" width="7.88671875" customWidth="1"/>
    <col min="8" max="8" width="8.33203125" customWidth="1"/>
    <col min="9" max="9" width="8.21875" customWidth="1"/>
    <col min="10" max="10" width="9.44140625" customWidth="1"/>
    <col min="11" max="11" width="9.5546875" customWidth="1"/>
    <col min="13" max="14" width="8.44140625" customWidth="1"/>
    <col min="15" max="16" width="9.5546875" customWidth="1"/>
    <col min="17" max="17" width="10" customWidth="1"/>
    <col min="18" max="18" width="10.77734375" customWidth="1"/>
    <col min="19" max="20" width="9.44140625" customWidth="1"/>
    <col min="21" max="23" width="10" customWidth="1"/>
    <col min="24" max="24" width="10.109375" customWidth="1"/>
    <col min="25" max="26" width="10" customWidth="1"/>
    <col min="27" max="29" width="10.33203125" customWidth="1"/>
    <col min="30" max="30" width="10.21875" customWidth="1"/>
    <col min="32" max="32" width="15.77734375" customWidth="1"/>
    <col min="33" max="33" width="12.33203125" bestFit="1" customWidth="1"/>
    <col min="34" max="34" width="5.5546875" customWidth="1"/>
  </cols>
  <sheetData>
    <row r="1" spans="1:34" ht="14.4" thickTop="1" thickBot="1" x14ac:dyDescent="0.3">
      <c r="A1" s="177" t="s">
        <v>176</v>
      </c>
      <c r="B1" s="179"/>
      <c r="C1" s="177" t="s">
        <v>166</v>
      </c>
      <c r="D1" s="178"/>
      <c r="E1" s="178"/>
      <c r="F1" s="178"/>
      <c r="G1" s="178"/>
      <c r="H1" s="178"/>
      <c r="I1" s="178"/>
      <c r="J1" s="179"/>
      <c r="K1" s="177" t="s">
        <v>194</v>
      </c>
      <c r="L1" s="178"/>
      <c r="M1" s="178"/>
      <c r="N1" s="178"/>
      <c r="O1" s="178"/>
      <c r="P1" s="178"/>
      <c r="Q1" s="177" t="s">
        <v>193</v>
      </c>
      <c r="R1" s="179"/>
      <c r="S1" s="177" t="s">
        <v>167</v>
      </c>
      <c r="T1" s="178"/>
      <c r="U1" s="178"/>
      <c r="V1" s="178"/>
      <c r="W1" s="178"/>
      <c r="X1" s="179"/>
      <c r="Y1" s="177" t="s">
        <v>192</v>
      </c>
      <c r="Z1" s="179"/>
      <c r="AA1" s="178" t="s">
        <v>170</v>
      </c>
      <c r="AB1" s="178"/>
      <c r="AC1" s="178"/>
      <c r="AD1" s="179"/>
    </row>
    <row r="2" spans="1:34" ht="27" thickTop="1" x14ac:dyDescent="0.25">
      <c r="A2" s="1"/>
      <c r="B2" s="2" t="s">
        <v>171</v>
      </c>
      <c r="C2" s="13" t="s">
        <v>120</v>
      </c>
      <c r="D2" s="2" t="s">
        <v>121</v>
      </c>
      <c r="E2" s="2" t="s">
        <v>122</v>
      </c>
      <c r="F2" s="2" t="s">
        <v>123</v>
      </c>
      <c r="G2" s="2" t="s">
        <v>124</v>
      </c>
      <c r="H2" s="2" t="s">
        <v>125</v>
      </c>
      <c r="I2" s="2" t="s">
        <v>149</v>
      </c>
      <c r="J2" s="16" t="s">
        <v>150</v>
      </c>
      <c r="K2" s="13" t="s">
        <v>126</v>
      </c>
      <c r="L2" s="2" t="s">
        <v>127</v>
      </c>
      <c r="M2" s="2" t="s">
        <v>118</v>
      </c>
      <c r="N2" s="2" t="s">
        <v>119</v>
      </c>
      <c r="O2" s="2" t="s">
        <v>128</v>
      </c>
      <c r="P2" s="16" t="s">
        <v>129</v>
      </c>
      <c r="Q2" s="2" t="s">
        <v>190</v>
      </c>
      <c r="R2" s="2" t="s">
        <v>191</v>
      </c>
      <c r="S2" s="13" t="s">
        <v>168</v>
      </c>
      <c r="T2" s="2" t="s">
        <v>169</v>
      </c>
      <c r="U2" s="2" t="s">
        <v>160</v>
      </c>
      <c r="V2" s="16" t="s">
        <v>159</v>
      </c>
      <c r="W2" s="13" t="s">
        <v>291</v>
      </c>
      <c r="X2" s="16" t="s">
        <v>290</v>
      </c>
      <c r="Y2" s="13" t="s">
        <v>188</v>
      </c>
      <c r="Z2" s="16" t="s">
        <v>189</v>
      </c>
      <c r="AA2" s="2" t="s">
        <v>173</v>
      </c>
      <c r="AB2" s="2" t="s">
        <v>174</v>
      </c>
      <c r="AC2" s="2" t="s">
        <v>172</v>
      </c>
      <c r="AD2" s="3" t="s">
        <v>175</v>
      </c>
      <c r="AF2" s="11" t="s">
        <v>181</v>
      </c>
      <c r="AG2" s="24" t="s">
        <v>24</v>
      </c>
      <c r="AH2" s="24" t="s">
        <v>293</v>
      </c>
    </row>
    <row r="3" spans="1:34" x14ac:dyDescent="0.25">
      <c r="A3" s="4">
        <v>1</v>
      </c>
      <c r="B3" s="20">
        <f>10*10^A3</f>
        <v>100</v>
      </c>
      <c r="C3" s="14">
        <f t="shared" ref="C3:C43" si="0">20*LOG(SQRT((B3/fzRHP)^2+1))</f>
        <v>7.427283001069547E-6</v>
      </c>
      <c r="D3" s="5">
        <f t="shared" ref="D3:D43" si="1">-180/PI()*ATAN(B3/fzRHP)</f>
        <v>-7.4928217462452679E-2</v>
      </c>
      <c r="E3" s="5">
        <f t="shared" ref="E3:E43" si="2">20*LOG(1/SQRT((B3/fp)^2+1))</f>
        <v>-0.83764472588494276</v>
      </c>
      <c r="F3" s="5">
        <f t="shared" ref="F3:F43" si="3">-180/PI()*ATAN(B3/fp)</f>
        <v>-24.760459798979721</v>
      </c>
      <c r="G3" s="5">
        <f t="shared" ref="G3:G43" si="4">20*LOG(SQRT((B3/fz_ESR)^2+1))</f>
        <v>6.0494224439215992E-5</v>
      </c>
      <c r="H3" s="5">
        <f t="shared" ref="H3:H43" si="5">180/PI()*ATAN(B3/fz_ESR)</f>
        <v>0.2138390071201704</v>
      </c>
      <c r="I3" s="5">
        <f t="shared" ref="I3:I43" si="6">20*LOG(1/SQRT((B3/(1/2/PI()/ESR/(Cout_c*Cout_e/(Cout_c+Cout_e))))^2+1))</f>
        <v>-6.0374614026178026E-11</v>
      </c>
      <c r="J3" s="17">
        <f t="shared" ref="J3:J43" si="7">-180/PI()*ATAN(B3/(1/2/PI()/(ESR)/(Cout_c*Cout_e/(Cout_c+Cout_e))))</f>
        <v>-2.1362637362538369E-4</v>
      </c>
      <c r="K3" s="14">
        <f t="shared" ref="K3:K43" si="8">20*LOG(1/SQRT((B3/(1/2/PI()/10000000/(Ccomp+Cp+0.000000000003)))^2+1))</f>
        <v>-29.598615177174089</v>
      </c>
      <c r="L3" s="5">
        <f t="shared" ref="L3:L43" si="9">-180/PI()*ATAN(B3/(1/2/PI()/10000000/(Ccomp+Cp+0.000000000003)))</f>
        <v>-88.102108867957142</v>
      </c>
      <c r="M3" s="5">
        <f t="shared" ref="M3:M43" si="10">20*LOG(SQRT((B3/fz_comp)^2+1))</f>
        <v>0.33170035875105874</v>
      </c>
      <c r="N3" s="5">
        <f t="shared" ref="N3:N43" si="11">180/PI()*ATAN(B3/fz_comp)</f>
        <v>15.733879785543753</v>
      </c>
      <c r="O3" s="5">
        <f t="shared" ref="O3:O43" si="12">20*LOG(1/SQRT((B3/fp_comp2)^2+1))</f>
        <v>-1.585177369272112E-4</v>
      </c>
      <c r="P3" s="17">
        <f t="shared" ref="P3:P43" si="13">-180/PI()*ATAN(B3/fp_comp2)</f>
        <v>-0.34615299017832174</v>
      </c>
      <c r="Q3" s="5">
        <f>20*LOG(1/SQRT((B3/(1/2/PI()/400000/0.0000000000055))^2+1))</f>
        <v>-8.2982973903629366E-6</v>
      </c>
      <c r="R3" s="5">
        <f>-180/PI()*ATAN(B3/(1/2/PI()/400000/0.0000000000055))</f>
        <v>-7.9199949556114951E-2</v>
      </c>
      <c r="S3" s="14">
        <f t="shared" ref="S3:S43" si="14">20*LOG(SQRT((2*PI()*R_ca*C_ca*B3)^2+1))</f>
        <v>6.7187635127814618E-5</v>
      </c>
      <c r="T3" s="5">
        <f t="shared" ref="T3:T43" si="15">180/PI()*ATAN(2*PI()*R_ca*C_ca*B3)</f>
        <v>0.22535883785598179</v>
      </c>
      <c r="U3" s="5">
        <f t="shared" ref="U3:U43" si="16">20*LOG(1/SQRT((2*PI()*B3*R_ca*C_ca)^2+(1-(2*PI()*B3)^2*C_ca/gm_ca/(IF(Op_mode="Boost", Vout_LP, Vin_LP)/V_m/L)*gm_PS)^2))</f>
        <v>-3.0464325213364893E-5</v>
      </c>
      <c r="V3" s="17">
        <f t="shared" ref="V3:V43" si="17">IF(-180/PI()*ATAN((2*PI()*B3*R_ca*C_ca)/(1-(2*PI()*B3)^2*C_ca/gm_ca/(IF(Op_mode="Boost", Vout_LP, Vin_LP)/V_m/L)*gm_PS))&gt;0, -180/PI()*ATAN((2*PI()*B3*R_ca*C_ca)/(1-(2*PI()*B3)^2*C_ca/gm_ca/(IF(Op_mode="Boost", Vout_LP, Vin_LP)/V_m/L)*gm_PS))-180, -180/PI()*ATAN((2*PI()*B3*R_ca*C_ca)/(1-(2*PI()*B3)^2*C_ca/gm_ca/(IF(Op_mode="Boost", Vout_LP, Vin_LP)/V_m/L)*gm_PS)))</f>
        <v>-0.22535979066369219</v>
      </c>
      <c r="W3" s="14">
        <v>0</v>
      </c>
      <c r="X3" s="17">
        <f t="shared" ref="X3:X43" si="18">IF(B3&lt;fsw, -180*B3*1/2/fsw, -90)</f>
        <v>-2.2499999999999999E-2</v>
      </c>
      <c r="Y3" s="14">
        <f>20*LOG(1/SQRT((B3/(1/2/PI()/30000/0.000000000005))^2+1))</f>
        <v>-3.8576832623748043E-8</v>
      </c>
      <c r="Z3" s="17">
        <f>-180/PI()*ATAN(B3/(1/2/PI()/30000/0.000000000005))</f>
        <v>-5.3999999840112396E-3</v>
      </c>
      <c r="AA3" s="5">
        <f t="shared" ref="AA3:AA43" si="19">IF(Op_mode="Boost", C3+E3+G3+I3+K3+M3+20*LOG(Vout_LP/Ioutmax/2*gm_PS*eff*Vin_LP/Vout_LP*gm_EA*10000000*1.129/Vout_max)+Q3+S3+U3+Y3, E3+G3+I3+K3+M3+20*LOG(Vout_LP/Ioutmax*gm_PS*gm_EA*10000000*1.129/Vout_max)+Q3+S3+U3+Y3)</f>
        <v>41.461350066157109</v>
      </c>
      <c r="AB3" s="5">
        <f t="shared" ref="AB3:AB43" si="20">IF(Op_mode="Boost", D3+F3+H3+J3+180+L3+N3+R3+T3+V3+X3+Z3, F3+H3+J3+180+L3+N3+R3+T3+V3+Z3)</f>
        <v>82.902907379543151</v>
      </c>
      <c r="AC3" s="5">
        <f>AA3+O3</f>
        <v>41.461191548420182</v>
      </c>
      <c r="AD3" s="6">
        <f>AB3+P3</f>
        <v>82.556754389364826</v>
      </c>
      <c r="AF3" t="s">
        <v>179</v>
      </c>
      <c r="AG3">
        <v>3.0000000000000001E-5</v>
      </c>
      <c r="AH3" t="s">
        <v>161</v>
      </c>
    </row>
    <row r="4" spans="1:34" ht="13.8" x14ac:dyDescent="0.3">
      <c r="A4" s="4">
        <v>1.1000000000000001</v>
      </c>
      <c r="B4" s="21">
        <f t="shared" ref="B4:B43" si="21">10*10^A4</f>
        <v>125.8925411794168</v>
      </c>
      <c r="C4" s="14">
        <f t="shared" si="0"/>
        <v>1.1771444377060903E-5</v>
      </c>
      <c r="D4" s="5">
        <f t="shared" si="1"/>
        <v>-9.4329005572096933E-2</v>
      </c>
      <c r="E4" s="5">
        <f t="shared" si="2"/>
        <v>-1.2618203987268375</v>
      </c>
      <c r="F4" s="5">
        <f t="shared" si="3"/>
        <v>-30.141646827920649</v>
      </c>
      <c r="G4" s="5">
        <f t="shared" si="4"/>
        <v>9.5876493939900661E-5</v>
      </c>
      <c r="H4" s="5">
        <f t="shared" si="5"/>
        <v>0.26920662901204157</v>
      </c>
      <c r="I4" s="5">
        <f t="shared" si="6"/>
        <v>-9.5686357196743518E-11</v>
      </c>
      <c r="J4" s="17">
        <f t="shared" si="7"/>
        <v>-2.6893967038570202E-4</v>
      </c>
      <c r="K4" s="14">
        <f t="shared" si="8"/>
        <v>-31.596856900271305</v>
      </c>
      <c r="L4" s="5">
        <f t="shared" si="9"/>
        <v>-88.492248001574382</v>
      </c>
      <c r="M4" s="5">
        <f t="shared" si="10"/>
        <v>0.51458066551561299</v>
      </c>
      <c r="N4" s="5">
        <f t="shared" si="11"/>
        <v>19.528137531985628</v>
      </c>
      <c r="O4" s="5">
        <f t="shared" si="12"/>
        <v>-2.5123100046267285E-4</v>
      </c>
      <c r="P4" s="17">
        <f t="shared" si="13"/>
        <v>-0.43577769467681909</v>
      </c>
      <c r="Q4" s="5">
        <f t="shared" ref="Q4:Q43" si="22">20*LOG(1/SQRT((B4/(1/2/PI()/400000/0.0000000000055))^2+1))</f>
        <v>-1.3151907691514025E-5</v>
      </c>
      <c r="R4" s="5">
        <f t="shared" ref="R4:R43" si="23">-180/PI()*ATAN(B4/(1/2/PI()/400000/0.0000000000055))</f>
        <v>-9.9706791965382735E-2</v>
      </c>
      <c r="S4" s="14">
        <f t="shared" si="14"/>
        <v>1.0648474376647131E-4</v>
      </c>
      <c r="T4" s="5">
        <f t="shared" si="15"/>
        <v>0.2837091120323586</v>
      </c>
      <c r="U4" s="5">
        <f t="shared" si="16"/>
        <v>-4.82826745589961E-5</v>
      </c>
      <c r="V4" s="17">
        <f t="shared" si="17"/>
        <v>-0.28371101312117541</v>
      </c>
      <c r="W4" s="14">
        <v>0</v>
      </c>
      <c r="X4" s="17">
        <f t="shared" si="18"/>
        <v>-2.8325821765368776E-2</v>
      </c>
      <c r="Y4" s="14">
        <f t="shared" ref="Y4:Y43" si="24">20*LOG(1/SQRT((B4/(1/2/PI()/30000/0.000000000005))^2+1))</f>
        <v>-6.1140159101059486E-8</v>
      </c>
      <c r="Z4" s="17">
        <f t="shared" ref="Z4:Z43" si="25">-180/PI()*ATAN(B4/(1/2/PI()/30000/0.000000000005))</f>
        <v>-6.7981971917867381E-3</v>
      </c>
      <c r="AA4" s="5">
        <f t="shared" si="19"/>
        <v>39.221869305963786</v>
      </c>
      <c r="AB4" s="5">
        <f t="shared" si="20"/>
        <v>80.934018674248819</v>
      </c>
      <c r="AC4" s="5">
        <f t="shared" ref="AC4:AC43" si="26">AA4+O4</f>
        <v>39.221618074963324</v>
      </c>
      <c r="AD4" s="6">
        <f t="shared" ref="AD4:AD43" si="27">AB4+P4</f>
        <v>80.498240979572003</v>
      </c>
      <c r="AF4" t="s">
        <v>177</v>
      </c>
      <c r="AG4">
        <v>100000</v>
      </c>
      <c r="AH4" s="12" t="s">
        <v>61</v>
      </c>
    </row>
    <row r="5" spans="1:34" x14ac:dyDescent="0.25">
      <c r="A5" s="4">
        <v>1.2</v>
      </c>
      <c r="B5" s="21">
        <f t="shared" si="21"/>
        <v>158.48931924611136</v>
      </c>
      <c r="C5" s="14">
        <f t="shared" si="0"/>
        <v>1.8656467271380479E-5</v>
      </c>
      <c r="D5" s="5">
        <f t="shared" si="1"/>
        <v>-0.11875311942944401</v>
      </c>
      <c r="E5" s="5">
        <f t="shared" si="2"/>
        <v>-1.8592615463707562</v>
      </c>
      <c r="F5" s="5">
        <f t="shared" si="3"/>
        <v>-36.16667770048435</v>
      </c>
      <c r="G5" s="5">
        <f t="shared" si="4"/>
        <v>1.5195302153706044E-4</v>
      </c>
      <c r="H5" s="5">
        <f t="shared" si="5"/>
        <v>0.33890960760003269</v>
      </c>
      <c r="I5" s="5">
        <f t="shared" si="6"/>
        <v>-1.5165206604642694E-10</v>
      </c>
      <c r="J5" s="17">
        <f t="shared" si="7"/>
        <v>-3.3857498528665295E-4</v>
      </c>
      <c r="K5" s="14">
        <f t="shared" si="8"/>
        <v>-33.595747136162764</v>
      </c>
      <c r="L5" s="5">
        <f t="shared" si="9"/>
        <v>-88.80224799177789</v>
      </c>
      <c r="M5" s="5">
        <f t="shared" si="10"/>
        <v>0.78951917099587954</v>
      </c>
      <c r="N5" s="5">
        <f t="shared" si="11"/>
        <v>24.060989599861635</v>
      </c>
      <c r="O5" s="5">
        <f t="shared" si="12"/>
        <v>-3.9816756654982577E-4</v>
      </c>
      <c r="P5" s="17">
        <f t="shared" si="13"/>
        <v>-0.54860542656385691</v>
      </c>
      <c r="Q5" s="5">
        <f t="shared" si="22"/>
        <v>-2.0844350508270566E-5</v>
      </c>
      <c r="R5" s="5">
        <f t="shared" si="23"/>
        <v>-0.12552334002254481</v>
      </c>
      <c r="S5" s="14">
        <f t="shared" si="14"/>
        <v>1.6876573537434375E-4</v>
      </c>
      <c r="T5" s="5">
        <f t="shared" si="15"/>
        <v>0.35716690333929518</v>
      </c>
      <c r="U5" s="5">
        <f t="shared" si="16"/>
        <v>-7.6522814194182747E-5</v>
      </c>
      <c r="V5" s="17">
        <f t="shared" si="17"/>
        <v>-0.35717069647063809</v>
      </c>
      <c r="W5" s="14">
        <v>0</v>
      </c>
      <c r="X5" s="17">
        <f t="shared" si="18"/>
        <v>-3.5660096830375056E-2</v>
      </c>
      <c r="Y5" s="14">
        <f t="shared" si="24"/>
        <v>-9.6900620560394827E-8</v>
      </c>
      <c r="Z5" s="17">
        <f t="shared" si="25"/>
        <v>-8.5584231756376181E-3</v>
      </c>
      <c r="AA5" s="5">
        <f t="shared" si="19"/>
        <v>36.900565702051892</v>
      </c>
      <c r="AB5" s="5">
        <f t="shared" si="20"/>
        <v>79.142136167624798</v>
      </c>
      <c r="AC5" s="5">
        <f t="shared" si="26"/>
        <v>36.900167534485341</v>
      </c>
      <c r="AD5" s="6">
        <f t="shared" si="27"/>
        <v>78.593530741060945</v>
      </c>
      <c r="AF5" t="s">
        <v>178</v>
      </c>
      <c r="AG5">
        <v>6.2599999999999996E-11</v>
      </c>
      <c r="AH5" t="s">
        <v>9</v>
      </c>
    </row>
    <row r="6" spans="1:34" x14ac:dyDescent="0.25">
      <c r="A6" s="4">
        <v>1.3</v>
      </c>
      <c r="B6" s="21">
        <f t="shared" si="21"/>
        <v>199.52623149688804</v>
      </c>
      <c r="C6" s="14">
        <f t="shared" si="0"/>
        <v>2.9568470825560856E-5</v>
      </c>
      <c r="D6" s="5">
        <f t="shared" si="1"/>
        <v>-0.14950119456808916</v>
      </c>
      <c r="E6" s="5">
        <f t="shared" si="2"/>
        <v>-2.6644274437399575</v>
      </c>
      <c r="F6" s="5">
        <f t="shared" si="3"/>
        <v>-42.622440287055419</v>
      </c>
      <c r="G6" s="5">
        <f t="shared" si="4"/>
        <v>2.4082684524194705E-4</v>
      </c>
      <c r="H6" s="5">
        <f t="shared" si="5"/>
        <v>0.42665900690460995</v>
      </c>
      <c r="I6" s="5">
        <f t="shared" si="6"/>
        <v>-2.4035283507693298E-10</v>
      </c>
      <c r="J6" s="17">
        <f t="shared" si="7"/>
        <v>-4.2624065277230202E-4</v>
      </c>
      <c r="K6" s="14">
        <f t="shared" si="8"/>
        <v>-35.595046776408182</v>
      </c>
      <c r="L6" s="5">
        <f t="shared" si="9"/>
        <v>-89.048540615299331</v>
      </c>
      <c r="M6" s="5">
        <f t="shared" si="10"/>
        <v>1.192475139432978</v>
      </c>
      <c r="N6" s="5">
        <f t="shared" si="11"/>
        <v>29.341046103021426</v>
      </c>
      <c r="O6" s="5">
        <f t="shared" si="12"/>
        <v>-6.310361470509739E-4</v>
      </c>
      <c r="P6" s="17">
        <f t="shared" si="13"/>
        <v>-0.69064096819423815</v>
      </c>
      <c r="Q6" s="5">
        <f t="shared" si="22"/>
        <v>-3.30360228520592E-5</v>
      </c>
      <c r="R6" s="5">
        <f t="shared" si="23"/>
        <v>-0.15802437465688313</v>
      </c>
      <c r="S6" s="14">
        <f t="shared" si="14"/>
        <v>2.6747262549834858E-4</v>
      </c>
      <c r="T6" s="5">
        <f t="shared" si="15"/>
        <v>0.44964308431875261</v>
      </c>
      <c r="U6" s="5">
        <f t="shared" si="16"/>
        <v>-1.2128031640582372E-4</v>
      </c>
      <c r="V6" s="17">
        <f t="shared" si="17"/>
        <v>-0.44965065248577279</v>
      </c>
      <c r="W6" s="14">
        <v>0</v>
      </c>
      <c r="X6" s="17">
        <f t="shared" si="18"/>
        <v>-4.4893402086799809E-2</v>
      </c>
      <c r="Y6" s="14">
        <f t="shared" si="24"/>
        <v>-1.535771340734222E-7</v>
      </c>
      <c r="Z6" s="17">
        <f t="shared" si="25"/>
        <v>-1.0774416373828727E-2</v>
      </c>
      <c r="AA6" s="5">
        <f t="shared" si="19"/>
        <v>34.499197619651987</v>
      </c>
      <c r="AB6" s="5">
        <f t="shared" si="20"/>
        <v>77.73309701106588</v>
      </c>
      <c r="AC6" s="5">
        <f t="shared" si="26"/>
        <v>34.498566583504939</v>
      </c>
      <c r="AD6" s="6">
        <f t="shared" si="27"/>
        <v>77.042456042871635</v>
      </c>
      <c r="AF6" t="s">
        <v>180</v>
      </c>
      <c r="AG6">
        <f>0.1*MIN(Vin, Vout)</f>
        <v>1.2000000000000002</v>
      </c>
      <c r="AH6" t="s">
        <v>3</v>
      </c>
    </row>
    <row r="7" spans="1:34" x14ac:dyDescent="0.25">
      <c r="A7" s="4">
        <v>1.4</v>
      </c>
      <c r="B7" s="21">
        <f t="shared" si="21"/>
        <v>251.188643150958</v>
      </c>
      <c r="C7" s="14">
        <f t="shared" si="0"/>
        <v>4.686277481529567E-5</v>
      </c>
      <c r="D7" s="5">
        <f t="shared" si="1"/>
        <v>-0.18821060310660628</v>
      </c>
      <c r="E7" s="5">
        <f t="shared" si="2"/>
        <v>-3.6963171826673582</v>
      </c>
      <c r="F7" s="5">
        <f t="shared" si="3"/>
        <v>-49.200988882007898</v>
      </c>
      <c r="G7" s="5">
        <f t="shared" si="4"/>
        <v>3.8167863809748543E-4</v>
      </c>
      <c r="H7" s="5">
        <f t="shared" si="5"/>
        <v>0.53712605912743283</v>
      </c>
      <c r="I7" s="5">
        <f t="shared" si="6"/>
        <v>-3.8093249315609886E-10</v>
      </c>
      <c r="J7" s="17">
        <f t="shared" si="7"/>
        <v>-5.366051893089947E-4</v>
      </c>
      <c r="K7" s="14">
        <f t="shared" si="8"/>
        <v>-37.594604821157532</v>
      </c>
      <c r="L7" s="5">
        <f t="shared" si="9"/>
        <v>-89.244203308584247</v>
      </c>
      <c r="M7" s="5">
        <f t="shared" si="10"/>
        <v>1.7631877736400827</v>
      </c>
      <c r="N7" s="5">
        <f t="shared" si="11"/>
        <v>35.285605956251416</v>
      </c>
      <c r="O7" s="5">
        <f t="shared" si="12"/>
        <v>-1.0000823999043108E-3</v>
      </c>
      <c r="P7" s="17">
        <f t="shared" si="13"/>
        <v>-0.86944083710728692</v>
      </c>
      <c r="Q7" s="5">
        <f t="shared" si="22"/>
        <v>-5.2358451248504887E-5</v>
      </c>
      <c r="R7" s="5">
        <f t="shared" si="23"/>
        <v>-0.19894060589872517</v>
      </c>
      <c r="S7" s="14">
        <f t="shared" si="14"/>
        <v>4.2390790845322254E-4</v>
      </c>
      <c r="T7" s="5">
        <f t="shared" si="15"/>
        <v>0.56606030837128074</v>
      </c>
      <c r="U7" s="5">
        <f t="shared" si="16"/>
        <v>-1.9221591862420058E-4</v>
      </c>
      <c r="V7" s="17">
        <f t="shared" si="17"/>
        <v>-0.56607540845444859</v>
      </c>
      <c r="W7" s="14">
        <v>0</v>
      </c>
      <c r="X7" s="17">
        <f t="shared" si="18"/>
        <v>-5.6517444708965553E-2</v>
      </c>
      <c r="Y7" s="14">
        <f t="shared" si="24"/>
        <v>-2.4340335245430343E-7</v>
      </c>
      <c r="Z7" s="17">
        <f t="shared" si="25"/>
        <v>-1.3564186476746985E-2</v>
      </c>
      <c r="AA7" s="5">
        <f t="shared" si="19"/>
        <v>32.038686703564736</v>
      </c>
      <c r="AB7" s="5">
        <f t="shared" si="20"/>
        <v>76.919755279323198</v>
      </c>
      <c r="AC7" s="5">
        <f t="shared" si="26"/>
        <v>32.037686621164831</v>
      </c>
      <c r="AD7" s="6">
        <f t="shared" si="27"/>
        <v>76.050314442215907</v>
      </c>
    </row>
    <row r="8" spans="1:34" x14ac:dyDescent="0.25">
      <c r="A8" s="4">
        <v>1.5</v>
      </c>
      <c r="B8" s="21">
        <f t="shared" si="21"/>
        <v>316.22776601683802</v>
      </c>
      <c r="C8" s="14">
        <f t="shared" si="0"/>
        <v>7.4272258408064582E-5</v>
      </c>
      <c r="D8" s="5">
        <f t="shared" si="1"/>
        <v>-0.23694261254921109</v>
      </c>
      <c r="E8" s="5">
        <f t="shared" si="2"/>
        <v>-4.9517090789557097</v>
      </c>
      <c r="F8" s="5">
        <f t="shared" si="3"/>
        <v>-55.564614513623127</v>
      </c>
      <c r="G8" s="5">
        <f t="shared" si="4"/>
        <v>6.049043288107362E-4</v>
      </c>
      <c r="H8" s="5">
        <f t="shared" si="5"/>
        <v>0.67619005959481648</v>
      </c>
      <c r="I8" s="5">
        <f t="shared" si="6"/>
        <v>-6.0373842566093193E-10</v>
      </c>
      <c r="J8" s="17">
        <f t="shared" si="7"/>
        <v>-6.7554590891016105E-4</v>
      </c>
      <c r="K8" s="14">
        <f t="shared" si="8"/>
        <v>-39.594325943103279</v>
      </c>
      <c r="L8" s="5">
        <f t="shared" si="9"/>
        <v>-89.399636497602003</v>
      </c>
      <c r="M8" s="5">
        <f t="shared" si="10"/>
        <v>2.537479592712288</v>
      </c>
      <c r="N8" s="5">
        <f t="shared" si="11"/>
        <v>41.697656667860159</v>
      </c>
      <c r="O8" s="5">
        <f t="shared" si="12"/>
        <v>-1.5849170636533807E-3</v>
      </c>
      <c r="P8" s="17">
        <f t="shared" si="13"/>
        <v>-1.0945120306848635</v>
      </c>
      <c r="Q8" s="5">
        <f t="shared" si="22"/>
        <v>-8.298226038036435E-5</v>
      </c>
      <c r="R8" s="5">
        <f t="shared" si="23"/>
        <v>-0.2504507955260869</v>
      </c>
      <c r="S8" s="14">
        <f t="shared" si="14"/>
        <v>6.7182958160482906E-4</v>
      </c>
      <c r="T8" s="5">
        <f t="shared" si="15"/>
        <v>0.7126141463447041</v>
      </c>
      <c r="U8" s="5">
        <f t="shared" si="16"/>
        <v>-3.0464062272331509E-4</v>
      </c>
      <c r="V8" s="17">
        <f t="shared" si="17"/>
        <v>-0.71264427372169925</v>
      </c>
      <c r="W8" s="14">
        <v>0</v>
      </c>
      <c r="X8" s="17">
        <f t="shared" si="18"/>
        <v>-7.1151247353788555E-2</v>
      </c>
      <c r="Y8" s="14">
        <f t="shared" si="24"/>
        <v>-3.8576830887491155E-7</v>
      </c>
      <c r="Z8" s="17">
        <f t="shared" si="25"/>
        <v>-1.7076298859300319E-2</v>
      </c>
      <c r="AA8" s="5">
        <f t="shared" si="19"/>
        <v>29.558220870149299</v>
      </c>
      <c r="AB8" s="5">
        <f t="shared" si="20"/>
        <v>76.83326908865557</v>
      </c>
      <c r="AC8" s="5">
        <f t="shared" si="26"/>
        <v>29.556635953085646</v>
      </c>
      <c r="AD8" s="6">
        <f t="shared" si="27"/>
        <v>75.738757057970702</v>
      </c>
    </row>
    <row r="9" spans="1:34" x14ac:dyDescent="0.25">
      <c r="A9" s="4">
        <v>1.6</v>
      </c>
      <c r="B9" s="21">
        <f t="shared" si="21"/>
        <v>398.10717055349755</v>
      </c>
      <c r="C9" s="14">
        <f t="shared" si="0"/>
        <v>1.1771300801865599E-4</v>
      </c>
      <c r="D9" s="5">
        <f t="shared" si="1"/>
        <v>-0.29829208150483083</v>
      </c>
      <c r="E9" s="5">
        <f t="shared" si="2"/>
        <v>-6.4063632867513896</v>
      </c>
      <c r="F9" s="5">
        <f t="shared" si="3"/>
        <v>-61.426901417790937</v>
      </c>
      <c r="G9" s="5">
        <f t="shared" si="4"/>
        <v>9.5866970544098611E-4</v>
      </c>
      <c r="H9" s="5">
        <f t="shared" si="5"/>
        <v>0.85124973480285637</v>
      </c>
      <c r="I9" s="5">
        <f t="shared" si="6"/>
        <v>-9.5685971470500342E-10</v>
      </c>
      <c r="J9" s="17">
        <f t="shared" si="7"/>
        <v>-8.5046191153753962E-4</v>
      </c>
      <c r="K9" s="14">
        <f t="shared" si="8"/>
        <v>-41.594149973732115</v>
      </c>
      <c r="L9" s="5">
        <f t="shared" si="9"/>
        <v>-89.523107877938159</v>
      </c>
      <c r="M9" s="5">
        <f t="shared" si="10"/>
        <v>3.5370809352965802</v>
      </c>
      <c r="N9" s="5">
        <f t="shared" si="11"/>
        <v>48.279552325680072</v>
      </c>
      <c r="O9" s="5">
        <f t="shared" si="12"/>
        <v>-2.5116562487950871E-3</v>
      </c>
      <c r="P9" s="17">
        <f t="shared" si="13"/>
        <v>-1.3778109957900073</v>
      </c>
      <c r="Q9" s="5">
        <f t="shared" si="22"/>
        <v>-1.3151728467446024E-4</v>
      </c>
      <c r="R9" s="5">
        <f t="shared" si="23"/>
        <v>-0.31529769633857607</v>
      </c>
      <c r="S9" s="14">
        <f t="shared" si="14"/>
        <v>1.0647299653402055E-3</v>
      </c>
      <c r="T9" s="5">
        <f t="shared" si="15"/>
        <v>0.89710100333404108</v>
      </c>
      <c r="U9" s="5">
        <f t="shared" si="16"/>
        <v>-4.8282014078492421E-4</v>
      </c>
      <c r="V9" s="17">
        <f t="shared" si="17"/>
        <v>-0.89716111140189303</v>
      </c>
      <c r="W9" s="14">
        <v>0</v>
      </c>
      <c r="X9" s="17">
        <f t="shared" si="18"/>
        <v>-8.9574113374536954E-2</v>
      </c>
      <c r="Y9" s="14">
        <f t="shared" si="24"/>
        <v>-6.1140154962446974E-7</v>
      </c>
      <c r="Z9" s="17">
        <f t="shared" si="25"/>
        <v>-2.149778620106645E-2</v>
      </c>
      <c r="AA9" s="5">
        <f t="shared" si="19"/>
        <v>27.103907140290332</v>
      </c>
      <c r="AB9" s="5">
        <f t="shared" si="20"/>
        <v>77.455220517355428</v>
      </c>
      <c r="AC9" s="5">
        <f t="shared" si="26"/>
        <v>27.101395484041536</v>
      </c>
      <c r="AD9" s="6">
        <f t="shared" si="27"/>
        <v>76.077409521565414</v>
      </c>
    </row>
    <row r="10" spans="1:34" x14ac:dyDescent="0.25">
      <c r="A10" s="4">
        <v>1.7</v>
      </c>
      <c r="B10" s="21">
        <f t="shared" si="21"/>
        <v>501.18723362727235</v>
      </c>
      <c r="C10" s="14">
        <f t="shared" si="0"/>
        <v>1.8656106629769196E-4</v>
      </c>
      <c r="D10" s="5">
        <f t="shared" si="1"/>
        <v>-0.37552549714561201</v>
      </c>
      <c r="E10" s="5">
        <f t="shared" si="2"/>
        <v>-8.0233309716210837</v>
      </c>
      <c r="F10" s="5">
        <f t="shared" si="3"/>
        <v>-66.606781755457192</v>
      </c>
      <c r="G10" s="5">
        <f t="shared" si="4"/>
        <v>1.5192910211536937E-3</v>
      </c>
      <c r="H10" s="5">
        <f t="shared" si="5"/>
        <v>1.0716138094137337</v>
      </c>
      <c r="I10" s="5">
        <f t="shared" si="6"/>
        <v>-1.5165225892383528E-9</v>
      </c>
      <c r="J10" s="17">
        <f t="shared" si="7"/>
        <v>-1.0706681121516598E-3</v>
      </c>
      <c r="K10" s="14">
        <f t="shared" si="8"/>
        <v>-43.594038940896233</v>
      </c>
      <c r="L10" s="5">
        <f t="shared" si="9"/>
        <v>-89.621187894249147</v>
      </c>
      <c r="M10" s="5">
        <f t="shared" si="10"/>
        <v>4.7620321144894326</v>
      </c>
      <c r="N10" s="5">
        <f t="shared" si="11"/>
        <v>54.692755375177519</v>
      </c>
      <c r="O10" s="5">
        <f t="shared" si="12"/>
        <v>-3.9800339122447494E-3</v>
      </c>
      <c r="P10" s="17">
        <f t="shared" si="13"/>
        <v>-1.7343657780008142</v>
      </c>
      <c r="Q10" s="5">
        <f t="shared" si="22"/>
        <v>-2.0843900322962698E-4</v>
      </c>
      <c r="R10" s="5">
        <f t="shared" si="23"/>
        <v>-0.39693393869951704</v>
      </c>
      <c r="S10" s="14">
        <f t="shared" si="14"/>
        <v>1.687362307627383E-3</v>
      </c>
      <c r="T10" s="5">
        <f t="shared" si="15"/>
        <v>1.1293292771845249</v>
      </c>
      <c r="U10" s="5">
        <f t="shared" si="16"/>
        <v>-7.652115511695833E-4</v>
      </c>
      <c r="V10" s="17">
        <f t="shared" si="17"/>
        <v>-1.1294491960515733</v>
      </c>
      <c r="W10" s="14">
        <v>0</v>
      </c>
      <c r="X10" s="17">
        <f t="shared" si="18"/>
        <v>-0.11276712756613627</v>
      </c>
      <c r="Y10" s="14">
        <f t="shared" si="24"/>
        <v>-9.6900611538725013E-7</v>
      </c>
      <c r="Z10" s="17">
        <f t="shared" si="25"/>
        <v>-2.7064108603007456E-2</v>
      </c>
      <c r="AA10" s="5">
        <f t="shared" si="19"/>
        <v>24.712894097872478</v>
      </c>
      <c r="AB10" s="5">
        <f t="shared" si="20"/>
        <v>78.62291827589145</v>
      </c>
      <c r="AC10" s="5">
        <f t="shared" si="26"/>
        <v>24.708914063960233</v>
      </c>
      <c r="AD10" s="6">
        <f t="shared" si="27"/>
        <v>76.888552497890643</v>
      </c>
    </row>
    <row r="11" spans="1:34" x14ac:dyDescent="0.25">
      <c r="A11" s="4">
        <v>1.8</v>
      </c>
      <c r="B11" s="21">
        <f t="shared" si="21"/>
        <v>630.95734448019368</v>
      </c>
      <c r="C11" s="14">
        <f t="shared" si="0"/>
        <v>2.9567564953495909E-4</v>
      </c>
      <c r="D11" s="5">
        <f t="shared" si="1"/>
        <v>-0.47275463183645527</v>
      </c>
      <c r="E11" s="5">
        <f t="shared" si="2"/>
        <v>-9.7630287425337041</v>
      </c>
      <c r="F11" s="5">
        <f t="shared" si="3"/>
        <v>-71.036002615171014</v>
      </c>
      <c r="G11" s="5">
        <f t="shared" si="4"/>
        <v>2.4076677138536815E-3</v>
      </c>
      <c r="H11" s="5">
        <f t="shared" si="5"/>
        <v>1.3489898661640576</v>
      </c>
      <c r="I11" s="5">
        <f t="shared" si="6"/>
        <v>-2.4035244937587554E-9</v>
      </c>
      <c r="J11" s="17">
        <f t="shared" si="7"/>
        <v>-1.3478912938936481E-3</v>
      </c>
      <c r="K11" s="14">
        <f t="shared" si="8"/>
        <v>-45.59396888245233</v>
      </c>
      <c r="L11" s="5">
        <f t="shared" si="9"/>
        <v>-89.699097230733756</v>
      </c>
      <c r="M11" s="5">
        <f t="shared" si="10"/>
        <v>6.1906683502500668</v>
      </c>
      <c r="N11" s="5">
        <f t="shared" si="11"/>
        <v>60.639350363750303</v>
      </c>
      <c r="O11" s="5">
        <f t="shared" si="12"/>
        <v>-6.3062391927584879E-3</v>
      </c>
      <c r="P11" s="17">
        <f t="shared" si="13"/>
        <v>-2.1830472874288405</v>
      </c>
      <c r="Q11" s="5">
        <f t="shared" si="22"/>
        <v>-3.3034892060042185E-4</v>
      </c>
      <c r="R11" s="5">
        <f t="shared" si="23"/>
        <v>-0.49970554646103144</v>
      </c>
      <c r="S11" s="14">
        <f t="shared" si="14"/>
        <v>2.6739852561500342E-3</v>
      </c>
      <c r="T11" s="5">
        <f t="shared" si="15"/>
        <v>1.4216336592600793</v>
      </c>
      <c r="U11" s="5">
        <f t="shared" si="16"/>
        <v>-1.2127614888936807E-3</v>
      </c>
      <c r="V11" s="17">
        <f t="shared" si="17"/>
        <v>-1.4218728893525561</v>
      </c>
      <c r="W11" s="14">
        <v>0</v>
      </c>
      <c r="X11" s="17">
        <f t="shared" si="18"/>
        <v>-0.14196540250804357</v>
      </c>
      <c r="Y11" s="14">
        <f t="shared" si="24"/>
        <v>-1.5357710945554844E-6</v>
      </c>
      <c r="Z11" s="17">
        <f t="shared" si="25"/>
        <v>-3.4071692585736599E-2</v>
      </c>
      <c r="AA11" s="5">
        <f t="shared" si="19"/>
        <v>22.403316707881785</v>
      </c>
      <c r="AB11" s="5">
        <f t="shared" si="20"/>
        <v>80.103155989231951</v>
      </c>
      <c r="AC11" s="5">
        <f t="shared" si="26"/>
        <v>22.397010468689025</v>
      </c>
      <c r="AD11" s="6">
        <f t="shared" si="27"/>
        <v>77.920108701803116</v>
      </c>
    </row>
    <row r="12" spans="1:34" x14ac:dyDescent="0.25">
      <c r="A12" s="4">
        <v>1.9</v>
      </c>
      <c r="B12" s="21">
        <f t="shared" si="21"/>
        <v>794.32823472428197</v>
      </c>
      <c r="C12" s="14">
        <f t="shared" si="0"/>
        <v>4.686049943310156E-4</v>
      </c>
      <c r="D12" s="5">
        <f t="shared" si="1"/>
        <v>-0.59515492003444159</v>
      </c>
      <c r="E12" s="5">
        <f t="shared" si="2"/>
        <v>-11.59038063916493</v>
      </c>
      <c r="F12" s="5">
        <f t="shared" si="3"/>
        <v>-74.732952857217029</v>
      </c>
      <c r="G12" s="5">
        <f t="shared" si="4"/>
        <v>3.8152777526250042E-3</v>
      </c>
      <c r="H12" s="5">
        <f t="shared" si="5"/>
        <v>1.6980941365280764</v>
      </c>
      <c r="I12" s="5">
        <f t="shared" si="6"/>
        <v>-3.8093307182775763E-9</v>
      </c>
      <c r="J12" s="17">
        <f t="shared" si="7"/>
        <v>-1.6968946020357396E-3</v>
      </c>
      <c r="K12" s="14">
        <f t="shared" si="8"/>
        <v>-47.593924677981107</v>
      </c>
      <c r="L12" s="5">
        <f t="shared" si="9"/>
        <v>-89.760983623524837</v>
      </c>
      <c r="M12" s="5">
        <f t="shared" si="10"/>
        <v>7.7871982282478847</v>
      </c>
      <c r="N12" s="5">
        <f t="shared" si="11"/>
        <v>65.921923800020608</v>
      </c>
      <c r="O12" s="5">
        <f t="shared" si="12"/>
        <v>-9.9904757478663786E-3</v>
      </c>
      <c r="P12" s="17">
        <f t="shared" si="13"/>
        <v>-2.7475164703934851</v>
      </c>
      <c r="Q12" s="5">
        <f t="shared" si="22"/>
        <v>-5.2355610920028282E-4</v>
      </c>
      <c r="R12" s="5">
        <f t="shared" si="23"/>
        <v>-0.62908268187008598</v>
      </c>
      <c r="S12" s="14">
        <f t="shared" si="14"/>
        <v>4.2372182709462768E-3</v>
      </c>
      <c r="T12" s="5">
        <f t="shared" si="15"/>
        <v>1.7895159935178246</v>
      </c>
      <c r="U12" s="5">
        <f t="shared" si="16"/>
        <v>-1.9220544988168004E-3</v>
      </c>
      <c r="V12" s="17">
        <f t="shared" si="17"/>
        <v>-1.7899931954372643</v>
      </c>
      <c r="W12" s="14">
        <v>0</v>
      </c>
      <c r="X12" s="17">
        <f t="shared" si="18"/>
        <v>-0.17872385281296346</v>
      </c>
      <c r="Y12" s="14">
        <f t="shared" si="24"/>
        <v>-2.4340329028339434E-6</v>
      </c>
      <c r="Z12" s="17">
        <f t="shared" si="25"/>
        <v>-4.2893716661751957E-2</v>
      </c>
      <c r="AA12" s="5">
        <f t="shared" si="19"/>
        <v>20.174779266251829</v>
      </c>
      <c r="AB12" s="5">
        <f t="shared" si="20"/>
        <v>81.67805218790609</v>
      </c>
      <c r="AC12" s="5">
        <f t="shared" si="26"/>
        <v>20.164788790503962</v>
      </c>
      <c r="AD12" s="6">
        <f t="shared" si="27"/>
        <v>78.930535717512612</v>
      </c>
    </row>
    <row r="13" spans="1:34" x14ac:dyDescent="0.25">
      <c r="A13" s="4">
        <v>2</v>
      </c>
      <c r="B13" s="20">
        <f t="shared" si="21"/>
        <v>1000</v>
      </c>
      <c r="C13" s="14">
        <f t="shared" si="0"/>
        <v>7.4266543169694587E-4</v>
      </c>
      <c r="D13" s="5">
        <f t="shared" si="1"/>
        <v>-0.74923989212874365</v>
      </c>
      <c r="E13" s="5">
        <f t="shared" si="2"/>
        <v>-13.477806308865283</v>
      </c>
      <c r="F13" s="5">
        <f t="shared" si="3"/>
        <v>-77.76688810004913</v>
      </c>
      <c r="G13" s="5">
        <f t="shared" si="4"/>
        <v>6.0452552120227867E-3</v>
      </c>
      <c r="H13" s="5">
        <f t="shared" si="5"/>
        <v>2.1374079408681537</v>
      </c>
      <c r="I13" s="5">
        <f t="shared" si="6"/>
        <v>-6.037382329842793E-9</v>
      </c>
      <c r="J13" s="17">
        <f t="shared" si="7"/>
        <v>-2.1362637352738208E-3</v>
      </c>
      <c r="K13" s="14">
        <f t="shared" si="8"/>
        <v>-49.593896786613811</v>
      </c>
      <c r="L13" s="5">
        <f t="shared" si="9"/>
        <v>-89.810142137167347</v>
      </c>
      <c r="M13" s="5">
        <f t="shared" si="10"/>
        <v>9.5118804715627085</v>
      </c>
      <c r="N13" s="5">
        <f t="shared" si="11"/>
        <v>70.457402462222177</v>
      </c>
      <c r="O13" s="5">
        <f t="shared" si="12"/>
        <v>-1.582320260985387E-2</v>
      </c>
      <c r="P13" s="17">
        <f t="shared" si="13"/>
        <v>-3.4573695544135821</v>
      </c>
      <c r="Q13" s="5">
        <f t="shared" si="22"/>
        <v>-8.2975126166051334E-4</v>
      </c>
      <c r="R13" s="5">
        <f t="shared" si="23"/>
        <v>-0.79194956183949483</v>
      </c>
      <c r="S13" s="14">
        <f t="shared" si="14"/>
        <v>6.71362361830117E-3</v>
      </c>
      <c r="T13" s="5">
        <f t="shared" si="15"/>
        <v>2.2524389227607688</v>
      </c>
      <c r="U13" s="5">
        <f t="shared" si="16"/>
        <v>-3.0461432479728105E-3</v>
      </c>
      <c r="V13" s="17">
        <f t="shared" si="17"/>
        <v>-2.2533906711646665</v>
      </c>
      <c r="W13" s="14">
        <v>0</v>
      </c>
      <c r="X13" s="17">
        <f t="shared" si="18"/>
        <v>-0.22500000000000001</v>
      </c>
      <c r="Y13" s="14">
        <f t="shared" si="24"/>
        <v>-3.8576815424639383E-6</v>
      </c>
      <c r="Z13" s="17">
        <f t="shared" si="25"/>
        <v>-5.3999984011249391E-2</v>
      </c>
      <c r="AA13" s="5">
        <f t="shared" si="19"/>
        <v>18.015612464699398</v>
      </c>
      <c r="AB13" s="5">
        <f t="shared" si="20"/>
        <v>83.194502715755192</v>
      </c>
      <c r="AC13" s="5">
        <f t="shared" si="26"/>
        <v>17.999789262089543</v>
      </c>
      <c r="AD13" s="6">
        <f t="shared" si="27"/>
        <v>79.737133161341603</v>
      </c>
    </row>
    <row r="14" spans="1:34" x14ac:dyDescent="0.25">
      <c r="A14" s="4">
        <v>2.1</v>
      </c>
      <c r="B14" s="21">
        <f t="shared" si="21"/>
        <v>1258.9254117941678</v>
      </c>
      <c r="C14" s="14">
        <f t="shared" si="0"/>
        <v>1.1769865304001312E-3</v>
      </c>
      <c r="D14" s="5">
        <f t="shared" si="1"/>
        <v>-0.94320569616340788</v>
      </c>
      <c r="E14" s="5">
        <f t="shared" si="2"/>
        <v>-15.40524531116125</v>
      </c>
      <c r="F14" s="5">
        <f t="shared" si="3"/>
        <v>-80.228353285527788</v>
      </c>
      <c r="G14" s="5">
        <f t="shared" si="4"/>
        <v>9.5771875128359777E-3</v>
      </c>
      <c r="H14" s="5">
        <f t="shared" si="5"/>
        <v>2.6901076483086777</v>
      </c>
      <c r="I14" s="5">
        <f t="shared" si="6"/>
        <v>-9.5686087237231004E-9</v>
      </c>
      <c r="J14" s="17">
        <f t="shared" si="7"/>
        <v>-2.6893967019016307E-3</v>
      </c>
      <c r="K14" s="14">
        <f t="shared" si="8"/>
        <v>-51.593879188258612</v>
      </c>
      <c r="L14" s="5">
        <f t="shared" si="9"/>
        <v>-89.84919033526532</v>
      </c>
      <c r="M14" s="5">
        <f t="shared" si="10"/>
        <v>11.328734250855794</v>
      </c>
      <c r="N14" s="5">
        <f t="shared" si="11"/>
        <v>74.254139856569097</v>
      </c>
      <c r="O14" s="5">
        <f t="shared" si="12"/>
        <v>-2.5051435422236874E-2</v>
      </c>
      <c r="P14" s="17">
        <f t="shared" si="13"/>
        <v>-4.3494866534564327</v>
      </c>
      <c r="Q14" s="5">
        <f t="shared" si="22"/>
        <v>-1.3149936580596211E-3</v>
      </c>
      <c r="R14" s="5">
        <f t="shared" si="23"/>
        <v>-0.99696829552674737</v>
      </c>
      <c r="S14" s="14">
        <f t="shared" si="14"/>
        <v>1.0635571396248425E-2</v>
      </c>
      <c r="T14" s="5">
        <f t="shared" si="15"/>
        <v>2.8347989096976138</v>
      </c>
      <c r="U14" s="5">
        <f t="shared" si="16"/>
        <v>-4.8275407686810181E-3</v>
      </c>
      <c r="V14" s="17">
        <f t="shared" si="17"/>
        <v>-2.8366966509138742</v>
      </c>
      <c r="W14" s="14">
        <v>0</v>
      </c>
      <c r="X14" s="17">
        <f t="shared" si="18"/>
        <v>-0.28325821765368775</v>
      </c>
      <c r="Y14" s="14">
        <f t="shared" si="24"/>
        <v>-6.1140116286050641E-6</v>
      </c>
      <c r="Z14" s="17">
        <f t="shared" si="25"/>
        <v>-6.7981940335143445E-2</v>
      </c>
      <c r="AA14" s="5">
        <f t="shared" si="19"/>
        <v>15.910664141450772</v>
      </c>
      <c r="AB14" s="5">
        <f t="shared" si="20"/>
        <v>84.570702596487536</v>
      </c>
      <c r="AC14" s="5">
        <f t="shared" si="26"/>
        <v>15.885612706028535</v>
      </c>
      <c r="AD14" s="6">
        <f t="shared" si="27"/>
        <v>80.221215943031098</v>
      </c>
    </row>
    <row r="15" spans="1:34" x14ac:dyDescent="0.25">
      <c r="A15" s="4">
        <v>2.2000000000000002</v>
      </c>
      <c r="B15" s="21">
        <f t="shared" si="21"/>
        <v>1584.8931924611154</v>
      </c>
      <c r="C15" s="14">
        <f t="shared" si="0"/>
        <v>1.8652501240979365E-3</v>
      </c>
      <c r="D15" s="5">
        <f t="shared" si="1"/>
        <v>-1.1873628910136222</v>
      </c>
      <c r="E15" s="5">
        <f t="shared" si="2"/>
        <v>-17.358830668406849</v>
      </c>
      <c r="F15" s="5">
        <f t="shared" si="3"/>
        <v>-82.210316075283728</v>
      </c>
      <c r="G15" s="5">
        <f t="shared" si="4"/>
        <v>1.5169045881053996E-2</v>
      </c>
      <c r="H15" s="5">
        <f t="shared" si="5"/>
        <v>3.3851911214499228</v>
      </c>
      <c r="I15" s="5">
        <f t="shared" si="6"/>
        <v>-1.5165222046988711E-8</v>
      </c>
      <c r="J15" s="17">
        <f t="shared" si="7"/>
        <v>-3.3857498489650185E-3</v>
      </c>
      <c r="K15" s="14">
        <f t="shared" si="8"/>
        <v>-53.593868084410452</v>
      </c>
      <c r="L15" s="5">
        <f t="shared" si="9"/>
        <v>-89.880207523138552</v>
      </c>
      <c r="M15" s="5">
        <f t="shared" si="10"/>
        <v>13.209072094993676</v>
      </c>
      <c r="N15" s="5">
        <f t="shared" si="11"/>
        <v>77.376248678886483</v>
      </c>
      <c r="O15" s="5">
        <f t="shared" si="12"/>
        <v>-3.9637150400498908E-2</v>
      </c>
      <c r="P15" s="17">
        <f t="shared" si="13"/>
        <v>-5.4695466315073897</v>
      </c>
      <c r="Q15" s="5">
        <f t="shared" si="22"/>
        <v>-2.0839399890951221E-3</v>
      </c>
      <c r="R15" s="5">
        <f t="shared" si="23"/>
        <v>-1.2550346452872989</v>
      </c>
      <c r="S15" s="14">
        <f t="shared" si="14"/>
        <v>1.6844193916419007E-2</v>
      </c>
      <c r="T15" s="5">
        <f t="shared" si="15"/>
        <v>3.5670994346331484</v>
      </c>
      <c r="U15" s="5">
        <f t="shared" si="16"/>
        <v>-7.6504558023228987E-3</v>
      </c>
      <c r="V15" s="17">
        <f t="shared" si="17"/>
        <v>-3.5708819910419036</v>
      </c>
      <c r="W15" s="14">
        <v>0</v>
      </c>
      <c r="X15" s="17">
        <f t="shared" si="18"/>
        <v>-0.35660096830375099</v>
      </c>
      <c r="Y15" s="14">
        <f t="shared" si="24"/>
        <v>-9.6900514205164675E-6</v>
      </c>
      <c r="Z15" s="17">
        <f t="shared" si="25"/>
        <v>-8.5584168740588856E-2</v>
      </c>
      <c r="AA15" s="5">
        <f t="shared" si="19"/>
        <v>13.846321033672206</v>
      </c>
      <c r="AB15" s="5">
        <f t="shared" si="20"/>
        <v>85.77916522231115</v>
      </c>
      <c r="AC15" s="5">
        <f t="shared" si="26"/>
        <v>13.806683883271708</v>
      </c>
      <c r="AD15" s="6">
        <f t="shared" si="27"/>
        <v>80.309618590803765</v>
      </c>
    </row>
    <row r="16" spans="1:34" x14ac:dyDescent="0.25">
      <c r="A16" s="7">
        <v>2.2999999999999998</v>
      </c>
      <c r="B16" s="22">
        <f t="shared" si="21"/>
        <v>1995.2623149688802</v>
      </c>
      <c r="C16" s="14">
        <f t="shared" si="0"/>
        <v>2.9558510294205829E-3</v>
      </c>
      <c r="D16" s="8">
        <f t="shared" si="1"/>
        <v>-1.4946761875913688</v>
      </c>
      <c r="E16" s="5">
        <f t="shared" si="2"/>
        <v>-19.329287700536256</v>
      </c>
      <c r="F16" s="8">
        <f t="shared" si="3"/>
        <v>-83.798359477446667</v>
      </c>
      <c r="G16" s="5">
        <f t="shared" si="4"/>
        <v>2.4016822229575189E-2</v>
      </c>
      <c r="H16" s="5">
        <f t="shared" si="5"/>
        <v>4.2588082813273926</v>
      </c>
      <c r="I16" s="5">
        <f t="shared" si="6"/>
        <v>-2.4035256539446401E-8</v>
      </c>
      <c r="J16" s="17">
        <f t="shared" si="7"/>
        <v>-4.2624065199384732E-3</v>
      </c>
      <c r="K16" s="14">
        <f t="shared" si="8"/>
        <v>-55.593861078341291</v>
      </c>
      <c r="L16" s="5">
        <f t="shared" si="9"/>
        <v>-89.904845402153356</v>
      </c>
      <c r="M16" s="5">
        <f t="shared" si="10"/>
        <v>15.13183789444788</v>
      </c>
      <c r="N16" s="8">
        <f t="shared" si="11"/>
        <v>79.912660497599262</v>
      </c>
      <c r="O16" s="5">
        <f t="shared" si="12"/>
        <v>-6.2654074551943523E-2</v>
      </c>
      <c r="P16" s="17">
        <f t="shared" si="13"/>
        <v>-6.8735784562409581</v>
      </c>
      <c r="Q16" s="5">
        <f t="shared" si="22"/>
        <v>-3.302358981219515E-3</v>
      </c>
      <c r="R16" s="5">
        <f t="shared" si="23"/>
        <v>-1.5798472457547021</v>
      </c>
      <c r="S16" s="14">
        <f t="shared" si="14"/>
        <v>2.6666052486810102E-2</v>
      </c>
      <c r="T16" s="5">
        <f t="shared" si="15"/>
        <v>4.4873257931958337</v>
      </c>
      <c r="U16" s="5">
        <f t="shared" si="16"/>
        <v>-1.2123444859826837E-2</v>
      </c>
      <c r="V16" s="17">
        <f t="shared" si="17"/>
        <v>-4.4948605748533845</v>
      </c>
      <c r="W16" s="14">
        <v>0</v>
      </c>
      <c r="X16" s="17">
        <f t="shared" si="18"/>
        <v>-0.44893402086799805</v>
      </c>
      <c r="Y16" s="14">
        <f t="shared" si="24"/>
        <v>-1.5357686507960409E-5</v>
      </c>
      <c r="Z16" s="17">
        <f t="shared" si="25"/>
        <v>-0.10774403800536084</v>
      </c>
      <c r="AA16" s="5">
        <f t="shared" si="19"/>
        <v>11.812699958335658</v>
      </c>
      <c r="AB16" s="5">
        <f t="shared" si="20"/>
        <v>86.825265218929701</v>
      </c>
      <c r="AC16" s="5">
        <f t="shared" si="26"/>
        <v>11.750045883783715</v>
      </c>
      <c r="AD16" s="6">
        <f t="shared" si="27"/>
        <v>79.951686762688738</v>
      </c>
    </row>
    <row r="17" spans="1:30" x14ac:dyDescent="0.25">
      <c r="A17" s="4">
        <v>2.4</v>
      </c>
      <c r="B17" s="21">
        <f t="shared" si="21"/>
        <v>2511.8864315095807</v>
      </c>
      <c r="C17" s="14">
        <f t="shared" si="0"/>
        <v>4.6837761793846145E-3</v>
      </c>
      <c r="D17" s="5">
        <f t="shared" si="1"/>
        <v>-1.8814362671337932</v>
      </c>
      <c r="E17" s="5">
        <f t="shared" si="2"/>
        <v>-21.310543410945073</v>
      </c>
      <c r="F17" s="5">
        <f t="shared" si="3"/>
        <v>-85.066760543087454</v>
      </c>
      <c r="G17" s="5">
        <f t="shared" si="4"/>
        <v>3.8002783995801405E-2</v>
      </c>
      <c r="H17" s="5">
        <f t="shared" si="5"/>
        <v>5.3557641934469498</v>
      </c>
      <c r="I17" s="5">
        <f t="shared" si="6"/>
        <v>-3.8093314972574364E-8</v>
      </c>
      <c r="J17" s="17">
        <f t="shared" si="7"/>
        <v>-5.3660518775577376E-3</v>
      </c>
      <c r="K17" s="14">
        <f t="shared" si="8"/>
        <v>-57.593856657804693</v>
      </c>
      <c r="L17" s="5">
        <f t="shared" si="9"/>
        <v>-89.924415990621782</v>
      </c>
      <c r="M17" s="5">
        <f t="shared" si="10"/>
        <v>17.082390076278568</v>
      </c>
      <c r="N17" s="5">
        <f t="shared" si="11"/>
        <v>81.956769935122949</v>
      </c>
      <c r="O17" s="5">
        <f t="shared" si="12"/>
        <v>-9.8885391762671762E-2</v>
      </c>
      <c r="P17" s="17">
        <f t="shared" si="13"/>
        <v>-8.629232891029778</v>
      </c>
      <c r="Q17" s="5">
        <f t="shared" si="22"/>
        <v>-5.2327230211146047E-3</v>
      </c>
      <c r="R17" s="5">
        <f t="shared" si="23"/>
        <v>-1.9886151489575756</v>
      </c>
      <c r="S17" s="14">
        <f t="shared" si="14"/>
        <v>4.2187291359481863E-2</v>
      </c>
      <c r="T17" s="5">
        <f t="shared" si="15"/>
        <v>5.6424754788682518</v>
      </c>
      <c r="U17" s="5">
        <f t="shared" si="16"/>
        <v>-1.9210066275017083E-2</v>
      </c>
      <c r="V17" s="17">
        <f t="shared" si="17"/>
        <v>-5.6574702652312769</v>
      </c>
      <c r="W17" s="14">
        <v>0</v>
      </c>
      <c r="X17" s="17">
        <f t="shared" si="18"/>
        <v>-0.5651744470896557</v>
      </c>
      <c r="Y17" s="14">
        <f t="shared" si="24"/>
        <v>-2.4340267629658012E-5</v>
      </c>
      <c r="Z17" s="17">
        <f t="shared" si="25"/>
        <v>-0.13564161389761448</v>
      </c>
      <c r="AA17" s="5">
        <f t="shared" si="19"/>
        <v>9.8042099939887208</v>
      </c>
      <c r="AB17" s="5">
        <f t="shared" si="20"/>
        <v>87.730129279541416</v>
      </c>
      <c r="AC17" s="5">
        <f t="shared" si="26"/>
        <v>9.7053246022260495</v>
      </c>
      <c r="AD17" s="6">
        <f t="shared" si="27"/>
        <v>79.100896388511643</v>
      </c>
    </row>
    <row r="18" spans="1:30" x14ac:dyDescent="0.25">
      <c r="A18" s="4">
        <v>2.5</v>
      </c>
      <c r="B18" s="21">
        <f t="shared" si="21"/>
        <v>3162.2776601683827</v>
      </c>
      <c r="C18" s="14">
        <f t="shared" si="0"/>
        <v>7.420945520174211E-3</v>
      </c>
      <c r="D18" s="5">
        <f t="shared" si="1"/>
        <v>-2.3680902811879867</v>
      </c>
      <c r="E18" s="5">
        <f t="shared" si="2"/>
        <v>-23.298674801684719</v>
      </c>
      <c r="F18" s="5">
        <f t="shared" si="3"/>
        <v>-86.077814442874569</v>
      </c>
      <c r="G18" s="5">
        <f t="shared" si="4"/>
        <v>6.0077190627620639E-2</v>
      </c>
      <c r="H18" s="5">
        <f t="shared" si="5"/>
        <v>6.7310764984329676</v>
      </c>
      <c r="I18" s="5">
        <f t="shared" si="6"/>
        <v>-6.0373836987853243E-8</v>
      </c>
      <c r="J18" s="17">
        <f t="shared" si="7"/>
        <v>-6.7554590581107811E-3</v>
      </c>
      <c r="K18" s="14">
        <f t="shared" si="8"/>
        <v>-59.593853868632337</v>
      </c>
      <c r="L18" s="5">
        <f t="shared" si="9"/>
        <v>-89.939961474404356</v>
      </c>
      <c r="M18" s="5">
        <f t="shared" si="10"/>
        <v>19.050898420067647</v>
      </c>
      <c r="N18" s="5">
        <f t="shared" si="11"/>
        <v>83.595540670246478</v>
      </c>
      <c r="O18" s="5">
        <f t="shared" si="12"/>
        <v>-0.15569609760346537</v>
      </c>
      <c r="P18" s="17">
        <f t="shared" si="13"/>
        <v>-10.81611023507123</v>
      </c>
      <c r="Q18" s="5">
        <f t="shared" si="22"/>
        <v>-8.2903873858568566E-3</v>
      </c>
      <c r="R18" s="5">
        <f t="shared" si="23"/>
        <v>-2.5029305556209982</v>
      </c>
      <c r="S18" s="14">
        <f t="shared" si="14"/>
        <v>6.6673731674115236E-2</v>
      </c>
      <c r="T18" s="5">
        <f t="shared" si="15"/>
        <v>7.0900957812013239</v>
      </c>
      <c r="U18" s="5">
        <f t="shared" si="16"/>
        <v>-3.0435095034244231E-2</v>
      </c>
      <c r="V18" s="17">
        <f t="shared" si="17"/>
        <v>-7.1198915587842526</v>
      </c>
      <c r="W18" s="14">
        <v>0</v>
      </c>
      <c r="X18" s="17">
        <f t="shared" si="18"/>
        <v>-0.71151247353788616</v>
      </c>
      <c r="Y18" s="14">
        <f t="shared" si="24"/>
        <v>-3.8576661238921431E-5</v>
      </c>
      <c r="Z18" s="17">
        <f t="shared" si="25"/>
        <v>-0.1707624880428292</v>
      </c>
      <c r="AA18" s="5">
        <f t="shared" si="19"/>
        <v>7.8195908006996548</v>
      </c>
      <c r="AB18" s="5">
        <f t="shared" si="20"/>
        <v>88.518994216369805</v>
      </c>
      <c r="AC18" s="5">
        <f t="shared" si="26"/>
        <v>7.6638947030961893</v>
      </c>
      <c r="AD18" s="6">
        <f t="shared" si="27"/>
        <v>77.702883981298569</v>
      </c>
    </row>
    <row r="19" spans="1:30" x14ac:dyDescent="0.25">
      <c r="A19" s="4">
        <v>2.6</v>
      </c>
      <c r="B19" s="21">
        <f t="shared" si="21"/>
        <v>3981.071705534976</v>
      </c>
      <c r="C19" s="14">
        <f t="shared" si="0"/>
        <v>1.1755535951700079E-2</v>
      </c>
      <c r="D19" s="5">
        <f t="shared" si="1"/>
        <v>-2.9802570674937239</v>
      </c>
      <c r="E19" s="5">
        <f t="shared" si="2"/>
        <v>-25.291169492131583</v>
      </c>
      <c r="F19" s="5">
        <f t="shared" si="3"/>
        <v>-86.882701140051253</v>
      </c>
      <c r="G19" s="5">
        <f t="shared" si="4"/>
        <v>9.4834548747116609E-2</v>
      </c>
      <c r="H19" s="5">
        <f t="shared" si="5"/>
        <v>8.4512936852920095</v>
      </c>
      <c r="I19" s="5">
        <f t="shared" si="6"/>
        <v>-9.5686082889940229E-8</v>
      </c>
      <c r="J19" s="17">
        <f t="shared" si="7"/>
        <v>-8.5046190535405519E-3</v>
      </c>
      <c r="K19" s="14">
        <f t="shared" si="8"/>
        <v>-61.593852108782635</v>
      </c>
      <c r="L19" s="5">
        <f t="shared" si="9"/>
        <v>-89.952309697506465</v>
      </c>
      <c r="M19" s="5">
        <f t="shared" si="10"/>
        <v>21.030910387228339</v>
      </c>
      <c r="N19" s="5">
        <f t="shared" si="11"/>
        <v>84.904935954793345</v>
      </c>
      <c r="O19" s="5">
        <f t="shared" si="12"/>
        <v>-0.24423987299914196</v>
      </c>
      <c r="P19" s="17">
        <f t="shared" si="13"/>
        <v>-13.523887420386393</v>
      </c>
      <c r="Q19" s="5">
        <f t="shared" si="22"/>
        <v>-1.3132053444384607E-2</v>
      </c>
      <c r="R19" s="5">
        <f t="shared" si="23"/>
        <v>-3.1498317638413829</v>
      </c>
      <c r="S19" s="14">
        <f t="shared" si="14"/>
        <v>0.10520152134001419</v>
      </c>
      <c r="T19" s="5">
        <f t="shared" si="15"/>
        <v>8.8994764017017314</v>
      </c>
      <c r="U19" s="5">
        <f t="shared" si="16"/>
        <v>-4.8209187573564447E-2</v>
      </c>
      <c r="V19" s="17">
        <f t="shared" si="17"/>
        <v>-8.9585426908355181</v>
      </c>
      <c r="W19" s="14">
        <v>0</v>
      </c>
      <c r="X19" s="17">
        <f t="shared" si="18"/>
        <v>-0.89574113374536957</v>
      </c>
      <c r="Y19" s="14">
        <f t="shared" si="24"/>
        <v>-6.1139728964450081E-5</v>
      </c>
      <c r="Z19" s="17">
        <f t="shared" si="25"/>
        <v>-0.21497686328490972</v>
      </c>
      <c r="AA19" s="5">
        <f t="shared" si="19"/>
        <v>5.8620912185022922</v>
      </c>
      <c r="AB19" s="5">
        <f t="shared" si="20"/>
        <v>89.212841065974942</v>
      </c>
      <c r="AC19" s="5">
        <f t="shared" si="26"/>
        <v>5.6178513455031505</v>
      </c>
      <c r="AD19" s="6">
        <f t="shared" si="27"/>
        <v>75.688953645588555</v>
      </c>
    </row>
    <row r="20" spans="1:30" x14ac:dyDescent="0.25">
      <c r="A20" s="4">
        <v>2.7</v>
      </c>
      <c r="B20" s="21">
        <f t="shared" si="21"/>
        <v>5011.8723362727269</v>
      </c>
      <c r="C20" s="14">
        <f t="shared" si="0"/>
        <v>1.8616549242834523E-2</v>
      </c>
      <c r="D20" s="5">
        <f t="shared" si="1"/>
        <v>-3.7499451853243979</v>
      </c>
      <c r="E20" s="5">
        <f t="shared" si="2"/>
        <v>-27.286427279556712</v>
      </c>
      <c r="F20" s="5">
        <f t="shared" si="3"/>
        <v>-87.522939777177825</v>
      </c>
      <c r="G20" s="5">
        <f t="shared" si="4"/>
        <v>0.14935771141116999</v>
      </c>
      <c r="H20" s="5">
        <f t="shared" si="5"/>
        <v>10.594950869928574</v>
      </c>
      <c r="I20" s="5">
        <f t="shared" si="6"/>
        <v>-1.5165222069706433E-7</v>
      </c>
      <c r="J20" s="17">
        <f t="shared" si="7"/>
        <v>-1.0706680998139871E-2</v>
      </c>
      <c r="K20" s="14">
        <f t="shared" si="8"/>
        <v>-63.59385099839217</v>
      </c>
      <c r="L20" s="5">
        <f t="shared" si="9"/>
        <v>-89.962118242978349</v>
      </c>
      <c r="M20" s="5">
        <f t="shared" si="10"/>
        <v>23.018251292776863</v>
      </c>
      <c r="N20" s="5">
        <f t="shared" si="11"/>
        <v>85.948909169288385</v>
      </c>
      <c r="O20" s="5">
        <f t="shared" si="12"/>
        <v>-0.38097610854306652</v>
      </c>
      <c r="P20" s="17">
        <f t="shared" si="13"/>
        <v>-16.846124608036426</v>
      </c>
      <c r="Q20" s="5">
        <f t="shared" si="22"/>
        <v>-2.0794537616627883E-2</v>
      </c>
      <c r="R20" s="5">
        <f t="shared" si="23"/>
        <v>-3.9630705996733835</v>
      </c>
      <c r="S20" s="14">
        <f t="shared" si="14"/>
        <v>0.1655723436146086</v>
      </c>
      <c r="T20" s="5">
        <f t="shared" si="15"/>
        <v>11.151768288446663</v>
      </c>
      <c r="U20" s="5">
        <f t="shared" si="16"/>
        <v>-7.6337972345742272E-2</v>
      </c>
      <c r="V20" s="17">
        <f t="shared" si="17"/>
        <v>-11.268426396752622</v>
      </c>
      <c r="W20" s="14">
        <v>0</v>
      </c>
      <c r="X20" s="17">
        <f t="shared" si="18"/>
        <v>-1.1276712756613636</v>
      </c>
      <c r="Y20" s="14">
        <f t="shared" si="24"/>
        <v>-9.6899541286150974E-5</v>
      </c>
      <c r="Z20" s="17">
        <f t="shared" si="25"/>
        <v>-0.27063909332015651</v>
      </c>
      <c r="AA20" s="5">
        <f t="shared" si="19"/>
        <v>3.9401033605230475</v>
      </c>
      <c r="AB20" s="5">
        <f t="shared" si="20"/>
        <v>89.820111075777376</v>
      </c>
      <c r="AC20" s="5">
        <f t="shared" si="26"/>
        <v>3.559127251979981</v>
      </c>
      <c r="AD20" s="6">
        <f t="shared" si="27"/>
        <v>72.973986467740957</v>
      </c>
    </row>
    <row r="21" spans="1:30" x14ac:dyDescent="0.25">
      <c r="A21" s="4">
        <v>2.8</v>
      </c>
      <c r="B21" s="21">
        <f t="shared" si="21"/>
        <v>6309.5734448019321</v>
      </c>
      <c r="C21" s="14">
        <f t="shared" si="0"/>
        <v>2.9468368486295554E-2</v>
      </c>
      <c r="D21" s="5">
        <f t="shared" si="1"/>
        <v>-4.7169679481238447</v>
      </c>
      <c r="E21" s="5">
        <f t="shared" si="2"/>
        <v>-29.283432479163871</v>
      </c>
      <c r="F21" s="5">
        <f t="shared" si="3"/>
        <v>-88.031948710799412</v>
      </c>
      <c r="G21" s="5">
        <f t="shared" si="4"/>
        <v>0.23439296929833761</v>
      </c>
      <c r="H21" s="5">
        <f t="shared" si="5"/>
        <v>13.250972709049112</v>
      </c>
      <c r="I21" s="5">
        <f t="shared" si="6"/>
        <v>-2.4035256935171583E-7</v>
      </c>
      <c r="J21" s="17">
        <f t="shared" si="7"/>
        <v>-1.3478912692767525E-2</v>
      </c>
      <c r="K21" s="14">
        <f t="shared" si="8"/>
        <v>-65.593850297783007</v>
      </c>
      <c r="L21" s="5">
        <f t="shared" si="9"/>
        <v>-89.969909449198653</v>
      </c>
      <c r="M21" s="5">
        <f t="shared" si="10"/>
        <v>25.010244916331175</v>
      </c>
      <c r="N21" s="5">
        <f t="shared" si="11"/>
        <v>86.780125051403701</v>
      </c>
      <c r="O21" s="5">
        <f t="shared" si="12"/>
        <v>-0.5892381079520046</v>
      </c>
      <c r="P21" s="17">
        <f t="shared" si="13"/>
        <v>-20.86675198757942</v>
      </c>
      <c r="Q21" s="5">
        <f t="shared" si="22"/>
        <v>-3.2911131508391096E-2</v>
      </c>
      <c r="R21" s="5">
        <f t="shared" si="23"/>
        <v>-4.9845687419598743</v>
      </c>
      <c r="S21" s="14">
        <f t="shared" si="14"/>
        <v>0.25956714409122583</v>
      </c>
      <c r="T21" s="5">
        <f t="shared" si="15"/>
        <v>13.937669267292851</v>
      </c>
      <c r="U21" s="5">
        <f t="shared" si="16"/>
        <v>-0.12081504260091136</v>
      </c>
      <c r="V21" s="17">
        <f t="shared" si="17"/>
        <v>-14.166751914614792</v>
      </c>
      <c r="W21" s="14">
        <v>0</v>
      </c>
      <c r="X21" s="17">
        <f t="shared" si="18"/>
        <v>-1.4196540250804348</v>
      </c>
      <c r="Y21" s="14">
        <f t="shared" si="24"/>
        <v>-1.5357442126543266E-4</v>
      </c>
      <c r="Z21" s="17">
        <f t="shared" si="25"/>
        <v>-0.34071294990980416</v>
      </c>
      <c r="AA21" s="5">
        <f t="shared" si="19"/>
        <v>2.068323934959345</v>
      </c>
      <c r="AB21" s="5">
        <f t="shared" si="20"/>
        <v>90.324774375366076</v>
      </c>
      <c r="AC21" s="5">
        <f t="shared" si="26"/>
        <v>1.4790858270073404</v>
      </c>
      <c r="AD21" s="6">
        <f t="shared" si="27"/>
        <v>69.458022387786656</v>
      </c>
    </row>
    <row r="22" spans="1:30" x14ac:dyDescent="0.25">
      <c r="A22" s="4">
        <v>2.9</v>
      </c>
      <c r="B22" s="21">
        <f t="shared" si="21"/>
        <v>7943.2823472428208</v>
      </c>
      <c r="C22" s="14">
        <f t="shared" si="0"/>
        <v>4.6611991580249576E-2</v>
      </c>
      <c r="D22" s="5">
        <f t="shared" si="1"/>
        <v>-5.9304930852312019</v>
      </c>
      <c r="E22" s="5">
        <f t="shared" si="2"/>
        <v>-31.281541824722076</v>
      </c>
      <c r="F22" s="5">
        <f t="shared" si="3"/>
        <v>-88.436494395823004</v>
      </c>
      <c r="G22" s="5">
        <f t="shared" si="4"/>
        <v>0.365844322755495</v>
      </c>
      <c r="H22" s="5">
        <f t="shared" si="5"/>
        <v>16.512991058704429</v>
      </c>
      <c r="I22" s="5">
        <f t="shared" si="6"/>
        <v>-3.8093314663602729E-7</v>
      </c>
      <c r="J22" s="17">
        <f t="shared" si="7"/>
        <v>-1.6968945529185788E-2</v>
      </c>
      <c r="K22" s="14">
        <f t="shared" si="8"/>
        <v>-67.59384985572845</v>
      </c>
      <c r="L22" s="5">
        <f t="shared" si="9"/>
        <v>-89.976098225089132</v>
      </c>
      <c r="M22" s="5">
        <f t="shared" si="10"/>
        <v>27.005185629218857</v>
      </c>
      <c r="N22" s="5">
        <f t="shared" si="11"/>
        <v>87.441368713675757</v>
      </c>
      <c r="O22" s="5">
        <f t="shared" si="12"/>
        <v>-0.90012435461290297</v>
      </c>
      <c r="P22" s="17">
        <f t="shared" si="13"/>
        <v>-25.636348404263618</v>
      </c>
      <c r="Q22" s="5">
        <f t="shared" si="22"/>
        <v>-5.2045660904162988E-2</v>
      </c>
      <c r="R22" s="5">
        <f t="shared" si="23"/>
        <v>-6.2659790782400488</v>
      </c>
      <c r="S22" s="14">
        <f t="shared" si="14"/>
        <v>0.40449308178000021</v>
      </c>
      <c r="T22" s="5">
        <f t="shared" si="15"/>
        <v>17.350425989038623</v>
      </c>
      <c r="U22" s="5">
        <f t="shared" si="16"/>
        <v>-0.19104349874594254</v>
      </c>
      <c r="V22" s="17">
        <f t="shared" si="17"/>
        <v>-17.79632622318066</v>
      </c>
      <c r="W22" s="14">
        <v>0</v>
      </c>
      <c r="X22" s="17">
        <f t="shared" si="18"/>
        <v>-1.7872385281296348</v>
      </c>
      <c r="Y22" s="14">
        <f t="shared" si="24"/>
        <v>-2.4339653776593397E-4</v>
      </c>
      <c r="Z22" s="17">
        <f t="shared" si="25"/>
        <v>-0.4289292336586128</v>
      </c>
      <c r="AA22" s="5">
        <f t="shared" si="19"/>
        <v>0.26922371034537751</v>
      </c>
      <c r="AB22" s="5">
        <f t="shared" si="20"/>
        <v>90.666258046537337</v>
      </c>
      <c r="AC22" s="5">
        <f t="shared" si="26"/>
        <v>-0.63090064426752546</v>
      </c>
      <c r="AD22" s="6">
        <f t="shared" si="27"/>
        <v>65.029909642273722</v>
      </c>
    </row>
    <row r="23" spans="1:30" x14ac:dyDescent="0.25">
      <c r="A23" s="4">
        <v>3</v>
      </c>
      <c r="B23" s="20">
        <f t="shared" si="21"/>
        <v>10000</v>
      </c>
      <c r="C23" s="14">
        <f t="shared" si="0"/>
        <v>7.3644936687191062E-2</v>
      </c>
      <c r="D23" s="5">
        <f t="shared" si="1"/>
        <v>-7.4505450120393535</v>
      </c>
      <c r="E23" s="5">
        <f t="shared" si="2"/>
        <v>-33.280348478777867</v>
      </c>
      <c r="F23" s="5">
        <f t="shared" si="3"/>
        <v>-88.757949586717132</v>
      </c>
      <c r="G23" s="5">
        <f t="shared" si="4"/>
        <v>0.56635836716610788</v>
      </c>
      <c r="H23" s="5">
        <f t="shared" si="5"/>
        <v>20.466640838970044</v>
      </c>
      <c r="I23" s="5">
        <f t="shared" si="6"/>
        <v>-6.0373833476026826E-7</v>
      </c>
      <c r="J23" s="17">
        <f t="shared" si="7"/>
        <v>-2.1362636372722031E-2</v>
      </c>
      <c r="K23" s="14">
        <f t="shared" si="8"/>
        <v>-69.593849576810854</v>
      </c>
      <c r="L23" s="5">
        <f t="shared" si="9"/>
        <v>-89.981014144921829</v>
      </c>
      <c r="M23" s="5">
        <f t="shared" si="10"/>
        <v>29.001990399648577</v>
      </c>
      <c r="N23" s="5">
        <f t="shared" si="11"/>
        <v>87.96710832771447</v>
      </c>
      <c r="O23" s="5">
        <f t="shared" si="12"/>
        <v>-1.3513495468303756</v>
      </c>
      <c r="P23" s="17">
        <f t="shared" si="13"/>
        <v>-31.138620830186397</v>
      </c>
      <c r="Q23" s="5">
        <f t="shared" si="22"/>
        <v>-8.2200208034019451E-2</v>
      </c>
      <c r="R23" s="5">
        <f t="shared" si="23"/>
        <v>-7.8701265958336517</v>
      </c>
      <c r="S23" s="14">
        <f t="shared" si="14"/>
        <v>0.62471589375774927</v>
      </c>
      <c r="T23" s="5">
        <f t="shared" si="15"/>
        <v>21.471073927769854</v>
      </c>
      <c r="U23" s="5">
        <f t="shared" si="16"/>
        <v>-0.30168189290902181</v>
      </c>
      <c r="V23" s="17">
        <f t="shared" si="17"/>
        <v>-22.327532636282299</v>
      </c>
      <c r="W23" s="14">
        <v>0</v>
      </c>
      <c r="X23" s="17">
        <f t="shared" si="18"/>
        <v>-2.25</v>
      </c>
      <c r="Y23" s="14">
        <f t="shared" si="24"/>
        <v>-3.8575119349709068E-4</v>
      </c>
      <c r="Z23" s="17">
        <f t="shared" si="25"/>
        <v>-0.53998401209295088</v>
      </c>
      <c r="AA23" s="5">
        <f t="shared" si="19"/>
        <v>-1.4259436116216435</v>
      </c>
      <c r="AB23" s="5">
        <f t="shared" si="20"/>
        <v>90.706308470194429</v>
      </c>
      <c r="AC23" s="5">
        <f t="shared" si="26"/>
        <v>-2.7772931584520189</v>
      </c>
      <c r="AD23" s="6">
        <f t="shared" si="27"/>
        <v>59.567687640008032</v>
      </c>
    </row>
    <row r="24" spans="1:30" x14ac:dyDescent="0.25">
      <c r="A24" s="4">
        <v>3.1</v>
      </c>
      <c r="B24" s="21">
        <f t="shared" si="21"/>
        <v>12589.25411794168</v>
      </c>
      <c r="C24" s="14">
        <f t="shared" si="0"/>
        <v>0.11614754208329353</v>
      </c>
      <c r="D24" s="5">
        <f t="shared" si="1"/>
        <v>-9.3490431431346046</v>
      </c>
      <c r="E24" s="5">
        <f t="shared" si="2"/>
        <v>-35.279595359637071</v>
      </c>
      <c r="F24" s="5">
        <f t="shared" si="3"/>
        <v>-89.013347254007385</v>
      </c>
      <c r="G24" s="5">
        <f t="shared" si="4"/>
        <v>0.8663250426253456</v>
      </c>
      <c r="H24" s="5">
        <f t="shared" si="5"/>
        <v>25.166844360552332</v>
      </c>
      <c r="I24" s="5">
        <f t="shared" si="6"/>
        <v>-9.5686073843521928E-7</v>
      </c>
      <c r="J24" s="17">
        <f t="shared" si="7"/>
        <v>-2.6893965063627068E-2</v>
      </c>
      <c r="K24" s="14">
        <f t="shared" si="8"/>
        <v>-71.593849400825761</v>
      </c>
      <c r="L24" s="5">
        <f t="shared" si="9"/>
        <v>-89.984918999047323</v>
      </c>
      <c r="M24" s="5">
        <f t="shared" si="10"/>
        <v>30.999973135838598</v>
      </c>
      <c r="N24" s="5">
        <f t="shared" si="11"/>
        <v>88.384966674922197</v>
      </c>
      <c r="O24" s="5">
        <f t="shared" si="12"/>
        <v>-1.9824389534241624</v>
      </c>
      <c r="P24" s="17">
        <f t="shared" si="13"/>
        <v>-37.25626383160828</v>
      </c>
      <c r="Q24" s="5">
        <f t="shared" si="22"/>
        <v>-0.12956716177017313</v>
      </c>
      <c r="R24" s="5">
        <f t="shared" si="23"/>
        <v>-9.8718305101423525</v>
      </c>
      <c r="S24" s="14">
        <f t="shared" si="14"/>
        <v>0.95236736694601143</v>
      </c>
      <c r="T24" s="5">
        <f t="shared" si="15"/>
        <v>26.343226364159168</v>
      </c>
      <c r="U24" s="5">
        <f t="shared" si="16"/>
        <v>-0.4753394329269387</v>
      </c>
      <c r="V24" s="17">
        <f t="shared" si="17"/>
        <v>-27.956403975241592</v>
      </c>
      <c r="W24" s="14">
        <v>0</v>
      </c>
      <c r="X24" s="17">
        <f t="shared" si="18"/>
        <v>-2.8325821765368779</v>
      </c>
      <c r="Y24" s="14">
        <f t="shared" si="24"/>
        <v>-6.1135856061658679E-4</v>
      </c>
      <c r="Z24" s="17">
        <f t="shared" si="25"/>
        <v>-0.67978782329471155</v>
      </c>
      <c r="AA24" s="5">
        <f t="shared" si="19"/>
        <v>-2.9783372805057189</v>
      </c>
      <c r="AB24" s="5">
        <f t="shared" si="20"/>
        <v>90.180229553165233</v>
      </c>
      <c r="AC24" s="5">
        <f t="shared" si="26"/>
        <v>-4.9607762339298809</v>
      </c>
      <c r="AD24" s="6">
        <f t="shared" si="27"/>
        <v>52.923965721556954</v>
      </c>
    </row>
    <row r="25" spans="1:30" x14ac:dyDescent="0.25">
      <c r="A25" s="4">
        <v>3.2</v>
      </c>
      <c r="B25" s="21">
        <f t="shared" si="21"/>
        <v>15848.931924611155</v>
      </c>
      <c r="C25" s="14">
        <f t="shared" si="0"/>
        <v>0.18266901194982782</v>
      </c>
      <c r="D25" s="5">
        <f t="shared" si="1"/>
        <v>-11.709534193844732</v>
      </c>
      <c r="E25" s="5">
        <f t="shared" si="2"/>
        <v>-37.279120106377228</v>
      </c>
      <c r="F25" s="5">
        <f t="shared" si="3"/>
        <v>-89.216245276540377</v>
      </c>
      <c r="G25" s="5">
        <f t="shared" si="4"/>
        <v>1.3029866426405468</v>
      </c>
      <c r="H25" s="5">
        <f t="shared" si="5"/>
        <v>30.604983237922379</v>
      </c>
      <c r="I25" s="5">
        <f t="shared" si="6"/>
        <v>-1.516521972212883E-6</v>
      </c>
      <c r="J25" s="17">
        <f t="shared" si="7"/>
        <v>-3.3857494588136028E-2</v>
      </c>
      <c r="K25" s="14">
        <f t="shared" si="8"/>
        <v>-73.593849289786661</v>
      </c>
      <c r="L25" s="5">
        <f t="shared" si="9"/>
        <v>-89.988020735033288</v>
      </c>
      <c r="M25" s="5">
        <f t="shared" si="10"/>
        <v>32.998699846134649</v>
      </c>
      <c r="N25" s="5">
        <f t="shared" si="11"/>
        <v>88.717008040160351</v>
      </c>
      <c r="O25" s="5">
        <f t="shared" si="12"/>
        <v>-2.8258965443784207</v>
      </c>
      <c r="P25" s="17">
        <f t="shared" si="13"/>
        <v>-43.757013690046108</v>
      </c>
      <c r="Q25" s="5">
        <f t="shared" si="22"/>
        <v>-0.20359627491361529</v>
      </c>
      <c r="R25" s="5">
        <f t="shared" si="23"/>
        <v>-12.357125151353884</v>
      </c>
      <c r="S25" s="14">
        <f t="shared" si="14"/>
        <v>1.4257873001250014</v>
      </c>
      <c r="T25" s="5">
        <f t="shared" si="15"/>
        <v>31.938667423320322</v>
      </c>
      <c r="U25" s="5">
        <f t="shared" si="16"/>
        <v>-0.7462616207736017</v>
      </c>
      <c r="V25" s="17">
        <f t="shared" si="17"/>
        <v>-34.893958662924327</v>
      </c>
      <c r="W25" s="14">
        <v>0</v>
      </c>
      <c r="X25" s="17">
        <f t="shared" si="18"/>
        <v>-3.5660096830375099</v>
      </c>
      <c r="Y25" s="14">
        <f t="shared" si="24"/>
        <v>-9.6889813583300581E-4</v>
      </c>
      <c r="Z25" s="17">
        <f t="shared" si="25"/>
        <v>-0.85577868005241375</v>
      </c>
      <c r="AA25" s="5">
        <f t="shared" si="19"/>
        <v>-4.3478416030765628</v>
      </c>
      <c r="AB25" s="5">
        <f t="shared" si="20"/>
        <v>88.640128824028409</v>
      </c>
      <c r="AC25" s="5">
        <f t="shared" si="26"/>
        <v>-7.1737381474549835</v>
      </c>
      <c r="AD25" s="6">
        <f t="shared" si="27"/>
        <v>44.883115133982301</v>
      </c>
    </row>
    <row r="26" spans="1:30" x14ac:dyDescent="0.25">
      <c r="A26" s="7">
        <v>3.3</v>
      </c>
      <c r="B26" s="22">
        <f t="shared" si="21"/>
        <v>19952.623149688803</v>
      </c>
      <c r="C26" s="14">
        <f t="shared" si="0"/>
        <v>0.28605471114018322</v>
      </c>
      <c r="D26" s="8">
        <f t="shared" si="1"/>
        <v>-14.624083796918379</v>
      </c>
      <c r="E26" s="5">
        <f t="shared" si="2"/>
        <v>-39.278820215080692</v>
      </c>
      <c r="F26" s="8">
        <f t="shared" si="3"/>
        <v>-89.377427163855842</v>
      </c>
      <c r="G26" s="5">
        <f t="shared" si="4"/>
        <v>1.9160181170945423</v>
      </c>
      <c r="H26" s="5">
        <f t="shared" si="5"/>
        <v>36.674104898939262</v>
      </c>
      <c r="I26" s="5">
        <f t="shared" si="6"/>
        <v>-2.4035251056281349E-6</v>
      </c>
      <c r="J26" s="17">
        <f t="shared" si="7"/>
        <v>-4.2624057414841522E-2</v>
      </c>
      <c r="K26" s="14">
        <f t="shared" si="8"/>
        <v>-75.593849219725712</v>
      </c>
      <c r="L26" s="5">
        <f t="shared" si="9"/>
        <v>-89.990484531554529</v>
      </c>
      <c r="M26" s="5">
        <f t="shared" si="10"/>
        <v>34.997896262521543</v>
      </c>
      <c r="N26" s="8">
        <f t="shared" si="11"/>
        <v>88.98082039961831</v>
      </c>
      <c r="O26" s="5">
        <f t="shared" si="12"/>
        <v>-3.8971879199867727</v>
      </c>
      <c r="P26" s="17">
        <f t="shared" si="13"/>
        <v>-50.322162516337222</v>
      </c>
      <c r="Q26" s="5">
        <f t="shared" si="22"/>
        <v>-0.31839935762967708</v>
      </c>
      <c r="R26" s="5">
        <f t="shared" si="23"/>
        <v>-15.419136699584552</v>
      </c>
      <c r="S26" s="14">
        <f t="shared" si="14"/>
        <v>2.0841379451638131</v>
      </c>
      <c r="T26" s="5">
        <f t="shared" si="15"/>
        <v>38.124515819904452</v>
      </c>
      <c r="U26" s="5">
        <f t="shared" si="16"/>
        <v>-1.1647179738330362</v>
      </c>
      <c r="V26" s="17">
        <f t="shared" si="17"/>
        <v>-43.338466537030634</v>
      </c>
      <c r="W26" s="14">
        <v>0</v>
      </c>
      <c r="X26" s="17">
        <f t="shared" si="18"/>
        <v>-4.4893402086799803</v>
      </c>
      <c r="Y26" s="14">
        <f t="shared" si="24"/>
        <v>-1.5354998871882511E-3</v>
      </c>
      <c r="Z26" s="17">
        <f t="shared" si="25"/>
        <v>-1.0773146737951071</v>
      </c>
      <c r="AA26" s="5">
        <f t="shared" si="19"/>
        <v>-5.5074043311790044</v>
      </c>
      <c r="AB26" s="5">
        <f t="shared" si="20"/>
        <v>85.420563449628176</v>
      </c>
      <c r="AC26" s="5">
        <f t="shared" si="26"/>
        <v>-9.4045922511657771</v>
      </c>
      <c r="AD26" s="6">
        <f t="shared" si="27"/>
        <v>35.098400933290954</v>
      </c>
    </row>
    <row r="27" spans="1:30" x14ac:dyDescent="0.25">
      <c r="A27" s="4">
        <v>3.4</v>
      </c>
      <c r="B27" s="21">
        <f t="shared" si="21"/>
        <v>25118.864315095812</v>
      </c>
      <c r="C27" s="14">
        <f t="shared" si="0"/>
        <v>0.44502957036254426</v>
      </c>
      <c r="D27" s="5">
        <f t="shared" si="1"/>
        <v>-18.184868443597534</v>
      </c>
      <c r="E27" s="5">
        <f t="shared" si="2"/>
        <v>-41.278630985808995</v>
      </c>
      <c r="F27" s="5">
        <f t="shared" si="3"/>
        <v>-89.505465635478856</v>
      </c>
      <c r="G27" s="5">
        <f t="shared" si="4"/>
        <v>2.7390046789437781</v>
      </c>
      <c r="H27" s="5">
        <f t="shared" si="5"/>
        <v>43.152063030427094</v>
      </c>
      <c r="I27" s="5">
        <f t="shared" si="6"/>
        <v>-3.8093299616218194E-6</v>
      </c>
      <c r="J27" s="17">
        <f t="shared" si="7"/>
        <v>-5.3660503243374714E-2</v>
      </c>
      <c r="K27" s="14">
        <f t="shared" si="8"/>
        <v>-77.593849175520248</v>
      </c>
      <c r="L27" s="5">
        <f t="shared" si="9"/>
        <v>-89.992441594721498</v>
      </c>
      <c r="M27" s="5">
        <f t="shared" si="10"/>
        <v>36.997389159023172</v>
      </c>
      <c r="N27" s="5">
        <f t="shared" si="11"/>
        <v>89.190405355946211</v>
      </c>
      <c r="O27" s="5">
        <f t="shared" si="12"/>
        <v>-5.1891383104637425</v>
      </c>
      <c r="P27" s="17">
        <f t="shared" si="13"/>
        <v>-56.617309318266791</v>
      </c>
      <c r="Q27" s="5">
        <f t="shared" si="22"/>
        <v>-0.49435315656678225</v>
      </c>
      <c r="R27" s="5">
        <f t="shared" si="23"/>
        <v>-19.147934569609838</v>
      </c>
      <c r="S27" s="14">
        <f t="shared" si="14"/>
        <v>2.9581587819233728</v>
      </c>
      <c r="T27" s="5">
        <f t="shared" si="15"/>
        <v>44.653973496748613</v>
      </c>
      <c r="U27" s="5">
        <f t="shared" si="16"/>
        <v>-1.8005737363297278</v>
      </c>
      <c r="V27" s="17">
        <f t="shared" si="17"/>
        <v>-53.419315998303176</v>
      </c>
      <c r="W27" s="14">
        <v>0</v>
      </c>
      <c r="X27" s="17">
        <f t="shared" si="18"/>
        <v>-5.6517444708965581</v>
      </c>
      <c r="Y27" s="14">
        <f t="shared" si="24"/>
        <v>-2.4333517528940802E-3</v>
      </c>
      <c r="Z27" s="17">
        <f t="shared" si="25"/>
        <v>-1.3561653534395415</v>
      </c>
      <c r="AA27" s="5">
        <f t="shared" si="19"/>
        <v>-6.4644487224734144</v>
      </c>
      <c r="AB27" s="5">
        <f t="shared" si="20"/>
        <v>79.684845313831531</v>
      </c>
      <c r="AC27" s="5">
        <f t="shared" si="26"/>
        <v>-11.653587032937157</v>
      </c>
      <c r="AD27" s="6">
        <f t="shared" si="27"/>
        <v>23.067535995564739</v>
      </c>
    </row>
    <row r="28" spans="1:30" x14ac:dyDescent="0.25">
      <c r="A28" s="4">
        <v>3.5</v>
      </c>
      <c r="B28" s="21">
        <f t="shared" si="21"/>
        <v>31622.776601683803</v>
      </c>
      <c r="C28" s="14">
        <f t="shared" si="0"/>
        <v>0.68564185448924242</v>
      </c>
      <c r="D28" s="5">
        <f t="shared" si="1"/>
        <v>-22.467307488136196</v>
      </c>
      <c r="E28" s="5">
        <f t="shared" si="2"/>
        <v>-43.278511585967735</v>
      </c>
      <c r="F28" s="5">
        <f t="shared" si="3"/>
        <v>-89.607173791238779</v>
      </c>
      <c r="G28" s="5">
        <f t="shared" si="4"/>
        <v>3.7893193556030296</v>
      </c>
      <c r="H28" s="5">
        <f t="shared" si="5"/>
        <v>49.725622709608913</v>
      </c>
      <c r="I28" s="5">
        <f t="shared" si="6"/>
        <v>-6.0373795754048302E-6</v>
      </c>
      <c r="J28" s="17">
        <f t="shared" si="7"/>
        <v>-6.7554559590298713E-2</v>
      </c>
      <c r="K28" s="14">
        <f t="shared" si="8"/>
        <v>-79.593849147628475</v>
      </c>
      <c r="L28" s="5">
        <f t="shared" si="9"/>
        <v>-89.993996145264944</v>
      </c>
      <c r="M28" s="5">
        <f t="shared" si="10"/>
        <v>38.997069167877349</v>
      </c>
      <c r="N28" s="5">
        <f t="shared" si="11"/>
        <v>89.356900320722787</v>
      </c>
      <c r="O28" s="5">
        <f t="shared" si="12"/>
        <v>-6.6745971417363634</v>
      </c>
      <c r="P28" s="17">
        <f t="shared" si="13"/>
        <v>-62.371597406324476</v>
      </c>
      <c r="Q28" s="5">
        <f t="shared" si="22"/>
        <v>-0.75939306477023416</v>
      </c>
      <c r="R28" s="5">
        <f t="shared" si="23"/>
        <v>-23.611191258808496</v>
      </c>
      <c r="S28" s="14">
        <f t="shared" si="14"/>
        <v>4.0603993223843915</v>
      </c>
      <c r="T28" s="5">
        <f t="shared" si="15"/>
        <v>51.201378736991217</v>
      </c>
      <c r="U28" s="5">
        <f t="shared" si="16"/>
        <v>-2.7421008881476134</v>
      </c>
      <c r="V28" s="17">
        <f t="shared" si="17"/>
        <v>-65.105911188718736</v>
      </c>
      <c r="W28" s="14">
        <v>0</v>
      </c>
      <c r="X28" s="17">
        <f t="shared" si="18"/>
        <v>-7.1151247353788563</v>
      </c>
      <c r="Y28" s="14">
        <f t="shared" si="24"/>
        <v>-3.8559709495343516E-3</v>
      </c>
      <c r="Z28" s="17">
        <f t="shared" si="25"/>
        <v>-1.7071245968306352</v>
      </c>
      <c r="AA28" s="5">
        <f t="shared" si="19"/>
        <v>-7.2794736919068344</v>
      </c>
      <c r="AB28" s="5">
        <f t="shared" si="20"/>
        <v>70.608518003355982</v>
      </c>
      <c r="AC28" s="5">
        <f t="shared" si="26"/>
        <v>-13.954070833643197</v>
      </c>
      <c r="AD28" s="6">
        <f t="shared" si="27"/>
        <v>8.2369205970315065</v>
      </c>
    </row>
    <row r="29" spans="1:30" x14ac:dyDescent="0.25">
      <c r="A29" s="4">
        <v>3.6</v>
      </c>
      <c r="B29" s="21">
        <f t="shared" si="21"/>
        <v>39810.717055349771</v>
      </c>
      <c r="C29" s="14">
        <f t="shared" si="0"/>
        <v>1.0416191429728494</v>
      </c>
      <c r="D29" s="5">
        <f t="shared" si="1"/>
        <v>-27.502504056364199</v>
      </c>
      <c r="E29" s="5">
        <f t="shared" si="2"/>
        <v>-45.278436248071927</v>
      </c>
      <c r="F29" s="5">
        <f t="shared" si="3"/>
        <v>-89.687965246728368</v>
      </c>
      <c r="G29" s="5">
        <f t="shared" si="4"/>
        <v>5.0618862978868844</v>
      </c>
      <c r="H29" s="5">
        <f t="shared" si="5"/>
        <v>56.058308290851905</v>
      </c>
      <c r="I29" s="5">
        <f t="shared" si="6"/>
        <v>-9.5685978991528008E-6</v>
      </c>
      <c r="J29" s="17">
        <f t="shared" si="7"/>
        <v>-8.504612870064264E-2</v>
      </c>
      <c r="K29" s="14">
        <f t="shared" si="8"/>
        <v>-81.593849130029966</v>
      </c>
      <c r="L29" s="5">
        <f t="shared" si="9"/>
        <v>-89.995230968660309</v>
      </c>
      <c r="M29" s="5">
        <f t="shared" si="10"/>
        <v>40.996867254981851</v>
      </c>
      <c r="N29" s="5">
        <f t="shared" si="11"/>
        <v>89.489159850273154</v>
      </c>
      <c r="O29" s="5">
        <f t="shared" si="12"/>
        <v>-8.315482446790023</v>
      </c>
      <c r="P29" s="17">
        <f t="shared" si="13"/>
        <v>-67.424106172093502</v>
      </c>
      <c r="Q29" s="5">
        <f t="shared" si="22"/>
        <v>-1.1488919197553591</v>
      </c>
      <c r="R29" s="5">
        <f t="shared" si="23"/>
        <v>-28.824157997824511</v>
      </c>
      <c r="S29" s="14">
        <f t="shared" si="14"/>
        <v>5.3806221878008467</v>
      </c>
      <c r="T29" s="5">
        <f t="shared" si="15"/>
        <v>57.436688240465173</v>
      </c>
      <c r="U29" s="5">
        <f t="shared" si="16"/>
        <v>-4.0837096777103259</v>
      </c>
      <c r="V29" s="17">
        <f t="shared" si="17"/>
        <v>-78.102441700572243</v>
      </c>
      <c r="W29" s="14">
        <v>0</v>
      </c>
      <c r="X29" s="17">
        <f t="shared" si="18"/>
        <v>-8.9574113374536992</v>
      </c>
      <c r="Y29" s="14">
        <f t="shared" si="24"/>
        <v>-6.1097162988863829E-3</v>
      </c>
      <c r="Z29" s="17">
        <f t="shared" si="25"/>
        <v>-2.1487707497674631</v>
      </c>
      <c r="AA29" s="5">
        <f t="shared" si="19"/>
        <v>-8.0641980742396093</v>
      </c>
      <c r="AB29" s="5">
        <f t="shared" si="20"/>
        <v>57.680628195518786</v>
      </c>
      <c r="AC29" s="5">
        <f t="shared" si="26"/>
        <v>-16.379680521029634</v>
      </c>
      <c r="AD29" s="6">
        <f t="shared" si="27"/>
        <v>-9.7434779765747166</v>
      </c>
    </row>
    <row r="30" spans="1:30" x14ac:dyDescent="0.25">
      <c r="A30" s="4">
        <v>3.7</v>
      </c>
      <c r="B30" s="21">
        <f t="shared" si="21"/>
        <v>50118.723362727324</v>
      </c>
      <c r="C30" s="14">
        <f t="shared" si="0"/>
        <v>1.5520905821385511</v>
      </c>
      <c r="D30" s="5">
        <f t="shared" si="1"/>
        <v>-33.241836371221936</v>
      </c>
      <c r="E30" s="5">
        <f t="shared" si="2"/>
        <v>-47.278388712400798</v>
      </c>
      <c r="F30" s="5">
        <f t="shared" si="3"/>
        <v>-89.752141080947197</v>
      </c>
      <c r="G30" s="5">
        <f t="shared" si="4"/>
        <v>6.5310719256886749</v>
      </c>
      <c r="H30" s="5">
        <f t="shared" si="5"/>
        <v>61.870780451157536</v>
      </c>
      <c r="I30" s="5">
        <f t="shared" si="6"/>
        <v>-1.5165195900111213E-5</v>
      </c>
      <c r="J30" s="17">
        <f t="shared" si="7"/>
        <v>-0.10706668660492297</v>
      </c>
      <c r="K30" s="14">
        <f t="shared" si="8"/>
        <v>-83.593849118926073</v>
      </c>
      <c r="L30" s="5">
        <f t="shared" si="9"/>
        <v>-89.996211823751381</v>
      </c>
      <c r="M30" s="5">
        <f t="shared" si="10"/>
        <v>42.996739851727213</v>
      </c>
      <c r="N30" s="5">
        <f t="shared" si="11"/>
        <v>89.594221277694245</v>
      </c>
      <c r="O30" s="5">
        <f t="shared" si="12"/>
        <v>-10.072597681756879</v>
      </c>
      <c r="P30" s="17">
        <f t="shared" si="13"/>
        <v>-71.723940978073983</v>
      </c>
      <c r="Q30" s="5">
        <f t="shared" si="22"/>
        <v>-1.7024999496285151</v>
      </c>
      <c r="R30" s="5">
        <f t="shared" si="23"/>
        <v>-34.713888015181389</v>
      </c>
      <c r="S30" s="14">
        <f t="shared" si="14"/>
        <v>6.8895792197809245</v>
      </c>
      <c r="T30" s="5">
        <f t="shared" si="15"/>
        <v>63.102334182848118</v>
      </c>
      <c r="U30" s="5">
        <f t="shared" si="16"/>
        <v>-5.8993808366371887</v>
      </c>
      <c r="V30" s="17">
        <f t="shared" si="17"/>
        <v>-91.802052773696872</v>
      </c>
      <c r="W30" s="14">
        <v>0</v>
      </c>
      <c r="X30" s="17">
        <f t="shared" si="18"/>
        <v>-11.276712756613646</v>
      </c>
      <c r="Y30" s="14">
        <f t="shared" si="24"/>
        <v>-9.6792679566549498E-3</v>
      </c>
      <c r="Z30" s="17">
        <f t="shared" si="25"/>
        <v>-2.7044008864695801</v>
      </c>
      <c r="AA30" s="5">
        <f t="shared" si="19"/>
        <v>-8.9485181688274285</v>
      </c>
      <c r="AB30" s="5">
        <f t="shared" si="20"/>
        <v>40.973025517212982</v>
      </c>
      <c r="AC30" s="5">
        <f t="shared" si="26"/>
        <v>-19.021115850584309</v>
      </c>
      <c r="AD30" s="6">
        <f t="shared" si="27"/>
        <v>-30.750915460861002</v>
      </c>
    </row>
    <row r="31" spans="1:30" x14ac:dyDescent="0.25">
      <c r="A31" s="4">
        <v>3.8</v>
      </c>
      <c r="B31" s="21">
        <f t="shared" si="21"/>
        <v>63095.734448019386</v>
      </c>
      <c r="C31" s="14">
        <f t="shared" si="0"/>
        <v>2.2552676722436438</v>
      </c>
      <c r="D31" s="5">
        <f t="shared" si="1"/>
        <v>-39.527104300503247</v>
      </c>
      <c r="E31" s="5">
        <f t="shared" si="2"/>
        <v>-49.278358719152244</v>
      </c>
      <c r="F31" s="5">
        <f t="shared" si="3"/>
        <v>-89.803118209132663</v>
      </c>
      <c r="G31" s="5">
        <f t="shared" si="4"/>
        <v>8.1593597914262865</v>
      </c>
      <c r="H31" s="5">
        <f t="shared" si="5"/>
        <v>66.991374220342109</v>
      </c>
      <c r="I31" s="5">
        <f t="shared" si="6"/>
        <v>-2.4035191199677143E-5</v>
      </c>
      <c r="J31" s="17">
        <f t="shared" si="7"/>
        <v>-0.13478888075954723</v>
      </c>
      <c r="K31" s="14">
        <f t="shared" si="8"/>
        <v>-85.593849111919965</v>
      </c>
      <c r="L31" s="5">
        <f t="shared" si="9"/>
        <v>-89.996990944645987</v>
      </c>
      <c r="M31" s="5">
        <f t="shared" si="10"/>
        <v>44.996659463784894</v>
      </c>
      <c r="N31" s="5">
        <f t="shared" si="11"/>
        <v>89.677676515080748</v>
      </c>
      <c r="O31" s="5">
        <f t="shared" si="12"/>
        <v>-11.912050103221851</v>
      </c>
      <c r="P31" s="17">
        <f t="shared" si="13"/>
        <v>-75.30076671386847</v>
      </c>
      <c r="Q31" s="5">
        <f t="shared" si="22"/>
        <v>-2.4568177055581373</v>
      </c>
      <c r="R31" s="5">
        <f t="shared" si="23"/>
        <v>-41.094052585212204</v>
      </c>
      <c r="S31" s="14">
        <f t="shared" si="14"/>
        <v>8.5485081303002488</v>
      </c>
      <c r="T31" s="5">
        <f t="shared" si="15"/>
        <v>68.053275016491853</v>
      </c>
      <c r="U31" s="5">
        <f t="shared" si="16"/>
        <v>-8.2123333655967539</v>
      </c>
      <c r="V31" s="17">
        <f t="shared" si="17"/>
        <v>-105.39160584463454</v>
      </c>
      <c r="W31" s="14">
        <v>0</v>
      </c>
      <c r="X31" s="17">
        <f t="shared" si="18"/>
        <v>-14.196540250804361</v>
      </c>
      <c r="Y31" s="14">
        <f t="shared" si="24"/>
        <v>-1.5330623196755964E-2</v>
      </c>
      <c r="Z31" s="17">
        <f t="shared" si="25"/>
        <v>-3.4031619653639114</v>
      </c>
      <c r="AA31" s="5">
        <f t="shared" si="19"/>
        <v>-10.031105200277665</v>
      </c>
      <c r="AB31" s="5">
        <f t="shared" si="20"/>
        <v>21.17496277085824</v>
      </c>
      <c r="AC31" s="5">
        <f t="shared" si="26"/>
        <v>-21.943155303499516</v>
      </c>
      <c r="AD31" s="6">
        <f t="shared" si="27"/>
        <v>-54.125803943010226</v>
      </c>
    </row>
    <row r="32" spans="1:30" x14ac:dyDescent="0.25">
      <c r="A32" s="4">
        <v>3.9</v>
      </c>
      <c r="B32" s="21">
        <f t="shared" si="21"/>
        <v>79432.82347242815</v>
      </c>
      <c r="C32" s="14">
        <f t="shared" si="0"/>
        <v>3.1786725036258807</v>
      </c>
      <c r="D32" s="5">
        <f t="shared" si="1"/>
        <v>-46.089664754983687</v>
      </c>
      <c r="E32" s="5">
        <f t="shared" si="2"/>
        <v>-51.278339794585193</v>
      </c>
      <c r="F32" s="5">
        <f t="shared" si="3"/>
        <v>-89.843611007453632</v>
      </c>
      <c r="G32" s="5">
        <f t="shared" si="4"/>
        <v>9.9073218923696693</v>
      </c>
      <c r="H32" s="5">
        <f t="shared" si="5"/>
        <v>71.360056201042099</v>
      </c>
      <c r="I32" s="5">
        <f t="shared" si="6"/>
        <v>-3.8093149256366153E-5</v>
      </c>
      <c r="J32" s="17">
        <f t="shared" si="7"/>
        <v>-0.16968896412283194</v>
      </c>
      <c r="K32" s="14">
        <f t="shared" si="8"/>
        <v>-87.593849107499423</v>
      </c>
      <c r="L32" s="5">
        <f t="shared" si="9"/>
        <v>-89.997609822371643</v>
      </c>
      <c r="M32" s="5">
        <f t="shared" si="10"/>
        <v>46.996608741656651</v>
      </c>
      <c r="N32" s="5">
        <f t="shared" si="11"/>
        <v>89.743968358464031</v>
      </c>
      <c r="O32" s="5">
        <f t="shared" si="12"/>
        <v>-13.807609971892795</v>
      </c>
      <c r="P32" s="17">
        <f t="shared" si="13"/>
        <v>-78.22932695377061</v>
      </c>
      <c r="Q32" s="5">
        <f t="shared" si="22"/>
        <v>-3.4352776927370501</v>
      </c>
      <c r="R32" s="5">
        <f t="shared" si="23"/>
        <v>-47.674421686569886</v>
      </c>
      <c r="S32" s="14">
        <f t="shared" si="14"/>
        <v>10.318654123875486</v>
      </c>
      <c r="T32" s="5">
        <f t="shared" si="15"/>
        <v>72.251658554835927</v>
      </c>
      <c r="U32" s="5">
        <f t="shared" si="16"/>
        <v>-10.983828854750765</v>
      </c>
      <c r="V32" s="17">
        <f t="shared" si="17"/>
        <v>-118.09216387976664</v>
      </c>
      <c r="W32" s="14">
        <v>0</v>
      </c>
      <c r="X32" s="17">
        <f t="shared" si="18"/>
        <v>-17.872385281296332</v>
      </c>
      <c r="Y32" s="14">
        <f t="shared" si="24"/>
        <v>-2.4272381071907167E-2</v>
      </c>
      <c r="Z32" s="17">
        <f t="shared" si="25"/>
        <v>-4.281385945012568</v>
      </c>
      <c r="AA32" s="5">
        <f t="shared" si="19"/>
        <v>-11.348535359683567</v>
      </c>
      <c r="AB32" s="5">
        <f t="shared" si="20"/>
        <v>-0.66524822723517651</v>
      </c>
      <c r="AC32" s="5">
        <f t="shared" si="26"/>
        <v>-25.156145331576361</v>
      </c>
      <c r="AD32" s="6">
        <f t="shared" si="27"/>
        <v>-78.894575181005791</v>
      </c>
    </row>
    <row r="33" spans="1:30" x14ac:dyDescent="0.25">
      <c r="A33" s="4">
        <v>4</v>
      </c>
      <c r="B33" s="20">
        <f t="shared" si="21"/>
        <v>100000</v>
      </c>
      <c r="C33" s="14">
        <f t="shared" si="0"/>
        <v>4.3300079195557482</v>
      </c>
      <c r="D33" s="5">
        <f t="shared" si="1"/>
        <v>-52.595754033503567</v>
      </c>
      <c r="E33" s="5">
        <f t="shared" si="2"/>
        <v>-53.278327853948213</v>
      </c>
      <c r="F33" s="5">
        <f t="shared" si="3"/>
        <v>-89.875775693771487</v>
      </c>
      <c r="G33" s="5">
        <f t="shared" si="4"/>
        <v>11.740425564333014</v>
      </c>
      <c r="H33" s="5">
        <f t="shared" si="5"/>
        <v>75.000618924144533</v>
      </c>
      <c r="I33" s="5">
        <f t="shared" si="6"/>
        <v>-6.0373418070282413E-5</v>
      </c>
      <c r="J33" s="17">
        <f t="shared" si="7"/>
        <v>-0.21362538371921963</v>
      </c>
      <c r="K33" s="14">
        <f t="shared" si="8"/>
        <v>-89.59384910471023</v>
      </c>
      <c r="L33" s="5">
        <f t="shared" si="9"/>
        <v>-89.998101414423388</v>
      </c>
      <c r="M33" s="5">
        <f t="shared" si="10"/>
        <v>48.996576737852507</v>
      </c>
      <c r="N33" s="5">
        <f t="shared" si="11"/>
        <v>89.796626338581163</v>
      </c>
      <c r="O33" s="5">
        <f t="shared" si="12"/>
        <v>-15.740396517038221</v>
      </c>
      <c r="P33" s="17">
        <f t="shared" si="13"/>
        <v>-80.601639022246118</v>
      </c>
      <c r="Q33" s="5">
        <f t="shared" si="22"/>
        <v>-4.6400571362863383</v>
      </c>
      <c r="R33" s="5">
        <f t="shared" si="23"/>
        <v>-54.116835785734267</v>
      </c>
      <c r="S33" s="14">
        <f t="shared" si="14"/>
        <v>12.167105903024449</v>
      </c>
      <c r="T33" s="5">
        <f t="shared" si="15"/>
        <v>75.735281312304636</v>
      </c>
      <c r="U33" s="5">
        <f t="shared" si="16"/>
        <v>-14.131408334730427</v>
      </c>
      <c r="V33" s="17">
        <f t="shared" si="17"/>
        <v>-129.37525432293319</v>
      </c>
      <c r="W33" s="14">
        <v>0</v>
      </c>
      <c r="X33" s="17">
        <f t="shared" si="18"/>
        <v>-22.5</v>
      </c>
      <c r="Y33" s="14">
        <f t="shared" si="24"/>
        <v>-3.8406508311962344E-2</v>
      </c>
      <c r="Z33" s="17">
        <f t="shared" si="25"/>
        <v>-5.3840959173935685</v>
      </c>
      <c r="AA33" s="5">
        <f t="shared" si="19"/>
        <v>-12.882179884057187</v>
      </c>
      <c r="AB33" s="5">
        <f t="shared" si="20"/>
        <v>-23.52691597644834</v>
      </c>
      <c r="AC33" s="5">
        <f t="shared" si="26"/>
        <v>-28.622576401095408</v>
      </c>
      <c r="AD33" s="6">
        <f t="shared" si="27"/>
        <v>-104.12855499869445</v>
      </c>
    </row>
    <row r="34" spans="1:30" x14ac:dyDescent="0.25">
      <c r="A34" s="4">
        <v>4.0999999999999996</v>
      </c>
      <c r="B34" s="21">
        <f t="shared" si="21"/>
        <v>125892.54117941672</v>
      </c>
      <c r="C34" s="14">
        <f t="shared" si="0"/>
        <v>5.6942996720870056</v>
      </c>
      <c r="D34" s="5">
        <f t="shared" si="1"/>
        <v>-58.72537597945805</v>
      </c>
      <c r="E34" s="5">
        <f t="shared" si="2"/>
        <v>-55.278320319898704</v>
      </c>
      <c r="F34" s="5">
        <f t="shared" si="3"/>
        <v>-89.901325069063901</v>
      </c>
      <c r="G34" s="5">
        <f t="shared" si="4"/>
        <v>13.631722411017286</v>
      </c>
      <c r="H34" s="5">
        <f t="shared" si="5"/>
        <v>77.984988599828824</v>
      </c>
      <c r="I34" s="5">
        <f t="shared" si="6"/>
        <v>-9.5685030306190232E-5</v>
      </c>
      <c r="J34" s="17">
        <f t="shared" si="7"/>
        <v>-0.26893769527287303</v>
      </c>
      <c r="K34" s="14">
        <f t="shared" si="8"/>
        <v>-91.593849102950387</v>
      </c>
      <c r="L34" s="5">
        <f t="shared" si="9"/>
        <v>-89.998491899870245</v>
      </c>
      <c r="M34" s="5">
        <f t="shared" si="10"/>
        <v>50.996556544695878</v>
      </c>
      <c r="N34" s="5">
        <f t="shared" si="11"/>
        <v>89.83845430815883</v>
      </c>
      <c r="O34" s="5">
        <f t="shared" si="12"/>
        <v>-17.697446140533252</v>
      </c>
      <c r="P34" s="17">
        <f t="shared" si="13"/>
        <v>-82.509893134505475</v>
      </c>
      <c r="Q34" s="5">
        <f t="shared" si="22"/>
        <v>-6.0512646860105228</v>
      </c>
      <c r="R34" s="5">
        <f t="shared" si="23"/>
        <v>-60.116510881720551</v>
      </c>
      <c r="S34" s="14">
        <f t="shared" si="14"/>
        <v>14.068690800228401</v>
      </c>
      <c r="T34" s="5">
        <f t="shared" si="15"/>
        <v>78.582628650439531</v>
      </c>
      <c r="U34" s="5">
        <f t="shared" si="16"/>
        <v>-17.560242462769111</v>
      </c>
      <c r="V34" s="17">
        <f t="shared" si="17"/>
        <v>-139.0230235285442</v>
      </c>
      <c r="W34" s="14">
        <v>0</v>
      </c>
      <c r="X34" s="17">
        <f t="shared" si="18"/>
        <v>-28.325821765368762</v>
      </c>
      <c r="Y34" s="14">
        <f t="shared" si="24"/>
        <v>-6.071378943837262E-2</v>
      </c>
      <c r="Z34" s="17">
        <f t="shared" si="25"/>
        <v>-6.7665622434197772</v>
      </c>
      <c r="AA34" s="5">
        <f t="shared" si="19"/>
        <v>-14.587403315486494</v>
      </c>
      <c r="AB34" s="5">
        <f t="shared" si="20"/>
        <v>-46.719977504291187</v>
      </c>
      <c r="AC34" s="5">
        <f t="shared" si="26"/>
        <v>-32.284849456019742</v>
      </c>
      <c r="AD34" s="6">
        <f t="shared" si="27"/>
        <v>-129.22987063879665</v>
      </c>
    </row>
    <row r="35" spans="1:30" x14ac:dyDescent="0.25">
      <c r="A35" s="4">
        <v>4.2</v>
      </c>
      <c r="B35" s="21">
        <f t="shared" si="21"/>
        <v>158489.31924611147</v>
      </c>
      <c r="C35" s="14">
        <f t="shared" si="0"/>
        <v>7.2393318011883947</v>
      </c>
      <c r="D35" s="5">
        <f t="shared" si="1"/>
        <v>-64.243740696874426</v>
      </c>
      <c r="E35" s="5">
        <f t="shared" si="2"/>
        <v>-57.278315566228116</v>
      </c>
      <c r="F35" s="5">
        <f t="shared" si="3"/>
        <v>-89.921619687700328</v>
      </c>
      <c r="G35" s="5">
        <f t="shared" si="4"/>
        <v>15.561708452678392</v>
      </c>
      <c r="H35" s="5">
        <f t="shared" si="5"/>
        <v>80.404463701790505</v>
      </c>
      <c r="I35" s="5">
        <f t="shared" si="6"/>
        <v>-1.5164957604348029E-4</v>
      </c>
      <c r="J35" s="17">
        <f t="shared" si="7"/>
        <v>-0.33857104444892805</v>
      </c>
      <c r="K35" s="14">
        <f t="shared" si="8"/>
        <v>-93.593849101839993</v>
      </c>
      <c r="L35" s="5">
        <f t="shared" si="9"/>
        <v>-89.998802073486047</v>
      </c>
      <c r="M35" s="5">
        <f t="shared" si="10"/>
        <v>52.996543803627098</v>
      </c>
      <c r="N35" s="5">
        <f t="shared" si="11"/>
        <v>89.871679570286204</v>
      </c>
      <c r="O35" s="5">
        <f t="shared" si="12"/>
        <v>-19.670126086716419</v>
      </c>
      <c r="P35" s="17">
        <f t="shared" si="13"/>
        <v>-84.037884555579453</v>
      </c>
      <c r="Q35" s="5">
        <f t="shared" si="22"/>
        <v>-7.6339808562719016</v>
      </c>
      <c r="R35" s="5">
        <f t="shared" si="23"/>
        <v>-65.465461788190765</v>
      </c>
      <c r="S35" s="14">
        <f t="shared" si="14"/>
        <v>16.005427605745226</v>
      </c>
      <c r="T35" s="5">
        <f t="shared" si="15"/>
        <v>80.886523372699529</v>
      </c>
      <c r="U35" s="5">
        <f t="shared" si="16"/>
        <v>-21.18625241231792</v>
      </c>
      <c r="V35" s="17">
        <f t="shared" si="17"/>
        <v>-147.05709881355304</v>
      </c>
      <c r="W35" s="14">
        <v>0</v>
      </c>
      <c r="X35" s="17">
        <f t="shared" si="18"/>
        <v>-35.660096830375075</v>
      </c>
      <c r="Y35" s="14">
        <f t="shared" si="24"/>
        <v>-9.5835405384645175E-2</v>
      </c>
      <c r="Z35" s="17">
        <f t="shared" si="25"/>
        <v>-8.4956096281859264</v>
      </c>
      <c r="AA35" s="5">
        <f t="shared" si="19"/>
        <v>-16.419560025797168</v>
      </c>
      <c r="AB35" s="5">
        <f t="shared" si="20"/>
        <v>-70.01833391803828</v>
      </c>
      <c r="AC35" s="5">
        <f t="shared" si="26"/>
        <v>-36.08968611251359</v>
      </c>
      <c r="AD35" s="6">
        <f t="shared" si="27"/>
        <v>-154.05621847361772</v>
      </c>
    </row>
    <row r="36" spans="1:30" x14ac:dyDescent="0.25">
      <c r="A36" s="4">
        <v>4.3</v>
      </c>
      <c r="B36" s="21">
        <f t="shared" si="21"/>
        <v>199526.23149688792</v>
      </c>
      <c r="C36" s="14">
        <f t="shared" si="0"/>
        <v>8.9256289773500939</v>
      </c>
      <c r="D36" s="5">
        <f t="shared" si="1"/>
        <v>-69.030897970243586</v>
      </c>
      <c r="E36" s="5">
        <f t="shared" si="2"/>
        <v>-59.278312566862056</v>
      </c>
      <c r="F36" s="5">
        <f t="shared" si="3"/>
        <v>-89.937740290561067</v>
      </c>
      <c r="G36" s="5">
        <f t="shared" si="4"/>
        <v>17.516944719654731</v>
      </c>
      <c r="H36" s="5">
        <f t="shared" si="5"/>
        <v>82.351681668241568</v>
      </c>
      <c r="I36" s="5">
        <f t="shared" si="6"/>
        <v>-2.4034592637648929E-4</v>
      </c>
      <c r="J36" s="17">
        <f t="shared" si="7"/>
        <v>-0.42623278986365165</v>
      </c>
      <c r="K36" s="14">
        <f t="shared" si="8"/>
        <v>-95.593849101139369</v>
      </c>
      <c r="L36" s="5">
        <f t="shared" si="9"/>
        <v>-89.999048453146798</v>
      </c>
      <c r="M36" s="5">
        <f t="shared" si="10"/>
        <v>54.996535764536922</v>
      </c>
      <c r="N36" s="5">
        <f t="shared" si="11"/>
        <v>89.898071396694078</v>
      </c>
      <c r="O36" s="5">
        <f t="shared" si="12"/>
        <v>-21.652799448266538</v>
      </c>
      <c r="P36" s="17">
        <f t="shared" si="13"/>
        <v>-85.257813637738835</v>
      </c>
      <c r="Q36" s="5">
        <f t="shared" si="22"/>
        <v>-9.3484445148987092</v>
      </c>
      <c r="R36" s="5">
        <f t="shared" si="23"/>
        <v>-70.070638456918203</v>
      </c>
      <c r="S36" s="14">
        <f t="shared" si="14"/>
        <v>17.96503179374006</v>
      </c>
      <c r="T36" s="5">
        <f t="shared" si="15"/>
        <v>82.73836633410501</v>
      </c>
      <c r="U36" s="5">
        <f t="shared" si="16"/>
        <v>-24.944871610964721</v>
      </c>
      <c r="V36" s="17">
        <f t="shared" si="17"/>
        <v>-153.63227672269255</v>
      </c>
      <c r="W36" s="14">
        <v>0</v>
      </c>
      <c r="X36" s="17">
        <f t="shared" si="18"/>
        <v>-44.893402086799775</v>
      </c>
      <c r="Y36" s="14">
        <f t="shared" si="24"/>
        <v>-0.15092407031784399</v>
      </c>
      <c r="Z36" s="17">
        <f t="shared" si="25"/>
        <v>-10.65004171398151</v>
      </c>
      <c r="AA36" s="5">
        <f t="shared" si="19"/>
        <v>-18.346687652244924</v>
      </c>
      <c r="AB36" s="5">
        <f t="shared" si="20"/>
        <v>-93.652159085166474</v>
      </c>
      <c r="AC36" s="5">
        <f t="shared" si="26"/>
        <v>-39.999487100511459</v>
      </c>
      <c r="AD36" s="6">
        <f t="shared" si="27"/>
        <v>-178.90997272290531</v>
      </c>
    </row>
    <row r="37" spans="1:30" x14ac:dyDescent="0.25">
      <c r="A37" s="4">
        <v>4.4000000000000004</v>
      </c>
      <c r="B37" s="21">
        <f t="shared" si="21"/>
        <v>251188.64315095858</v>
      </c>
      <c r="C37" s="14">
        <f t="shared" si="0"/>
        <v>10.715363071189817</v>
      </c>
      <c r="D37" s="5">
        <f t="shared" si="1"/>
        <v>-73.068562561546869</v>
      </c>
      <c r="E37" s="5">
        <f t="shared" si="2"/>
        <v>-61.278310674388983</v>
      </c>
      <c r="F37" s="5">
        <f t="shared" si="3"/>
        <v>-89.950545347723505</v>
      </c>
      <c r="G37" s="5">
        <f t="shared" si="4"/>
        <v>19.488461453309313</v>
      </c>
      <c r="H37" s="5">
        <f t="shared" si="5"/>
        <v>83.911402789135494</v>
      </c>
      <c r="I37" s="5">
        <f t="shared" si="6"/>
        <v>-3.8091645775809686E-4</v>
      </c>
      <c r="J37" s="17">
        <f t="shared" si="7"/>
        <v>-0.53658950104836189</v>
      </c>
      <c r="K37" s="14">
        <f t="shared" si="8"/>
        <v>-97.593849100697341</v>
      </c>
      <c r="L37" s="5">
        <f t="shared" si="9"/>
        <v>-89.999244159467807</v>
      </c>
      <c r="M37" s="5">
        <f t="shared" si="10"/>
        <v>56.996530692206306</v>
      </c>
      <c r="N37" s="5">
        <f t="shared" si="11"/>
        <v>89.919035200947221</v>
      </c>
      <c r="O37" s="5">
        <f t="shared" si="12"/>
        <v>-23.641831403358808</v>
      </c>
      <c r="P37" s="17">
        <f t="shared" si="13"/>
        <v>-86.229972731545345</v>
      </c>
      <c r="Q37" s="5">
        <f t="shared" si="22"/>
        <v>-11.158118580733529</v>
      </c>
      <c r="R37" s="5">
        <f t="shared" si="23"/>
        <v>-73.933425333650433</v>
      </c>
      <c r="S37" s="14">
        <f t="shared" si="14"/>
        <v>19.93934906278151</v>
      </c>
      <c r="T37" s="5">
        <f t="shared" si="15"/>
        <v>84.220477918408861</v>
      </c>
      <c r="U37" s="5">
        <f t="shared" si="16"/>
        <v>-28.790441834284003</v>
      </c>
      <c r="V37" s="17">
        <f t="shared" si="17"/>
        <v>-158.95421779456103</v>
      </c>
      <c r="W37" s="14">
        <v>0</v>
      </c>
      <c r="X37" s="17">
        <f t="shared" si="18"/>
        <v>-56.517444708965684</v>
      </c>
      <c r="Y37" s="14">
        <f t="shared" si="24"/>
        <v>-0.23682710262829465</v>
      </c>
      <c r="Z37" s="17">
        <f t="shared" si="25"/>
        <v>-13.318976409682179</v>
      </c>
      <c r="AA37" s="5">
        <f t="shared" si="19"/>
        <v>-20.35241062712063</v>
      </c>
      <c r="AB37" s="5">
        <f t="shared" si="20"/>
        <v>-118.22808990815429</v>
      </c>
      <c r="AC37" s="5">
        <f t="shared" si="26"/>
        <v>-43.994242030479441</v>
      </c>
      <c r="AD37" s="6">
        <f t="shared" si="27"/>
        <v>-204.45806263969962</v>
      </c>
    </row>
    <row r="38" spans="1:30" x14ac:dyDescent="0.25">
      <c r="A38" s="4">
        <v>4.5</v>
      </c>
      <c r="B38" s="21">
        <f t="shared" si="21"/>
        <v>316227.76601683837</v>
      </c>
      <c r="C38" s="14">
        <f t="shared" si="0"/>
        <v>12.577257386208858</v>
      </c>
      <c r="D38" s="5">
        <f t="shared" si="1"/>
        <v>-76.406167624764379</v>
      </c>
      <c r="E38" s="5">
        <f t="shared" si="2"/>
        <v>-63.278309480318747</v>
      </c>
      <c r="F38" s="5">
        <f t="shared" si="3"/>
        <v>-89.960716769758065</v>
      </c>
      <c r="G38" s="5">
        <f t="shared" si="4"/>
        <v>21.470393130730088</v>
      </c>
      <c r="H38" s="5">
        <f t="shared" si="5"/>
        <v>85.156935387186593</v>
      </c>
      <c r="I38" s="5">
        <f t="shared" si="6"/>
        <v>-6.0369641640267897E-4</v>
      </c>
      <c r="J38" s="17">
        <f t="shared" si="7"/>
        <v>-0.67551460767836091</v>
      </c>
      <c r="K38" s="14">
        <f t="shared" si="8"/>
        <v>-99.593849100418424</v>
      </c>
      <c r="L38" s="5">
        <f t="shared" si="9"/>
        <v>-89.999399614524322</v>
      </c>
      <c r="M38" s="5">
        <f t="shared" si="10"/>
        <v>58.996527491778977</v>
      </c>
      <c r="N38" s="5">
        <f t="shared" si="11"/>
        <v>89.935687358295709</v>
      </c>
      <c r="O38" s="5">
        <f t="shared" si="12"/>
        <v>-25.634896755318227</v>
      </c>
      <c r="P38" s="17">
        <f t="shared" si="13"/>
        <v>-87.003765810915468</v>
      </c>
      <c r="Q38" s="5">
        <f t="shared" si="22"/>
        <v>-13.033592463019355</v>
      </c>
      <c r="R38" s="5">
        <f t="shared" si="23"/>
        <v>-77.114232996407623</v>
      </c>
      <c r="S38" s="14">
        <f t="shared" si="14"/>
        <v>21.923065858268874</v>
      </c>
      <c r="T38" s="5">
        <f t="shared" si="15"/>
        <v>85.403414923988436</v>
      </c>
      <c r="U38" s="5">
        <f t="shared" si="16"/>
        <v>-32.692166460015464</v>
      </c>
      <c r="V38" s="17">
        <f t="shared" si="17"/>
        <v>-163.23182306759128</v>
      </c>
      <c r="W38" s="14">
        <v>0</v>
      </c>
      <c r="X38" s="17">
        <f t="shared" si="18"/>
        <v>-71.151247353788634</v>
      </c>
      <c r="Y38" s="14">
        <f t="shared" si="24"/>
        <v>-0.36958658151584989</v>
      </c>
      <c r="Z38" s="17">
        <f t="shared" si="25"/>
        <v>-16.596037696673623</v>
      </c>
      <c r="AA38" s="5">
        <f t="shared" si="19"/>
        <v>-22.435050612135132</v>
      </c>
      <c r="AB38" s="5">
        <f t="shared" si="20"/>
        <v>-144.63910206171556</v>
      </c>
      <c r="AC38" s="5">
        <f t="shared" si="26"/>
        <v>-48.069947367453359</v>
      </c>
      <c r="AD38" s="6">
        <f t="shared" si="27"/>
        <v>-231.64286787263103</v>
      </c>
    </row>
    <row r="39" spans="1:30" x14ac:dyDescent="0.25">
      <c r="A39" s="4">
        <v>4.5999999999999996</v>
      </c>
      <c r="B39" s="21">
        <f t="shared" si="21"/>
        <v>398107.17055349739</v>
      </c>
      <c r="C39" s="14">
        <f t="shared" si="0"/>
        <v>14.487803303583862</v>
      </c>
      <c r="D39" s="5">
        <f t="shared" si="1"/>
        <v>-79.127180208529566</v>
      </c>
      <c r="E39" s="5">
        <f t="shared" si="2"/>
        <v>-65.278308726911192</v>
      </c>
      <c r="F39" s="5">
        <f t="shared" si="3"/>
        <v>-89.968796219263268</v>
      </c>
      <c r="G39" s="5">
        <f t="shared" si="4"/>
        <v>23.45895399017277</v>
      </c>
      <c r="H39" s="5">
        <f t="shared" si="5"/>
        <v>86.149635322871248</v>
      </c>
      <c r="I39" s="5">
        <f t="shared" si="6"/>
        <v>-9.5675544907366638E-4</v>
      </c>
      <c r="J39" s="17">
        <f t="shared" si="7"/>
        <v>-0.85039946041565873</v>
      </c>
      <c r="K39" s="14">
        <f t="shared" si="8"/>
        <v>-101.59384910024244</v>
      </c>
      <c r="L39" s="5">
        <f t="shared" si="9"/>
        <v>-89.999523096864948</v>
      </c>
      <c r="M39" s="5">
        <f t="shared" si="10"/>
        <v>60.996525472444638</v>
      </c>
      <c r="N39" s="5">
        <f t="shared" si="11"/>
        <v>89.948914644926887</v>
      </c>
      <c r="O39" s="5">
        <f t="shared" si="12"/>
        <v>-27.630515583932084</v>
      </c>
      <c r="P39" s="17">
        <f t="shared" si="13"/>
        <v>-87.619205898966499</v>
      </c>
      <c r="Q39" s="5">
        <f t="shared" si="22"/>
        <v>-14.953143982365336</v>
      </c>
      <c r="R39" s="5">
        <f t="shared" si="23"/>
        <v>-79.700721489836283</v>
      </c>
      <c r="S39" s="14">
        <f t="shared" si="14"/>
        <v>23.91276034882257</v>
      </c>
      <c r="T39" s="5">
        <f t="shared" si="15"/>
        <v>86.345911509455334</v>
      </c>
      <c r="U39" s="5">
        <f t="shared" si="16"/>
        <v>-36.62982929382423</v>
      </c>
      <c r="V39" s="17">
        <f t="shared" si="17"/>
        <v>-166.65498149519871</v>
      </c>
      <c r="W39" s="14">
        <v>0</v>
      </c>
      <c r="X39" s="17">
        <f t="shared" si="18"/>
        <v>-89.574113374536907</v>
      </c>
      <c r="Y39" s="14">
        <f t="shared" si="24"/>
        <v>-0.57202058266375577</v>
      </c>
      <c r="Z39" s="17">
        <f t="shared" si="25"/>
        <v>-20.566450991810179</v>
      </c>
      <c r="AA39" s="5">
        <f t="shared" si="19"/>
        <v>-24.606252023849873</v>
      </c>
      <c r="AB39" s="5">
        <f t="shared" si="20"/>
        <v>-173.99770485920206</v>
      </c>
      <c r="AC39" s="5">
        <f t="shared" si="26"/>
        <v>-52.236767607781957</v>
      </c>
      <c r="AD39" s="6">
        <f t="shared" si="27"/>
        <v>-261.61691075816856</v>
      </c>
    </row>
    <row r="40" spans="1:30" x14ac:dyDescent="0.25">
      <c r="A40" s="4">
        <v>4.7</v>
      </c>
      <c r="B40" s="21">
        <f t="shared" si="21"/>
        <v>501187.23362727294</v>
      </c>
      <c r="C40" s="14">
        <f t="shared" si="0"/>
        <v>16.430398581040681</v>
      </c>
      <c r="D40" s="5">
        <f t="shared" si="1"/>
        <v>-81.325124864108687</v>
      </c>
      <c r="E40" s="5">
        <f t="shared" si="2"/>
        <v>-67.278308251543109</v>
      </c>
      <c r="F40" s="5">
        <f t="shared" si="3"/>
        <v>-89.975213955026334</v>
      </c>
      <c r="G40" s="5">
        <f t="shared" si="4"/>
        <v>25.451720846594831</v>
      </c>
      <c r="H40" s="5">
        <f t="shared" si="5"/>
        <v>86.939847372449165</v>
      </c>
      <c r="I40" s="5">
        <f t="shared" si="6"/>
        <v>-1.5162575204922726E-3</v>
      </c>
      <c r="J40" s="17">
        <f t="shared" si="7"/>
        <v>-1.0705435154135843</v>
      </c>
      <c r="K40" s="14">
        <f t="shared" si="8"/>
        <v>-103.59384910013141</v>
      </c>
      <c r="L40" s="5">
        <f t="shared" si="9"/>
        <v>-89.999621182374597</v>
      </c>
      <c r="M40" s="5">
        <f t="shared" si="10"/>
        <v>62.996524198330334</v>
      </c>
      <c r="N40" s="5">
        <f t="shared" si="11"/>
        <v>89.95942145611626</v>
      </c>
      <c r="O40" s="5">
        <f t="shared" si="12"/>
        <v>-29.627748975841573</v>
      </c>
      <c r="P40" s="17">
        <f t="shared" si="13"/>
        <v>-88.108466333956841</v>
      </c>
      <c r="Q40" s="5">
        <f t="shared" si="22"/>
        <v>-16.901606785745479</v>
      </c>
      <c r="R40" s="5">
        <f t="shared" si="23"/>
        <v>-81.786452230016096</v>
      </c>
      <c r="S40" s="14">
        <f t="shared" si="14"/>
        <v>25.906245406886388</v>
      </c>
      <c r="T40" s="5">
        <f t="shared" si="15"/>
        <v>87.096001944354953</v>
      </c>
      <c r="U40" s="5">
        <f t="shared" si="16"/>
        <v>-40.590367018145542</v>
      </c>
      <c r="V40" s="17">
        <f t="shared" si="17"/>
        <v>-169.38683523067309</v>
      </c>
      <c r="W40" s="14">
        <v>0</v>
      </c>
      <c r="X40" s="17">
        <f t="shared" si="18"/>
        <v>-90</v>
      </c>
      <c r="Y40" s="14">
        <f t="shared" si="24"/>
        <v>-0.87469752374367771</v>
      </c>
      <c r="Z40" s="17">
        <f t="shared" si="25"/>
        <v>-25.284075402004209</v>
      </c>
      <c r="AA40" s="5">
        <f t="shared" si="19"/>
        <v>-26.889642601395156</v>
      </c>
      <c r="AB40" s="5">
        <f t="shared" si="20"/>
        <v>-184.83259560669623</v>
      </c>
      <c r="AC40" s="5">
        <f t="shared" si="26"/>
        <v>-56.517391577236729</v>
      </c>
      <c r="AD40" s="6">
        <f t="shared" si="27"/>
        <v>-272.94106194065307</v>
      </c>
    </row>
    <row r="41" spans="1:30" x14ac:dyDescent="0.25">
      <c r="A41" s="4">
        <v>4.8</v>
      </c>
      <c r="B41" s="21">
        <f t="shared" si="21"/>
        <v>630957.34448019345</v>
      </c>
      <c r="C41" s="14">
        <f t="shared" si="0"/>
        <v>18.393784305334897</v>
      </c>
      <c r="D41" s="5">
        <f t="shared" si="1"/>
        <v>-83.089861285092951</v>
      </c>
      <c r="E41" s="5">
        <f t="shared" si="2"/>
        <v>-69.278307951606081</v>
      </c>
      <c r="F41" s="5">
        <f t="shared" si="3"/>
        <v>-89.980311744197024</v>
      </c>
      <c r="G41" s="5">
        <f t="shared" si="4"/>
        <v>27.447150835295805</v>
      </c>
      <c r="H41" s="5">
        <f t="shared" si="5"/>
        <v>87.568381332524368</v>
      </c>
      <c r="I41" s="5">
        <f t="shared" si="6"/>
        <v>-2.4028609216823552E-3</v>
      </c>
      <c r="J41" s="17">
        <f t="shared" si="7"/>
        <v>-1.347642721169217</v>
      </c>
      <c r="K41" s="14">
        <f t="shared" si="8"/>
        <v>-105.59384910006132</v>
      </c>
      <c r="L41" s="5">
        <f t="shared" si="9"/>
        <v>-89.999699094464319</v>
      </c>
      <c r="M41" s="5">
        <f t="shared" si="10"/>
        <v>64.996523394418347</v>
      </c>
      <c r="N41" s="5">
        <f t="shared" si="11"/>
        <v>89.967767314880305</v>
      </c>
      <c r="O41" s="5">
        <f t="shared" si="12"/>
        <v>-31.626002456886578</v>
      </c>
      <c r="P41" s="17">
        <f t="shared" si="13"/>
        <v>-88.497299954390058</v>
      </c>
      <c r="Q41" s="5">
        <f t="shared" si="22"/>
        <v>-18.868771490191396</v>
      </c>
      <c r="R41" s="5">
        <f t="shared" si="23"/>
        <v>-83.459246928609076</v>
      </c>
      <c r="S41" s="14">
        <f t="shared" si="14"/>
        <v>27.902129722101808</v>
      </c>
      <c r="T41" s="5">
        <f t="shared" si="15"/>
        <v>87.692543358697279</v>
      </c>
      <c r="U41" s="5">
        <f t="shared" si="16"/>
        <v>-44.565416462543553</v>
      </c>
      <c r="V41" s="17">
        <f t="shared" si="17"/>
        <v>-171.56322294096341</v>
      </c>
      <c r="W41" s="14">
        <v>0</v>
      </c>
      <c r="X41" s="17">
        <f t="shared" si="18"/>
        <v>-90</v>
      </c>
      <c r="Y41" s="14">
        <f t="shared" si="24"/>
        <v>-1.3149818237897504</v>
      </c>
      <c r="Z41" s="17">
        <f t="shared" si="25"/>
        <v>-30.738395398521529</v>
      </c>
      <c r="AA41" s="5">
        <f t="shared" si="19"/>
        <v>-29.318328129380603</v>
      </c>
      <c r="AB41" s="5">
        <f t="shared" si="20"/>
        <v>-194.9496881069156</v>
      </c>
      <c r="AC41" s="5">
        <f t="shared" si="26"/>
        <v>-60.944330586267185</v>
      </c>
      <c r="AD41" s="6">
        <f t="shared" si="27"/>
        <v>-283.44698806130566</v>
      </c>
    </row>
    <row r="42" spans="1:30" x14ac:dyDescent="0.25">
      <c r="A42" s="4">
        <v>4.9000000000000004</v>
      </c>
      <c r="B42" s="21">
        <f t="shared" si="21"/>
        <v>794328.2347242824</v>
      </c>
      <c r="C42" s="14">
        <f t="shared" si="0"/>
        <v>20.370522413989043</v>
      </c>
      <c r="D42" s="5">
        <f t="shared" si="1"/>
        <v>-84.501257379594875</v>
      </c>
      <c r="E42" s="5">
        <f t="shared" si="2"/>
        <v>-71.278307762358608</v>
      </c>
      <c r="F42" s="5">
        <f t="shared" si="3"/>
        <v>-89.984361062296074</v>
      </c>
      <c r="G42" s="5">
        <f t="shared" si="4"/>
        <v>29.444264876777805</v>
      </c>
      <c r="H42" s="5">
        <f t="shared" si="5"/>
        <v>88.068068666492721</v>
      </c>
      <c r="I42" s="5">
        <f t="shared" si="6"/>
        <v>-3.8076619667533592E-3</v>
      </c>
      <c r="J42" s="17">
        <f t="shared" si="7"/>
        <v>-1.6963987305063524</v>
      </c>
      <c r="K42" s="14">
        <f t="shared" si="8"/>
        <v>-107.59384910001714</v>
      </c>
      <c r="L42" s="5">
        <f t="shared" si="9"/>
        <v>-89.999760982237035</v>
      </c>
      <c r="M42" s="5">
        <f t="shared" si="10"/>
        <v>66.996522887184113</v>
      </c>
      <c r="N42" s="5">
        <f t="shared" si="11"/>
        <v>89.974396667131671</v>
      </c>
      <c r="O42" s="5">
        <f t="shared" si="12"/>
        <v>-33.624900116426069</v>
      </c>
      <c r="P42" s="17">
        <f t="shared" si="13"/>
        <v>-88.806261922667503</v>
      </c>
      <c r="Q42" s="5">
        <f t="shared" si="22"/>
        <v>-20.847925351687017</v>
      </c>
      <c r="R42" s="5">
        <f t="shared" si="23"/>
        <v>-84.796163864600402</v>
      </c>
      <c r="S42" s="14">
        <f t="shared" si="14"/>
        <v>29.89953089228554</v>
      </c>
      <c r="T42" s="5">
        <f t="shared" si="15"/>
        <v>88.166756338743042</v>
      </c>
      <c r="U42" s="5">
        <f t="shared" si="16"/>
        <v>-48.549653281947663</v>
      </c>
      <c r="V42" s="17">
        <f t="shared" si="17"/>
        <v>-173.29520014165445</v>
      </c>
      <c r="W42" s="14">
        <v>0</v>
      </c>
      <c r="X42" s="17">
        <f t="shared" si="18"/>
        <v>-90</v>
      </c>
      <c r="Y42" s="14">
        <f t="shared" si="24"/>
        <v>-1.9325179030433333</v>
      </c>
      <c r="Z42" s="17">
        <f t="shared" si="25"/>
        <v>-36.819874550601085</v>
      </c>
      <c r="AA42" s="5">
        <f t="shared" si="19"/>
        <v>-31.929406688201681</v>
      </c>
      <c r="AB42" s="5">
        <f t="shared" si="20"/>
        <v>-204.88379503912284</v>
      </c>
      <c r="AC42" s="5">
        <f t="shared" si="26"/>
        <v>-65.554306804627743</v>
      </c>
      <c r="AD42" s="6">
        <f t="shared" si="27"/>
        <v>-293.69005696179033</v>
      </c>
    </row>
    <row r="43" spans="1:30" ht="13.8" thickBot="1" x14ac:dyDescent="0.3">
      <c r="A43" s="9">
        <v>5</v>
      </c>
      <c r="B43" s="23">
        <f t="shared" si="21"/>
        <v>1000000</v>
      </c>
      <c r="C43" s="15">
        <f t="shared" si="0"/>
        <v>22.355780783889681</v>
      </c>
      <c r="D43" s="10">
        <f t="shared" si="1"/>
        <v>-85.627243712663812</v>
      </c>
      <c r="E43" s="10">
        <f t="shared" si="2"/>
        <v>-73.278307642951518</v>
      </c>
      <c r="F43" s="10">
        <f t="shared" si="3"/>
        <v>-89.98757755010682</v>
      </c>
      <c r="G43" s="10">
        <f t="shared" si="4"/>
        <v>31.442442972807321</v>
      </c>
      <c r="H43" s="10">
        <f t="shared" si="5"/>
        <v>88.465197761655162</v>
      </c>
      <c r="I43" s="10">
        <f t="shared" si="6"/>
        <v>-6.0331911947763585E-3</v>
      </c>
      <c r="J43" s="18">
        <f t="shared" si="7"/>
        <v>-2.1352746457179221</v>
      </c>
      <c r="K43" s="15">
        <f t="shared" si="8"/>
        <v>-109.59384909998923</v>
      </c>
      <c r="L43" s="10">
        <f t="shared" si="9"/>
        <v>-89.999810141442268</v>
      </c>
      <c r="M43" s="10">
        <f t="shared" si="10"/>
        <v>68.9965225671409</v>
      </c>
      <c r="N43" s="10">
        <f t="shared" si="11"/>
        <v>89.979662549300059</v>
      </c>
      <c r="O43" s="10">
        <f t="shared" si="12"/>
        <v>-35.624204442622876</v>
      </c>
      <c r="P43" s="18">
        <f t="shared" si="13"/>
        <v>-89.051729506427336</v>
      </c>
      <c r="Q43" s="10">
        <f t="shared" si="22"/>
        <v>-22.834720655594815</v>
      </c>
      <c r="R43" s="10">
        <f t="shared" si="23"/>
        <v>-85.862250788822308</v>
      </c>
      <c r="S43" s="15">
        <f t="shared" si="14"/>
        <v>31.897890340991559</v>
      </c>
      <c r="T43" s="10">
        <f t="shared" si="15"/>
        <v>88.543619406840008</v>
      </c>
      <c r="U43" s="10">
        <f t="shared" si="16"/>
        <v>-52.539699267934651</v>
      </c>
      <c r="V43" s="18">
        <f t="shared" si="17"/>
        <v>-174.67256899903612</v>
      </c>
      <c r="W43" s="15">
        <v>0</v>
      </c>
      <c r="X43" s="18">
        <f t="shared" si="18"/>
        <v>-90</v>
      </c>
      <c r="Y43" s="15">
        <f t="shared" si="24"/>
        <v>-2.7606280443612299</v>
      </c>
      <c r="Z43" s="18">
        <f t="shared" si="25"/>
        <v>-43.303807307170665</v>
      </c>
      <c r="AA43" s="10">
        <f t="shared" si="19"/>
        <v>-34.754787934614413</v>
      </c>
      <c r="AB43" s="10">
        <f t="shared" si="20"/>
        <v>-214.60005342716471</v>
      </c>
      <c r="AC43" s="10">
        <f t="shared" si="26"/>
        <v>-70.378992377237296</v>
      </c>
      <c r="AD43" s="19">
        <f t="shared" si="27"/>
        <v>-303.65178293359202</v>
      </c>
    </row>
    <row r="44" spans="1:30" ht="13.8" thickTop="1" x14ac:dyDescent="0.25"/>
  </sheetData>
  <customSheetViews>
    <customSheetView guid="{0F8159A6-236F-4F54-A569-A835A6AD5DA8}" scale="70" state="hidden" topLeftCell="D1">
      <selection activeCell="J47" sqref="J47"/>
      <pageMargins left="0.7" right="0.7" top="0.75" bottom="0.75" header="0.3" footer="0.3"/>
      <pageSetup paperSize="9" orientation="portrait" horizontalDpi="300" verticalDpi="300" r:id="rId1"/>
    </customSheetView>
  </customSheetViews>
  <mergeCells count="7">
    <mergeCell ref="C1:J1"/>
    <mergeCell ref="K1:P1"/>
    <mergeCell ref="AA1:AD1"/>
    <mergeCell ref="A1:B1"/>
    <mergeCell ref="Q1:R1"/>
    <mergeCell ref="Y1:Z1"/>
    <mergeCell ref="S1:X1"/>
  </mergeCell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5" sqref="A5"/>
    </sheetView>
  </sheetViews>
  <sheetFormatPr defaultRowHeight="13.2" x14ac:dyDescent="0.25"/>
  <cols>
    <col min="1" max="1" width="128" customWidth="1"/>
    <col min="2" max="2" width="13.6640625" customWidth="1"/>
    <col min="257" max="257" width="128" customWidth="1"/>
    <col min="258" max="258" width="13.6640625" customWidth="1"/>
    <col min="513" max="513" width="128" customWidth="1"/>
    <col min="514" max="514" width="13.6640625" customWidth="1"/>
    <col min="769" max="769" width="128" customWidth="1"/>
    <col min="770" max="770" width="13.6640625" customWidth="1"/>
    <col min="1025" max="1025" width="128" customWidth="1"/>
    <col min="1026" max="1026" width="13.6640625" customWidth="1"/>
    <col min="1281" max="1281" width="128" customWidth="1"/>
    <col min="1282" max="1282" width="13.6640625" customWidth="1"/>
    <col min="1537" max="1537" width="128" customWidth="1"/>
    <col min="1538" max="1538" width="13.6640625" customWidth="1"/>
    <col min="1793" max="1793" width="128" customWidth="1"/>
    <col min="1794" max="1794" width="13.6640625" customWidth="1"/>
    <col min="2049" max="2049" width="128" customWidth="1"/>
    <col min="2050" max="2050" width="13.6640625" customWidth="1"/>
    <col min="2305" max="2305" width="128" customWidth="1"/>
    <col min="2306" max="2306" width="13.6640625" customWidth="1"/>
    <col min="2561" max="2561" width="128" customWidth="1"/>
    <col min="2562" max="2562" width="13.6640625" customWidth="1"/>
    <col min="2817" max="2817" width="128" customWidth="1"/>
    <col min="2818" max="2818" width="13.6640625" customWidth="1"/>
    <col min="3073" max="3073" width="128" customWidth="1"/>
    <col min="3074" max="3074" width="13.6640625" customWidth="1"/>
    <col min="3329" max="3329" width="128" customWidth="1"/>
    <col min="3330" max="3330" width="13.6640625" customWidth="1"/>
    <col min="3585" max="3585" width="128" customWidth="1"/>
    <col min="3586" max="3586" width="13.6640625" customWidth="1"/>
    <col min="3841" max="3841" width="128" customWidth="1"/>
    <col min="3842" max="3842" width="13.6640625" customWidth="1"/>
    <col min="4097" max="4097" width="128" customWidth="1"/>
    <col min="4098" max="4098" width="13.6640625" customWidth="1"/>
    <col min="4353" max="4353" width="128" customWidth="1"/>
    <col min="4354" max="4354" width="13.6640625" customWidth="1"/>
    <col min="4609" max="4609" width="128" customWidth="1"/>
    <col min="4610" max="4610" width="13.6640625" customWidth="1"/>
    <col min="4865" max="4865" width="128" customWidth="1"/>
    <col min="4866" max="4866" width="13.6640625" customWidth="1"/>
    <col min="5121" max="5121" width="128" customWidth="1"/>
    <col min="5122" max="5122" width="13.6640625" customWidth="1"/>
    <col min="5377" max="5377" width="128" customWidth="1"/>
    <col min="5378" max="5378" width="13.6640625" customWidth="1"/>
    <col min="5633" max="5633" width="128" customWidth="1"/>
    <col min="5634" max="5634" width="13.6640625" customWidth="1"/>
    <col min="5889" max="5889" width="128" customWidth="1"/>
    <col min="5890" max="5890" width="13.6640625" customWidth="1"/>
    <col min="6145" max="6145" width="128" customWidth="1"/>
    <col min="6146" max="6146" width="13.6640625" customWidth="1"/>
    <col min="6401" max="6401" width="128" customWidth="1"/>
    <col min="6402" max="6402" width="13.6640625" customWidth="1"/>
    <col min="6657" max="6657" width="128" customWidth="1"/>
    <col min="6658" max="6658" width="13.6640625" customWidth="1"/>
    <col min="6913" max="6913" width="128" customWidth="1"/>
    <col min="6914" max="6914" width="13.6640625" customWidth="1"/>
    <col min="7169" max="7169" width="128" customWidth="1"/>
    <col min="7170" max="7170" width="13.6640625" customWidth="1"/>
    <col min="7425" max="7425" width="128" customWidth="1"/>
    <col min="7426" max="7426" width="13.6640625" customWidth="1"/>
    <col min="7681" max="7681" width="128" customWidth="1"/>
    <col min="7682" max="7682" width="13.6640625" customWidth="1"/>
    <col min="7937" max="7937" width="128" customWidth="1"/>
    <col min="7938" max="7938" width="13.6640625" customWidth="1"/>
    <col min="8193" max="8193" width="128" customWidth="1"/>
    <col min="8194" max="8194" width="13.6640625" customWidth="1"/>
    <col min="8449" max="8449" width="128" customWidth="1"/>
    <col min="8450" max="8450" width="13.6640625" customWidth="1"/>
    <col min="8705" max="8705" width="128" customWidth="1"/>
    <col min="8706" max="8706" width="13.6640625" customWidth="1"/>
    <col min="8961" max="8961" width="128" customWidth="1"/>
    <col min="8962" max="8962" width="13.6640625" customWidth="1"/>
    <col min="9217" max="9217" width="128" customWidth="1"/>
    <col min="9218" max="9218" width="13.6640625" customWidth="1"/>
    <col min="9473" max="9473" width="128" customWidth="1"/>
    <col min="9474" max="9474" width="13.6640625" customWidth="1"/>
    <col min="9729" max="9729" width="128" customWidth="1"/>
    <col min="9730" max="9730" width="13.6640625" customWidth="1"/>
    <col min="9985" max="9985" width="128" customWidth="1"/>
    <col min="9986" max="9986" width="13.6640625" customWidth="1"/>
    <col min="10241" max="10241" width="128" customWidth="1"/>
    <col min="10242" max="10242" width="13.6640625" customWidth="1"/>
    <col min="10497" max="10497" width="128" customWidth="1"/>
    <col min="10498" max="10498" width="13.6640625" customWidth="1"/>
    <col min="10753" max="10753" width="128" customWidth="1"/>
    <col min="10754" max="10754" width="13.6640625" customWidth="1"/>
    <col min="11009" max="11009" width="128" customWidth="1"/>
    <col min="11010" max="11010" width="13.6640625" customWidth="1"/>
    <col min="11265" max="11265" width="128" customWidth="1"/>
    <col min="11266" max="11266" width="13.6640625" customWidth="1"/>
    <col min="11521" max="11521" width="128" customWidth="1"/>
    <col min="11522" max="11522" width="13.6640625" customWidth="1"/>
    <col min="11777" max="11777" width="128" customWidth="1"/>
    <col min="11778" max="11778" width="13.6640625" customWidth="1"/>
    <col min="12033" max="12033" width="128" customWidth="1"/>
    <col min="12034" max="12034" width="13.6640625" customWidth="1"/>
    <col min="12289" max="12289" width="128" customWidth="1"/>
    <col min="12290" max="12290" width="13.6640625" customWidth="1"/>
    <col min="12545" max="12545" width="128" customWidth="1"/>
    <col min="12546" max="12546" width="13.6640625" customWidth="1"/>
    <col min="12801" max="12801" width="128" customWidth="1"/>
    <col min="12802" max="12802" width="13.6640625" customWidth="1"/>
    <col min="13057" max="13057" width="128" customWidth="1"/>
    <col min="13058" max="13058" width="13.6640625" customWidth="1"/>
    <col min="13313" max="13313" width="128" customWidth="1"/>
    <col min="13314" max="13314" width="13.6640625" customWidth="1"/>
    <col min="13569" max="13569" width="128" customWidth="1"/>
    <col min="13570" max="13570" width="13.6640625" customWidth="1"/>
    <col min="13825" max="13825" width="128" customWidth="1"/>
    <col min="13826" max="13826" width="13.6640625" customWidth="1"/>
    <col min="14081" max="14081" width="128" customWidth="1"/>
    <col min="14082" max="14082" width="13.6640625" customWidth="1"/>
    <col min="14337" max="14337" width="128" customWidth="1"/>
    <col min="14338" max="14338" width="13.6640625" customWidth="1"/>
    <col min="14593" max="14593" width="128" customWidth="1"/>
    <col min="14594" max="14594" width="13.6640625" customWidth="1"/>
    <col min="14849" max="14849" width="128" customWidth="1"/>
    <col min="14850" max="14850" width="13.6640625" customWidth="1"/>
    <col min="15105" max="15105" width="128" customWidth="1"/>
    <col min="15106" max="15106" width="13.6640625" customWidth="1"/>
    <col min="15361" max="15361" width="128" customWidth="1"/>
    <col min="15362" max="15362" width="13.6640625" customWidth="1"/>
    <col min="15617" max="15617" width="128" customWidth="1"/>
    <col min="15618" max="15618" width="13.6640625" customWidth="1"/>
    <col min="15873" max="15873" width="128" customWidth="1"/>
    <col min="15874" max="15874" width="13.6640625" customWidth="1"/>
    <col min="16129" max="16129" width="128" customWidth="1"/>
    <col min="16130" max="16130" width="13.6640625" customWidth="1"/>
  </cols>
  <sheetData>
    <row r="1" spans="1:1" ht="75" x14ac:dyDescent="0.35">
      <c r="A1" s="28" t="s">
        <v>294</v>
      </c>
    </row>
    <row r="2" spans="1:1" x14ac:dyDescent="0.25">
      <c r="A2" s="29"/>
    </row>
    <row r="3" spans="1:1" ht="90" x14ac:dyDescent="0.35">
      <c r="A3" s="28" t="s">
        <v>295</v>
      </c>
    </row>
    <row r="4" spans="1:1" x14ac:dyDescent="0.25">
      <c r="A4" s="29"/>
    </row>
    <row r="5" spans="1:1" ht="60" x14ac:dyDescent="0.35">
      <c r="A5" s="28" t="s">
        <v>296</v>
      </c>
    </row>
    <row r="6" spans="1:1" x14ac:dyDescent="0.25">
      <c r="A6" s="29"/>
    </row>
    <row r="7" spans="1:1" ht="90" x14ac:dyDescent="0.35">
      <c r="A7" s="28" t="s">
        <v>297</v>
      </c>
    </row>
    <row r="8" spans="1:1" x14ac:dyDescent="0.25">
      <c r="A8" s="29"/>
    </row>
    <row r="9" spans="1:1" ht="15" x14ac:dyDescent="0.35">
      <c r="A9" s="28" t="s">
        <v>354</v>
      </c>
    </row>
  </sheetData>
  <sheetProtection password="E023" sheet="1" objects="1" scenarios="1"/>
  <customSheetViews>
    <customSheetView guid="{0F8159A6-236F-4F54-A569-A835A6AD5DA8}">
      <selection activeCell="A10" sqref="A10"/>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68</vt:i4>
      </vt:variant>
    </vt:vector>
  </HeadingPairs>
  <TitlesOfParts>
    <vt:vector size="71" baseType="lpstr">
      <vt:lpstr>Design Calculation</vt:lpstr>
      <vt:lpstr>Frequency Response Calculation</vt:lpstr>
      <vt:lpstr>LegalDisclaimer</vt:lpstr>
      <vt:lpstr>BST_HS_dead_time</vt:lpstr>
      <vt:lpstr>BST_HS_Rdson</vt:lpstr>
      <vt:lpstr>BST_HS_Vd</vt:lpstr>
      <vt:lpstr>BST_LS_fall_time</vt:lpstr>
      <vt:lpstr>BST_LS_Rdson</vt:lpstr>
      <vt:lpstr>BST_LS_rise_time</vt:lpstr>
      <vt:lpstr>BUCK_HS_Coss</vt:lpstr>
      <vt:lpstr>BUCK_HS_fall_time</vt:lpstr>
      <vt:lpstr>BUCK_HS_Qg</vt:lpstr>
      <vt:lpstr>BUCK_HS_Rdson</vt:lpstr>
      <vt:lpstr>BUCK_HS_rise_time</vt:lpstr>
      <vt:lpstr>BUCK_LS_dead_time</vt:lpstr>
      <vt:lpstr>BUCK_LS_deadtime</vt:lpstr>
      <vt:lpstr>BUCK_LS_Qg</vt:lpstr>
      <vt:lpstr>BUCK_LS_Qrr</vt:lpstr>
      <vt:lpstr>BUCK_LS_Rdson</vt:lpstr>
      <vt:lpstr>BUCK_LS_Vd</vt:lpstr>
      <vt:lpstr>C_bst_snubber</vt:lpstr>
      <vt:lpstr>C_buck_snubber</vt:lpstr>
      <vt:lpstr>C_ca</vt:lpstr>
      <vt:lpstr>Ccomp</vt:lpstr>
      <vt:lpstr>Cout_c</vt:lpstr>
      <vt:lpstr>Cout_e</vt:lpstr>
      <vt:lpstr>Cp</vt:lpstr>
      <vt:lpstr>DCR</vt:lpstr>
      <vt:lpstr>dVinpkpk</vt:lpstr>
      <vt:lpstr>dVoutpkpk</vt:lpstr>
      <vt:lpstr>eff</vt:lpstr>
      <vt:lpstr>ESR</vt:lpstr>
      <vt:lpstr>fco</vt:lpstr>
      <vt:lpstr>fp</vt:lpstr>
      <vt:lpstr>fp_comp2</vt:lpstr>
      <vt:lpstr>fsw</vt:lpstr>
      <vt:lpstr>fz_comp</vt:lpstr>
      <vt:lpstr>fz_ESR</vt:lpstr>
      <vt:lpstr>fzRHP</vt:lpstr>
      <vt:lpstr>gm_ca</vt:lpstr>
      <vt:lpstr>gm_EA</vt:lpstr>
      <vt:lpstr>gm_PS</vt:lpstr>
      <vt:lpstr>Iavg_limit</vt:lpstr>
      <vt:lpstr>ILpeak</vt:lpstr>
      <vt:lpstr>ILpeak_max</vt:lpstr>
      <vt:lpstr>ILrms</vt:lpstr>
      <vt:lpstr>ILrms_max</vt:lpstr>
      <vt:lpstr>ILvalley</vt:lpstr>
      <vt:lpstr>ILvalley_max</vt:lpstr>
      <vt:lpstr>Iout_limit</vt:lpstr>
      <vt:lpstr>Ioutmax</vt:lpstr>
      <vt:lpstr>K</vt:lpstr>
      <vt:lpstr>L</vt:lpstr>
      <vt:lpstr>Op_mode</vt:lpstr>
      <vt:lpstr>R_1</vt:lpstr>
      <vt:lpstr>R_7</vt:lpstr>
      <vt:lpstr>R_ca</vt:lpstr>
      <vt:lpstr>Rcomp</vt:lpstr>
      <vt:lpstr>Reg_Ilimit</vt:lpstr>
      <vt:lpstr>Reg_Vref</vt:lpstr>
      <vt:lpstr>Rpcb</vt:lpstr>
      <vt:lpstr>tou</vt:lpstr>
      <vt:lpstr>V_m</vt:lpstr>
      <vt:lpstr>Vin</vt:lpstr>
      <vt:lpstr>Vin_eff</vt:lpstr>
      <vt:lpstr>Vin_LP</vt:lpstr>
      <vt:lpstr>Vin_max</vt:lpstr>
      <vt:lpstr>Vin_min</vt:lpstr>
      <vt:lpstr>Vout</vt:lpstr>
      <vt:lpstr>Vout_LP</vt:lpstr>
      <vt:lpstr>Vout_max</vt:lpstr>
    </vt:vector>
  </TitlesOfParts>
  <Company>Texas Instruments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a0216859</dc:creator>
  <cp:lastModifiedBy>TI User</cp:lastModifiedBy>
  <dcterms:created xsi:type="dcterms:W3CDTF">2011-04-19T20:45:42Z</dcterms:created>
  <dcterms:modified xsi:type="dcterms:W3CDTF">2020-06-17T08:20:28Z</dcterms:modified>
</cp:coreProperties>
</file>